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852" firstSheet="3" activeTab="9" autoFilterDateGrouping="1"/>
  </bookViews>
  <sheets>
    <sheet name="Master List" sheetId="1" state="visible" r:id="rId1"/>
    <sheet name="Mendo 2" sheetId="2" state="visible" r:id="rId2"/>
    <sheet name="Elvis" sheetId="3" state="visible" r:id="rId3"/>
    <sheet name="Oreoz" sheetId="4" state="visible" r:id="rId4"/>
    <sheet name="SROG" sheetId="5" state="visible" r:id="rId5"/>
    <sheet name="MAC1" sheetId="6" state="visible" r:id="rId6"/>
    <sheet name="MAC2" sheetId="7" state="visible" r:id="rId7"/>
    <sheet name="TM6" sheetId="8" state="visible" r:id="rId8"/>
    <sheet name="ALH2" sheetId="9" state="visible" r:id="rId9"/>
    <sheet name="SFV" sheetId="10" state="visible" r:id="rId10"/>
    <sheet name="I95" sheetId="11" state="visible" r:id="rId11"/>
    <sheet name="WBT" sheetId="12" state="visible" r:id="rId12"/>
    <sheet name="Granimals" sheetId="13" state="visible" r:id="rId13"/>
    <sheet name="Strawnana" sheetId="14" state="visible" r:id="rId14"/>
    <sheet name="Mimosa" sheetId="15" state="visible" r:id="rId15"/>
    <sheet name="Mendo1" sheetId="16" state="visible" r:id="rId16"/>
    <sheet name="Scoops" sheetId="17" state="visible" r:id="rId17"/>
    <sheet name="Road Dawg" sheetId="18" state="visible" r:id="rId18"/>
    <sheet name="White Walker" sheetId="19" state="visible" r:id="rId19"/>
    <sheet name="TK9" sheetId="20" state="visible" r:id="rId20"/>
    <sheet name="PBB" sheetId="21" state="visible" r:id="rId2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B050"/>
      <sz val="11"/>
      <scheme val="minor"/>
    </font>
    <font>
      <name val="Calibri"/>
      <family val="2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14" fontId="3" fillId="0" borderId="1" pivotButton="0" quotePrefix="0" xfId="0"/>
    <xf numFmtId="0" fontId="4" fillId="2" borderId="1" pivotButton="0" quotePrefix="0" xfId="0"/>
    <xf numFmtId="0" fontId="3" fillId="0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4" borderId="1" pivotButton="0" quotePrefix="0" xfId="0"/>
    <xf numFmtId="0" fontId="2" fillId="2" borderId="1" pivotButton="0" quotePrefix="0" xfId="0"/>
    <xf numFmtId="0" fontId="4" fillId="3" borderId="1" pivotButton="0" quotePrefix="0" xfId="0"/>
    <xf numFmtId="0" fontId="4" fillId="4" borderId="1" pivotButton="0" quotePrefix="0" xfId="0"/>
    <xf numFmtId="14" fontId="4" fillId="0" borderId="1" pivotButton="0" quotePrefix="0" xfId="0"/>
    <xf numFmtId="0" fontId="2" fillId="2" borderId="2" pivotButton="0" quotePrefix="0" xfId="0"/>
    <xf numFmtId="14" fontId="0" fillId="0" borderId="1" pivotButton="0" quotePrefix="0" xfId="0"/>
    <xf numFmtId="14" fontId="0" fillId="0" borderId="0" pivotButton="0" quotePrefix="0" xfId="0"/>
    <xf numFmtId="14" fontId="1" fillId="0" borderId="1" pivotButton="0" quotePrefix="0" xfId="0"/>
    <xf numFmtId="0" fontId="1" fillId="0" borderId="1" pivotButton="0" quotePrefix="0" xfId="0"/>
    <xf numFmtId="0" fontId="5" fillId="2" borderId="1" pivotButton="0" quotePrefix="0" xfId="0"/>
    <xf numFmtId="1" fontId="0" fillId="0" borderId="1" pivotButton="0" quotePrefix="0" xfId="0"/>
    <xf numFmtId="0" fontId="0" fillId="0" borderId="1" pivotButton="0" quotePrefix="0" xfId="0"/>
    <xf numFmtId="0" fontId="0" fillId="0" borderId="1" pivotButton="0" quotePrefix="0" xfId="0"/>
    <xf numFmtId="0" fontId="6" fillId="0" borderId="1" pivotButton="0" quotePrefix="0" xfId="0"/>
    <xf numFmtId="0" fontId="0" fillId="0" borderId="0" pivotButton="0" quotePrefix="0" xfId="0"/>
    <xf numFmtId="0" fontId="6" fillId="0" borderId="1" pivotButton="0" quotePrefix="0" xfId="0"/>
    <xf numFmtId="14" fontId="0" fillId="0" borderId="1" pivotButton="0" quotePrefix="1" xfId="0"/>
    <xf numFmtId="0" fontId="0" fillId="0" borderId="1" pivotButton="0" quotePrefix="1" xfId="0"/>
    <xf numFmtId="0" fontId="7" fillId="0" borderId="1" pivotButton="0" quotePrefix="0" xfId="0"/>
    <xf numFmtId="0" fontId="7" fillId="0" borderId="1" pivotButton="0" quotePrefix="0" xfId="0"/>
    <xf numFmtId="14" fontId="7" fillId="0" borderId="1" pivotButton="0" quotePrefix="0" xfId="0"/>
    <xf numFmtId="0" fontId="2" fillId="5" borderId="0" pivotButton="0" quotePrefix="0" xfId="0"/>
    <xf numFmtId="0" fontId="0" fillId="0" borderId="3" pivotButton="0" quotePrefix="0" xfId="0"/>
    <xf numFmtId="0" fontId="0" fillId="0" borderId="3" pivotButton="0" quotePrefix="0" xfId="0"/>
    <xf numFmtId="0" fontId="7" fillId="0" borderId="3" pivotButton="0" quotePrefix="0" xfId="0"/>
    <xf numFmtId="0" fontId="7" fillId="0" borderId="3" pivotButton="0" quotePrefix="0" xfId="0"/>
    <xf numFmtId="0" fontId="2" fillId="5" borderId="1" pivotButton="0" quotePrefix="0" xfId="0"/>
    <xf numFmtId="0" fontId="4" fillId="5" borderId="1" pivotButton="0" quotePrefix="0" xfId="0"/>
    <xf numFmtId="0" fontId="2" fillId="6" borderId="1" pivotButton="0" quotePrefix="0" xfId="0"/>
    <xf numFmtId="0" fontId="4" fillId="6" borderId="1" pivotButton="0" quotePrefix="0" xfId="0"/>
    <xf numFmtId="0" fontId="2" fillId="3" borderId="3" pivotButton="0" quotePrefix="0" xfId="0"/>
    <xf numFmtId="0" fontId="0" fillId="0" borderId="4" pivotButton="0" quotePrefix="0" xfId="0"/>
    <xf numFmtId="0" fontId="7" fillId="0" borderId="1" pivotButton="0" quotePrefix="0" xfId="0"/>
    <xf numFmtId="0" fontId="0" fillId="0" borderId="5" pivotButton="0" quotePrefix="0" xfId="0"/>
    <xf numFmtId="0" fontId="0" fillId="0" borderId="5" pivotButton="0" quotePrefix="0" xfId="0"/>
  </cellXfs>
  <cellStyles count="1">
    <cellStyle name="Normal" xfId="0" builtinId="0"/>
  </cellStyles>
  <dxfs count="5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2" sqref="A12"/>
    </sheetView>
  </sheetViews>
  <sheetFormatPr baseColWidth="8" defaultRowHeight="14.4"/>
  <cols>
    <col width="18.77734375" bestFit="1" customWidth="1" style="21" min="1" max="1"/>
    <col width="19.5546875" bestFit="1" customWidth="1" style="21" min="3" max="3"/>
    <col width="8.5546875" bestFit="1" customWidth="1" style="21" min="4" max="4"/>
    <col width="8.6640625" bestFit="1" customWidth="1" style="21" min="5" max="5"/>
    <col width="10.109375" bestFit="1" customWidth="1" style="21" min="6" max="6"/>
    <col width="9.5546875" bestFit="1" customWidth="1" style="21" min="7" max="7"/>
    <col width="14.21875" bestFit="1" customWidth="1" style="21" min="8" max="8"/>
    <col width="11" bestFit="1" customWidth="1" style="21" min="9" max="9"/>
    <col width="12.33203125" bestFit="1" customWidth="1" style="21" min="10" max="10"/>
    <col width="11.5546875" bestFit="1" customWidth="1" style="21" min="11" max="11"/>
    <col width="12.88671875" bestFit="1" customWidth="1" style="21" min="12" max="12"/>
    <col width="13.109375" bestFit="1" customWidth="1" style="21" min="13" max="13"/>
    <col width="14.44140625" bestFit="1" customWidth="1" style="21" min="14" max="14"/>
    <col width="12.109375" bestFit="1" customWidth="1" style="21" min="15" max="15"/>
    <col width="13.5546875" bestFit="1" customWidth="1" style="21" min="16" max="16"/>
  </cols>
  <sheetData>
    <row r="1" ht="21" customHeight="1" s="21">
      <c r="A1" s="16" t="inlineStr">
        <is>
          <t>Total Explants</t>
        </is>
      </c>
      <c r="C1" s="7" t="inlineStr">
        <is>
          <t>Variety</t>
        </is>
      </c>
      <c r="D1" s="37" t="inlineStr">
        <is>
          <t>Stage I #</t>
        </is>
      </c>
      <c r="E1" s="35" t="inlineStr">
        <is>
          <t>Stage II #</t>
        </is>
      </c>
      <c r="F1" s="28" t="inlineStr">
        <is>
          <t>Stage 2.5 #</t>
        </is>
      </c>
      <c r="G1" s="6" t="inlineStr">
        <is>
          <t>Stage III #</t>
        </is>
      </c>
      <c r="H1" s="7" t="inlineStr">
        <is>
          <t>Total # Explants</t>
        </is>
      </c>
      <c r="I1" s="4" t="inlineStr">
        <is>
          <t>Stage I Date</t>
        </is>
      </c>
      <c r="J1" s="4" t="inlineStr">
        <is>
          <t>Stage I Ready</t>
        </is>
      </c>
      <c r="K1" s="35" t="inlineStr">
        <is>
          <t>Stage II Date</t>
        </is>
      </c>
      <c r="L1" s="35" t="inlineStr">
        <is>
          <t>Stage II Ready</t>
        </is>
      </c>
      <c r="M1" s="33" t="inlineStr">
        <is>
          <t>Stage 2.5 Date</t>
        </is>
      </c>
      <c r="N1" s="33" t="inlineStr">
        <is>
          <t>Stage 2.5 Ready</t>
        </is>
      </c>
      <c r="O1" s="6" t="inlineStr">
        <is>
          <t>Stage III Date</t>
        </is>
      </c>
      <c r="P1" s="6" t="inlineStr">
        <is>
          <t>Stage III Ready</t>
        </is>
      </c>
      <c r="R1" s="4" t="inlineStr">
        <is>
          <t>Stage I</t>
        </is>
      </c>
      <c r="S1" s="35" t="inlineStr">
        <is>
          <t>Stage II</t>
        </is>
      </c>
      <c r="T1" s="6" t="inlineStr">
        <is>
          <t>Stage III</t>
        </is>
      </c>
      <c r="U1" s="33" t="inlineStr">
        <is>
          <t>Stage 2.5</t>
        </is>
      </c>
    </row>
    <row r="2">
      <c r="A2" s="17">
        <f>SUM(R2:U2)</f>
        <v/>
      </c>
      <c r="C2" s="19">
        <f>'Mendo 2'!B1</f>
        <v/>
      </c>
      <c r="D2" s="30">
        <f>'Mendo 2'!B2</f>
        <v/>
      </c>
      <c r="E2" s="19">
        <f>'Mendo 2'!B5</f>
        <v/>
      </c>
      <c r="F2" s="38">
        <f>'Mendo 2'!B11</f>
        <v/>
      </c>
      <c r="G2" s="19">
        <f>'Mendo 2'!B8</f>
        <v/>
      </c>
      <c r="H2" s="19">
        <f>SUM(D2:G2)</f>
        <v/>
      </c>
      <c r="I2" s="12">
        <f>'Mendo 2'!B3</f>
        <v/>
      </c>
      <c r="J2" s="19">
        <f>IF(TODAY() - I2 &gt;= 21, "Yes", "No")</f>
        <v/>
      </c>
      <c r="K2" s="12">
        <f>'Mendo 2'!B6</f>
        <v/>
      </c>
      <c r="L2" s="19">
        <f>IF(TODAY() - K2 &gt;= 21, "Yes", "No")</f>
        <v/>
      </c>
      <c r="M2" s="12">
        <f>'Mendo 2'!B12</f>
        <v/>
      </c>
      <c r="N2" s="19">
        <f>IF(TODAY() - M2 &gt;= 21, "Yes", "No")</f>
        <v/>
      </c>
      <c r="O2" s="12">
        <f>'Mendo 2'!B9</f>
        <v/>
      </c>
      <c r="P2" s="19">
        <f>IF(TODAY() - O2 &gt;= 28, "Yes", "No")</f>
        <v/>
      </c>
      <c r="R2" s="19">
        <f>SUM(D2:D30)</f>
        <v/>
      </c>
      <c r="S2" s="19">
        <f>SUM(E2:E49)</f>
        <v/>
      </c>
      <c r="T2" s="17">
        <f>SUM(G2:G32)</f>
        <v/>
      </c>
      <c r="U2" s="19">
        <f>SUM(F2:F49)</f>
        <v/>
      </c>
    </row>
    <row r="3">
      <c r="A3" t="inlineStr">
        <is>
          <t xml:space="preserve"> </t>
        </is>
      </c>
      <c r="C3" s="19">
        <f>Elvis!B1</f>
        <v/>
      </c>
      <c r="D3" s="30">
        <f>Elvis!B2</f>
        <v/>
      </c>
      <c r="E3" s="19">
        <f>Elvis!B5</f>
        <v/>
      </c>
      <c r="F3" s="38">
        <f>Elvis!B11</f>
        <v/>
      </c>
      <c r="G3" s="19">
        <f>Elvis!B8</f>
        <v/>
      </c>
      <c r="H3" s="19">
        <f>SUM(D3:G3)</f>
        <v/>
      </c>
      <c r="I3" s="23">
        <f>Elvis!B3</f>
        <v/>
      </c>
      <c r="J3" s="19">
        <f>IF(TODAY() - I3 &gt;= 21, "Yes", "No")</f>
        <v/>
      </c>
      <c r="K3" s="12">
        <f>Elvis!B6</f>
        <v/>
      </c>
      <c r="L3" s="19">
        <f>IF(TODAY() - K3 &gt;= 21, "Yes", "No")</f>
        <v/>
      </c>
      <c r="M3" s="12">
        <f>Elvis!B12</f>
        <v/>
      </c>
      <c r="N3" s="19">
        <f>IF(TODAY() - M3 &gt;= 21, "Yes", "No")</f>
        <v/>
      </c>
      <c r="O3" s="12">
        <f>Elvis!B9</f>
        <v/>
      </c>
      <c r="P3" s="19">
        <f>IF(TODAY() - O3 &gt;= 28, "Yes", "No")</f>
        <v/>
      </c>
    </row>
    <row r="4">
      <c r="C4" s="19">
        <f>Oreoz!B1</f>
        <v/>
      </c>
      <c r="D4" s="30">
        <f>Oreoz!B2</f>
        <v/>
      </c>
      <c r="E4" s="19">
        <f>Oreoz!B5</f>
        <v/>
      </c>
      <c r="F4" s="38">
        <f>Oreoz!B11</f>
        <v/>
      </c>
      <c r="G4" s="19">
        <f>Oreoz!B8</f>
        <v/>
      </c>
      <c r="H4" s="19">
        <f>SUM(D4:G4)</f>
        <v/>
      </c>
      <c r="I4" s="12">
        <f>Oreoz!B3</f>
        <v/>
      </c>
      <c r="J4" s="19">
        <f>IF(TODAY() - I4 &gt;= 21, "Yes", "No")</f>
        <v/>
      </c>
      <c r="K4" s="12">
        <f>Oreoz!B6</f>
        <v/>
      </c>
      <c r="L4" s="19">
        <f>IF(TODAY() - K4 &gt;= 21, "Yes", "No")</f>
        <v/>
      </c>
      <c r="M4" s="12">
        <f>Oreoz!B12</f>
        <v/>
      </c>
      <c r="N4" s="19">
        <f>IF(TODAY() - M4 &gt;= 21, "Yes", "No")</f>
        <v/>
      </c>
      <c r="O4" s="12">
        <f>Oreoz!B9</f>
        <v/>
      </c>
      <c r="P4" s="19">
        <f>IF(TODAY() - O4 &gt;= 28, "Yes", "No")</f>
        <v/>
      </c>
    </row>
    <row r="5">
      <c r="C5" s="19">
        <f>SROG!B1</f>
        <v/>
      </c>
      <c r="D5" s="30">
        <f>SROG!B2</f>
        <v/>
      </c>
      <c r="E5" s="19">
        <f>SROG!B5</f>
        <v/>
      </c>
      <c r="F5" s="38">
        <f>SROG!B11</f>
        <v/>
      </c>
      <c r="G5" s="19">
        <f>SROG!B8</f>
        <v/>
      </c>
      <c r="H5" s="19">
        <f>SUM(D5:G5)</f>
        <v/>
      </c>
      <c r="I5" s="12">
        <f>SROG!B3</f>
        <v/>
      </c>
      <c r="J5" s="19">
        <f>IF(TODAY() - I5 &gt;= 21, "Yes", "No")</f>
        <v/>
      </c>
      <c r="K5" s="12">
        <f>SROG!B6</f>
        <v/>
      </c>
      <c r="L5" s="19">
        <f>IF(TODAY() - K5 &gt;= 21, "Yes", "No")</f>
        <v/>
      </c>
      <c r="M5" s="12">
        <f>SROG!B12</f>
        <v/>
      </c>
      <c r="N5" s="19">
        <f>IF(TODAY() - M5 &gt;= 21, "Yes", "No")</f>
        <v/>
      </c>
      <c r="O5" s="12">
        <f>SROG!B9</f>
        <v/>
      </c>
      <c r="P5" s="19">
        <f>IF(TODAY() - O5 &gt;= 28, "Yes", "No")</f>
        <v/>
      </c>
    </row>
    <row r="6">
      <c r="C6" s="19">
        <f>'MAC1'!B1</f>
        <v/>
      </c>
      <c r="D6" s="30">
        <f>'MAC1'!B2</f>
        <v/>
      </c>
      <c r="E6" s="19">
        <f>'MAC1'!B5</f>
        <v/>
      </c>
      <c r="F6" s="38">
        <f>'MAC1'!B11</f>
        <v/>
      </c>
      <c r="G6" s="24">
        <f>'MAC1'!B8</f>
        <v/>
      </c>
      <c r="H6" s="19">
        <f>SUM(D6:G6)</f>
        <v/>
      </c>
      <c r="I6" s="12">
        <f>'MAC1'!B3</f>
        <v/>
      </c>
      <c r="J6" s="19">
        <f>IF(TODAY() - I6 &gt;= 21, "Yes", "No")</f>
        <v/>
      </c>
      <c r="K6" s="12">
        <f>'MAC1'!B6</f>
        <v/>
      </c>
      <c r="L6" s="19">
        <f>IF(TODAY() - K6 &gt;= 21, "Yes", "No")</f>
        <v/>
      </c>
      <c r="M6" s="12">
        <f>'MAC1'!B12</f>
        <v/>
      </c>
      <c r="N6" s="19">
        <f>IF(TODAY() - M6 &gt;= 21, "Yes", "No")</f>
        <v/>
      </c>
      <c r="O6" s="12">
        <f>'MAC1'!B9</f>
        <v/>
      </c>
      <c r="P6" s="19">
        <f>IF(TODAY() - O6 &gt;= 28, "Yes", "No")</f>
        <v/>
      </c>
    </row>
    <row r="7">
      <c r="C7" s="19">
        <f>'MAC2'!B1</f>
        <v/>
      </c>
      <c r="D7" s="30">
        <f>'MAC2'!B2</f>
        <v/>
      </c>
      <c r="E7" s="19">
        <f>'MAC2'!B5</f>
        <v/>
      </c>
      <c r="F7" s="38">
        <f>'MAC2'!B11</f>
        <v/>
      </c>
      <c r="G7" s="19">
        <f>'MAC2'!B8</f>
        <v/>
      </c>
      <c r="H7" s="19">
        <f>SUM(D7:G7)</f>
        <v/>
      </c>
      <c r="I7" s="12">
        <f>'MAC2'!B3</f>
        <v/>
      </c>
      <c r="J7" s="19">
        <f>IF(TODAY() - I7 &gt;= 21, "Yes", "No")</f>
        <v/>
      </c>
      <c r="K7" s="12">
        <f>'MAC2'!B6</f>
        <v/>
      </c>
      <c r="L7" s="19">
        <f>IF(TODAY() - K7 &gt;= 28, "Yes", "No")</f>
        <v/>
      </c>
      <c r="M7" s="12">
        <f>'MAC2'!B12</f>
        <v/>
      </c>
      <c r="N7" s="19">
        <f>IF(TODAY() - M7 &gt;= 28, "Yes", "No")</f>
        <v/>
      </c>
      <c r="O7" s="12">
        <f>'MAC2'!B9</f>
        <v/>
      </c>
      <c r="P7" s="19">
        <f>IF(TODAY() - O7 &gt;= 28, "Yes", "No")</f>
        <v/>
      </c>
    </row>
    <row r="8">
      <c r="C8" s="19">
        <f>'TM6'!B1</f>
        <v/>
      </c>
      <c r="D8" s="30">
        <f>'TM6'!B2</f>
        <v/>
      </c>
      <c r="E8" s="19">
        <f>'TM6'!B5</f>
        <v/>
      </c>
      <c r="F8" s="38">
        <f>'TM6'!B11</f>
        <v/>
      </c>
      <c r="G8" s="19">
        <f>'TM6'!B8</f>
        <v/>
      </c>
      <c r="H8" s="19">
        <f>SUM(D8:G8)</f>
        <v/>
      </c>
      <c r="I8" s="12">
        <f>'TM6'!B3</f>
        <v/>
      </c>
      <c r="J8" s="19">
        <f>IF(TODAY() - I8 &gt;= 21, "Yes", "No")</f>
        <v/>
      </c>
      <c r="K8" s="12">
        <f>'TM6'!B6</f>
        <v/>
      </c>
      <c r="L8" s="19">
        <f>IF(TODAY() - K8 &gt;= 21, "Yes", "No")</f>
        <v/>
      </c>
      <c r="M8" s="12">
        <f>'TM6'!B12</f>
        <v/>
      </c>
      <c r="N8" s="19">
        <f>IF(TODAY() - M8 &gt;= 21, "Yes", "No")</f>
        <v/>
      </c>
      <c r="O8" s="12">
        <f>'TM6'!B9</f>
        <v/>
      </c>
      <c r="P8" s="19">
        <f>IF(TODAY() - O8 &gt;= 28, "Yes", "No")</f>
        <v/>
      </c>
    </row>
    <row r="9">
      <c r="C9" s="19">
        <f>'ALH2'!B1</f>
        <v/>
      </c>
      <c r="D9" s="30">
        <f>'ALH2'!B2</f>
        <v/>
      </c>
      <c r="E9" s="19">
        <f>'ALH2'!B5</f>
        <v/>
      </c>
      <c r="F9" s="38">
        <f>'ALH2'!B11</f>
        <v/>
      </c>
      <c r="G9" s="19">
        <f>'ALH2'!B8</f>
        <v/>
      </c>
      <c r="H9" s="19">
        <f>SUM(D9:G9)</f>
        <v/>
      </c>
      <c r="I9" s="12">
        <f>'ALH2'!B3</f>
        <v/>
      </c>
      <c r="J9" s="19">
        <f>IF(TODAY() - I9 &gt;= 21, "Yes", "No")</f>
        <v/>
      </c>
      <c r="K9" s="12">
        <f>'ALH2'!B6</f>
        <v/>
      </c>
      <c r="L9" s="19">
        <f>IF(TODAY() - K9 &gt;= 28, "Yes", "No")</f>
        <v/>
      </c>
      <c r="M9" s="12">
        <f>'ALH2'!B12</f>
        <v/>
      </c>
      <c r="N9" s="19">
        <f>IF(TODAY() - M9 &gt;= 28, "Yes", "No")</f>
        <v/>
      </c>
      <c r="O9" s="12">
        <f>'ALH2'!B9</f>
        <v/>
      </c>
      <c r="P9" s="19">
        <f>IF(TODAY() - O9 &gt;= 28, "Yes", "No")</f>
        <v/>
      </c>
    </row>
    <row r="10">
      <c r="C10" s="19">
        <f>SFV!B1</f>
        <v/>
      </c>
      <c r="D10" s="30">
        <f>SFV!B2</f>
        <v/>
      </c>
      <c r="E10" s="19">
        <f>SFV!B5</f>
        <v/>
      </c>
      <c r="F10" s="38">
        <f>SFV!B11</f>
        <v/>
      </c>
      <c r="G10" s="19">
        <f>SFV!B8</f>
        <v/>
      </c>
      <c r="H10" s="19">
        <f>SUM(D10:G10)</f>
        <v/>
      </c>
      <c r="I10" s="12">
        <f>SFV!B3</f>
        <v/>
      </c>
      <c r="J10" s="19">
        <f>IF(TODAY() - I10 &gt;= 21, "Yes", "No")</f>
        <v/>
      </c>
      <c r="K10" s="12">
        <f>SFV!B6</f>
        <v/>
      </c>
      <c r="L10" s="19">
        <f>IF(TODAY() - K10 &gt;= 28, "Yes", "No")</f>
        <v/>
      </c>
      <c r="M10" s="12">
        <f>SFV!B12</f>
        <v/>
      </c>
      <c r="N10" s="19">
        <f>IF(TODAY() - M10 &gt;= 28, "Yes", "No")</f>
        <v/>
      </c>
      <c r="O10" s="12">
        <f>SFV!B9</f>
        <v/>
      </c>
      <c r="P10" s="19">
        <f>IF(TODAY() - O10 &gt;= 28, "Yes", "No")</f>
        <v/>
      </c>
    </row>
    <row r="11">
      <c r="C11" s="19">
        <f>'I95'!B1</f>
        <v/>
      </c>
      <c r="D11" s="30">
        <f>'I95'!B2</f>
        <v/>
      </c>
      <c r="E11" s="19">
        <f>'I95'!B5</f>
        <v/>
      </c>
      <c r="F11" s="38">
        <f>'I95'!B14</f>
        <v/>
      </c>
      <c r="G11" s="19">
        <f>'I95'!B8</f>
        <v/>
      </c>
      <c r="H11" s="19">
        <f>SUM(D11:G11)</f>
        <v/>
      </c>
      <c r="I11" s="12">
        <f>'I95'!B3</f>
        <v/>
      </c>
      <c r="J11" s="19">
        <f>IF(TODAY() - I11 &gt;= 21, "Yes", "No")</f>
        <v/>
      </c>
      <c r="K11" s="12">
        <f>'I95'!B6</f>
        <v/>
      </c>
      <c r="L11" s="19">
        <f>IF(TODAY() - K11 &gt;= 28, "Yes", "No")</f>
        <v/>
      </c>
      <c r="M11" s="12">
        <f>'I95'!B12</f>
        <v/>
      </c>
      <c r="N11" s="19">
        <f>IF(TODAY() - M11 &gt;= 28, "Yes", "No")</f>
        <v/>
      </c>
      <c r="O11" s="12">
        <f>'I95'!B9</f>
        <v/>
      </c>
      <c r="P11" s="19">
        <f>IF(TODAY() - O11 &gt;= 28, "Yes", "No")</f>
        <v/>
      </c>
    </row>
    <row r="12">
      <c r="C12" s="39">
        <f>WBT!B1</f>
        <v/>
      </c>
      <c r="D12" s="32">
        <f>WBT!B2</f>
        <v/>
      </c>
      <c r="E12" s="19">
        <f>WBT!B8</f>
        <v/>
      </c>
      <c r="F12" s="38">
        <f>WBT!B14</f>
        <v/>
      </c>
      <c r="G12" s="39">
        <f>WBT!B11</f>
        <v/>
      </c>
      <c r="H12" s="19">
        <f>SUM(D12:G12)</f>
        <v/>
      </c>
      <c r="I12" s="27">
        <f>WBT!B3</f>
        <v/>
      </c>
      <c r="J12" s="19">
        <f>IF(TODAY() - I12 &gt;= 21, "Yes", "No")</f>
        <v/>
      </c>
      <c r="K12" s="12">
        <f>WBT!B9</f>
        <v/>
      </c>
      <c r="L12" s="19">
        <f>IF(TODAY() - K12 &gt;= 28, "Yes", "No")</f>
        <v/>
      </c>
      <c r="M12" s="12">
        <f>WBT!B15</f>
        <v/>
      </c>
      <c r="N12" s="19">
        <f>IF(TODAY() - M12 &gt;= 28, "Yes", "No")</f>
        <v/>
      </c>
      <c r="O12" s="27">
        <f>WBT!B12</f>
        <v/>
      </c>
      <c r="P12" s="19">
        <f>IF(TODAY() - O12 &gt;= 28, "Yes", "No")</f>
        <v/>
      </c>
    </row>
    <row r="13">
      <c r="C13" s="19" t="inlineStr">
        <is>
          <t>WBT (2)</t>
        </is>
      </c>
      <c r="D13" s="19">
        <f>WBT!B5</f>
        <v/>
      </c>
      <c r="E13" s="19" t="n"/>
      <c r="F13" s="19" t="n"/>
      <c r="G13" s="27" t="n"/>
      <c r="H13" s="19" t="n"/>
      <c r="I13" s="12">
        <f>WBT!B6</f>
        <v/>
      </c>
      <c r="J13" s="19">
        <f>IF(TODAY() - I13 &gt;= 21, "Yes", "No")</f>
        <v/>
      </c>
      <c r="K13" s="19" t="n"/>
      <c r="L13" s="19" t="n"/>
      <c r="M13" s="19" t="n"/>
      <c r="N13" s="19" t="n"/>
      <c r="O13" s="19" t="n"/>
      <c r="P13" s="19" t="n"/>
    </row>
    <row r="14">
      <c r="C14" s="39">
        <f>Granimals!B1</f>
        <v/>
      </c>
      <c r="D14" s="32">
        <f>Granimals!B2</f>
        <v/>
      </c>
      <c r="E14" s="19">
        <f>Granimals!B5</f>
        <v/>
      </c>
      <c r="F14" s="38">
        <f>Granimals!B11</f>
        <v/>
      </c>
      <c r="G14" s="39">
        <f>Granimals!B8</f>
        <v/>
      </c>
      <c r="H14" s="19">
        <f>SUM(D14:G14)</f>
        <v/>
      </c>
      <c r="I14" s="27">
        <f>Granimals!B3</f>
        <v/>
      </c>
      <c r="J14" s="19">
        <f>IF(TODAY() - I14 &gt;= 21, "Yes", "No")</f>
        <v/>
      </c>
      <c r="K14" s="12">
        <f>Granimals!B6</f>
        <v/>
      </c>
      <c r="L14" s="19">
        <f>IF(TODAY() - K14 &gt;= 28, "Yes", "No")</f>
        <v/>
      </c>
      <c r="M14" s="12">
        <f>Granimals!B12</f>
        <v/>
      </c>
      <c r="N14" s="19">
        <f>IF(TODAY() - M14 &gt;= 28, "Yes", "No")</f>
        <v/>
      </c>
      <c r="O14" s="27">
        <f>Granimals!B9</f>
        <v/>
      </c>
      <c r="P14" s="19">
        <f>IF(TODAY() - O14 &gt;= 28, "Yes", "No")</f>
        <v/>
      </c>
    </row>
    <row r="15">
      <c r="C15" s="39">
        <f>Strawnana!B1</f>
        <v/>
      </c>
      <c r="D15" s="32">
        <f>Strawnana!B2</f>
        <v/>
      </c>
      <c r="E15" s="19">
        <f>Strawnana!B5</f>
        <v/>
      </c>
      <c r="F15" s="38">
        <f>Strawnana!B11</f>
        <v/>
      </c>
      <c r="G15" s="39">
        <f>Strawnana!B8</f>
        <v/>
      </c>
      <c r="H15" s="19">
        <f>SUM(D15:G15)</f>
        <v/>
      </c>
      <c r="I15" s="27">
        <f>Strawnana!B3</f>
        <v/>
      </c>
      <c r="J15" s="19">
        <f>IF(TODAY() - I15 &gt;= 21, "Yes", "No")</f>
        <v/>
      </c>
      <c r="K15" s="12">
        <f>Strawnana!B6</f>
        <v/>
      </c>
      <c r="L15" s="19">
        <f>IF(TODAY() - K15 &gt;= 28, "Yes", "No")</f>
        <v/>
      </c>
      <c r="M15" s="12">
        <f>Strawnana!B12</f>
        <v/>
      </c>
      <c r="N15" s="19">
        <f>IF(TODAY() - M15 &gt;= 28, "Yes", "No")</f>
        <v/>
      </c>
      <c r="O15" s="27">
        <f>Strawnana!B9</f>
        <v/>
      </c>
      <c r="P15" s="19">
        <f>IF(TODAY() - O15 &gt;= 28, "Yes", "No")</f>
        <v/>
      </c>
    </row>
    <row r="16">
      <c r="C16" s="39">
        <f>Mimosa!B1</f>
        <v/>
      </c>
      <c r="D16" s="32">
        <f>Mimosa!B2</f>
        <v/>
      </c>
      <c r="E16" s="19">
        <f>Mimosa!B5</f>
        <v/>
      </c>
      <c r="F16" s="38">
        <f>Mimosa!B11</f>
        <v/>
      </c>
      <c r="G16" s="39">
        <f>Mimosa!B8</f>
        <v/>
      </c>
      <c r="H16" s="19">
        <f>SUM(D16:G16)</f>
        <v/>
      </c>
      <c r="I16" s="27">
        <f>Mimosa!B3</f>
        <v/>
      </c>
      <c r="J16" s="19">
        <f>IF(TODAY() - I16 &gt;= 21, "Yes", "No")</f>
        <v/>
      </c>
      <c r="K16" s="12">
        <f>Mimosa!B6</f>
        <v/>
      </c>
      <c r="L16" s="19">
        <f>IF(TODAY() - K16 &gt;= 28, "Yes", "No")</f>
        <v/>
      </c>
      <c r="M16" s="12">
        <f>Mimosa!B12</f>
        <v/>
      </c>
      <c r="N16" s="19">
        <f>IF(TODAY() - M16 &gt;= 28, "Yes", "No")</f>
        <v/>
      </c>
      <c r="O16" s="27">
        <f>Mimosa!B9</f>
        <v/>
      </c>
      <c r="P16" s="19">
        <f>IF(TODAY() - O16 &gt;= 28, "Yes", "No")</f>
        <v/>
      </c>
    </row>
    <row r="17">
      <c r="C17" s="39">
        <f>Mendo1!B1</f>
        <v/>
      </c>
      <c r="D17" s="32">
        <f>Mendo1!B2</f>
        <v/>
      </c>
      <c r="E17" s="19">
        <f>Mendo1!B5</f>
        <v/>
      </c>
      <c r="F17" s="38">
        <f>Mendo1!B11</f>
        <v/>
      </c>
      <c r="G17" s="39">
        <f>Mendo1!B8</f>
        <v/>
      </c>
      <c r="H17" s="19">
        <f>SUM(D17:G17)</f>
        <v/>
      </c>
      <c r="I17" s="27">
        <f>Mendo1!B3</f>
        <v/>
      </c>
      <c r="J17" s="19">
        <f>IF(TODAY() - I17 &gt;= 21, "Yes", "No")</f>
        <v/>
      </c>
      <c r="K17" s="12">
        <f>Mendo1!B6</f>
        <v/>
      </c>
      <c r="L17" s="19">
        <f>IF(TODAY() - K17 &gt;= 28, "Yes", "No")</f>
        <v/>
      </c>
      <c r="M17" s="12">
        <f>Mendo1!B12</f>
        <v/>
      </c>
      <c r="N17" s="19">
        <f>IF(TODAY() - M17 &gt;= 28, "Yes", "No")</f>
        <v/>
      </c>
      <c r="O17" s="27">
        <f>Mendo1!B9</f>
        <v/>
      </c>
      <c r="P17" s="19">
        <f>IF(TODAY() - O17 &gt;= 28, "Yes", "No")</f>
        <v/>
      </c>
    </row>
    <row r="18">
      <c r="C18" s="39">
        <f>Scoops!B1</f>
        <v/>
      </c>
      <c r="D18" s="32">
        <f>Scoops!B2</f>
        <v/>
      </c>
      <c r="E18" s="19">
        <f>Scoops!B8</f>
        <v/>
      </c>
      <c r="F18" s="38">
        <f>Scoops!B14</f>
        <v/>
      </c>
      <c r="G18" s="39">
        <f>Scoops!B11</f>
        <v/>
      </c>
      <c r="H18" s="19">
        <f>SUM(D18:G18)</f>
        <v/>
      </c>
      <c r="I18" s="27">
        <f>Scoops!B3</f>
        <v/>
      </c>
      <c r="J18" s="19">
        <f>IF(TODAY() - I18 &gt;= 21, "Yes", "No")</f>
        <v/>
      </c>
      <c r="K18" s="12">
        <f>Scoops!B9</f>
        <v/>
      </c>
      <c r="L18" s="19">
        <f>IF(TODAY() - K18 &gt;= 28, "Yes", "No")</f>
        <v/>
      </c>
      <c r="M18" s="12">
        <f>Scoops!B15</f>
        <v/>
      </c>
      <c r="N18" s="19">
        <f>IF(TODAY() - M18 &gt;= 28, "Yes", "No")</f>
        <v/>
      </c>
      <c r="O18" s="27">
        <f>Scoops!B12</f>
        <v/>
      </c>
      <c r="P18" s="19">
        <f>IF(TODAY() - O18 &gt;= 28, "Yes", "No")</f>
        <v/>
      </c>
    </row>
    <row r="19">
      <c r="C19" s="19" t="inlineStr">
        <is>
          <t>Scoops (2)</t>
        </is>
      </c>
      <c r="D19" s="19">
        <f>Scoops!B5</f>
        <v/>
      </c>
      <c r="E19" s="19" t="n"/>
      <c r="F19" s="19" t="n"/>
      <c r="G19" s="19" t="n"/>
      <c r="H19" s="19" t="n"/>
      <c r="I19" s="12">
        <f>Scoops!B6</f>
        <v/>
      </c>
      <c r="J19" s="19">
        <f>IF(TODAY() - I19 &gt;= 21, "Yes", "No")</f>
        <v/>
      </c>
      <c r="K19" s="19" t="n"/>
      <c r="L19" s="19" t="n"/>
      <c r="M19" s="19" t="n"/>
      <c r="N19" s="19" t="n"/>
      <c r="O19" s="19" t="n"/>
      <c r="P19" s="19" t="n"/>
    </row>
    <row r="20">
      <c r="C20" s="39">
        <f>'Road Dawg'!B1</f>
        <v/>
      </c>
      <c r="D20" s="32">
        <f>'Road Dawg'!B2</f>
        <v/>
      </c>
      <c r="E20" s="19">
        <f>'Road Dawg'!B5</f>
        <v/>
      </c>
      <c r="F20" s="38">
        <f>'Road Dawg'!B11</f>
        <v/>
      </c>
      <c r="G20" s="39">
        <f>'Road Dawg'!B8</f>
        <v/>
      </c>
      <c r="H20" s="19">
        <f>SUM(D20:G20)</f>
        <v/>
      </c>
      <c r="I20" s="27">
        <f>'Road Dawg'!B3</f>
        <v/>
      </c>
      <c r="J20" s="19">
        <f>IF(TODAY() - I20 &gt;= 21, "Yes", "No")</f>
        <v/>
      </c>
      <c r="K20" s="12">
        <f>'Road Dawg'!B6</f>
        <v/>
      </c>
      <c r="L20" s="19">
        <f>IF(TODAY() - K20 &gt;= 28, "Yes", "No")</f>
        <v/>
      </c>
      <c r="M20" s="12">
        <f>'Road Dawg'!B12</f>
        <v/>
      </c>
      <c r="N20" s="19">
        <f>IF(TODAY() - M20 &gt;= 28, "Yes", "No")</f>
        <v/>
      </c>
      <c r="O20" s="27">
        <f>'Road Dawg'!B9</f>
        <v/>
      </c>
      <c r="P20" s="19">
        <f>IF(TODAY() - O20 &gt;= 28, "Yes", "No")</f>
        <v/>
      </c>
    </row>
    <row r="21">
      <c r="C21" s="39">
        <f>'White Walker'!B1</f>
        <v/>
      </c>
      <c r="D21" s="32">
        <f>'White Walker'!B2</f>
        <v/>
      </c>
      <c r="E21" s="19">
        <f>'White Walker'!B5</f>
        <v/>
      </c>
      <c r="F21" s="38">
        <f>'White Walker'!B11</f>
        <v/>
      </c>
      <c r="G21" s="39">
        <f>'White Walker'!B8</f>
        <v/>
      </c>
      <c r="H21" s="19">
        <f>SUM(D21:G21)</f>
        <v/>
      </c>
      <c r="I21" s="27">
        <f>'White Walker'!B3</f>
        <v/>
      </c>
      <c r="J21" s="19">
        <f>IF(TODAY() - I21 &gt;= 21, "Yes", "No")</f>
        <v/>
      </c>
      <c r="K21" s="12">
        <f>'White Walker'!B6</f>
        <v/>
      </c>
      <c r="L21" s="19">
        <f>IF(TODAY() - K21 &gt;= 28, "Yes", "No")</f>
        <v/>
      </c>
      <c r="M21" s="12">
        <f>'White Walker'!B12</f>
        <v/>
      </c>
      <c r="N21" s="19">
        <f>IF(TODAY() - M21 &gt;= 28, "Yes", "No")</f>
        <v/>
      </c>
      <c r="O21" s="27">
        <f>'White Walker'!B9</f>
        <v/>
      </c>
      <c r="P21" s="19">
        <f>IF(TODAY() - O21 &gt;= 28, "Yes", "No")</f>
        <v/>
      </c>
    </row>
    <row r="22">
      <c r="C22" s="39">
        <f>'TK9'!B1</f>
        <v/>
      </c>
      <c r="D22" s="32">
        <f>'TK9'!B2</f>
        <v/>
      </c>
      <c r="E22" s="19">
        <f>'TK9'!B5</f>
        <v/>
      </c>
      <c r="F22" s="38">
        <f>'TK9'!B11</f>
        <v/>
      </c>
      <c r="G22" s="39">
        <f>'TK9'!B8</f>
        <v/>
      </c>
      <c r="H22" s="19">
        <f>SUM(D22:G22)</f>
        <v/>
      </c>
      <c r="I22" s="27">
        <f>'TK9'!B3</f>
        <v/>
      </c>
      <c r="J22" s="19">
        <f>IF(TODAY() - I22 &gt;= 21, "Yes", "No")</f>
        <v/>
      </c>
      <c r="K22" s="12">
        <f>'TK9'!B6</f>
        <v/>
      </c>
      <c r="L22" s="19">
        <f>IF(TODAY() - K22 &gt;= 28, "Yes", "No")</f>
        <v/>
      </c>
      <c r="M22" s="12">
        <f>'TK9'!B12</f>
        <v/>
      </c>
      <c r="N22" s="19">
        <f>IF(TODAY() - M22 &gt;= 28, "Yes", "No")</f>
        <v/>
      </c>
      <c r="O22" s="27">
        <f>'TK9'!B9</f>
        <v/>
      </c>
      <c r="P22" s="19">
        <f>IF(TODAY() - O22 &gt;= 28, "Yes", "No")</f>
        <v/>
      </c>
    </row>
    <row r="23">
      <c r="C23" s="39">
        <f>PBB!B1</f>
        <v/>
      </c>
      <c r="D23" s="32">
        <f>PBB!B2</f>
        <v/>
      </c>
      <c r="E23" s="19">
        <f>PBB!B8</f>
        <v/>
      </c>
      <c r="F23" s="38">
        <f>PBB!B14</f>
        <v/>
      </c>
      <c r="G23" s="39">
        <f>PBB!B11</f>
        <v/>
      </c>
      <c r="H23" s="19">
        <f>SUM(D23:G23)</f>
        <v/>
      </c>
      <c r="I23" s="27">
        <f>PBB!B3</f>
        <v/>
      </c>
      <c r="J23" s="19">
        <f>IF(TODAY() - I23 &gt;= 21, "Yes", "No")</f>
        <v/>
      </c>
      <c r="K23" s="12">
        <f>PBB!B9</f>
        <v/>
      </c>
      <c r="L23" s="19">
        <f>IF(TODAY() - K23 &gt;= 28, "Yes", "No")</f>
        <v/>
      </c>
      <c r="M23" s="12">
        <f>PBB!B15</f>
        <v/>
      </c>
      <c r="N23" s="19">
        <f>IF(TODAY() - M23 &gt;= 28, "Yes", "No")</f>
        <v/>
      </c>
      <c r="O23" s="27">
        <f>PBB!B12</f>
        <v/>
      </c>
      <c r="P23" s="19">
        <f>IF(TODAY() - O23 &gt;= 28, "Yes", "No")</f>
        <v/>
      </c>
    </row>
    <row r="24">
      <c r="C24" s="39" t="inlineStr">
        <is>
          <t>PBB (2)</t>
        </is>
      </c>
      <c r="D24" s="32">
        <f>PBB!B5</f>
        <v/>
      </c>
      <c r="E24" s="19" t="n"/>
      <c r="F24" s="38" t="n"/>
      <c r="G24" s="39" t="n"/>
      <c r="H24" s="39" t="n"/>
      <c r="I24" s="27">
        <f>PBB!B6</f>
        <v/>
      </c>
      <c r="J24" s="19">
        <f>IF(TODAY() - I24 &gt;= 21, "Yes", "No")</f>
        <v/>
      </c>
      <c r="K24" s="19" t="n"/>
      <c r="L24" s="19" t="n"/>
      <c r="M24" s="19" t="n"/>
      <c r="N24" s="19" t="n"/>
      <c r="O24" s="27" t="n"/>
      <c r="P24" s="39" t="n"/>
    </row>
    <row r="25">
      <c r="C25" s="22" t="n"/>
      <c r="D25" s="30" t="n"/>
      <c r="E25" s="19" t="n"/>
      <c r="F25" s="38" t="n"/>
      <c r="G25" s="19" t="n"/>
      <c r="H25" s="19" t="n"/>
      <c r="I25" s="12" t="n"/>
      <c r="J25" s="19" t="n"/>
      <c r="K25" s="19" t="n"/>
      <c r="L25" s="19" t="n"/>
      <c r="M25" s="19" t="n"/>
      <c r="N25" s="19" t="n"/>
      <c r="O25" s="12" t="n"/>
      <c r="P25" s="19" t="n"/>
    </row>
    <row r="26">
      <c r="C26" s="22" t="n"/>
      <c r="D26" s="30" t="n"/>
      <c r="E26" s="19" t="n"/>
      <c r="F26" s="38" t="n"/>
      <c r="G26" s="19" t="n"/>
      <c r="H26" s="19" t="n"/>
      <c r="I26" s="12" t="n"/>
      <c r="J26" s="19" t="n"/>
      <c r="K26" s="19" t="n"/>
      <c r="L26" s="19" t="n"/>
      <c r="M26" s="19" t="n"/>
      <c r="N26" s="19" t="n"/>
      <c r="O26" s="12" t="n"/>
      <c r="P26" s="19" t="n"/>
    </row>
    <row r="27">
      <c r="C27" s="22" t="n"/>
      <c r="D27" s="30" t="n"/>
      <c r="E27" s="19" t="n"/>
      <c r="F27" s="38" t="n"/>
      <c r="G27" s="19" t="n"/>
      <c r="H27" s="19" t="n"/>
      <c r="I27" s="12" t="n"/>
      <c r="J27" s="19" t="n"/>
      <c r="K27" s="19" t="n"/>
      <c r="L27" s="19" t="n"/>
      <c r="M27" s="19" t="n"/>
      <c r="N27" s="19" t="n"/>
      <c r="O27" s="12" t="n"/>
      <c r="P27" s="19" t="n"/>
    </row>
    <row r="28">
      <c r="C28" s="22" t="n"/>
      <c r="D28" s="30" t="n"/>
      <c r="E28" s="19" t="n"/>
      <c r="F28" s="38" t="n"/>
      <c r="G28" s="19" t="n"/>
      <c r="H28" s="19" t="n"/>
      <c r="I28" s="12" t="n"/>
      <c r="J28" s="19" t="n"/>
      <c r="K28" s="19" t="n"/>
      <c r="L28" s="19" t="n"/>
      <c r="M28" s="19" t="n"/>
      <c r="N28" s="19" t="n"/>
      <c r="O28" s="12" t="n"/>
      <c r="P28" s="19" t="n"/>
    </row>
    <row r="29">
      <c r="C29" s="19" t="n"/>
      <c r="D29" s="30" t="n"/>
      <c r="E29" s="19" t="n"/>
      <c r="F29" s="38" t="n"/>
      <c r="G29" s="19" t="n"/>
      <c r="H29" s="19" t="n"/>
      <c r="I29" s="12" t="n"/>
      <c r="J29" s="19" t="n"/>
      <c r="K29" s="19" t="n"/>
      <c r="L29" s="19" t="n"/>
      <c r="M29" s="19" t="n"/>
      <c r="N29" s="19" t="n"/>
      <c r="O29" s="19" t="n"/>
      <c r="P29" s="19" t="n"/>
    </row>
    <row r="30">
      <c r="C30" s="19" t="n"/>
      <c r="D30" s="30" t="n"/>
      <c r="E30" s="19" t="n"/>
      <c r="F30" s="38" t="n"/>
      <c r="G30" s="19" t="n"/>
      <c r="H30" s="19" t="n"/>
      <c r="I30" s="12" t="n"/>
      <c r="J30" s="19" t="n"/>
      <c r="K30" s="19" t="n"/>
      <c r="L30" s="19" t="n"/>
      <c r="M30" s="19" t="n"/>
      <c r="N30" s="19" t="n"/>
      <c r="O30" s="19" t="n"/>
      <c r="P30" s="19" t="n"/>
    </row>
    <row r="31">
      <c r="C31" s="19" t="n"/>
      <c r="D31" s="30" t="n"/>
      <c r="E31" s="19" t="n"/>
      <c r="F31" s="38" t="n"/>
      <c r="G31" s="19" t="n"/>
      <c r="H31" s="19" t="n"/>
      <c r="I31" s="12" t="n"/>
      <c r="J31" s="19" t="n"/>
      <c r="K31" s="19" t="n"/>
      <c r="L31" s="19" t="n"/>
      <c r="M31" s="19" t="n"/>
      <c r="N31" s="19" t="n"/>
      <c r="O31" s="19" t="n"/>
      <c r="P31" s="19" t="n"/>
    </row>
    <row r="32">
      <c r="C32" s="19" t="n"/>
      <c r="D32" s="30" t="n"/>
      <c r="E32" s="19" t="n"/>
      <c r="F32" s="38" t="n"/>
      <c r="G32" s="19" t="n"/>
      <c r="H32" s="19" t="n"/>
      <c r="I32" s="12" t="n"/>
      <c r="J32" s="19" t="n"/>
      <c r="K32" s="19" t="n"/>
      <c r="L32" s="19" t="n"/>
      <c r="M32" s="19" t="n"/>
      <c r="N32" s="19" t="n"/>
      <c r="O32" s="19" t="n"/>
      <c r="P32" s="19" t="n"/>
    </row>
    <row r="33">
      <c r="C33" s="19" t="n"/>
      <c r="D33" s="30" t="n"/>
      <c r="E33" s="19" t="n"/>
      <c r="F33" s="38" t="n"/>
      <c r="G33" s="19" t="n"/>
      <c r="H33" s="19" t="n"/>
      <c r="I33" s="12" t="n"/>
      <c r="J33" s="19" t="n"/>
      <c r="K33" s="19" t="n"/>
      <c r="L33" s="19" t="n"/>
      <c r="M33" s="19" t="n"/>
      <c r="N33" s="19" t="n"/>
      <c r="O33" s="19" t="n"/>
      <c r="P33" s="19" t="n"/>
    </row>
    <row r="34">
      <c r="C34" s="19" t="n"/>
      <c r="D34" s="30" t="n"/>
      <c r="E34" s="19" t="n"/>
      <c r="F34" s="38" t="n"/>
      <c r="G34" s="19" t="n"/>
      <c r="H34" s="19" t="n"/>
      <c r="I34" s="12" t="n"/>
      <c r="J34" s="19" t="n"/>
      <c r="K34" s="19" t="n"/>
      <c r="L34" s="19" t="n"/>
      <c r="M34" s="19" t="n"/>
      <c r="N34" s="19" t="n"/>
      <c r="O34" s="19" t="n"/>
      <c r="P34" s="19" t="n"/>
    </row>
    <row r="35">
      <c r="C35" s="19" t="n"/>
      <c r="D35" s="30" t="n"/>
      <c r="E35" s="19" t="n"/>
      <c r="F35" s="38" t="n"/>
      <c r="G35" s="19" t="n"/>
      <c r="H35" s="19" t="n"/>
      <c r="I35" s="12" t="n"/>
      <c r="J35" s="19" t="n"/>
      <c r="K35" s="19" t="n"/>
      <c r="L35" s="19" t="n"/>
      <c r="M35" s="19" t="n"/>
      <c r="N35" s="19" t="n"/>
      <c r="O35" s="19" t="n"/>
      <c r="P35" s="19" t="n"/>
    </row>
    <row r="36">
      <c r="C36" s="19" t="n"/>
      <c r="D36" s="30" t="n"/>
      <c r="E36" s="19" t="n"/>
      <c r="F36" s="38" t="n"/>
      <c r="G36" s="19" t="n"/>
      <c r="H36" s="19" t="n"/>
      <c r="I36" s="12" t="n"/>
      <c r="J36" s="19" t="n"/>
      <c r="K36" s="19" t="n"/>
      <c r="L36" s="19" t="n"/>
      <c r="M36" s="19" t="n"/>
      <c r="N36" s="19" t="n"/>
      <c r="O36" s="19" t="n"/>
      <c r="P36" s="19" t="n"/>
    </row>
    <row r="37">
      <c r="C37" s="19" t="n"/>
      <c r="D37" s="30" t="n"/>
      <c r="E37" s="19" t="n"/>
      <c r="F37" s="38" t="n"/>
      <c r="G37" s="19" t="n"/>
      <c r="H37" s="19" t="n"/>
      <c r="I37" s="12" t="n"/>
      <c r="J37" s="19" t="n"/>
      <c r="K37" s="19" t="n"/>
      <c r="L37" s="19" t="n"/>
      <c r="M37" s="19" t="n"/>
      <c r="N37" s="19" t="n"/>
      <c r="O37" s="19" t="n"/>
      <c r="P37" s="19" t="n"/>
    </row>
    <row r="38">
      <c r="C38" s="19" t="n"/>
      <c r="D38" s="30" t="n"/>
      <c r="E38" s="19" t="n"/>
      <c r="F38" s="38" t="n"/>
      <c r="G38" s="19" t="n"/>
      <c r="H38" s="19" t="n"/>
      <c r="I38" s="12" t="n"/>
      <c r="J38" s="19" t="n"/>
      <c r="K38" s="19" t="n"/>
      <c r="L38" s="19" t="n"/>
      <c r="M38" s="19" t="n"/>
      <c r="N38" s="19" t="n"/>
      <c r="O38" s="19" t="n"/>
      <c r="P38" s="19" t="n"/>
    </row>
    <row r="39">
      <c r="C39" s="19" t="n"/>
      <c r="D39" s="30" t="n"/>
      <c r="E39" s="19" t="n"/>
      <c r="F39" s="38" t="n"/>
      <c r="G39" s="19" t="n"/>
      <c r="H39" s="19" t="n"/>
      <c r="I39" s="12" t="n"/>
      <c r="J39" s="19" t="n"/>
      <c r="K39" s="19" t="n"/>
      <c r="L39" s="19" t="n"/>
      <c r="M39" s="19" t="n"/>
      <c r="N39" s="19" t="n"/>
      <c r="O39" s="19" t="n"/>
      <c r="P39" s="19" t="n"/>
    </row>
    <row r="40">
      <c r="C40" s="19" t="n"/>
      <c r="D40" s="30" t="n"/>
      <c r="E40" s="19" t="n"/>
      <c r="F40" s="38" t="n"/>
      <c r="G40" s="19" t="n"/>
      <c r="H40" s="19" t="n"/>
      <c r="I40" s="12" t="n"/>
      <c r="J40" s="19" t="n"/>
      <c r="K40" s="19" t="n"/>
      <c r="L40" s="19" t="n"/>
      <c r="M40" s="19" t="n"/>
      <c r="N40" s="19" t="n"/>
      <c r="O40" s="19" t="n"/>
      <c r="P40" s="19" t="n"/>
    </row>
    <row r="41">
      <c r="C41" s="19" t="n"/>
      <c r="D41" s="30" t="n"/>
      <c r="E41" s="19" t="n"/>
      <c r="F41" s="38" t="n"/>
      <c r="G41" s="19" t="n"/>
      <c r="H41" s="19" t="n"/>
      <c r="I41" s="12" t="n"/>
      <c r="J41" s="19" t="n"/>
      <c r="K41" s="19" t="n"/>
      <c r="L41" s="19" t="n"/>
      <c r="M41" s="19" t="n"/>
      <c r="N41" s="19" t="n"/>
      <c r="O41" s="19" t="n"/>
      <c r="P41" s="19" t="n"/>
    </row>
    <row r="42">
      <c r="C42" s="19" t="n"/>
      <c r="D42" s="30" t="n"/>
      <c r="E42" s="19" t="n"/>
      <c r="F42" s="38" t="n"/>
      <c r="G42" s="19" t="n"/>
      <c r="H42" s="19" t="n"/>
      <c r="I42" s="12" t="n"/>
      <c r="J42" s="19" t="n"/>
      <c r="K42" s="19" t="n"/>
      <c r="L42" s="19" t="n"/>
      <c r="M42" s="19" t="n"/>
      <c r="N42" s="19" t="n"/>
      <c r="O42" s="19" t="n"/>
      <c r="P42" s="19" t="n"/>
    </row>
    <row r="43">
      <c r="C43" s="19" t="n"/>
      <c r="D43" s="30" t="n"/>
      <c r="E43" s="19" t="n"/>
      <c r="F43" s="38" t="n"/>
      <c r="G43" s="19" t="n"/>
      <c r="H43" s="19" t="n"/>
      <c r="I43" s="12" t="n"/>
      <c r="J43" s="19" t="n"/>
      <c r="K43" s="19" t="n"/>
      <c r="L43" s="19" t="n"/>
      <c r="M43" s="19" t="n"/>
      <c r="N43" s="19" t="n"/>
      <c r="O43" s="19" t="n"/>
      <c r="P43" s="19" t="n"/>
    </row>
    <row r="44">
      <c r="C44" s="19" t="n"/>
      <c r="D44" s="30" t="n"/>
      <c r="E44" s="19" t="n"/>
      <c r="F44" s="38" t="n"/>
      <c r="G44" s="19" t="n"/>
      <c r="H44" s="19" t="n"/>
      <c r="I44" s="12" t="n"/>
      <c r="J44" s="19" t="n"/>
      <c r="K44" s="19" t="n"/>
      <c r="L44" s="19" t="n"/>
      <c r="M44" s="19" t="n"/>
      <c r="N44" s="19" t="n"/>
      <c r="O44" s="19" t="n"/>
      <c r="P44" s="19" t="n"/>
    </row>
    <row r="45">
      <c r="C45" s="19" t="n"/>
      <c r="D45" s="30" t="n"/>
      <c r="E45" s="19" t="n"/>
      <c r="F45" s="38" t="n"/>
      <c r="G45" s="19" t="n"/>
      <c r="H45" s="19" t="n"/>
      <c r="I45" s="12" t="n"/>
      <c r="J45" s="19" t="n"/>
      <c r="K45" s="19" t="n"/>
      <c r="L45" s="19" t="n"/>
      <c r="M45" s="19" t="n"/>
      <c r="N45" s="19" t="n"/>
      <c r="O45" s="19" t="n"/>
      <c r="P45" s="19" t="n"/>
    </row>
    <row r="46">
      <c r="C46" s="19" t="n"/>
      <c r="D46" s="30" t="n"/>
      <c r="E46" s="19" t="n"/>
      <c r="F46" s="38" t="n"/>
      <c r="G46" s="19" t="n"/>
      <c r="H46" s="19" t="n"/>
      <c r="I46" s="12" t="n"/>
      <c r="J46" s="19" t="n"/>
      <c r="K46" s="19" t="n"/>
      <c r="L46" s="19" t="n"/>
      <c r="M46" s="19" t="n"/>
      <c r="N46" s="19" t="n"/>
      <c r="O46" s="19" t="n"/>
      <c r="P46" s="19" t="n"/>
    </row>
    <row r="47">
      <c r="C47" s="19" t="n"/>
      <c r="D47" s="30" t="n"/>
      <c r="E47" s="19" t="n"/>
      <c r="F47" s="38" t="n"/>
      <c r="G47" s="19" t="n"/>
      <c r="H47" s="19" t="n"/>
      <c r="I47" s="12" t="n"/>
      <c r="J47" s="19" t="n"/>
      <c r="K47" s="19" t="n"/>
      <c r="L47" s="19" t="n"/>
      <c r="M47" s="19" t="n"/>
      <c r="N47" s="19" t="n"/>
      <c r="O47" s="19" t="n"/>
      <c r="P47" s="19" t="n"/>
    </row>
    <row r="48">
      <c r="C48" s="19" t="n"/>
      <c r="D48" s="30" t="n"/>
      <c r="E48" s="19" t="n"/>
      <c r="F48" s="38" t="n"/>
      <c r="G48" s="19" t="n"/>
      <c r="H48" s="19" t="n"/>
      <c r="I48" s="12" t="n"/>
      <c r="J48" s="19" t="n"/>
      <c r="K48" s="19" t="n"/>
      <c r="L48" s="19" t="n"/>
      <c r="M48" s="19" t="n"/>
      <c r="N48" s="19" t="n"/>
      <c r="O48" s="19" t="n"/>
      <c r="P48" s="19" t="n"/>
    </row>
    <row r="49">
      <c r="C49" s="19" t="n"/>
      <c r="D49" s="30" t="n"/>
      <c r="E49" s="19" t="n"/>
      <c r="F49" s="38" t="n"/>
      <c r="G49" s="19" t="n"/>
      <c r="H49" s="19" t="n"/>
      <c r="I49" s="12" t="n"/>
      <c r="J49" s="19" t="n"/>
      <c r="K49" s="19" t="n"/>
      <c r="L49" s="19" t="n"/>
      <c r="M49" s="19" t="n"/>
      <c r="N49" s="19" t="n"/>
      <c r="O49" s="19" t="n"/>
      <c r="P49" s="19" t="n"/>
    </row>
  </sheetData>
  <conditionalFormatting sqref="P14:P18 P20:P28 P2:P12 J2:J49">
    <cfRule type="containsText" priority="152" operator="containsText" dxfId="1" text="Yes">
      <formula>NOT(ISERROR(SEARCH("Yes",J2)))</formula>
    </cfRule>
    <cfRule type="containsText" priority="153" operator="containsText" dxfId="0" text="No">
      <formula>NOT(ISERROR(SEARCH("No",J2)))</formula>
    </cfRule>
  </conditionalFormatting>
  <conditionalFormatting sqref="L9">
    <cfRule type="containsText" priority="55" operator="containsText" dxfId="1" text="Yes">
      <formula>NOT(ISERROR(SEARCH("Yes",L9)))</formula>
    </cfRule>
    <cfRule type="containsText" priority="56" operator="containsText" dxfId="0" text="No">
      <formula>NOT(ISERROR(SEARCH("No",L9)))</formula>
    </cfRule>
  </conditionalFormatting>
  <conditionalFormatting sqref="N9">
    <cfRule type="containsText" priority="53" operator="containsText" dxfId="1" text="Yes">
      <formula>NOT(ISERROR(SEARCH("Yes",N9)))</formula>
    </cfRule>
    <cfRule type="containsText" priority="54" operator="containsText" dxfId="0" text="No">
      <formula>NOT(ISERROR(SEARCH("No",N9)))</formula>
    </cfRule>
  </conditionalFormatting>
  <conditionalFormatting sqref="L10:L12">
    <cfRule type="containsText" priority="51" operator="containsText" dxfId="1" text="Yes">
      <formula>NOT(ISERROR(SEARCH("Yes",L10)))</formula>
    </cfRule>
    <cfRule type="containsText" priority="52" operator="containsText" dxfId="0" text="No">
      <formula>NOT(ISERROR(SEARCH("No",L10)))</formula>
    </cfRule>
  </conditionalFormatting>
  <conditionalFormatting sqref="N10:N12">
    <cfRule type="containsText" priority="49" operator="containsText" dxfId="1" text="Yes">
      <formula>NOT(ISERROR(SEARCH("Yes",N10)))</formula>
    </cfRule>
    <cfRule type="containsText" priority="50" operator="containsText" dxfId="0" text="No">
      <formula>NOT(ISERROR(SEARCH("No",N10)))</formula>
    </cfRule>
  </conditionalFormatting>
  <conditionalFormatting sqref="L15:L16">
    <cfRule type="containsText" priority="47" operator="containsText" dxfId="1" text="Yes">
      <formula>NOT(ISERROR(SEARCH("Yes",L15)))</formula>
    </cfRule>
    <cfRule type="containsText" priority="48" operator="containsText" dxfId="0" text="No">
      <formula>NOT(ISERROR(SEARCH("No",L15)))</formula>
    </cfRule>
  </conditionalFormatting>
  <conditionalFormatting sqref="N15:N16">
    <cfRule type="containsText" priority="45" operator="containsText" dxfId="1" text="Yes">
      <formula>NOT(ISERROR(SEARCH("Yes",N15)))</formula>
    </cfRule>
    <cfRule type="containsText" priority="46" operator="containsText" dxfId="0" text="No">
      <formula>NOT(ISERROR(SEARCH("No",N15)))</formula>
    </cfRule>
  </conditionalFormatting>
  <conditionalFormatting sqref="L17">
    <cfRule type="containsText" priority="43" operator="containsText" dxfId="1" text="Yes">
      <formula>NOT(ISERROR(SEARCH("Yes",L17)))</formula>
    </cfRule>
    <cfRule type="containsText" priority="44" operator="containsText" dxfId="0" text="No">
      <formula>NOT(ISERROR(SEARCH("No",L17)))</formula>
    </cfRule>
  </conditionalFormatting>
  <conditionalFormatting sqref="N17">
    <cfRule type="containsText" priority="41" operator="containsText" dxfId="1" text="Yes">
      <formula>NOT(ISERROR(SEARCH("Yes",N17)))</formula>
    </cfRule>
    <cfRule type="containsText" priority="42" operator="containsText" dxfId="0" text="No">
      <formula>NOT(ISERROR(SEARCH("No",N17)))</formula>
    </cfRule>
  </conditionalFormatting>
  <conditionalFormatting sqref="N22">
    <cfRule type="containsText" priority="39" operator="containsText" dxfId="1" text="Yes">
      <formula>NOT(ISERROR(SEARCH("Yes",N22)))</formula>
    </cfRule>
    <cfRule type="containsText" priority="40" operator="containsText" dxfId="0" text="No">
      <formula>NOT(ISERROR(SEARCH("No",N22)))</formula>
    </cfRule>
  </conditionalFormatting>
  <conditionalFormatting sqref="L22">
    <cfRule type="containsText" priority="37" operator="containsText" dxfId="1" text="Yes">
      <formula>NOT(ISERROR(SEARCH("Yes",L22)))</formula>
    </cfRule>
    <cfRule type="containsText" priority="38" operator="containsText" dxfId="0" text="No">
      <formula>NOT(ISERROR(SEARCH("No",L22)))</formula>
    </cfRule>
  </conditionalFormatting>
  <conditionalFormatting sqref="L18">
    <cfRule type="containsText" priority="35" operator="containsText" dxfId="1" text="Yes">
      <formula>NOT(ISERROR(SEARCH("Yes",L18)))</formula>
    </cfRule>
    <cfRule type="containsText" priority="36" operator="containsText" dxfId="0" text="No">
      <formula>NOT(ISERROR(SEARCH("No",L18)))</formula>
    </cfRule>
  </conditionalFormatting>
  <conditionalFormatting sqref="N18">
    <cfRule type="containsText" priority="33" operator="containsText" dxfId="1" text="Yes">
      <formula>NOT(ISERROR(SEARCH("Yes",N18)))</formula>
    </cfRule>
    <cfRule type="containsText" priority="34" operator="containsText" dxfId="0" text="No">
      <formula>NOT(ISERROR(SEARCH("No",N18)))</formula>
    </cfRule>
  </conditionalFormatting>
  <conditionalFormatting sqref="L23">
    <cfRule type="containsText" priority="31" operator="containsText" dxfId="1" text="Yes">
      <formula>NOT(ISERROR(SEARCH("Yes",L23)))</formula>
    </cfRule>
    <cfRule type="containsText" priority="32" operator="containsText" dxfId="0" text="No">
      <formula>NOT(ISERROR(SEARCH("No",L23)))</formula>
    </cfRule>
  </conditionalFormatting>
  <conditionalFormatting sqref="N23">
    <cfRule type="containsText" priority="29" operator="containsText" dxfId="1" text="Yes">
      <formula>NOT(ISERROR(SEARCH("Yes",N23)))</formula>
    </cfRule>
    <cfRule type="containsText" priority="30" operator="containsText" dxfId="0" text="No">
      <formula>NOT(ISERROR(SEARCH("No",N23)))</formula>
    </cfRule>
  </conditionalFormatting>
  <conditionalFormatting sqref="N20:N21">
    <cfRule type="containsText" priority="27" operator="containsText" dxfId="1" text="Yes">
      <formula>NOT(ISERROR(SEARCH("Yes",N20)))</formula>
    </cfRule>
    <cfRule type="containsText" priority="28" operator="containsText" dxfId="0" text="No">
      <formula>NOT(ISERROR(SEARCH("No",N20)))</formula>
    </cfRule>
  </conditionalFormatting>
  <conditionalFormatting sqref="L20:L21">
    <cfRule type="containsText" priority="25" operator="containsText" dxfId="1" text="Yes">
      <formula>NOT(ISERROR(SEARCH("Yes",L20)))</formula>
    </cfRule>
    <cfRule type="containsText" priority="26" operator="containsText" dxfId="0" text="No">
      <formula>NOT(ISERROR(SEARCH("No",L20)))</formula>
    </cfRule>
  </conditionalFormatting>
  <conditionalFormatting sqref="L2">
    <cfRule type="containsText" priority="23" operator="containsText" dxfId="1" text="Yes">
      <formula>NOT(ISERROR(SEARCH("Yes",L2)))</formula>
    </cfRule>
    <cfRule type="containsText" priority="24" operator="containsText" dxfId="0" text="No">
      <formula>NOT(ISERROR(SEARCH("No",L2)))</formula>
    </cfRule>
  </conditionalFormatting>
  <conditionalFormatting sqref="N2">
    <cfRule type="containsText" priority="21" operator="containsText" dxfId="1" text="Yes">
      <formula>NOT(ISERROR(SEARCH("Yes",N2)))</formula>
    </cfRule>
    <cfRule type="containsText" priority="22" operator="containsText" dxfId="0" text="No">
      <formula>NOT(ISERROR(SEARCH("No",N2)))</formula>
    </cfRule>
  </conditionalFormatting>
  <conditionalFormatting sqref="L4:L6">
    <cfRule type="containsText" priority="19" operator="containsText" dxfId="1" text="Yes">
      <formula>NOT(ISERROR(SEARCH("Yes",L4)))</formula>
    </cfRule>
    <cfRule type="containsText" priority="20" operator="containsText" dxfId="0" text="No">
      <formula>NOT(ISERROR(SEARCH("No",L4)))</formula>
    </cfRule>
  </conditionalFormatting>
  <conditionalFormatting sqref="N4:N6">
    <cfRule type="containsText" priority="17" operator="containsText" dxfId="1" text="Yes">
      <formula>NOT(ISERROR(SEARCH("Yes",N4)))</formula>
    </cfRule>
    <cfRule type="containsText" priority="18" operator="containsText" dxfId="0" text="No">
      <formula>NOT(ISERROR(SEARCH("No",N4)))</formula>
    </cfRule>
  </conditionalFormatting>
  <conditionalFormatting sqref="L8">
    <cfRule type="containsText" priority="15" operator="containsText" dxfId="1" text="Yes">
      <formula>NOT(ISERROR(SEARCH("Yes",L8)))</formula>
    </cfRule>
    <cfRule type="containsText" priority="16" operator="containsText" dxfId="0" text="No">
      <formula>NOT(ISERROR(SEARCH("No",L8)))</formula>
    </cfRule>
  </conditionalFormatting>
  <conditionalFormatting sqref="N8">
    <cfRule type="containsText" priority="13" operator="containsText" dxfId="1" text="Yes">
      <formula>NOT(ISERROR(SEARCH("Yes",N8)))</formula>
    </cfRule>
    <cfRule type="containsText" priority="14" operator="containsText" dxfId="0" text="No">
      <formula>NOT(ISERROR(SEARCH("No",N8)))</formula>
    </cfRule>
  </conditionalFormatting>
  <conditionalFormatting sqref="L3">
    <cfRule type="containsText" priority="11" operator="containsText" dxfId="1" text="Yes">
      <formula>NOT(ISERROR(SEARCH("Yes",L3)))</formula>
    </cfRule>
    <cfRule type="containsText" priority="12" operator="containsText" dxfId="0" text="No">
      <formula>NOT(ISERROR(SEARCH("No",L3)))</formula>
    </cfRule>
  </conditionalFormatting>
  <conditionalFormatting sqref="N3">
    <cfRule type="containsText" priority="9" operator="containsText" dxfId="1" text="Yes">
      <formula>NOT(ISERROR(SEARCH("Yes",N3)))</formula>
    </cfRule>
    <cfRule type="containsText" priority="10" operator="containsText" dxfId="0" text="No">
      <formula>NOT(ISERROR(SEARCH("No",N3)))</formula>
    </cfRule>
  </conditionalFormatting>
  <conditionalFormatting sqref="N7">
    <cfRule type="containsText" priority="7" operator="containsText" dxfId="1" text="Yes">
      <formula>NOT(ISERROR(SEARCH("Yes",N7)))</formula>
    </cfRule>
    <cfRule type="containsText" priority="8" operator="containsText" dxfId="0" text="No">
      <formula>NOT(ISERROR(SEARCH("No",N7)))</formula>
    </cfRule>
  </conditionalFormatting>
  <conditionalFormatting sqref="L7">
    <cfRule type="containsText" priority="5" operator="containsText" dxfId="1" text="Yes">
      <formula>NOT(ISERROR(SEARCH("Yes",L7)))</formula>
    </cfRule>
    <cfRule type="containsText" priority="6" operator="containsText" dxfId="0" text="No">
      <formula>NOT(ISERROR(SEARCH("No",L7)))</formula>
    </cfRule>
  </conditionalFormatting>
  <conditionalFormatting sqref="L14">
    <cfRule type="containsText" priority="3" operator="containsText" dxfId="1" text="Yes">
      <formula>NOT(ISERROR(SEARCH("Yes",L14)))</formula>
    </cfRule>
    <cfRule type="containsText" priority="4" operator="containsText" dxfId="0" text="No">
      <formula>NOT(ISERROR(SEARCH("No",L14)))</formula>
    </cfRule>
  </conditionalFormatting>
  <conditionalFormatting sqref="N14">
    <cfRule type="containsText" priority="1" operator="containsText" dxfId="1" text="Yes">
      <formula>NOT(ISERROR(SEARCH("Yes",N14)))</formula>
    </cfRule>
    <cfRule type="containsText" priority="2" operator="containsText" dxfId="0" text="No">
      <formula>NOT(ISERROR(SEARCH("No",N14)))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5"/>
  <sheetViews>
    <sheetView topLeftCell="G1" zoomScale="110" zoomScaleNormal="110" workbookViewId="0">
      <selection activeCell="Q9" sqref="Q9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9.5546875" bestFit="1" customWidth="1" style="21" min="12" max="12"/>
    <col width="15.44140625" bestFit="1" customWidth="1" style="21" min="14" max="14"/>
    <col width="9.5546875" bestFit="1" customWidth="1" style="21" min="16" max="16"/>
    <col width="10.6640625" bestFit="1" customWidth="1" style="21" min="17" max="17"/>
    <col width="9.5546875" bestFit="1" customWidth="1" style="21" min="20" max="20"/>
    <col width="10.6640625" bestFit="1" customWidth="1" style="21" min="25" max="25"/>
  </cols>
  <sheetData>
    <row r="1" ht="18" customHeight="1" s="21">
      <c r="A1" s="2" t="inlineStr">
        <is>
          <t>Strain Name:</t>
        </is>
      </c>
      <c r="B1" s="3" t="inlineStr">
        <is>
          <t>Mendo 2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44509</v>
      </c>
      <c r="E3" s="19" t="n">
        <v>280</v>
      </c>
      <c r="F3" s="19">
        <f>TODAY()-D3</f>
        <v/>
      </c>
      <c r="G3" s="19">
        <f>IF(F3&gt;21, "Yes", "No")</f>
        <v/>
      </c>
      <c r="H3" s="12" t="n">
        <v>44606</v>
      </c>
      <c r="I3" s="19">
        <f>33+54</f>
        <v/>
      </c>
      <c r="J3" s="19">
        <f>TODAY()-H3</f>
        <v/>
      </c>
      <c r="K3" s="19">
        <f>IF(J3&gt;21, "Yes", "No")</f>
        <v/>
      </c>
      <c r="L3" s="12" t="n">
        <v>44537</v>
      </c>
      <c r="M3" s="19" t="n">
        <v>146</v>
      </c>
      <c r="N3" s="19">
        <f>TODAY()-L3</f>
        <v/>
      </c>
      <c r="O3" s="19">
        <f>IF(N3&gt;21, "Yes", "No")</f>
        <v/>
      </c>
      <c r="P3" s="12" t="n">
        <v>44606</v>
      </c>
      <c r="Q3" s="19">
        <f>2+78</f>
        <v/>
      </c>
      <c r="R3" s="19">
        <f>TODAY()-P3</f>
        <v/>
      </c>
      <c r="S3" s="19">
        <f>IF(R3&gt;21, "Yes", "No")</f>
        <v/>
      </c>
      <c r="T3" s="12" t="n">
        <v>44606</v>
      </c>
      <c r="U3" s="19" t="n">
        <v>67</v>
      </c>
      <c r="V3" s="19">
        <f>TODAY()-T3</f>
        <v/>
      </c>
      <c r="W3" s="19">
        <f>IF(V3&gt;21, "Yes", "No")</f>
        <v/>
      </c>
      <c r="Y3" s="13" t="n">
        <v>44530</v>
      </c>
      <c r="Z3" s="19">
        <f>24+8+11+3</f>
        <v/>
      </c>
      <c r="AA3" s="19" t="n"/>
      <c r="AB3" s="19" t="n"/>
      <c r="AC3" s="19" t="n"/>
      <c r="AD3" t="inlineStr">
        <is>
          <t>*28 from white bacteria</t>
        </is>
      </c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E3-46</f>
        <v/>
      </c>
      <c r="F4" s="15" t="n"/>
      <c r="G4" s="15" t="n"/>
      <c r="H4" s="19" t="inlineStr">
        <is>
          <t>N/A</t>
        </is>
      </c>
      <c r="I4" s="19" t="inlineStr">
        <is>
          <t>N/A</t>
        </is>
      </c>
      <c r="J4" s="19" t="inlineStr">
        <is>
          <t>N/A</t>
        </is>
      </c>
      <c r="K4" s="19" t="inlineStr">
        <is>
          <t>N/A</t>
        </is>
      </c>
      <c r="L4" s="12" t="n"/>
      <c r="M4" s="19">
        <f>M3+12+18+9+1</f>
        <v/>
      </c>
      <c r="N4" s="19" t="n"/>
      <c r="O4" s="19" t="n"/>
      <c r="P4" s="12" t="n">
        <v>44635</v>
      </c>
      <c r="Q4" s="19">
        <f>4+4+13+9+7</f>
        <v/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>
        <v>44547</v>
      </c>
      <c r="Z4" s="19" t="n"/>
      <c r="AA4" s="19" t="n"/>
      <c r="AB4" s="19" t="n">
        <v>47</v>
      </c>
      <c r="AC4" s="19" t="n"/>
      <c r="AD4" t="inlineStr">
        <is>
          <t>*4 from black fungus</t>
        </is>
      </c>
    </row>
    <row r="5" ht="18" customHeight="1" s="21">
      <c r="A5" s="36" t="inlineStr">
        <is>
          <t>Stage II # Explants:</t>
        </is>
      </c>
      <c r="B5" s="3">
        <f t="array" ref="B5">(IFERROR((LOOKUP(2,1/(I$3:I$100&lt;&gt;""),I$3:I$100)),0))</f>
        <v/>
      </c>
      <c r="D5" s="12" t="n">
        <v>44589</v>
      </c>
      <c r="E5" s="19" t="n">
        <v>111</v>
      </c>
      <c r="F5" s="19">
        <f>TODAY()-D5</f>
        <v/>
      </c>
      <c r="G5" s="19">
        <f>IF(F5&gt;21, "Yes", "No")</f>
        <v/>
      </c>
      <c r="H5" s="12" t="n"/>
      <c r="I5" s="19" t="n"/>
      <c r="J5" s="19" t="n"/>
      <c r="K5" s="19" t="n"/>
      <c r="L5" s="12" t="n"/>
      <c r="M5" s="19">
        <f>M4-14</f>
        <v/>
      </c>
      <c r="N5" s="19" t="n"/>
      <c r="O5" s="19" t="n"/>
      <c r="P5" s="12" t="n">
        <v>44678</v>
      </c>
      <c r="Q5" s="19">
        <f>3+4+5+9+5+3+8+4+4</f>
        <v/>
      </c>
      <c r="R5" s="19">
        <f>TODAY()-P5</f>
        <v/>
      </c>
      <c r="S5" s="19">
        <f>IF(R5&gt;21, "Yes", "No")</f>
        <v/>
      </c>
      <c r="T5" s="19" t="n"/>
      <c r="U5" s="19" t="n"/>
      <c r="V5" s="19" t="n"/>
      <c r="W5" s="19" t="n"/>
      <c r="Y5" s="13" t="n">
        <v>44558</v>
      </c>
      <c r="Z5" s="19" t="n"/>
      <c r="AA5" s="19" t="n"/>
      <c r="AB5" s="19" t="n">
        <v>14</v>
      </c>
      <c r="AC5" s="19" t="n"/>
      <c r="AD5" t="inlineStr">
        <is>
          <t>*1 from pink yeast</t>
        </is>
      </c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inlineStr">
        <is>
          <t>N/A</t>
        </is>
      </c>
      <c r="E6" s="19" t="inlineStr">
        <is>
          <t>N/A</t>
        </is>
      </c>
      <c r="F6" s="19" t="inlineStr">
        <is>
          <t>N/A</t>
        </is>
      </c>
      <c r="G6" s="19" t="inlineStr">
        <is>
          <t>N/A</t>
        </is>
      </c>
      <c r="H6" s="19" t="n"/>
      <c r="I6" s="19" t="n"/>
      <c r="J6" s="19" t="n"/>
      <c r="K6" s="19" t="n"/>
      <c r="L6" s="19" t="n"/>
      <c r="M6" s="19">
        <f>M5-38</f>
        <v/>
      </c>
      <c r="N6" s="19" t="n"/>
      <c r="O6" s="19" t="n"/>
      <c r="P6" s="12" t="n">
        <v>44714</v>
      </c>
      <c r="Q6" s="19">
        <f>3+3+3+3+8+3+3+3+3+3+3+3+3</f>
        <v/>
      </c>
      <c r="R6" s="19">
        <f>TODAY()-P6</f>
        <v/>
      </c>
      <c r="S6" s="19">
        <f>IF(R6&gt;21, "Yes", "No")</f>
        <v/>
      </c>
      <c r="T6" s="19" t="n"/>
      <c r="U6" s="19" t="n"/>
      <c r="V6" s="19" t="n"/>
      <c r="W6" s="19" t="n"/>
      <c r="Y6" s="13" t="n">
        <v>44568</v>
      </c>
      <c r="Z6" s="19" t="n"/>
      <c r="AA6" s="19" t="n"/>
      <c r="AB6" s="19" t="n">
        <v>38</v>
      </c>
      <c r="AC6" s="19" t="n"/>
      <c r="AD6" t="inlineStr">
        <is>
          <t>*2 from yellow mold / bacteria</t>
        </is>
      </c>
    </row>
    <row r="7" ht="18" customHeight="1" s="21">
      <c r="A7" s="36" t="inlineStr">
        <is>
          <t>Stage II Subculture</t>
        </is>
      </c>
      <c r="B7" s="1">
        <f t="array" aca="1" ref="B7" ca="1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>
        <f>M6-20</f>
        <v/>
      </c>
      <c r="N7" s="19" t="n"/>
      <c r="O7" s="19" t="n"/>
      <c r="P7" s="12" t="n">
        <v>44734</v>
      </c>
      <c r="Q7" s="19">
        <f>38</f>
        <v/>
      </c>
      <c r="R7" s="19">
        <f>TODAY()-P7</f>
        <v/>
      </c>
      <c r="S7" s="19">
        <f>IF(R7&gt;21, "Yes", "No")</f>
        <v/>
      </c>
      <c r="T7" s="19" t="n"/>
      <c r="U7" s="19" t="n"/>
      <c r="V7" s="19" t="n"/>
      <c r="W7" s="19" t="n"/>
      <c r="Y7" s="13" t="n">
        <v>44579</v>
      </c>
      <c r="Z7" s="19" t="n"/>
      <c r="AA7" s="19" t="n"/>
      <c r="AB7" s="19">
        <f>11+4+5</f>
        <v/>
      </c>
      <c r="AC7" s="19" t="n"/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2" t="n">
        <v>44579</v>
      </c>
      <c r="M8" s="19">
        <f>4+7+4+5+5+4+6+4+7+4+7+9+1+7+6+6+6+4+6+3+3+6+4+5+5+4+6</f>
        <v/>
      </c>
      <c r="N8" s="19">
        <f>TODAY()-L8</f>
        <v/>
      </c>
      <c r="O8" s="19">
        <f>IF(N8&gt;21, "Yes", "No")</f>
        <v/>
      </c>
      <c r="P8" s="12" t="n">
        <v>44776</v>
      </c>
      <c r="Q8" s="19" t="n">
        <v>21</v>
      </c>
      <c r="R8" s="19">
        <f>TODAY()-P8</f>
        <v/>
      </c>
      <c r="S8" s="19">
        <f>IF(R8&gt;21, "Yes", "No")</f>
        <v/>
      </c>
      <c r="T8" s="19" t="n"/>
      <c r="U8" s="19" t="n"/>
      <c r="V8" s="19" t="n"/>
      <c r="W8" s="19" t="n"/>
      <c r="Z8" s="19" t="n"/>
      <c r="AA8" s="19" t="n"/>
      <c r="AB8" s="19" t="n"/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>
        <v>44620</v>
      </c>
      <c r="M9" s="19" t="n">
        <v>67</v>
      </c>
      <c r="N9" s="19">
        <f>TODAY()-L9</f>
        <v/>
      </c>
      <c r="O9" s="19">
        <f>IF(N9&gt;21, "Yes", "No")</f>
        <v/>
      </c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  <c r="L10" s="13" t="n">
        <v>44635</v>
      </c>
      <c r="M10">
        <f>21+24+28+20+16+5+128</f>
        <v/>
      </c>
      <c r="N10" s="19">
        <f>TODAY()-L10</f>
        <v/>
      </c>
      <c r="O10" s="19">
        <f>IF(N10&gt;21, "Yes", "No")</f>
        <v/>
      </c>
    </row>
    <row r="11" ht="18" customHeight="1" s="21">
      <c r="A11" s="34" t="inlineStr">
        <is>
          <t>Stage 2.5 # Explants:</t>
        </is>
      </c>
      <c r="B11" s="3">
        <f t="array" ref="B11">(IFERROR((LOOKUP(2,1/(Q$3:Q$100&lt;&gt;""),Q$3:Q$100)),0))</f>
        <v/>
      </c>
      <c r="L11" s="13" t="n">
        <v>44678</v>
      </c>
      <c r="M11">
        <f>8+8+8+8+8+8+8+10</f>
        <v/>
      </c>
      <c r="N11" s="19">
        <f>TODAY()-L11</f>
        <v/>
      </c>
      <c r="O11" s="19">
        <f>IF(N11&gt;21, "Yes", "No")</f>
        <v/>
      </c>
    </row>
    <row r="12" ht="18" customHeight="1" s="21">
      <c r="A12" s="34" t="inlineStr">
        <is>
          <t>Stage 2.5 Date:</t>
        </is>
      </c>
      <c r="B12" s="10">
        <f t="array" ref="B12">LOOKUP(2,1 / (P$3:P$100 &lt;&gt;""), P$3:P$100)</f>
        <v/>
      </c>
      <c r="L12" s="13" t="n">
        <v>44714</v>
      </c>
      <c r="M12">
        <f>18+8+8+8+8+5+18+9+8+8+8+18+18+8+18</f>
        <v/>
      </c>
      <c r="N12" s="41">
        <f>TODAY()-L12</f>
        <v/>
      </c>
      <c r="O12" s="41">
        <f>IF(N12&gt;21, "Yes", "No")</f>
        <v/>
      </c>
    </row>
    <row r="13" ht="18" customHeight="1" s="21">
      <c r="A13" s="34" t="inlineStr">
        <is>
          <t>Stage 2.5 Subculture</t>
        </is>
      </c>
      <c r="B13" s="1">
        <f t="array" aca="1" ref="B13" ca="1">LOOKUP(2,1 / (S$3:S$100 &lt;&gt;""), S$3:S$100)</f>
        <v/>
      </c>
      <c r="L13" s="13" t="n">
        <v>44734</v>
      </c>
      <c r="M13">
        <f>55+68</f>
        <v/>
      </c>
      <c r="N13" s="41">
        <f>TODAY()-L13</f>
        <v/>
      </c>
      <c r="O13" s="41">
        <f>IF(N13&gt;21, "Yes", "No")</f>
        <v/>
      </c>
    </row>
    <row r="14" ht="18" customHeight="1" s="21">
      <c r="A14" s="2" t="inlineStr">
        <is>
          <t>Stage IV # Explants:</t>
        </is>
      </c>
      <c r="B14" s="3">
        <f t="array" ref="B14">(IFERROR((LOOKUP(2,1/(U$3:U$100&lt;&gt;""),U$3:U$100)),0))</f>
        <v/>
      </c>
      <c r="L14" s="13" t="n">
        <v>44776</v>
      </c>
      <c r="M14">
        <f>140</f>
        <v/>
      </c>
      <c r="N14" s="41">
        <f>TODAY()-L14</f>
        <v/>
      </c>
      <c r="O14" s="41">
        <f>IF(N14&gt;21, "Yes", "No")</f>
        <v/>
      </c>
    </row>
    <row r="15" ht="18" customHeight="1" s="21">
      <c r="A15" s="2" t="inlineStr">
        <is>
          <t>Stage IV Date:</t>
        </is>
      </c>
      <c r="B15" s="10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5"/>
  <sheetViews>
    <sheetView topLeftCell="D1" zoomScale="110" zoomScaleNormal="110" workbookViewId="0">
      <selection activeCell="Q9" sqref="Q9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9.5546875" bestFit="1" customWidth="1" style="21" min="12" max="12"/>
    <col width="15.44140625" bestFit="1" customWidth="1" style="21" min="14" max="14"/>
    <col width="9.5546875" bestFit="1" customWidth="1" style="21" min="16" max="16"/>
    <col width="10.6640625" bestFit="1" customWidth="1" style="21" min="17" max="17"/>
    <col width="9.5546875" bestFit="1" customWidth="1" style="21" min="20" max="20"/>
  </cols>
  <sheetData>
    <row r="1" ht="18" customHeight="1" s="21">
      <c r="A1" s="2" t="inlineStr">
        <is>
          <t>Strain Name:</t>
        </is>
      </c>
      <c r="B1" s="3" t="inlineStr">
        <is>
          <t>Elvis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44509</v>
      </c>
      <c r="E3" s="19" t="n">
        <v>276</v>
      </c>
      <c r="F3" s="19">
        <f>TODAY()-D3</f>
        <v/>
      </c>
      <c r="G3" s="19">
        <f>IF(F3&gt;21, "Yes", "No")</f>
        <v/>
      </c>
      <c r="H3" s="12" t="n">
        <v>44608</v>
      </c>
      <c r="I3" s="19" t="n">
        <v>182</v>
      </c>
      <c r="J3" s="19">
        <f>TODAY()-H3</f>
        <v/>
      </c>
      <c r="K3" s="19">
        <f>IF(J3&gt;21, "Yes", "No")</f>
        <v/>
      </c>
      <c r="L3" s="12" t="n">
        <v>44537</v>
      </c>
      <c r="M3" s="19" t="n">
        <v>189</v>
      </c>
      <c r="N3" s="19">
        <f>TODAY()-L3</f>
        <v/>
      </c>
      <c r="O3" s="19">
        <f>IF(N3&gt;21, "Yes", "No")</f>
        <v/>
      </c>
      <c r="P3" s="12" t="n">
        <v>44608</v>
      </c>
      <c r="Q3" s="19" t="n">
        <v>58</v>
      </c>
      <c r="R3" s="19">
        <f>TODAY()-P3</f>
        <v/>
      </c>
      <c r="S3" s="19">
        <f>IF(R3&gt;21, "Yes", "No")</f>
        <v/>
      </c>
      <c r="T3" s="12" t="n">
        <v>44608</v>
      </c>
      <c r="U3" s="19" t="n">
        <v>34</v>
      </c>
      <c r="V3" s="19">
        <f>TODAY()-T3</f>
        <v/>
      </c>
      <c r="W3" s="19">
        <f>IF(V3&gt;21, "Yes", "No")</f>
        <v/>
      </c>
      <c r="Y3" s="13" t="n">
        <v>44530</v>
      </c>
      <c r="Z3" s="19">
        <f>10+10+9+7+2+2+6</f>
        <v/>
      </c>
      <c r="AA3" s="19" t="n"/>
      <c r="AB3" s="19" t="n"/>
      <c r="AC3" s="19" t="n"/>
      <c r="AD3" t="inlineStr">
        <is>
          <t>*19 from white bacteria at base</t>
        </is>
      </c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E3-46</f>
        <v/>
      </c>
      <c r="F4" s="15" t="n"/>
      <c r="G4" s="15" t="n"/>
      <c r="H4" s="12" t="n">
        <v>44636</v>
      </c>
      <c r="I4" s="19">
        <f>87</f>
        <v/>
      </c>
      <c r="J4" s="19">
        <f>TODAY()-H4</f>
        <v/>
      </c>
      <c r="K4" s="19">
        <f>IF(J4&gt;21, "Yes", "No")</f>
        <v/>
      </c>
      <c r="L4" s="12" t="n"/>
      <c r="M4" s="19">
        <f>M3-19</f>
        <v/>
      </c>
      <c r="N4" s="19" t="n"/>
      <c r="O4" s="19" t="n"/>
      <c r="P4" s="12" t="n">
        <v>44635</v>
      </c>
      <c r="Q4" s="19">
        <f>4+4+13+2</f>
        <v/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>
        <v>44547</v>
      </c>
      <c r="Z4" s="19" t="n"/>
      <c r="AA4" s="19" t="n"/>
      <c r="AB4" s="19" t="n">
        <v>40</v>
      </c>
      <c r="AC4" s="19" t="n"/>
      <c r="AD4" t="inlineStr">
        <is>
          <t>*10 from yellow bacteria / mold</t>
        </is>
      </c>
    </row>
    <row r="5" ht="18" customHeight="1" s="21">
      <c r="A5" s="36" t="inlineStr">
        <is>
          <t>Stage II # Explants:</t>
        </is>
      </c>
      <c r="B5" s="3">
        <f t="array" ref="B5">(IFERROR((LOOKUP(2,1/(I$3:I$100&lt;&gt;""),I$3:I$100)),0))</f>
        <v/>
      </c>
      <c r="D5" s="12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2" t="inlineStr">
        <is>
          <t>N/A</t>
        </is>
      </c>
      <c r="I5" s="19" t="inlineStr">
        <is>
          <t>N/A</t>
        </is>
      </c>
      <c r="J5" s="19" t="inlineStr">
        <is>
          <t>N/A</t>
        </is>
      </c>
      <c r="K5" s="19" t="inlineStr">
        <is>
          <t>N/A</t>
        </is>
      </c>
      <c r="L5" s="12" t="n"/>
      <c r="M5" s="19">
        <f>M4-31</f>
        <v/>
      </c>
      <c r="N5" s="19" t="n"/>
      <c r="O5" s="19" t="n"/>
      <c r="P5" s="12" t="n">
        <v>44680</v>
      </c>
      <c r="Q5" s="19">
        <f>3+4+4+4</f>
        <v/>
      </c>
      <c r="R5" s="19">
        <f>TODAY()-P5</f>
        <v/>
      </c>
      <c r="S5" s="19">
        <f>IF(R5&gt;21, "Yes", "No")</f>
        <v/>
      </c>
      <c r="T5" s="19" t="n"/>
      <c r="U5" s="19" t="n"/>
      <c r="V5" s="19" t="n"/>
      <c r="W5" s="19" t="n"/>
      <c r="Y5" s="13" t="n">
        <v>44558</v>
      </c>
      <c r="Z5" s="19" t="n"/>
      <c r="AA5" s="19" t="n"/>
      <c r="AB5" s="19" t="n">
        <v>19</v>
      </c>
      <c r="AC5" s="19" t="n"/>
      <c r="AD5" t="inlineStr">
        <is>
          <t>*7 from pink bacteria / yeast</t>
        </is>
      </c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>
        <v>44579</v>
      </c>
      <c r="M6" s="19">
        <f>9+6+5+11+2+5+13+14+14+7+9+5+5+5+2+7+5+5+5+5+7+2+13+5+7+8+6</f>
        <v/>
      </c>
      <c r="N6" s="19">
        <f>TODAY()-L6</f>
        <v/>
      </c>
      <c r="O6" s="19">
        <f>IF(N6&gt;21, "Yes", "No")</f>
        <v/>
      </c>
      <c r="P6" s="12" t="n">
        <v>44719</v>
      </c>
      <c r="Q6" s="19" t="n">
        <v>14</v>
      </c>
      <c r="R6" s="19">
        <f>TODAY()-P6</f>
        <v/>
      </c>
      <c r="S6" s="19">
        <f>IF(R6&gt;21, "Yes", "No")</f>
        <v/>
      </c>
      <c r="T6" s="19" t="n"/>
      <c r="U6" s="19" t="n"/>
      <c r="V6" s="19" t="n"/>
      <c r="W6" s="19" t="n"/>
      <c r="Y6" s="13" t="n">
        <v>44568</v>
      </c>
      <c r="Z6" s="19" t="n"/>
      <c r="AA6" s="19" t="n"/>
      <c r="AB6" s="19">
        <f>31</f>
        <v/>
      </c>
      <c r="AC6" s="19" t="n"/>
      <c r="AD6" t="inlineStr">
        <is>
          <t>*2 from light pink bacteria</t>
        </is>
      </c>
    </row>
    <row r="7" ht="18" customHeight="1" s="21">
      <c r="A7" s="36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2" t="n">
        <v>44608</v>
      </c>
      <c r="M7" s="19" t="n">
        <v>0</v>
      </c>
      <c r="N7" s="19">
        <f>TODAY()-L7</f>
        <v/>
      </c>
      <c r="O7" s="19">
        <f>IF(N7&gt;21, "Yes", "No")</f>
        <v/>
      </c>
      <c r="P7" s="12" t="n">
        <v>44741</v>
      </c>
      <c r="Q7" s="19" t="n">
        <v>8</v>
      </c>
      <c r="R7" s="19">
        <f>TODAY()-P7</f>
        <v/>
      </c>
      <c r="S7" s="19">
        <f>IF(R7&gt;21, "Yes", "No")</f>
        <v/>
      </c>
      <c r="T7" s="19" t="n"/>
      <c r="U7" s="19" t="n"/>
      <c r="V7" s="19" t="n"/>
      <c r="W7" s="19" t="n"/>
      <c r="Z7" s="19" t="n"/>
      <c r="AA7" s="19" t="n"/>
      <c r="AB7" s="19" t="n"/>
      <c r="AC7" s="19" t="n"/>
      <c r="AD7" t="inlineStr">
        <is>
          <t>*2 from white bacteria</t>
        </is>
      </c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Z8" s="19" t="n"/>
      <c r="AA8" s="19" t="n"/>
      <c r="AB8" s="19" t="n"/>
      <c r="AC8" s="19" t="n"/>
      <c r="AD8" t="inlineStr">
        <is>
          <t>*6 from black fungus</t>
        </is>
      </c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  <c r="L10" s="13" t="n">
        <v>44635</v>
      </c>
      <c r="M10">
        <f>21+24+28+20+16+37</f>
        <v/>
      </c>
      <c r="N10" s="19" t="n"/>
      <c r="O10" s="19" t="n"/>
    </row>
    <row r="11" ht="18" customHeight="1" s="21">
      <c r="A11" s="34" t="inlineStr">
        <is>
          <t>Stage 2.5 # Explants:</t>
        </is>
      </c>
      <c r="B11" s="3">
        <f t="array" ref="B11">(IFERROR((LOOKUP(2,1/(Q$3:Q$100&lt;&gt;""),Q$3:Q$100)),0))</f>
        <v/>
      </c>
      <c r="L11" s="13" t="n">
        <v>44680</v>
      </c>
      <c r="M11">
        <f>20+2+8+4+32+32+28+11</f>
        <v/>
      </c>
      <c r="N11" s="19">
        <f>TODAY()-L11</f>
        <v/>
      </c>
      <c r="O11" s="19">
        <f>IF(N11&gt;21, "Yes", "No")</f>
        <v/>
      </c>
    </row>
    <row r="12" ht="18" customHeight="1" s="21">
      <c r="A12" s="34" t="inlineStr">
        <is>
          <t>Stage 2.5 Date:</t>
        </is>
      </c>
      <c r="B12" s="10">
        <f t="array" ref="B12">LOOKUP(2,1 / (P$3:P$100 &lt;&gt;""), P$3:P$100)</f>
        <v/>
      </c>
      <c r="L12" s="13" t="n">
        <v>44719</v>
      </c>
      <c r="M12">
        <f>24+35</f>
        <v/>
      </c>
      <c r="N12" s="19">
        <f>TODAY()-L12</f>
        <v/>
      </c>
      <c r="O12" s="19">
        <f>IF(N12&gt;21, "Yes", "No")</f>
        <v/>
      </c>
    </row>
    <row r="13" ht="18" customHeight="1" s="21">
      <c r="A13" s="34" t="inlineStr">
        <is>
          <t>Stage 2.5 Subculture</t>
        </is>
      </c>
      <c r="B13" s="1">
        <f t="array" aca="1" ref="B13" ca="1">LOOKUP(2,1 / (S$3:S$100 &lt;&gt;""), S$3:S$100)</f>
        <v/>
      </c>
      <c r="L13" s="13" t="n">
        <v>44741</v>
      </c>
      <c r="M13">
        <f>15+20+12</f>
        <v/>
      </c>
    </row>
    <row r="14" ht="18" customHeight="1" s="21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1">
      <c r="A15" s="2" t="inlineStr">
        <is>
          <t>Stage IV Date:</t>
        </is>
      </c>
      <c r="B15" s="10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5"/>
  <sheetViews>
    <sheetView topLeftCell="D1" zoomScaleNormal="100" workbookViewId="0">
      <selection activeCell="Q9" sqref="Q9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14.5546875" bestFit="1" customWidth="1" style="21" min="12" max="12"/>
    <col width="15.44140625" bestFit="1" customWidth="1" style="21" min="14" max="14"/>
    <col width="14.5546875" bestFit="1" customWidth="1" style="21" min="16" max="16"/>
    <col width="10.6640625" bestFit="1" customWidth="1" style="21" min="17" max="17"/>
    <col width="9.5546875" bestFit="1" customWidth="1" style="21" min="20" max="20"/>
    <col width="10.5546875" bestFit="1" customWidth="1" style="21" min="21" max="21"/>
    <col width="10.5546875" bestFit="1" customWidth="1" style="21" min="25" max="25"/>
  </cols>
  <sheetData>
    <row r="1" ht="18" customHeight="1" s="21">
      <c r="A1" s="2" t="inlineStr">
        <is>
          <t>Strain Name:</t>
        </is>
      </c>
      <c r="B1" s="3" t="inlineStr">
        <is>
          <t>Oreoz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44509</v>
      </c>
      <c r="E3" s="19" t="n">
        <v>280</v>
      </c>
      <c r="F3" s="19">
        <f>TODAY()-D3</f>
        <v/>
      </c>
      <c r="G3" s="19">
        <f>IF(F3&gt;21, "Yes", "No")</f>
        <v/>
      </c>
      <c r="H3" s="12" t="n">
        <v>44606</v>
      </c>
      <c r="I3" s="19" t="n">
        <v>352</v>
      </c>
      <c r="J3" s="19">
        <f>TODAY()-H3</f>
        <v/>
      </c>
      <c r="K3" s="19">
        <f>IF(J3&gt;21, "Yes", "No")</f>
        <v/>
      </c>
      <c r="L3" s="12" t="n">
        <v>44537</v>
      </c>
      <c r="M3" s="19" t="n">
        <v>230</v>
      </c>
      <c r="N3" s="19">
        <f>TODAY()-L3</f>
        <v/>
      </c>
      <c r="O3" s="19">
        <f>IF(N3&gt;21, "Yes", "No")</f>
        <v/>
      </c>
      <c r="P3" s="12" t="n">
        <v>44606</v>
      </c>
      <c r="Q3" s="19" t="n">
        <v>57</v>
      </c>
      <c r="R3" s="19">
        <f>TODAY()-P3</f>
        <v/>
      </c>
      <c r="S3" s="19">
        <f>IF(R3&gt;21, "Yes", "No")</f>
        <v/>
      </c>
      <c r="T3" s="12" t="n">
        <v>44606</v>
      </c>
      <c r="U3" s="19" t="n">
        <v>156</v>
      </c>
      <c r="V3" s="19">
        <f>TODAY()-T3</f>
        <v/>
      </c>
      <c r="W3" s="19">
        <f>IF(V3&gt;21, "Yes", "No")</f>
        <v/>
      </c>
      <c r="Y3" s="13" t="n">
        <v>44530</v>
      </c>
      <c r="Z3" s="19">
        <f>9+8+6+9+9+9+7+4</f>
        <v/>
      </c>
      <c r="AA3" s="19" t="n"/>
      <c r="AB3" s="19" t="n"/>
      <c r="AC3" s="19" t="n"/>
      <c r="AD3" t="inlineStr">
        <is>
          <t>*20 white bacteria</t>
        </is>
      </c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E3-61</f>
        <v/>
      </c>
      <c r="F4" s="15" t="n"/>
      <c r="G4" s="15" t="n"/>
      <c r="H4" s="14" t="n">
        <v>44636</v>
      </c>
      <c r="I4" s="15" t="n">
        <v>59</v>
      </c>
      <c r="J4" s="19">
        <f>TODAY()-H4</f>
        <v/>
      </c>
      <c r="K4" s="19">
        <f>IF(J4&gt;21, "Yes", "No")</f>
        <v/>
      </c>
      <c r="L4" s="12" t="n"/>
      <c r="M4" s="19">
        <f>M3-15</f>
        <v/>
      </c>
      <c r="N4" s="19" t="n"/>
      <c r="O4" s="19" t="n"/>
      <c r="P4" s="12" t="n">
        <v>44636</v>
      </c>
      <c r="Q4" s="19">
        <f>6+3+4</f>
        <v/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>
        <v>44547</v>
      </c>
      <c r="Z4" s="19" t="n"/>
      <c r="AA4" s="19" t="n"/>
      <c r="AB4" s="19" t="n"/>
      <c r="AC4" s="19" t="n"/>
      <c r="AD4" t="inlineStr">
        <is>
          <t>*8 black fungus</t>
        </is>
      </c>
    </row>
    <row r="5" ht="18" customHeight="1" s="21">
      <c r="A5" s="36" t="inlineStr">
        <is>
          <t>Stage II # Explants:</t>
        </is>
      </c>
      <c r="B5" s="3">
        <f t="array" ref="B5">(IFERROR((LOOKUP(2,1/(I$3:I$100&lt;&gt;""),I$3:I$100)),0))</f>
        <v/>
      </c>
      <c r="D5" s="12" t="n">
        <v>44547</v>
      </c>
      <c r="E5" s="19" t="n">
        <v>228</v>
      </c>
      <c r="F5" s="19">
        <f>TODAY()-D5</f>
        <v/>
      </c>
      <c r="G5" s="19">
        <f>IF(F5&gt;21, "Yes", "No")</f>
        <v/>
      </c>
      <c r="H5" s="12" t="inlineStr">
        <is>
          <t>N/A</t>
        </is>
      </c>
      <c r="I5" s="19" t="inlineStr">
        <is>
          <t>N/A</t>
        </is>
      </c>
      <c r="J5" s="19" t="inlineStr">
        <is>
          <t>N/A</t>
        </is>
      </c>
      <c r="K5" s="19" t="inlineStr">
        <is>
          <t>N/A</t>
        </is>
      </c>
      <c r="L5" s="12" t="n"/>
      <c r="M5" s="19">
        <f>M4-21</f>
        <v/>
      </c>
      <c r="N5" s="19" t="n"/>
      <c r="O5" s="19" t="n"/>
      <c r="P5" s="12" t="n">
        <v>44677</v>
      </c>
      <c r="Q5" s="19">
        <f>3+8+9+4+9+5+4+4+3</f>
        <v/>
      </c>
      <c r="R5" s="19">
        <f>TODAY()-P5</f>
        <v/>
      </c>
      <c r="S5" s="19">
        <f>IF(R5&gt;21, "Yes", "No")</f>
        <v/>
      </c>
      <c r="T5" s="19" t="n"/>
      <c r="U5" s="19" t="n"/>
      <c r="V5" s="19" t="n"/>
      <c r="W5" s="19" t="n"/>
      <c r="Y5" s="13" t="n">
        <v>44558</v>
      </c>
      <c r="Z5" s="19" t="n"/>
      <c r="AA5" s="19" t="n"/>
      <c r="AB5" s="19" t="n">
        <v>15</v>
      </c>
      <c r="AC5" s="19" t="n"/>
      <c r="AD5" t="inlineStr">
        <is>
          <t>*6 yellow bacteria / mold</t>
        </is>
      </c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>
        <f>E5-133</f>
        <v/>
      </c>
      <c r="F6" s="19" t="n"/>
      <c r="G6" s="19" t="n"/>
      <c r="H6" s="19" t="n"/>
      <c r="I6" s="19" t="n"/>
      <c r="J6" s="19" t="n"/>
      <c r="K6" s="19" t="n"/>
      <c r="L6" s="19" t="n"/>
      <c r="M6" s="19">
        <f>M5-37</f>
        <v/>
      </c>
      <c r="N6" s="19" t="n"/>
      <c r="O6" s="19" t="n"/>
      <c r="P6" s="12" t="n">
        <v>44719</v>
      </c>
      <c r="Q6" s="19">
        <f>3+3+3+3+3+3+3+3+3+3+4+4+3+3+3+1</f>
        <v/>
      </c>
      <c r="R6" s="19">
        <f>TODAY()-P6</f>
        <v/>
      </c>
      <c r="S6" s="19">
        <f>IF(R6&gt;21, "Yes", "No")</f>
        <v/>
      </c>
      <c r="T6" s="19" t="n"/>
      <c r="U6" s="19" t="n"/>
      <c r="V6" s="19" t="n"/>
      <c r="W6" s="19" t="n"/>
      <c r="Y6" s="13" t="n">
        <v>44568</v>
      </c>
      <c r="Z6" s="19" t="n"/>
      <c r="AA6" s="19" t="n"/>
      <c r="AB6" s="19">
        <f>21</f>
        <v/>
      </c>
      <c r="AC6" s="19" t="n"/>
      <c r="AD6" t="inlineStr">
        <is>
          <t>*12 bleaching</t>
        </is>
      </c>
    </row>
    <row r="7" ht="18" customHeight="1" s="21">
      <c r="A7" s="36" t="inlineStr">
        <is>
          <t>Stage II Subculture</t>
        </is>
      </c>
      <c r="B7" s="1">
        <f t="array" ref="B7">LOOKUP(2,1 / (K$3:K$1048576 &lt;&gt;""), K$3:K$1048576)</f>
        <v/>
      </c>
      <c r="D7" s="12" t="inlineStr">
        <is>
          <t>N/A</t>
        </is>
      </c>
      <c r="E7" s="19" t="inlineStr">
        <is>
          <t>N/A</t>
        </is>
      </c>
      <c r="F7" s="19" t="inlineStr">
        <is>
          <t>N/A</t>
        </is>
      </c>
      <c r="G7" s="19" t="inlineStr">
        <is>
          <t>N/A</t>
        </is>
      </c>
      <c r="H7" s="19" t="n"/>
      <c r="I7" s="19" t="n"/>
      <c r="J7" s="19" t="n"/>
      <c r="K7" s="19" t="n"/>
      <c r="L7" s="12" t="n">
        <v>44579</v>
      </c>
      <c r="M7" s="19">
        <f>4+14+1+9+9+13+10+14+9+5+9+5+5+12+8+4+4+5+9+5+4+8+9+8+6+10+5+7+7+8+3+5+9+10+14</f>
        <v/>
      </c>
      <c r="N7" s="19">
        <f>TODAY()-L7</f>
        <v/>
      </c>
      <c r="O7" s="19">
        <f>IF(N7&gt;21, "Yes", "No")</f>
        <v/>
      </c>
      <c r="P7" s="12" t="n">
        <v>44739</v>
      </c>
      <c r="Q7" s="19" t="n">
        <v>29</v>
      </c>
      <c r="R7" s="19">
        <f>TODAY()-P7</f>
        <v/>
      </c>
      <c r="S7" s="19">
        <f>IF(R7&gt;21, "Yes", "No")</f>
        <v/>
      </c>
      <c r="T7" s="19" t="n"/>
      <c r="U7" s="19" t="n"/>
      <c r="V7" s="19" t="n"/>
      <c r="W7" s="19" t="n"/>
      <c r="Y7" s="13" t="n">
        <v>44571</v>
      </c>
      <c r="Z7" s="19">
        <f>133</f>
        <v/>
      </c>
      <c r="AA7" s="19" t="n"/>
      <c r="AB7" s="19" t="n"/>
      <c r="AC7" s="19" t="n"/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2" t="n">
        <v>44606</v>
      </c>
      <c r="M8" s="19" t="n">
        <v>0</v>
      </c>
      <c r="N8" s="19">
        <f>TODAY()-L8</f>
        <v/>
      </c>
      <c r="O8" s="19">
        <f>IF(N8&gt;21, "Yes", "No")</f>
        <v/>
      </c>
      <c r="P8" s="12" t="n">
        <v>44776</v>
      </c>
      <c r="Q8" s="19">
        <f>6+8+11</f>
        <v/>
      </c>
      <c r="R8" s="19">
        <f>TODAY()-P8</f>
        <v/>
      </c>
      <c r="S8" s="19">
        <f>IF(R8&gt;21, "Yes", "No")</f>
        <v/>
      </c>
      <c r="T8" s="19" t="n"/>
      <c r="U8" s="19" t="n"/>
      <c r="V8" s="19" t="n"/>
      <c r="W8" s="19" t="n"/>
      <c r="Y8" s="13" t="n">
        <v>44579</v>
      </c>
      <c r="Z8" s="19" t="n"/>
      <c r="AA8" s="19" t="n"/>
      <c r="AB8" s="19">
        <f>4+3+2+14+2+2+5+2+1+2</f>
        <v/>
      </c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>
        <v>44636</v>
      </c>
      <c r="M9" s="19">
        <f>129+104+80-59-18-12</f>
        <v/>
      </c>
      <c r="N9" s="19">
        <f>TODAY()-L9</f>
        <v/>
      </c>
      <c r="O9" s="19">
        <f>IF(N9&gt;21, "Yes", "No")</f>
        <v/>
      </c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  <c r="L10" s="13" t="n">
        <v>44677</v>
      </c>
      <c r="M10">
        <f>37+8+8+8+4+5+8+6</f>
        <v/>
      </c>
      <c r="N10" s="19">
        <f>TODAY()-L10</f>
        <v/>
      </c>
      <c r="O10" s="19">
        <f>IF(N10&gt;21, "Yes", "No")</f>
        <v/>
      </c>
    </row>
    <row r="11" ht="18" customHeight="1" s="21">
      <c r="A11" s="34" t="inlineStr">
        <is>
          <t>Stage 2.5 # Explants:</t>
        </is>
      </c>
      <c r="B11" s="3">
        <f t="array" ref="B11">(IFERROR((LOOKUP(2,1/(Q$3:Q$100&lt;&gt;""),Q$3:Q$100)),0))</f>
        <v/>
      </c>
      <c r="L11" s="13" t="n">
        <v>44719</v>
      </c>
      <c r="M11">
        <f>19+10+10+10+19+10+20+20+10+10+3</f>
        <v/>
      </c>
      <c r="N11" s="41">
        <f>TODAY()-L11</f>
        <v/>
      </c>
      <c r="O11" s="41">
        <f>IF(N11&gt;21, "Yes", "No")</f>
        <v/>
      </c>
    </row>
    <row r="12" ht="18" customHeight="1" s="21">
      <c r="A12" s="34" t="inlineStr">
        <is>
          <t>Stage 2.5 Date:</t>
        </is>
      </c>
      <c r="B12" s="10">
        <f t="array" ref="B12">LOOKUP(2,1 / (P$3:P$100 &lt;&gt;""), P$3:P$100)</f>
        <v/>
      </c>
      <c r="L12" s="13" t="n">
        <v>44739</v>
      </c>
      <c r="M12" t="n">
        <v>72</v>
      </c>
      <c r="N12" s="41">
        <f>TODAY()-L12</f>
        <v/>
      </c>
      <c r="O12" s="41">
        <f>IF(N12&gt;21, "Yes", "No")</f>
        <v/>
      </c>
    </row>
    <row r="13" ht="18" customHeight="1" s="21">
      <c r="A13" s="34" t="inlineStr">
        <is>
          <t>Stage 2.5 Subculture</t>
        </is>
      </c>
      <c r="B13" s="1">
        <f t="array" aca="1" ref="B13" ca="1">LOOKUP(2,1 / (S$3:S$100 &lt;&gt;""), S$3:S$100)</f>
        <v/>
      </c>
      <c r="L13" s="13" t="n">
        <v>44776</v>
      </c>
      <c r="M13">
        <f>16+16+24+8+8+15</f>
        <v/>
      </c>
      <c r="N13" s="41">
        <f>TODAY()-L13</f>
        <v/>
      </c>
      <c r="O13" s="41">
        <f>IF(N13&gt;21, "Yes", "No")</f>
        <v/>
      </c>
    </row>
    <row r="14" ht="18" customHeight="1" s="21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1">
      <c r="A15" s="2" t="inlineStr">
        <is>
          <t>Stage IV Date:</t>
        </is>
      </c>
      <c r="B15" s="10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5"/>
  <sheetViews>
    <sheetView topLeftCell="G1" zoomScale="110" zoomScaleNormal="110" workbookViewId="0">
      <selection activeCell="P8" sqref="P8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9.5546875" bestFit="1" customWidth="1" style="21" min="12" max="12"/>
    <col width="15.44140625" bestFit="1" customWidth="1" style="21" min="14" max="14"/>
    <col width="9.5546875" bestFit="1" customWidth="1" style="21" min="16" max="16"/>
    <col width="10.6640625" bestFit="1" customWidth="1" style="21" min="17" max="17"/>
  </cols>
  <sheetData>
    <row r="1" ht="18" customHeight="1" s="21">
      <c r="A1" s="2" t="inlineStr">
        <is>
          <t>Strain Name:</t>
        </is>
      </c>
      <c r="B1" s="3" t="inlineStr">
        <is>
          <t>SROG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44509</v>
      </c>
      <c r="E3" s="19" t="n">
        <v>280</v>
      </c>
      <c r="F3" s="19">
        <f>TODAY()-D3</f>
        <v/>
      </c>
      <c r="G3" s="19">
        <f>IF(F3&gt;21, "Yes", "No")</f>
        <v/>
      </c>
      <c r="H3" s="12" t="n">
        <v>44624</v>
      </c>
      <c r="I3" s="19">
        <f>60</f>
        <v/>
      </c>
      <c r="J3" s="19">
        <f>TODAY()-H3</f>
        <v/>
      </c>
      <c r="K3" s="19">
        <f>IF(J3&gt;21, "Yes", "No")</f>
        <v/>
      </c>
      <c r="L3" s="12" t="n">
        <v>44538</v>
      </c>
      <c r="M3" s="19" t="n">
        <v>241</v>
      </c>
      <c r="N3" s="19">
        <f>TODAY()-L3</f>
        <v/>
      </c>
      <c r="O3" s="19">
        <f>IF(N3&gt;21, "Yes", "No")</f>
        <v/>
      </c>
      <c r="P3" s="12" t="n">
        <v>44624</v>
      </c>
      <c r="Q3" s="19" t="n">
        <v>9</v>
      </c>
      <c r="R3" s="19">
        <f>TODAY()-P3</f>
        <v/>
      </c>
      <c r="S3" s="19">
        <f>IF(R3&gt;21, "Yes", "No")</f>
        <v/>
      </c>
      <c r="T3" s="19" t="n"/>
      <c r="U3" s="19" t="n"/>
      <c r="V3" s="19" t="n"/>
      <c r="W3" s="19" t="n"/>
      <c r="Y3" s="13" t="n">
        <v>44530</v>
      </c>
      <c r="Z3" s="19">
        <f>10+2+5+1+4+1</f>
        <v/>
      </c>
      <c r="AA3" s="19" t="n"/>
      <c r="AB3" s="19" t="n"/>
      <c r="AC3" s="19" t="n"/>
      <c r="AD3" t="inlineStr">
        <is>
          <t>*15 white bactetria</t>
        </is>
      </c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E3-23</f>
        <v/>
      </c>
      <c r="F4" s="15" t="n"/>
      <c r="G4" s="15" t="n"/>
      <c r="H4" s="12" t="inlineStr">
        <is>
          <t>N/A</t>
        </is>
      </c>
      <c r="I4" s="19" t="inlineStr">
        <is>
          <t>N/A</t>
        </is>
      </c>
      <c r="J4" s="19" t="inlineStr">
        <is>
          <t>N/A</t>
        </is>
      </c>
      <c r="K4" s="19" t="inlineStr">
        <is>
          <t>N/A</t>
        </is>
      </c>
      <c r="L4" s="12" t="n"/>
      <c r="M4" s="19">
        <f>M3-24</f>
        <v/>
      </c>
      <c r="N4" s="19" t="n"/>
      <c r="O4" s="19" t="n"/>
      <c r="P4" s="12" t="n">
        <v>44677</v>
      </c>
      <c r="Q4" s="19" t="n">
        <v>1</v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>
        <v>44547</v>
      </c>
      <c r="Z4" s="19" t="n"/>
      <c r="AA4" s="19" t="n"/>
      <c r="AB4" s="19" t="n">
        <v>27</v>
      </c>
      <c r="AC4" s="19" t="n"/>
      <c r="AD4" t="inlineStr">
        <is>
          <t>*2 yellow bacteria</t>
        </is>
      </c>
    </row>
    <row r="5" ht="18" customHeight="1" s="21">
      <c r="A5" s="36" t="inlineStr">
        <is>
          <t>Stage II # Explants:</t>
        </is>
      </c>
      <c r="B5" s="3">
        <f t="array" ref="B5">(IFERROR((LOOKUP(2,1/(I$3:I$100&lt;&gt;""),I$3:I$100)),0))</f>
        <v/>
      </c>
      <c r="D5" s="12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2" t="n"/>
      <c r="I5" s="19" t="n"/>
      <c r="J5" s="19" t="n"/>
      <c r="K5" s="19" t="n"/>
      <c r="L5" s="12" t="n"/>
      <c r="M5" s="19">
        <f>M4-73-8</f>
        <v/>
      </c>
      <c r="N5" s="19" t="n"/>
      <c r="O5" s="19" t="n"/>
      <c r="P5" s="12" t="n">
        <v>44720</v>
      </c>
      <c r="Q5" s="19" t="n">
        <v>3</v>
      </c>
      <c r="R5" s="19">
        <f>TODAY()-P5</f>
        <v/>
      </c>
      <c r="S5" s="19">
        <f>IF(R5&gt;21, "Yes", "No")</f>
        <v/>
      </c>
      <c r="T5" s="19" t="n"/>
      <c r="U5" s="19" t="n"/>
      <c r="V5" s="19" t="n"/>
      <c r="W5" s="19" t="n"/>
      <c r="Y5" s="13" t="n">
        <v>44558</v>
      </c>
      <c r="Z5" s="19" t="n"/>
      <c r="AA5" s="19" t="n"/>
      <c r="AB5" s="19" t="n">
        <v>24</v>
      </c>
      <c r="AC5" s="19" t="n"/>
      <c r="AD5" t="inlineStr">
        <is>
          <t>*1 bubbly bacteria</t>
        </is>
      </c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>
        <v>44581</v>
      </c>
      <c r="M6" s="19">
        <f>11+3+10+7+10+5+5+10+5+5+5+10+9+5+7+5+4+4+4+5+5+5+4+4+4+4+4+4+2+4+4+4+4+4+10+6+5+5+6+5+5+6+9</f>
        <v/>
      </c>
      <c r="N6" s="19" t="n"/>
      <c r="O6" s="19" t="n"/>
      <c r="P6" s="12" t="n">
        <v>44739</v>
      </c>
      <c r="Q6" s="19" t="n">
        <v>11</v>
      </c>
      <c r="R6" s="19" t="n"/>
      <c r="S6" s="19" t="n"/>
      <c r="T6" s="19" t="n"/>
      <c r="U6" s="19" t="n"/>
      <c r="V6" s="19" t="n"/>
      <c r="W6" s="19" t="n"/>
      <c r="Y6" s="13" t="n">
        <v>44568</v>
      </c>
      <c r="Z6" s="19" t="n"/>
      <c r="AA6" s="19" t="n"/>
      <c r="AB6" s="19" t="n">
        <v>73</v>
      </c>
      <c r="AC6" s="19" t="n"/>
      <c r="AD6" t="inlineStr">
        <is>
          <t>*1 pink yeast / fungus</t>
        </is>
      </c>
    </row>
    <row r="7" ht="18" customHeight="1" s="21">
      <c r="A7" s="36" t="inlineStr">
        <is>
          <t>Stage II Subculture</t>
        </is>
      </c>
      <c r="B7" s="1">
        <f t="array" aca="1" ref="B7" ca="1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inlineStr">
        <is>
          <t>N/A</t>
        </is>
      </c>
      <c r="M7" s="19" t="inlineStr">
        <is>
          <t>N/A</t>
        </is>
      </c>
      <c r="N7" s="19" t="inlineStr">
        <is>
          <t>N/A</t>
        </is>
      </c>
      <c r="O7" s="19" t="inlineStr">
        <is>
          <t>N/A</t>
        </is>
      </c>
      <c r="P7" s="19" t="n"/>
      <c r="Q7" s="19" t="n"/>
      <c r="R7" s="19" t="n"/>
      <c r="S7" s="19" t="n"/>
      <c r="T7" s="19" t="n"/>
      <c r="U7" s="19" t="n"/>
      <c r="V7" s="19" t="n"/>
      <c r="W7" s="19" t="n"/>
      <c r="Y7" s="13" t="n">
        <v>44581</v>
      </c>
      <c r="Z7" s="19" t="n"/>
      <c r="AA7" s="19" t="n"/>
      <c r="AB7" s="19">
        <f>4+4</f>
        <v/>
      </c>
      <c r="AC7" s="19" t="n"/>
      <c r="AD7" t="inlineStr">
        <is>
          <t>*4 black fungus</t>
        </is>
      </c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2" t="n">
        <v>44677</v>
      </c>
      <c r="M8" s="19" t="n">
        <v>24</v>
      </c>
      <c r="N8" s="19">
        <f>TODAY()-L8</f>
        <v/>
      </c>
      <c r="O8" s="19">
        <f>IF(N8&gt;21, "Yes", "No")</f>
        <v/>
      </c>
      <c r="P8" s="19" t="n"/>
      <c r="Q8" s="19" t="n"/>
      <c r="R8" s="19" t="n"/>
      <c r="S8" s="19" t="n"/>
      <c r="T8" s="19" t="n"/>
      <c r="U8" s="19" t="n"/>
      <c r="V8" s="19" t="n"/>
      <c r="W8" s="19" t="n"/>
      <c r="Z8" s="19" t="n"/>
      <c r="AA8" s="19" t="n"/>
      <c r="AB8" s="19" t="n"/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>
        <v>44720</v>
      </c>
      <c r="M9" s="19">
        <f>15</f>
        <v/>
      </c>
      <c r="N9" s="19">
        <f>TODAY()-L9</f>
        <v/>
      </c>
      <c r="O9" s="19">
        <f>IF(N9&gt;21, "Yes", "No")</f>
        <v/>
      </c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  <c r="L10" s="13" t="n">
        <v>44739</v>
      </c>
      <c r="M10" t="n">
        <v>9</v>
      </c>
    </row>
    <row r="11" ht="18" customHeight="1" s="21">
      <c r="A11" s="34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1">
      <c r="A12" s="34" t="inlineStr">
        <is>
          <t>Stage 2.5 Date:</t>
        </is>
      </c>
      <c r="B12" s="10">
        <f t="array" ref="B12">LOOKUP(2,1 / (P$3:P$100 &lt;&gt;""), P$3:P$100)</f>
        <v/>
      </c>
    </row>
    <row r="13" ht="18" customHeight="1" s="21">
      <c r="A13" s="34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1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1">
      <c r="A15" s="2" t="inlineStr">
        <is>
          <t>Stage IV Date:</t>
        </is>
      </c>
      <c r="B15" s="10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5"/>
  <sheetViews>
    <sheetView topLeftCell="D1" zoomScaleNormal="100" workbookViewId="0">
      <selection activeCell="N8" sqref="N8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15.44140625" bestFit="1" customWidth="1" style="21" min="10" max="10"/>
    <col width="14.6640625" bestFit="1" customWidth="1" style="21" min="12" max="12"/>
    <col width="15.44140625" bestFit="1" customWidth="1" style="21" min="14" max="14"/>
    <col width="9.5546875" bestFit="1" customWidth="1" style="21" min="16" max="16"/>
    <col width="10.6640625" bestFit="1" customWidth="1" style="21" min="17" max="17"/>
    <col width="10.6640625" bestFit="1" customWidth="1" style="21" min="21" max="21"/>
    <col width="10.6640625" bestFit="1" customWidth="1" style="21" min="25" max="25"/>
  </cols>
  <sheetData>
    <row r="1" ht="18" customHeight="1" s="21">
      <c r="A1" s="2" t="inlineStr">
        <is>
          <t>Strain Name:</t>
        </is>
      </c>
      <c r="B1" s="3" t="inlineStr">
        <is>
          <t>MAC1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 (2)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44511</v>
      </c>
      <c r="E3" s="19" t="n">
        <v>276</v>
      </c>
      <c r="F3" s="19">
        <f>TODAY()-D3</f>
        <v/>
      </c>
      <c r="G3" s="19">
        <f>IF(F3&gt;21, "Yes", "No")</f>
        <v/>
      </c>
      <c r="H3" s="12" t="n">
        <v>44538</v>
      </c>
      <c r="I3" s="19" t="n">
        <v>213</v>
      </c>
      <c r="J3" s="19">
        <f>TODAY()-H3</f>
        <v/>
      </c>
      <c r="K3" s="19">
        <f>IF(J3&gt;21, "Yes", "No")</f>
        <v/>
      </c>
      <c r="L3" s="12" t="n">
        <v>44571</v>
      </c>
      <c r="M3" s="19">
        <f>8+12+4+13+10+10+8+7+5+8+13+41+4+8+8+8+2+6</f>
        <v/>
      </c>
      <c r="N3" s="19">
        <f>TODAY()-L3</f>
        <v/>
      </c>
      <c r="O3" s="19">
        <f>IF(N3&gt;21, "Yes", "No")</f>
        <v/>
      </c>
      <c r="P3" s="12" t="n">
        <v>44628</v>
      </c>
      <c r="Q3" s="19">
        <f>4+17+20</f>
        <v/>
      </c>
      <c r="R3" s="19">
        <f>TODAY()-P3</f>
        <v/>
      </c>
      <c r="S3" s="19">
        <f>IF(R3&gt;21, "Yes", "No")</f>
        <v/>
      </c>
      <c r="T3" s="19" t="n"/>
      <c r="U3" s="19" t="n"/>
      <c r="V3" s="19" t="n"/>
      <c r="W3" s="19" t="n"/>
      <c r="Y3" s="13" t="n">
        <v>44530</v>
      </c>
      <c r="Z3" s="19" t="n">
        <v>41</v>
      </c>
      <c r="AA3" s="19" t="n"/>
      <c r="AB3" s="19" t="n"/>
      <c r="AC3" s="19" t="n"/>
      <c r="AD3" t="inlineStr">
        <is>
          <t>*10 black fungus</t>
        </is>
      </c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E3-41</f>
        <v/>
      </c>
      <c r="F4" s="15" t="n"/>
      <c r="G4" s="15" t="n"/>
      <c r="H4" s="12" t="n"/>
      <c r="I4" s="19">
        <f>I3-44</f>
        <v/>
      </c>
      <c r="J4" s="19" t="n"/>
      <c r="K4" s="19" t="n"/>
      <c r="L4" s="12" t="n">
        <v>44628</v>
      </c>
      <c r="M4" s="19">
        <f>10+4+5</f>
        <v/>
      </c>
      <c r="N4" s="19">
        <f>TODAY()-L4</f>
        <v/>
      </c>
      <c r="O4" s="19">
        <f>IF(N4&gt;21, "Yes", "No")</f>
        <v/>
      </c>
      <c r="P4" s="12" t="n">
        <v>44683</v>
      </c>
      <c r="Q4" s="19">
        <f>18+19+1</f>
        <v/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>
        <v>44558</v>
      </c>
      <c r="Z4" s="19" t="n"/>
      <c r="AA4" s="19" t="n"/>
      <c r="AB4" s="19" t="n">
        <v>44</v>
      </c>
      <c r="AC4" s="19" t="n"/>
      <c r="AD4" t="inlineStr">
        <is>
          <t>4 yellow mold / bacteria</t>
        </is>
      </c>
    </row>
    <row r="5" ht="18" customHeight="1" s="21">
      <c r="A5" s="36" t="inlineStr">
        <is>
          <t>Stage II # Explants:</t>
        </is>
      </c>
      <c r="B5" s="3">
        <f t="array" ref="B5">(IFERROR((LOOKUP(2,1/(I$3:I$100&lt;&gt;""),I$3:I$100)),0))</f>
        <v/>
      </c>
      <c r="D5" s="12" t="n">
        <v>44547</v>
      </c>
      <c r="E5" s="19" t="n">
        <v>156</v>
      </c>
      <c r="F5" s="19">
        <f>TODAY()-D5</f>
        <v/>
      </c>
      <c r="G5" s="19">
        <f>IF(F5&gt;21, "Yes", "No")</f>
        <v/>
      </c>
      <c r="H5" s="12" t="n"/>
      <c r="I5" s="19">
        <f>I4-12</f>
        <v/>
      </c>
      <c r="J5" s="19" t="n"/>
      <c r="K5" s="19" t="n"/>
      <c r="L5" s="12" t="n">
        <v>44683</v>
      </c>
      <c r="M5" s="19">
        <f>99+92+30</f>
        <v/>
      </c>
      <c r="N5" s="19">
        <f>TODAY()-L5</f>
        <v/>
      </c>
      <c r="O5" s="19">
        <f>IF(N5&gt;21, "Yes", "No")</f>
        <v/>
      </c>
      <c r="P5" s="12" t="n">
        <v>44721</v>
      </c>
      <c r="Q5" s="19" t="n">
        <v>1</v>
      </c>
      <c r="R5" s="19">
        <f>TODAY()-P5</f>
        <v/>
      </c>
      <c r="S5" s="19">
        <f>IF(R5&gt;21, "Yes", "No")</f>
        <v/>
      </c>
      <c r="T5" s="19" t="n"/>
      <c r="U5" s="19" t="n"/>
      <c r="V5" s="19" t="n"/>
      <c r="W5" s="19" t="n"/>
      <c r="Y5" s="13" t="n">
        <v>44568</v>
      </c>
      <c r="Z5" s="19" t="n"/>
      <c r="AA5" s="19" t="n"/>
      <c r="AB5" s="19" t="n">
        <v>12</v>
      </c>
      <c r="AC5" s="19" t="n"/>
      <c r="AD5" t="inlineStr">
        <is>
          <t>*20 white bacteria</t>
        </is>
      </c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>
        <f>E5-6</f>
        <v/>
      </c>
      <c r="F6" s="19" t="n"/>
      <c r="G6" s="19" t="n"/>
      <c r="H6" s="12" t="n">
        <v>44582</v>
      </c>
      <c r="I6" s="19">
        <f>9+14+14+5+9+15+22+5+10+5+4+5+15+7+4+8+8+4+6+10+14+10+7+8+8+5</f>
        <v/>
      </c>
      <c r="J6" s="19">
        <f>TODAY()-H6</f>
        <v/>
      </c>
      <c r="K6" s="19">
        <f>IF(J6&gt;21, "Yes", "No")</f>
        <v/>
      </c>
      <c r="L6" s="12" t="n">
        <v>44721</v>
      </c>
      <c r="M6" s="19" t="n">
        <v>10</v>
      </c>
      <c r="N6" s="19">
        <f>TODAY()-L6</f>
        <v/>
      </c>
      <c r="O6" s="19">
        <f>IF(N6&gt;21, "Yes", "No")</f>
        <v/>
      </c>
      <c r="P6" s="12" t="n">
        <v>44742</v>
      </c>
      <c r="Q6" s="19" t="n">
        <v>3</v>
      </c>
      <c r="R6" s="19" t="n"/>
      <c r="S6" s="19" t="n"/>
      <c r="T6" s="19" t="n"/>
      <c r="U6" s="19" t="n"/>
      <c r="V6" s="19" t="n"/>
      <c r="W6" s="19" t="n"/>
      <c r="Y6" s="13" t="n">
        <v>44571</v>
      </c>
      <c r="Z6" s="19">
        <f>6</f>
        <v/>
      </c>
      <c r="AA6" s="19" t="n"/>
      <c r="AB6" s="19" t="n"/>
      <c r="AC6" s="19" t="n"/>
      <c r="AD6" t="inlineStr">
        <is>
          <t>*7 pink mold / bacteria</t>
        </is>
      </c>
    </row>
    <row r="7" ht="18" customHeight="1" s="21">
      <c r="A7" s="36" t="inlineStr">
        <is>
          <t>Stage II Subculture</t>
        </is>
      </c>
      <c r="B7" s="1">
        <f t="array" aca="1" ref="B7" ca="1">LOOKUP(2,1 / (K$3:K$1048576 &lt;&gt;""), K$3:K$1048576)</f>
        <v/>
      </c>
      <c r="D7" s="12" t="inlineStr">
        <is>
          <t>N/A</t>
        </is>
      </c>
      <c r="E7" s="19" t="inlineStr">
        <is>
          <t>N/A</t>
        </is>
      </c>
      <c r="F7" s="19" t="inlineStr">
        <is>
          <t>N/A</t>
        </is>
      </c>
      <c r="G7" s="19" t="inlineStr">
        <is>
          <t>N/A</t>
        </is>
      </c>
      <c r="H7" s="12" t="n">
        <v>44628</v>
      </c>
      <c r="I7" s="19">
        <f>157+100+129</f>
        <v/>
      </c>
      <c r="J7" s="19">
        <f>TODAY()-H7</f>
        <v/>
      </c>
      <c r="K7" s="19">
        <f>IF(J7&gt;21, "Yes", "No")</f>
        <v/>
      </c>
      <c r="L7" s="12" t="n">
        <v>44742</v>
      </c>
      <c r="M7" s="19" t="n">
        <v>0</v>
      </c>
      <c r="N7" s="19">
        <f>TODAY()-L7</f>
        <v/>
      </c>
      <c r="O7" s="19">
        <f>IF(N7&gt;21, "Yes", "No")</f>
        <v/>
      </c>
      <c r="P7" s="19" t="n"/>
      <c r="Q7" s="19" t="n"/>
      <c r="R7" s="19" t="n"/>
      <c r="S7" s="19" t="n"/>
      <c r="T7" s="19" t="n"/>
      <c r="U7" s="19" t="n"/>
      <c r="V7" s="19" t="n"/>
      <c r="W7" s="19" t="n"/>
      <c r="Y7" s="13" t="n">
        <v>44585</v>
      </c>
      <c r="Z7" s="19" t="n"/>
      <c r="AA7" s="19" t="n"/>
      <c r="AB7" s="19" t="n">
        <v>16</v>
      </c>
      <c r="AC7" s="19" t="n"/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2" t="inlineStr">
        <is>
          <t>N/A</t>
        </is>
      </c>
      <c r="I8" s="19" t="inlineStr">
        <is>
          <t>N/A</t>
        </is>
      </c>
      <c r="J8" s="19" t="inlineStr">
        <is>
          <t>N/A</t>
        </is>
      </c>
      <c r="K8" s="19" t="inlineStr">
        <is>
          <t>N/A</t>
        </is>
      </c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Y8" s="13" t="n">
        <v>44628</v>
      </c>
      <c r="Z8" s="19" t="n"/>
      <c r="AA8" s="19" t="n"/>
      <c r="AB8" s="19">
        <f>14+5</f>
        <v/>
      </c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1">
      <c r="A11" s="34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1">
      <c r="A12" s="34" t="inlineStr">
        <is>
          <t>Stage 2.5 Date:</t>
        </is>
      </c>
      <c r="B12" s="10">
        <f t="array" ref="B12">LOOKUP(2,1 / (P$3:P$100 &lt;&gt;""), P$3:P$100)</f>
        <v/>
      </c>
    </row>
    <row r="13" ht="18" customHeight="1" s="21">
      <c r="A13" s="34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1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1">
      <c r="A15" s="2" t="inlineStr">
        <is>
          <t>Stage IV Date:</t>
        </is>
      </c>
      <c r="B15" s="10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5"/>
  <sheetViews>
    <sheetView topLeftCell="D1" zoomScale="110" zoomScaleNormal="110" workbookViewId="0">
      <selection activeCell="I10" sqref="I10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14.6640625" bestFit="1" customWidth="1" style="21" min="12" max="12"/>
    <col width="15.44140625" bestFit="1" customWidth="1" style="21" min="14" max="14"/>
    <col width="9.5546875" bestFit="1" customWidth="1" style="21" min="16" max="16"/>
    <col width="10.6640625" bestFit="1" customWidth="1" style="21" min="17" max="17"/>
    <col width="9.5546875" bestFit="1" customWidth="1" style="21" min="20" max="20"/>
  </cols>
  <sheetData>
    <row r="1" ht="18" customHeight="1" s="21">
      <c r="A1" s="2" t="inlineStr">
        <is>
          <t>Strain Name:</t>
        </is>
      </c>
      <c r="B1" s="3" t="inlineStr">
        <is>
          <t>MAC2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44511</v>
      </c>
      <c r="E3" s="19" t="n">
        <v>280</v>
      </c>
      <c r="F3" s="19">
        <f>TODAY()-D3</f>
        <v/>
      </c>
      <c r="G3" s="19">
        <f>IF(F3&gt;21, "Yes", "No")</f>
        <v/>
      </c>
      <c r="H3" s="12" t="n">
        <v>44608</v>
      </c>
      <c r="I3" s="19" t="n">
        <v>207</v>
      </c>
      <c r="J3" s="19">
        <f>TODAY()-H3</f>
        <v/>
      </c>
      <c r="K3" s="19">
        <f>IF(J3&gt;21, "Yes", "No")</f>
        <v/>
      </c>
      <c r="L3" s="12" t="n">
        <v>44547</v>
      </c>
      <c r="M3" s="19" t="n">
        <v>123</v>
      </c>
      <c r="N3" s="19">
        <f>TODAY()-L3</f>
        <v/>
      </c>
      <c r="O3" s="19">
        <f>IF(N3&gt;21, "Yes", "No")</f>
        <v/>
      </c>
      <c r="P3" s="12" t="n">
        <v>44608</v>
      </c>
      <c r="Q3" s="19" t="n">
        <v>3</v>
      </c>
      <c r="R3" s="19">
        <f>TODAY()-P3</f>
        <v/>
      </c>
      <c r="S3" s="19">
        <f>IF(R3&gt;21, "Yes", "No")</f>
        <v/>
      </c>
      <c r="T3" s="12" t="n">
        <v>44608</v>
      </c>
      <c r="U3" s="19" t="n">
        <v>7</v>
      </c>
      <c r="V3" s="19">
        <f>TODAY()-T3</f>
        <v/>
      </c>
      <c r="W3" s="19">
        <f>IF(V3&gt;21, "Yes", "No")</f>
        <v/>
      </c>
      <c r="Y3" s="13" t="n">
        <v>44530</v>
      </c>
      <c r="Z3" s="19">
        <f>9+8+3+5+10+6</f>
        <v/>
      </c>
      <c r="AA3" s="19" t="n"/>
      <c r="AB3" s="19" t="n"/>
      <c r="AC3" s="19" t="n"/>
      <c r="AD3" t="inlineStr">
        <is>
          <t>*23 white bacteria</t>
        </is>
      </c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E3-41</f>
        <v/>
      </c>
      <c r="F4" s="15" t="n"/>
      <c r="G4" s="15" t="n"/>
      <c r="H4" s="14" t="n">
        <v>44636</v>
      </c>
      <c r="I4" s="15">
        <f>22+36</f>
        <v/>
      </c>
      <c r="J4" s="19">
        <f>TODAY()-H4</f>
        <v/>
      </c>
      <c r="K4" s="19">
        <f>IF(J4&gt;21, "Yes", "No")</f>
        <v/>
      </c>
      <c r="L4" s="12" t="n"/>
      <c r="M4" s="19">
        <f>M3+12+11+9+12+11+11+11+14+12+9+7+8</f>
        <v/>
      </c>
      <c r="N4" s="19" t="n"/>
      <c r="O4" s="19" t="n"/>
      <c r="P4" s="12" t="n">
        <v>44636</v>
      </c>
      <c r="Q4" s="19" t="n">
        <v>24</v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>
        <v>44547</v>
      </c>
      <c r="Z4" s="19" t="n"/>
      <c r="AA4" s="19" t="n"/>
      <c r="AB4" s="19" t="n">
        <v>21</v>
      </c>
      <c r="AC4" s="19" t="n"/>
      <c r="AD4" t="inlineStr">
        <is>
          <t>*3 white curly bacteria</t>
        </is>
      </c>
    </row>
    <row r="5" ht="18" customHeight="1" s="21">
      <c r="A5" s="36" t="inlineStr">
        <is>
          <t>Stage II # Explants:</t>
        </is>
      </c>
      <c r="B5" s="3">
        <f t="array" ref="B5">(IFERROR((LOOKUP(2,1/(I$3:I$100&lt;&gt;""),I$3:I$100)),0))</f>
        <v/>
      </c>
      <c r="D5" s="12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2" t="inlineStr">
        <is>
          <t>N/A</t>
        </is>
      </c>
      <c r="I5" s="19" t="inlineStr">
        <is>
          <t>N/A</t>
        </is>
      </c>
      <c r="J5" s="19" t="inlineStr">
        <is>
          <t>N/A</t>
        </is>
      </c>
      <c r="K5" s="19" t="inlineStr">
        <is>
          <t>N/A</t>
        </is>
      </c>
      <c r="L5" s="12" t="n"/>
      <c r="M5" s="19">
        <f>M4-45</f>
        <v/>
      </c>
      <c r="N5" s="19" t="n"/>
      <c r="O5" s="19" t="n"/>
      <c r="P5" s="12" t="n">
        <v>44683</v>
      </c>
      <c r="Q5" s="19" t="n">
        <v>62</v>
      </c>
      <c r="R5" s="19">
        <f>TODAY()-P5</f>
        <v/>
      </c>
      <c r="S5" s="19">
        <f>IF(R5&gt;21, "Yes", "No")</f>
        <v/>
      </c>
      <c r="T5" s="19" t="n"/>
      <c r="U5" s="19" t="n"/>
      <c r="V5" s="19" t="n"/>
      <c r="W5" s="19" t="n"/>
      <c r="Y5" s="13" t="n">
        <v>44558</v>
      </c>
      <c r="Z5" s="19" t="n"/>
      <c r="AA5" s="19" t="n"/>
      <c r="AB5" s="19" t="n">
        <v>45</v>
      </c>
      <c r="AC5" s="19" t="n"/>
      <c r="AD5" t="inlineStr">
        <is>
          <t>*5 black fungus</t>
        </is>
      </c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>
        <f>M5-24</f>
        <v/>
      </c>
      <c r="N6" s="19" t="n"/>
      <c r="O6" s="19" t="n"/>
      <c r="P6" s="12" t="n">
        <v>44721</v>
      </c>
      <c r="Q6" s="19" t="n">
        <v>4</v>
      </c>
      <c r="R6" s="19">
        <f>TODAY()-P6</f>
        <v/>
      </c>
      <c r="S6" s="19">
        <f>IF(R6&gt;21, "Yes", "No")</f>
        <v/>
      </c>
      <c r="T6" s="19" t="n"/>
      <c r="U6" s="19" t="n"/>
      <c r="V6" s="19" t="n"/>
      <c r="W6" s="19" t="n"/>
      <c r="Y6" s="13" t="n">
        <v>44568</v>
      </c>
      <c r="Z6" s="19" t="n"/>
      <c r="AA6" s="19" t="n"/>
      <c r="AB6" s="19" t="n">
        <v>24</v>
      </c>
      <c r="AC6" s="19" t="n"/>
      <c r="AD6" t="inlineStr">
        <is>
          <t xml:space="preserve">*5 yellow bacteria </t>
        </is>
      </c>
    </row>
    <row r="7" ht="18" customHeight="1" s="21">
      <c r="A7" s="36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2" t="n">
        <v>44581</v>
      </c>
      <c r="M7" s="19">
        <f>5+3+7+5+12+3+10+5+5+5+7+5+5+5+5+5+7+5+9+14+4+9+5+4+4+9+4+13+5+13+9+5+13+4</f>
        <v/>
      </c>
      <c r="N7" s="19">
        <f>TODAY()-L7</f>
        <v/>
      </c>
      <c r="O7" s="19">
        <f>IF(N7&gt;21, "Yes", "No")</f>
        <v/>
      </c>
      <c r="P7" s="12" t="n">
        <v>44739</v>
      </c>
      <c r="Q7" s="19" t="n">
        <v>13</v>
      </c>
      <c r="R7" s="19">
        <f>TODAY()-P7</f>
        <v/>
      </c>
      <c r="S7" s="19">
        <f>IF(R7&gt;21, "Yes", "No")</f>
        <v/>
      </c>
      <c r="T7" s="19" t="n"/>
      <c r="U7" s="19" t="n"/>
      <c r="V7" s="19" t="n"/>
      <c r="W7" s="19" t="n"/>
      <c r="Z7" s="19" t="n"/>
      <c r="AA7" s="19" t="n"/>
      <c r="AB7" s="19" t="n"/>
      <c r="AC7" s="19" t="n"/>
      <c r="AD7" t="inlineStr">
        <is>
          <t>*3 pink bacteria</t>
        </is>
      </c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2" t="n">
        <v>44608</v>
      </c>
      <c r="M8" s="19" t="n">
        <v>0</v>
      </c>
      <c r="N8" s="19">
        <f>TODAY()-L8</f>
        <v/>
      </c>
      <c r="O8" s="19">
        <f>IF(N8&gt;21, "Yes", "No")</f>
        <v/>
      </c>
      <c r="P8" s="19" t="n"/>
      <c r="Q8" s="19" t="n"/>
      <c r="R8" s="19" t="n"/>
      <c r="S8" s="19" t="n"/>
      <c r="T8" s="19" t="n"/>
      <c r="U8" s="19" t="n"/>
      <c r="V8" s="19" t="n"/>
      <c r="W8" s="19" t="n"/>
      <c r="Z8" s="19" t="n"/>
      <c r="AA8" s="19" t="n"/>
      <c r="AB8" s="19" t="n"/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>
        <v>44636</v>
      </c>
      <c r="M9" s="19">
        <f>9+8+99</f>
        <v/>
      </c>
      <c r="N9" s="19">
        <f>TODAY()-L9</f>
        <v/>
      </c>
      <c r="O9" s="19">
        <f>IF(N9&gt;21, "Yes", "No")</f>
        <v/>
      </c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  <c r="L10" s="13" t="n">
        <v>44683</v>
      </c>
      <c r="M10" t="n">
        <v>26</v>
      </c>
      <c r="N10" s="19">
        <f>TODAY()-L10</f>
        <v/>
      </c>
      <c r="O10" s="19">
        <f>IF(N10&gt;21, "Yes", "No")</f>
        <v/>
      </c>
    </row>
    <row r="11" ht="18" customHeight="1" s="21">
      <c r="A11" s="34" t="inlineStr">
        <is>
          <t>Stage 2.5 # Explants:</t>
        </is>
      </c>
      <c r="B11" s="3">
        <f t="array" ref="B11">(IFERROR((LOOKUP(2,1/(Q$3:Q$100&lt;&gt;""),Q$3:Q$100)),0))</f>
        <v/>
      </c>
      <c r="L11" s="13" t="n">
        <v>44721</v>
      </c>
      <c r="M11" t="n">
        <v>27</v>
      </c>
      <c r="N11" s="41">
        <f>TODAY()-L11</f>
        <v/>
      </c>
      <c r="O11" s="41">
        <f>IF(N11&gt;21, "Yes", "No")</f>
        <v/>
      </c>
    </row>
    <row r="12" ht="18" customHeight="1" s="21">
      <c r="A12" s="34" t="inlineStr">
        <is>
          <t>Stage 2.5 Date:</t>
        </is>
      </c>
      <c r="B12" s="10">
        <f t="array" ref="B12">LOOKUP(2,1 / (P$3:P$100 &lt;&gt;""), P$3:P$100)</f>
        <v/>
      </c>
      <c r="L12" s="13" t="n">
        <v>44739</v>
      </c>
      <c r="M12" t="n">
        <v>19</v>
      </c>
      <c r="N12" s="41">
        <f>TODAY()-L12</f>
        <v/>
      </c>
      <c r="O12" s="41">
        <f>IF(N12&gt;21, "Yes", "No")</f>
        <v/>
      </c>
    </row>
    <row r="13" ht="18" customHeight="1" s="21">
      <c r="A13" s="34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1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1">
      <c r="A15" s="2" t="inlineStr">
        <is>
          <t>Stage IV Date:</t>
        </is>
      </c>
      <c r="B15" s="10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5"/>
  <sheetViews>
    <sheetView topLeftCell="B1" zoomScaleNormal="100" workbookViewId="0">
      <selection activeCell="P10" sqref="P10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14.5546875" bestFit="1" customWidth="1" style="21" min="12" max="12"/>
    <col width="15.44140625" bestFit="1" customWidth="1" style="21" min="14" max="14"/>
    <col width="9.5546875" bestFit="1" customWidth="1" style="21" min="16" max="16"/>
    <col width="10.6640625" bestFit="1" customWidth="1" style="21" min="17" max="17"/>
    <col width="9.5546875" bestFit="1" customWidth="1" style="21" min="20" max="20"/>
    <col width="10.6640625" bestFit="1" customWidth="1" style="21" min="21" max="21"/>
  </cols>
  <sheetData>
    <row r="1" ht="18" customHeight="1" s="21">
      <c r="A1" s="2" t="inlineStr">
        <is>
          <t>Strain Name:</t>
        </is>
      </c>
      <c r="B1" s="3" t="inlineStr">
        <is>
          <t>TM6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44511</v>
      </c>
      <c r="E3" s="19" t="n">
        <v>280</v>
      </c>
      <c r="F3" s="19">
        <f>TODAY()-D3</f>
        <v/>
      </c>
      <c r="G3" s="19">
        <f>IF(F3&gt;21, "Yes", "No")</f>
        <v/>
      </c>
      <c r="H3" s="12" t="n">
        <v>44606</v>
      </c>
      <c r="I3" s="19" t="n">
        <v>138</v>
      </c>
      <c r="J3" s="19">
        <f>TODAY()-H3</f>
        <v/>
      </c>
      <c r="K3" s="19">
        <f>IF(J3&gt;21, "Yes", "No")</f>
        <v/>
      </c>
      <c r="L3" s="12" t="n">
        <v>44547</v>
      </c>
      <c r="M3" s="19" t="n">
        <v>169</v>
      </c>
      <c r="N3" s="19">
        <f>TODAY()-L3</f>
        <v/>
      </c>
      <c r="O3" s="19">
        <f>IF(N3&gt;21, "Yes", "No")</f>
        <v/>
      </c>
      <c r="P3" s="12" t="n">
        <v>44606</v>
      </c>
      <c r="Q3" s="19" t="n">
        <v>16</v>
      </c>
      <c r="R3" s="19">
        <f>TODAY()-P3</f>
        <v/>
      </c>
      <c r="S3" s="19">
        <f>IF(R3&gt;21, "Yes", "No")</f>
        <v/>
      </c>
      <c r="T3" s="12" t="n">
        <v>44606</v>
      </c>
      <c r="U3" s="19" t="n">
        <v>24</v>
      </c>
      <c r="V3" s="19">
        <f>TODAY()-T3</f>
        <v/>
      </c>
      <c r="W3" s="19">
        <f>IF(V3&gt;21, "Yes", "No")</f>
        <v/>
      </c>
      <c r="Y3" s="13">
        <f>11/30/2021</f>
        <v/>
      </c>
      <c r="Z3" s="19">
        <f>6+6+9+9</f>
        <v/>
      </c>
      <c r="AA3" s="19" t="n"/>
      <c r="AB3" s="19" t="n"/>
      <c r="AC3" s="19" t="n"/>
      <c r="AD3" t="inlineStr">
        <is>
          <t>*6 bleached</t>
        </is>
      </c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E3-30</f>
        <v/>
      </c>
      <c r="F4" s="15" t="n"/>
      <c r="G4" s="15" t="n"/>
      <c r="H4" s="14" t="n">
        <v>44636</v>
      </c>
      <c r="I4" s="15" t="n">
        <v>72</v>
      </c>
      <c r="J4" s="19">
        <f>TODAY()-H4</f>
        <v/>
      </c>
      <c r="K4" s="19">
        <f>IF(J4&gt;21, "Yes", "No")</f>
        <v/>
      </c>
      <c r="L4" s="12" t="n"/>
      <c r="M4" s="19">
        <f>M3+13+14+11</f>
        <v/>
      </c>
      <c r="N4" s="19" t="n"/>
      <c r="O4" s="19" t="n"/>
      <c r="P4" s="12" t="n">
        <v>44636</v>
      </c>
      <c r="Q4" s="19" t="n">
        <v>10</v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>
        <v>44547</v>
      </c>
      <c r="Z4" s="19" t="n"/>
      <c r="AA4" s="19" t="n"/>
      <c r="AB4" s="19" t="n">
        <v>4</v>
      </c>
      <c r="AC4" s="19" t="n"/>
      <c r="AD4" t="inlineStr">
        <is>
          <t>*13 black fungus</t>
        </is>
      </c>
    </row>
    <row r="5" ht="18" customHeight="1" s="21">
      <c r="A5" s="36" t="inlineStr">
        <is>
          <t>Stage II # Explants:</t>
        </is>
      </c>
      <c r="B5" s="3">
        <f t="array" ref="B5">(IFERROR((LOOKUP(2,1/(I$3:I$100&lt;&gt;""),I$3:I$100)),0))</f>
        <v/>
      </c>
      <c r="D5" s="12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2" t="inlineStr">
        <is>
          <t>N/A</t>
        </is>
      </c>
      <c r="I5" s="19" t="inlineStr">
        <is>
          <t>N/A</t>
        </is>
      </c>
      <c r="J5" s="19" t="inlineStr">
        <is>
          <t>N/A</t>
        </is>
      </c>
      <c r="K5" s="19" t="inlineStr">
        <is>
          <t>N/A</t>
        </is>
      </c>
      <c r="L5" s="12" t="n"/>
      <c r="M5" s="19">
        <f>M4-21</f>
        <v/>
      </c>
      <c r="N5" s="19" t="n"/>
      <c r="O5" s="19" t="n"/>
      <c r="P5" s="12" t="n">
        <v>44680</v>
      </c>
      <c r="Q5" s="19">
        <f>12</f>
        <v/>
      </c>
      <c r="R5" s="19">
        <f>TODAY()-P5</f>
        <v/>
      </c>
      <c r="S5" s="19">
        <f>IF(R5&gt;21, "Yes", "No")</f>
        <v/>
      </c>
      <c r="T5" s="19" t="n"/>
      <c r="U5" s="19" t="n"/>
      <c r="V5" s="19" t="n"/>
      <c r="W5" s="19" t="n"/>
      <c r="Y5" s="13" t="n">
        <v>44558</v>
      </c>
      <c r="Z5" s="19" t="n"/>
      <c r="AA5" s="19" t="n"/>
      <c r="AB5" s="19" t="n">
        <v>21</v>
      </c>
      <c r="AC5" s="19" t="n"/>
      <c r="AD5" t="inlineStr">
        <is>
          <t>*2 yellow mold / bacteria</t>
        </is>
      </c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>
        <f>M5-65</f>
        <v/>
      </c>
      <c r="N6" s="19" t="n"/>
      <c r="O6" s="19" t="n"/>
      <c r="P6" s="12" t="n">
        <v>44718</v>
      </c>
      <c r="Q6" s="19">
        <f>3+3+3+6+4+13</f>
        <v/>
      </c>
      <c r="R6" s="19">
        <f>TODAY()-P6</f>
        <v/>
      </c>
      <c r="S6" s="19">
        <f>IF(R6&gt;21, "Yes", "No")</f>
        <v/>
      </c>
      <c r="T6" s="19" t="n"/>
      <c r="U6" s="19" t="n"/>
      <c r="V6" s="19" t="n"/>
      <c r="W6" s="19" t="n"/>
      <c r="Y6" s="13" t="n">
        <v>44568</v>
      </c>
      <c r="Z6" s="19" t="n"/>
      <c r="AA6" s="19" t="n"/>
      <c r="AB6" s="19" t="n">
        <v>65</v>
      </c>
      <c r="AC6" s="19" t="n"/>
      <c r="AD6" t="inlineStr">
        <is>
          <t>*9 white bacteria</t>
        </is>
      </c>
    </row>
    <row r="7" ht="18" customHeight="1" s="21">
      <c r="A7" s="36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>
        <f>M6-14</f>
        <v/>
      </c>
      <c r="N7" s="19" t="n"/>
      <c r="O7" s="19" t="n"/>
      <c r="P7" s="12" t="n">
        <v>44734</v>
      </c>
      <c r="Q7" s="19">
        <f>5+11</f>
        <v/>
      </c>
      <c r="R7" s="19">
        <f>TODAY()-P7</f>
        <v/>
      </c>
      <c r="S7" s="19">
        <f>IF(R7&gt;21, "Yes", "No")</f>
        <v/>
      </c>
      <c r="T7" s="19" t="n"/>
      <c r="U7" s="19" t="n"/>
      <c r="V7" s="19" t="n"/>
      <c r="W7" s="19" t="n"/>
      <c r="Y7" s="13" t="n">
        <v>44581</v>
      </c>
      <c r="Z7" s="19" t="n"/>
      <c r="AA7" s="19" t="n"/>
      <c r="AB7" s="19">
        <f>5+5+4</f>
        <v/>
      </c>
      <c r="AC7" s="19" t="n"/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2" t="n">
        <v>44581</v>
      </c>
      <c r="M8" s="19">
        <f>5+5+4+4+7+10+4+4+2+5+7+5</f>
        <v/>
      </c>
      <c r="N8" s="19">
        <f>TODAY()-L8</f>
        <v/>
      </c>
      <c r="O8" s="19">
        <f>IF(N8&gt;21, "Yes", "No")</f>
        <v/>
      </c>
      <c r="P8" s="12" t="n">
        <v>44777</v>
      </c>
      <c r="Q8" s="19" t="n">
        <v>11</v>
      </c>
      <c r="R8" s="19">
        <f>TODAY()-P8</f>
        <v/>
      </c>
      <c r="S8" s="19">
        <f>IF(R8&gt;21, "Yes", "No")</f>
        <v/>
      </c>
      <c r="T8" s="19" t="n"/>
      <c r="U8" s="19" t="n"/>
      <c r="V8" s="19" t="n"/>
      <c r="W8" s="19" t="n"/>
      <c r="Z8" s="19" t="n"/>
      <c r="AA8" s="19" t="n"/>
      <c r="AB8" s="19" t="n"/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>
        <v>44606</v>
      </c>
      <c r="M9" s="19" t="n">
        <v>3</v>
      </c>
      <c r="N9" s="19">
        <f>TODAY()-L9</f>
        <v/>
      </c>
      <c r="O9" s="19">
        <f>IF(N9&gt;21, "Yes", "No")</f>
        <v/>
      </c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  <c r="L10" s="13" t="n">
        <v>44636</v>
      </c>
      <c r="M10">
        <f>30+8+8+8+9+8</f>
        <v/>
      </c>
      <c r="N10" s="19">
        <f>TODAY()-L10</f>
        <v/>
      </c>
      <c r="O10" s="19">
        <f>IF(N10&gt;21, "Yes", "No")</f>
        <v/>
      </c>
    </row>
    <row r="11" ht="18" customHeight="1" s="21">
      <c r="A11" s="34" t="inlineStr">
        <is>
          <t>Stage 2.5 # Explants:</t>
        </is>
      </c>
      <c r="B11" s="3">
        <f t="array" ref="B11">(IFERROR((LOOKUP(2,1/(Q$3:Q$100&lt;&gt;""),Q$3:Q$100)),0))</f>
        <v/>
      </c>
      <c r="L11" s="13" t="n">
        <v>44680</v>
      </c>
      <c r="M11">
        <f>8+44+50</f>
        <v/>
      </c>
      <c r="N11" s="19">
        <f>TODAY()-L11</f>
        <v/>
      </c>
      <c r="O11" s="19">
        <f>IF(N11&gt;21, "Yes", "No")</f>
        <v/>
      </c>
    </row>
    <row r="12" ht="18" customHeight="1" s="21">
      <c r="A12" s="34" t="inlineStr">
        <is>
          <t>Stage 2.5 Date:</t>
        </is>
      </c>
      <c r="B12" s="10">
        <f t="array" ref="B12">LOOKUP(2,1 / (P$3:P$100 &lt;&gt;""), P$3:P$100)</f>
        <v/>
      </c>
      <c r="L12" s="13" t="n">
        <v>44718</v>
      </c>
      <c r="M12">
        <f>8+8+8+16</f>
        <v/>
      </c>
      <c r="N12" s="41">
        <f>TODAY()-L12</f>
        <v/>
      </c>
      <c r="O12" s="41">
        <f>IF(N12&gt;21, "Yes", "No")</f>
        <v/>
      </c>
    </row>
    <row r="13" ht="18" customHeight="1" s="21">
      <c r="A13" s="34" t="inlineStr">
        <is>
          <t>Stage 2.5 Subculture</t>
        </is>
      </c>
      <c r="B13" s="1">
        <f t="array" aca="1" ref="B13" ca="1">LOOKUP(2,1 / (S$3:S$100 &lt;&gt;""), S$3:S$100)</f>
        <v/>
      </c>
      <c r="L13" s="13" t="n">
        <v>44734</v>
      </c>
      <c r="M13">
        <f>10+26</f>
        <v/>
      </c>
      <c r="N13" s="41">
        <f>TODAY()-L13</f>
        <v/>
      </c>
      <c r="O13" s="41">
        <f>IF(N13&gt;21, "Yes", "No")</f>
        <v/>
      </c>
    </row>
    <row r="14" ht="18" customHeight="1" s="21">
      <c r="A14" s="2" t="inlineStr">
        <is>
          <t>Stage IV # Explants:</t>
        </is>
      </c>
      <c r="B14" s="3">
        <f t="array" ref="B14">(IFERROR((LOOKUP(2,1/(U$3:U$100&lt;&gt;""),U$3:U$100)),0))</f>
        <v/>
      </c>
      <c r="L14" s="13" t="n">
        <v>44777</v>
      </c>
      <c r="M14">
        <f>16+12+16</f>
        <v/>
      </c>
      <c r="N14" s="41">
        <f>TODAY()-L14</f>
        <v/>
      </c>
      <c r="O14" s="41">
        <f>IF(N14&gt;21, "Yes", "No")</f>
        <v/>
      </c>
    </row>
    <row r="15" ht="18" customHeight="1" s="21">
      <c r="A15" s="2" t="inlineStr">
        <is>
          <t>Stage IV Date:</t>
        </is>
      </c>
      <c r="B15" s="10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5"/>
  <sheetViews>
    <sheetView topLeftCell="D1" zoomScale="110" zoomScaleNormal="110" workbookViewId="0">
      <selection activeCell="P8" sqref="P8"/>
    </sheetView>
  </sheetViews>
  <sheetFormatPr baseColWidth="8" defaultRowHeight="14.4"/>
  <cols>
    <col width="26.2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14.6640625" bestFit="1" customWidth="1" style="21" min="12" max="12"/>
    <col width="15.44140625" bestFit="1" customWidth="1" style="21" min="14" max="14"/>
    <col width="14.6640625" bestFit="1" customWidth="1" style="21" min="16" max="16"/>
    <col width="10.6640625" bestFit="1" customWidth="1" style="21" min="17" max="17"/>
    <col width="9.5546875" bestFit="1" customWidth="1" style="21" min="20" max="20"/>
    <col width="9.5546875" bestFit="1" customWidth="1" style="21" min="25" max="25"/>
  </cols>
  <sheetData>
    <row r="1" ht="18" customHeight="1" s="21">
      <c r="A1" s="2" t="inlineStr">
        <is>
          <t>Strain Name:</t>
        </is>
      </c>
      <c r="B1" s="3" t="inlineStr">
        <is>
          <t>ALH2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44511</v>
      </c>
      <c r="E3" s="19">
        <f>5*40+36</f>
        <v/>
      </c>
      <c r="F3" s="19">
        <f>TODAY()-D3</f>
        <v/>
      </c>
      <c r="G3" s="19">
        <f>IF(F3&gt;21, "Yes", "No")</f>
        <v/>
      </c>
      <c r="H3" s="12" t="n">
        <v>44582</v>
      </c>
      <c r="I3" s="19">
        <f>8+9+10+5+9+6+8+10+5</f>
        <v/>
      </c>
      <c r="J3" s="19">
        <f>TODAY()-H3</f>
        <v/>
      </c>
      <c r="K3" s="19">
        <f>IF(J3&gt;21, "Yes", "No")</f>
        <v/>
      </c>
      <c r="L3" s="12" t="n">
        <v>44547</v>
      </c>
      <c r="M3" s="19" t="n">
        <v>219</v>
      </c>
      <c r="N3" s="19">
        <f>TODAY()-L3</f>
        <v/>
      </c>
      <c r="O3" s="19">
        <f>IF(N3&gt;21, "Yes", "No")</f>
        <v/>
      </c>
      <c r="P3" s="12" t="n">
        <v>44607</v>
      </c>
      <c r="Q3" s="19" t="n">
        <v>36</v>
      </c>
      <c r="R3" s="19">
        <f>TODAY()-P3</f>
        <v/>
      </c>
      <c r="S3" s="19">
        <f>IF(R3&gt;21, "Yes", "No")</f>
        <v/>
      </c>
      <c r="T3" s="12" t="n">
        <v>44607</v>
      </c>
      <c r="U3" s="19" t="n">
        <v>21</v>
      </c>
      <c r="V3" s="19">
        <f>TODAY()-T3</f>
        <v/>
      </c>
      <c r="W3" s="19">
        <f>IF(V3&gt;21, "Yes", "No")</f>
        <v/>
      </c>
      <c r="Y3" s="13" t="n">
        <v>44530</v>
      </c>
      <c r="Z3" s="19">
        <f>36+5</f>
        <v/>
      </c>
      <c r="AA3" s="19" t="n"/>
      <c r="AB3" s="19" t="n"/>
      <c r="AC3" s="19" t="n"/>
      <c r="AD3" t="inlineStr">
        <is>
          <t>*22 bleached</t>
        </is>
      </c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>
        <v>44547</v>
      </c>
      <c r="E4" s="15" t="n">
        <v>75</v>
      </c>
      <c r="F4" s="19">
        <f>TODAY()-D4</f>
        <v/>
      </c>
      <c r="G4" s="19">
        <f>IF(F4&gt;21, "Yes", "No")</f>
        <v/>
      </c>
      <c r="H4" s="14" t="n">
        <v>44607</v>
      </c>
      <c r="I4" s="15" t="n">
        <v>244</v>
      </c>
      <c r="J4" s="19">
        <f>TODAY()-H4</f>
        <v/>
      </c>
      <c r="K4" s="19">
        <f>IF(J4&gt;21, "Yes", "No")</f>
        <v/>
      </c>
      <c r="L4" s="12" t="n"/>
      <c r="M4" s="19">
        <f>M3-26</f>
        <v/>
      </c>
      <c r="N4" s="19" t="n"/>
      <c r="O4" s="19" t="n"/>
      <c r="P4" s="12" t="n">
        <v>44643</v>
      </c>
      <c r="Q4" s="19">
        <f>3+1</f>
        <v/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>
        <v>44558</v>
      </c>
      <c r="Z4" s="19" t="n"/>
      <c r="AA4" s="19" t="n"/>
      <c r="AB4" s="19" t="n">
        <v>26</v>
      </c>
      <c r="AC4" s="19" t="n"/>
      <c r="AD4" t="inlineStr">
        <is>
          <t>*1 pink bacteria</t>
        </is>
      </c>
    </row>
    <row r="5" ht="18" customHeight="1" s="21">
      <c r="A5" s="36" t="inlineStr">
        <is>
          <t>Stage II # Explants:</t>
        </is>
      </c>
      <c r="B5" s="3">
        <f t="array" ref="B5">(IFERROR((LOOKUP(2,1/(I$3:I$100&lt;&gt;""),I$3:I$100)),0))</f>
        <v/>
      </c>
      <c r="D5" s="12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2" t="inlineStr">
        <is>
          <t>N/A</t>
        </is>
      </c>
      <c r="I5" s="19" t="inlineStr">
        <is>
          <t>N/A</t>
        </is>
      </c>
      <c r="J5" s="19" t="inlineStr">
        <is>
          <t>N/A</t>
        </is>
      </c>
      <c r="K5" s="19" t="inlineStr">
        <is>
          <t>N/A</t>
        </is>
      </c>
      <c r="L5" s="12" t="n"/>
      <c r="M5" s="19">
        <f>M4-32</f>
        <v/>
      </c>
      <c r="N5" s="19" t="n"/>
      <c r="O5" s="19" t="n"/>
      <c r="P5" s="12" t="n">
        <v>44683</v>
      </c>
      <c r="Q5" s="19" t="n">
        <v>4</v>
      </c>
      <c r="R5" s="19">
        <f>TODAY()-P5</f>
        <v/>
      </c>
      <c r="S5" s="19">
        <f>IF(R5&gt;21, "Yes", "No")</f>
        <v/>
      </c>
      <c r="T5" s="19" t="n"/>
      <c r="U5" s="19" t="n"/>
      <c r="V5" s="19" t="n"/>
      <c r="W5" s="19" t="n"/>
      <c r="Y5" s="13" t="n">
        <v>44568</v>
      </c>
      <c r="Z5" s="19" t="n"/>
      <c r="AA5" s="19" t="n"/>
      <c r="AB5" s="19" t="n">
        <v>32</v>
      </c>
      <c r="AC5" s="19" t="n"/>
      <c r="AD5" t="inlineStr">
        <is>
          <t>*3 black fungus</t>
        </is>
      </c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>
        <v>44582</v>
      </c>
      <c r="M6" s="19">
        <f>7+9+7+9+8+6+10+11+5+12+13+11+13+11+7+8+4+2+3+1+4+9</f>
        <v/>
      </c>
      <c r="N6" s="19">
        <f>TODAY()-L6</f>
        <v/>
      </c>
      <c r="O6" s="19">
        <f>IF(N6&gt;21, "Yes", "No")</f>
        <v/>
      </c>
      <c r="P6" s="12" t="n">
        <v>44721</v>
      </c>
      <c r="Q6" s="19" t="n">
        <v>4</v>
      </c>
      <c r="R6" s="19">
        <f>TODAY()-P6</f>
        <v/>
      </c>
      <c r="S6" s="19">
        <f>IF(R6&gt;21, "Yes", "No")</f>
        <v/>
      </c>
      <c r="T6" s="19" t="n"/>
      <c r="U6" s="19" t="n"/>
      <c r="V6" s="19" t="n"/>
      <c r="W6" s="19" t="n"/>
      <c r="Y6" s="13" t="n">
        <v>44585</v>
      </c>
      <c r="Z6" s="19" t="n"/>
      <c r="AA6" s="19" t="n"/>
      <c r="AB6" s="19" t="n">
        <v>12</v>
      </c>
      <c r="AC6" s="19" t="n"/>
      <c r="AD6" t="inlineStr">
        <is>
          <t>*14 white bacteria</t>
        </is>
      </c>
    </row>
    <row r="7" ht="18" customHeight="1" s="21">
      <c r="A7" s="36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2" t="n">
        <v>44607</v>
      </c>
      <c r="M7" s="19" t="n">
        <v>0</v>
      </c>
      <c r="N7" s="19">
        <f>TODAY()-L7</f>
        <v/>
      </c>
      <c r="O7" s="19">
        <f>IF(N7&gt;21, "Yes", "No")</f>
        <v/>
      </c>
      <c r="P7" s="12" t="n">
        <v>44739</v>
      </c>
      <c r="Q7" s="19" t="n">
        <v>8</v>
      </c>
      <c r="R7" s="19">
        <f>TODAY()-P7</f>
        <v/>
      </c>
      <c r="S7" s="19">
        <f>IF(R7&gt;21, "Yes", "No")</f>
        <v/>
      </c>
      <c r="T7" s="19" t="n"/>
      <c r="U7" s="19" t="n"/>
      <c r="V7" s="19" t="n"/>
      <c r="W7" s="19" t="n"/>
      <c r="Z7" s="19" t="n"/>
      <c r="AA7" s="19" t="n"/>
      <c r="AB7" s="19" t="n"/>
      <c r="AC7" s="19" t="n"/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2" t="n">
        <v>44643</v>
      </c>
      <c r="M8" s="19">
        <f>10+15+60+53+33</f>
        <v/>
      </c>
      <c r="N8" s="19">
        <f>TODAY()-L8</f>
        <v/>
      </c>
      <c r="O8" s="19">
        <f>IF(N8&gt;21, "Yes", "No")</f>
        <v/>
      </c>
      <c r="P8" s="19" t="n"/>
      <c r="Q8" s="19" t="n"/>
      <c r="R8" s="19" t="n"/>
      <c r="S8" s="19" t="n"/>
      <c r="T8" s="19" t="n"/>
      <c r="U8" s="19" t="n"/>
      <c r="V8" s="19" t="n"/>
      <c r="W8" s="19" t="n"/>
      <c r="Z8" s="19" t="n"/>
      <c r="AA8" s="19" t="n"/>
      <c r="AB8" s="19" t="n"/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>
        <v>44683</v>
      </c>
      <c r="M9" s="19">
        <f>7+22</f>
        <v/>
      </c>
      <c r="N9" s="19">
        <f>TODAY()-L9</f>
        <v/>
      </c>
      <c r="O9" s="19">
        <f>IF(N9&gt;21, "Yes", "No")</f>
        <v/>
      </c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  <c r="L10" s="13" t="n">
        <v>44721</v>
      </c>
      <c r="M10" t="n">
        <v>10</v>
      </c>
      <c r="N10" s="41">
        <f>TODAY()-L10</f>
        <v/>
      </c>
      <c r="O10" s="41">
        <f>IF(N10&gt;21, "Yes", "No")</f>
        <v/>
      </c>
    </row>
    <row r="11" ht="18" customHeight="1" s="21">
      <c r="A11" s="34" t="inlineStr">
        <is>
          <t>Stage 2.5 # Explants:</t>
        </is>
      </c>
      <c r="B11" s="3">
        <f t="array" ref="B11">(IFERROR((LOOKUP(2,1/(Q$3:Q$100&lt;&gt;""),Q$3:Q$100)),0))</f>
        <v/>
      </c>
      <c r="L11" s="13" t="n">
        <v>44739</v>
      </c>
      <c r="M11" t="n">
        <v>10</v>
      </c>
      <c r="N11" s="41">
        <f>TODAY()-L11</f>
        <v/>
      </c>
      <c r="O11" s="41">
        <f>IF(N11&gt;21, "Yes", "No")</f>
        <v/>
      </c>
    </row>
    <row r="12" ht="18" customHeight="1" s="21">
      <c r="A12" s="34" t="inlineStr">
        <is>
          <t>Stage 2.5 Date:</t>
        </is>
      </c>
      <c r="B12" s="10">
        <f t="array" ref="B12">LOOKUP(2,1 / (P$3:P$100 &lt;&gt;""), P$3:P$100)</f>
        <v/>
      </c>
    </row>
    <row r="13" ht="18" customHeight="1" s="21">
      <c r="A13" s="34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1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1">
      <c r="A15" s="2" t="inlineStr">
        <is>
          <t>Stage IV Date:</t>
        </is>
      </c>
      <c r="B15" s="10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5"/>
  <sheetViews>
    <sheetView tabSelected="1" topLeftCell="G1" zoomScale="110" zoomScaleNormal="110" workbookViewId="0">
      <selection activeCell="P8" sqref="P8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14.6640625" bestFit="1" customWidth="1" style="21" min="12" max="12"/>
    <col width="15.44140625" bestFit="1" customWidth="1" style="21" min="14" max="14"/>
    <col width="9.5546875" bestFit="1" customWidth="1" style="21" min="16" max="16"/>
    <col width="10.6640625" bestFit="1" customWidth="1" style="21" min="17" max="17"/>
    <col width="9.5546875" bestFit="1" customWidth="1" style="21" min="20" max="20"/>
  </cols>
  <sheetData>
    <row r="1" ht="18" customHeight="1" s="21">
      <c r="A1" s="2" t="inlineStr">
        <is>
          <t>Strain Name:</t>
        </is>
      </c>
      <c r="B1" s="3" t="inlineStr">
        <is>
          <t>SFV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44515</v>
      </c>
      <c r="E3" s="19">
        <f>6*40</f>
        <v/>
      </c>
      <c r="F3" s="19">
        <f>TODAY()-D3</f>
        <v/>
      </c>
      <c r="G3" s="19">
        <f>IF(F3&gt;21, "Yes", "No")</f>
        <v/>
      </c>
      <c r="H3" s="12" t="n">
        <v>44586</v>
      </c>
      <c r="I3" s="19">
        <f>10+8+6+4+3+4+3+7+3+3+11+4+4+8+4</f>
        <v/>
      </c>
      <c r="J3" s="19">
        <f>TODAY()-H3</f>
        <v/>
      </c>
      <c r="K3" s="19">
        <f>IF(J3&gt;21, "Yes", "No")</f>
        <v/>
      </c>
      <c r="L3" s="12" t="n">
        <v>44547</v>
      </c>
      <c r="M3" s="19" t="n">
        <v>116</v>
      </c>
      <c r="N3" s="19">
        <f>TODAY()-L3</f>
        <v/>
      </c>
      <c r="O3" s="19">
        <f>IF(N3&gt;21, "Yes", "No")</f>
        <v/>
      </c>
      <c r="P3" s="12" t="n">
        <v>44586</v>
      </c>
      <c r="Q3" s="19">
        <f>3+4+4+2+3+4+3+3+3+6+1</f>
        <v/>
      </c>
      <c r="R3" s="19">
        <f>TODAY()-P3</f>
        <v/>
      </c>
      <c r="S3" s="19">
        <f>IF(R3&gt;21, "Yes", "No")</f>
        <v/>
      </c>
      <c r="T3" s="12" t="n">
        <v>44606</v>
      </c>
      <c r="U3" s="19" t="n">
        <v>60</v>
      </c>
      <c r="V3" s="12">
        <f>TODAY()-T3</f>
        <v/>
      </c>
      <c r="W3" s="19">
        <f>IF(V3&gt;21, "Yes", "No")</f>
        <v/>
      </c>
      <c r="Y3" s="13">
        <f>11/30/2021</f>
        <v/>
      </c>
      <c r="Z3" s="19">
        <f>78</f>
        <v/>
      </c>
      <c r="AA3" s="19" t="n"/>
      <c r="AB3" s="19" t="n"/>
      <c r="AC3" s="19" t="n"/>
      <c r="AD3" t="inlineStr">
        <is>
          <t>*30 white bacteria</t>
        </is>
      </c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E3-78</f>
        <v/>
      </c>
      <c r="F4" s="15" t="n"/>
      <c r="G4" s="15" t="n"/>
      <c r="H4" s="14" t="n">
        <v>44606</v>
      </c>
      <c r="I4" s="15" t="n">
        <v>144</v>
      </c>
      <c r="J4" s="19">
        <f>TODAY()-H4</f>
        <v/>
      </c>
      <c r="K4" s="19">
        <f>IF(J4&gt;21, "Yes", "No")</f>
        <v/>
      </c>
      <c r="L4" s="12" t="n"/>
      <c r="M4" s="19">
        <f>M3-32</f>
        <v/>
      </c>
      <c r="N4" s="19" t="n"/>
      <c r="O4" s="19" t="n"/>
      <c r="P4" s="12" t="n">
        <v>44606</v>
      </c>
      <c r="Q4" s="19" t="n">
        <v>44</v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>
        <v>44547</v>
      </c>
      <c r="Z4" s="19" t="n"/>
      <c r="AA4" s="19" t="n"/>
      <c r="AB4" s="19" t="n">
        <v>26</v>
      </c>
      <c r="AC4" s="19" t="n"/>
      <c r="AD4" t="inlineStr">
        <is>
          <t>*20 black fungus</t>
        </is>
      </c>
    </row>
    <row r="5" ht="18" customHeight="1" s="21">
      <c r="A5" s="36" t="inlineStr">
        <is>
          <t>Stage II # Explants:</t>
        </is>
      </c>
      <c r="B5" s="3">
        <f t="array" ref="B5">(IFERROR((LOOKUP(2,1/(I$3:I$100&lt;&gt;""),I$3:I$100)),0))</f>
        <v/>
      </c>
      <c r="D5" s="12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2" t="n"/>
      <c r="I5" s="19">
        <f>I4-37</f>
        <v/>
      </c>
      <c r="J5" s="19" t="n"/>
      <c r="K5" s="19" t="n"/>
      <c r="L5" s="12" t="n">
        <v>44586</v>
      </c>
      <c r="M5" s="19">
        <f>8+12+6+2+7+5+4+8+4</f>
        <v/>
      </c>
      <c r="N5" s="19">
        <f>TODAY()-L5</f>
        <v/>
      </c>
      <c r="O5" s="19">
        <f>IF(N5&gt;21, "Yes", "No")</f>
        <v/>
      </c>
      <c r="P5" s="12" t="n">
        <v>44636</v>
      </c>
      <c r="Q5" s="19">
        <f>24</f>
        <v/>
      </c>
      <c r="R5" s="19">
        <f>TODAY()-P5</f>
        <v/>
      </c>
      <c r="S5" s="19">
        <f>IF(R5&gt;21, "Yes", "No")</f>
        <v/>
      </c>
      <c r="T5" s="19" t="n"/>
      <c r="U5" s="19" t="n"/>
      <c r="V5" s="19" t="n"/>
      <c r="W5" s="19" t="n"/>
      <c r="Y5" s="13" t="n">
        <v>44558</v>
      </c>
      <c r="Z5" s="19" t="n"/>
      <c r="AA5" s="19" t="n"/>
      <c r="AB5" s="19" t="n">
        <v>32</v>
      </c>
      <c r="AC5" s="19" t="n"/>
      <c r="AD5" t="inlineStr">
        <is>
          <t>*10 pink mold / bacteria</t>
        </is>
      </c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2" t="n">
        <v>44636</v>
      </c>
      <c r="I6" s="19" t="n">
        <v>110</v>
      </c>
      <c r="J6" s="19">
        <f>TODAY()-H6</f>
        <v/>
      </c>
      <c r="K6" s="19">
        <f>IF(J6&gt;21, "Yes", "No")</f>
        <v/>
      </c>
      <c r="L6" s="12" t="n">
        <v>44606</v>
      </c>
      <c r="M6" s="19" t="n">
        <v>17</v>
      </c>
      <c r="N6" s="19">
        <f>TODAY()-L6</f>
        <v/>
      </c>
      <c r="O6" s="19">
        <f>IF(N6&gt;21, "Yes", "No")</f>
        <v/>
      </c>
      <c r="P6" s="12" t="n">
        <v>44683</v>
      </c>
      <c r="Q6" s="19">
        <f>1+24</f>
        <v/>
      </c>
      <c r="R6" s="19">
        <f>TODAY()-P6</f>
        <v/>
      </c>
      <c r="S6" s="19">
        <f>IF(R6&gt;21, "Yes", "No")</f>
        <v/>
      </c>
      <c r="T6" s="19" t="n"/>
      <c r="U6" s="19" t="n"/>
      <c r="V6" s="19" t="n"/>
      <c r="W6" s="19" t="n"/>
      <c r="Y6" s="13" t="n"/>
      <c r="Z6" s="19" t="n"/>
      <c r="AA6" s="19" t="n"/>
      <c r="AB6" s="19" t="n"/>
      <c r="AC6" s="19" t="n"/>
      <c r="AD6" t="inlineStr">
        <is>
          <t>*8 yellow mold / bacteria</t>
        </is>
      </c>
    </row>
    <row r="7" ht="18" customHeight="1" s="21">
      <c r="A7" s="36" t="inlineStr">
        <is>
          <t>Stage II Subculture</t>
        </is>
      </c>
      <c r="B7" s="1">
        <f t="array" aca="1" ref="B7" ca="1">LOOKUP(2,1 / (K$3:K$1048576 &lt;&gt;""), K$3:K$1048576)</f>
        <v/>
      </c>
      <c r="D7" s="19" t="n"/>
      <c r="E7" s="19" t="n"/>
      <c r="F7" s="19" t="n"/>
      <c r="G7" s="19" t="n"/>
      <c r="H7" s="12" t="inlineStr">
        <is>
          <t>N/A</t>
        </is>
      </c>
      <c r="I7" s="19" t="inlineStr">
        <is>
          <t>N/A</t>
        </is>
      </c>
      <c r="J7" s="19" t="inlineStr">
        <is>
          <t>N/A</t>
        </is>
      </c>
      <c r="K7" s="19" t="inlineStr">
        <is>
          <t>N/A</t>
        </is>
      </c>
      <c r="L7" s="12" t="n">
        <v>44636</v>
      </c>
      <c r="M7" s="19" t="n">
        <v>72</v>
      </c>
      <c r="N7" s="19">
        <f>TODAY()-L7</f>
        <v/>
      </c>
      <c r="O7" s="19">
        <f>IF(N7&gt;21, "Yes", "No")</f>
        <v/>
      </c>
      <c r="P7" s="12" t="n">
        <v>44720</v>
      </c>
      <c r="Q7" s="19">
        <f>16+4+6</f>
        <v/>
      </c>
      <c r="R7" s="19">
        <f>TODAY()-P7</f>
        <v/>
      </c>
      <c r="S7" s="19">
        <f>IF(R7&gt;21, "Yes", "No")</f>
        <v/>
      </c>
      <c r="T7" s="19" t="n"/>
      <c r="U7" s="19" t="n"/>
      <c r="V7" s="19" t="n"/>
      <c r="W7" s="19" t="n"/>
      <c r="Z7" s="19" t="n"/>
      <c r="AA7" s="19" t="n"/>
      <c r="AB7" s="19" t="n"/>
      <c r="AC7" s="19" t="n"/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2" t="n">
        <v>44683</v>
      </c>
      <c r="M8" s="19">
        <f>8+5+8+8+8+8+8+4+18+148</f>
        <v/>
      </c>
      <c r="N8" s="19">
        <f>TODAY()-L8</f>
        <v/>
      </c>
      <c r="O8" s="19">
        <f>IF(N8&gt;21, "Yes", "No")</f>
        <v/>
      </c>
      <c r="P8" s="19" t="n"/>
      <c r="Q8" s="19" t="n"/>
      <c r="R8" s="19" t="n"/>
      <c r="S8" s="19" t="n"/>
      <c r="T8" s="19" t="n"/>
      <c r="U8" s="19" t="n"/>
      <c r="V8" s="19" t="n"/>
      <c r="W8" s="19" t="n"/>
      <c r="Z8" s="19" t="n"/>
      <c r="AA8" s="19" t="n"/>
      <c r="AB8" s="19" t="n"/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>
        <v>44720</v>
      </c>
      <c r="M9" s="19">
        <f>32+28+26+10+10</f>
        <v/>
      </c>
      <c r="N9" s="19">
        <f>TODAY()-L9</f>
        <v/>
      </c>
      <c r="O9" s="19">
        <f>IF(N9&gt;21, "Yes", "No")</f>
        <v/>
      </c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1">
      <c r="A11" s="34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1">
      <c r="A12" s="34" t="inlineStr">
        <is>
          <t>Stage 2.5 Date:</t>
        </is>
      </c>
      <c r="B12" s="10">
        <f t="array" ref="B12">LOOKUP(2,1 / (P$3:P$100 &lt;&gt;""), P$3:P$100)</f>
        <v/>
      </c>
    </row>
    <row r="13" ht="18" customHeight="1" s="21">
      <c r="A13" s="34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1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1">
      <c r="A15" s="2" t="inlineStr">
        <is>
          <t>Stage IV Date:</t>
        </is>
      </c>
      <c r="B15" s="10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5"/>
  <sheetViews>
    <sheetView topLeftCell="P1" zoomScale="110" zoomScaleNormal="110" workbookViewId="0">
      <selection activeCell="A1" sqref="A1:AF19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14.6640625" bestFit="1" customWidth="1" style="21" min="12" max="12"/>
    <col width="15.44140625" bestFit="1" customWidth="1" style="21" min="14" max="14"/>
    <col width="14.6640625" bestFit="1" customWidth="1" style="21" min="16" max="16"/>
    <col width="10.6640625" bestFit="1" customWidth="1" style="21" min="17" max="17"/>
    <col width="10.6640625" bestFit="1" customWidth="1" style="21" min="21" max="21"/>
    <col width="10.6640625" bestFit="1" customWidth="1" style="21" min="25" max="25"/>
  </cols>
  <sheetData>
    <row r="1" ht="18" customHeight="1" s="21">
      <c r="A1" s="2" t="inlineStr">
        <is>
          <t>Strain Name:</t>
        </is>
      </c>
      <c r="B1" s="3" t="inlineStr">
        <is>
          <t>I95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44515</v>
      </c>
      <c r="E3" s="19">
        <f>7*40</f>
        <v/>
      </c>
      <c r="F3" s="19">
        <f>TODAY()-D3</f>
        <v/>
      </c>
      <c r="G3" s="19">
        <f>IF(F3&gt;21, "Yes", "No")</f>
        <v/>
      </c>
      <c r="H3" s="12" t="n">
        <v>44587</v>
      </c>
      <c r="I3" s="19">
        <f>4+3+5+5+10+5+4+4+3+9+3+3+5+4+6+3+4+4+9+7+3+5+4</f>
        <v/>
      </c>
      <c r="J3" s="19">
        <f>TODAY()-H3</f>
        <v/>
      </c>
      <c r="K3" s="19">
        <f>IF(J3&gt;21, "Yes", "No")</f>
        <v/>
      </c>
      <c r="L3" s="12" t="n">
        <v>44547</v>
      </c>
      <c r="M3" s="19" t="n">
        <v>149</v>
      </c>
      <c r="N3" s="19">
        <f>TODAY()-L3</f>
        <v/>
      </c>
      <c r="O3" s="19">
        <f>IF(N3&gt;21, "Yes", "No")</f>
        <v/>
      </c>
      <c r="P3" s="12" t="n">
        <v>44587</v>
      </c>
      <c r="Q3" s="19">
        <f>2+3+2+4+2+4+3</f>
        <v/>
      </c>
      <c r="R3" s="19">
        <f>TODAY()-P3</f>
        <v/>
      </c>
      <c r="S3" s="19">
        <f>IF(R3&gt;21, "Yes", "No")</f>
        <v/>
      </c>
      <c r="T3" s="19" t="n"/>
      <c r="U3" s="19" t="n"/>
      <c r="V3" s="19" t="n"/>
      <c r="W3" s="19" t="n"/>
      <c r="Y3" s="13" t="n">
        <v>44530</v>
      </c>
      <c r="Z3" s="19">
        <f>10+10+5+10+9+4</f>
        <v/>
      </c>
      <c r="AA3" s="19" t="n"/>
      <c r="AB3" s="19" t="n"/>
      <c r="AC3" s="19" t="n"/>
      <c r="AD3" t="inlineStr">
        <is>
          <t>*20 white bacteria</t>
        </is>
      </c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inlineStr">
        <is>
          <t>N/A</t>
        </is>
      </c>
      <c r="E4" s="15" t="inlineStr">
        <is>
          <t>N/A</t>
        </is>
      </c>
      <c r="F4" s="15" t="inlineStr">
        <is>
          <t>N/A</t>
        </is>
      </c>
      <c r="G4" s="15" t="inlineStr">
        <is>
          <t>N/A</t>
        </is>
      </c>
      <c r="H4" s="14" t="inlineStr">
        <is>
          <t>N/A</t>
        </is>
      </c>
      <c r="I4" s="15" t="inlineStr">
        <is>
          <t>N/A</t>
        </is>
      </c>
      <c r="J4" s="15" t="inlineStr">
        <is>
          <t>N/A</t>
        </is>
      </c>
      <c r="K4" s="15" t="inlineStr">
        <is>
          <t>N/A</t>
        </is>
      </c>
      <c r="L4" s="12" t="n"/>
      <c r="M4" s="19">
        <f>M3+11+12+10+12+8+8</f>
        <v/>
      </c>
      <c r="N4" s="19" t="n"/>
      <c r="O4" s="19" t="n"/>
      <c r="P4" s="12" t="n">
        <v>44706</v>
      </c>
      <c r="Q4" s="19" t="n">
        <v>0</v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>
        <v>44547</v>
      </c>
      <c r="Z4" s="19" t="n"/>
      <c r="AA4" s="19" t="n"/>
      <c r="AB4" s="19" t="n">
        <v>33</v>
      </c>
      <c r="AC4" s="19" t="n"/>
      <c r="AD4" t="inlineStr">
        <is>
          <t xml:space="preserve">*11 yellow mold / bacteria </t>
        </is>
      </c>
    </row>
    <row r="5" ht="18" customHeight="1" s="21">
      <c r="A5" s="36" t="inlineStr">
        <is>
          <t>Stage II # Explants:</t>
        </is>
      </c>
      <c r="B5" s="3">
        <f t="array" ref="B5">(IFERROR((LOOKUP(2,1/(I$3:I$100&lt;&gt;""),I$3:I$100)),0))</f>
        <v/>
      </c>
      <c r="D5" s="12" t="n"/>
      <c r="E5" s="19" t="n"/>
      <c r="F5" s="19" t="n"/>
      <c r="G5" s="19" t="n"/>
      <c r="H5" s="12" t="n"/>
      <c r="I5" s="19" t="n"/>
      <c r="J5" s="19" t="n"/>
      <c r="K5" s="19" t="n"/>
      <c r="L5" s="12" t="n"/>
      <c r="M5" s="19">
        <f>M4-49</f>
        <v/>
      </c>
      <c r="N5" s="19" t="n"/>
      <c r="O5" s="19" t="n"/>
      <c r="P5" s="12" t="inlineStr">
        <is>
          <t>10/18/2022</t>
        </is>
      </c>
      <c r="Q5" s="19" t="n">
        <v>2</v>
      </c>
      <c r="R5" s="19" t="n"/>
      <c r="S5" s="19" t="n"/>
      <c r="T5" s="19" t="n"/>
      <c r="U5" s="19" t="n"/>
      <c r="V5" s="19" t="n"/>
      <c r="W5" s="19" t="n"/>
      <c r="Y5" s="13" t="n">
        <v>44558</v>
      </c>
      <c r="Z5" s="19" t="n"/>
      <c r="AA5" s="19" t="n"/>
      <c r="AB5" s="19" t="n">
        <v>49</v>
      </c>
      <c r="AC5" s="19" t="n"/>
      <c r="AD5" t="inlineStr">
        <is>
          <t>*5 pink mold / bacteria</t>
        </is>
      </c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>
        <f>M5-27</f>
        <v/>
      </c>
      <c r="N6" s="19" t="n"/>
      <c r="O6" s="19" t="n"/>
      <c r="P6" s="12" t="n"/>
      <c r="Q6" s="19" t="n"/>
      <c r="R6" s="19" t="n"/>
      <c r="S6" s="19" t="n"/>
      <c r="T6" s="19" t="n"/>
      <c r="U6" s="19" t="n"/>
      <c r="V6" s="19" t="n"/>
      <c r="W6" s="19" t="n"/>
      <c r="Y6" s="13" t="n">
        <v>44568</v>
      </c>
      <c r="Z6" s="19" t="n"/>
      <c r="AA6" s="19" t="n"/>
      <c r="AB6" s="19">
        <f>27</f>
        <v/>
      </c>
      <c r="AC6" s="19" t="n"/>
      <c r="AD6" t="inlineStr">
        <is>
          <t>*3 black fungus</t>
        </is>
      </c>
    </row>
    <row r="7" ht="18" customHeight="1" s="21">
      <c r="A7" s="36" t="inlineStr">
        <is>
          <t>Stage II Subculture</t>
        </is>
      </c>
      <c r="B7" s="1">
        <f t="array" aca="1" ref="B7" ca="1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>
        <f>M6-19</f>
        <v/>
      </c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Y7" s="13" t="n">
        <v>44587</v>
      </c>
      <c r="Z7" s="19" t="n"/>
      <c r="AA7" s="19" t="n"/>
      <c r="AB7" s="19">
        <f>5+5+4+3+2</f>
        <v/>
      </c>
      <c r="AC7" s="19" t="n"/>
      <c r="AD7" t="inlineStr">
        <is>
          <t>*10 bleached</t>
        </is>
      </c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2" t="n">
        <v>44587</v>
      </c>
      <c r="M8" s="19">
        <f>3+3+2</f>
        <v/>
      </c>
      <c r="N8" s="19">
        <f>TODAY()-L8</f>
        <v/>
      </c>
      <c r="O8" s="19">
        <f>IF(N8&gt;21, "Yes", "No")</f>
        <v/>
      </c>
      <c r="P8" s="19" t="n"/>
      <c r="Q8" s="19" t="n"/>
      <c r="R8" s="19" t="n"/>
      <c r="S8" s="19" t="n"/>
      <c r="T8" s="19" t="n"/>
      <c r="U8" s="19" t="n"/>
      <c r="V8" s="19" t="n"/>
      <c r="W8" s="19" t="n"/>
      <c r="Z8" s="19" t="n"/>
      <c r="AA8" s="19" t="n"/>
      <c r="AB8" s="19" t="n"/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>
        <v>44706</v>
      </c>
      <c r="M9" s="19">
        <f>10+5</f>
        <v/>
      </c>
      <c r="N9" s="19">
        <f>TODAY()-L9</f>
        <v/>
      </c>
      <c r="O9" s="19">
        <f>IF(N9&gt;21, "Yes", "No")</f>
        <v/>
      </c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  <c r="L10" t="inlineStr">
        <is>
          <t>10/18/2022</t>
        </is>
      </c>
      <c r="M10" t="n">
        <v>2</v>
      </c>
    </row>
    <row r="11" ht="18" customHeight="1" s="21">
      <c r="A11" s="34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1">
      <c r="A12" s="34" t="inlineStr">
        <is>
          <t>Stage 2.5 Date:</t>
        </is>
      </c>
      <c r="B12" s="10">
        <f t="array" ref="B12">LOOKUP(2,1 / (P$3:P$100 &lt;&gt;""), P$3:P$100)</f>
        <v/>
      </c>
    </row>
    <row r="13" ht="18" customHeight="1" s="21">
      <c r="A13" s="34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1">
      <c r="A14" s="2" t="inlineStr">
        <is>
          <t>Stage IV # Explants:</t>
        </is>
      </c>
      <c r="B14" s="3">
        <f>(IFERROR((LOOKUP(2,1/(Q$3:Q$100&lt;&gt;""),Q$3:Q$100)),0))</f>
        <v/>
      </c>
    </row>
    <row r="15" ht="18" customHeight="1" s="21">
      <c r="A15" s="2" t="inlineStr">
        <is>
          <t>Stage IV Date:</t>
        </is>
      </c>
      <c r="B15" s="10">
        <f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8"/>
  <sheetViews>
    <sheetView topLeftCell="J1" zoomScale="110" zoomScaleNormal="110" workbookViewId="0">
      <selection activeCell="U7" sqref="U7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9.5546875" bestFit="1" customWidth="1" style="21" min="12" max="12"/>
    <col width="15.44140625" bestFit="1" customWidth="1" style="21" min="14" max="14"/>
    <col width="9.5546875" bestFit="1" customWidth="1" style="21" min="16" max="16"/>
    <col width="10.6640625" bestFit="1" customWidth="1" style="21" min="17" max="17"/>
    <col width="9.5546875" bestFit="1" customWidth="1" style="21" min="20" max="20"/>
  </cols>
  <sheetData>
    <row r="1" ht="18" customHeight="1" s="21">
      <c r="A1" s="2" t="inlineStr">
        <is>
          <t>Strain Name:</t>
        </is>
      </c>
      <c r="B1" s="3" t="inlineStr">
        <is>
          <t>WBT</t>
        </is>
      </c>
      <c r="D1" s="4" t="inlineStr">
        <is>
          <t>Stage I</t>
        </is>
      </c>
      <c r="E1" s="19" t="n"/>
      <c r="F1" s="19" t="n"/>
      <c r="G1" s="19" t="n"/>
      <c r="H1" s="4" t="inlineStr">
        <is>
          <t>Stage I</t>
        </is>
      </c>
      <c r="I1" s="19" t="n"/>
      <c r="J1" s="19" t="n"/>
      <c r="K1" s="19" t="n"/>
      <c r="L1" s="35" t="inlineStr">
        <is>
          <t>Stage II</t>
        </is>
      </c>
      <c r="M1" s="19" t="n"/>
      <c r="N1" s="19" t="n"/>
      <c r="O1" s="19" t="n"/>
      <c r="P1" s="6" t="inlineStr">
        <is>
          <t>Stage III</t>
        </is>
      </c>
      <c r="Q1" s="19" t="n"/>
      <c r="R1" s="19" t="n"/>
      <c r="S1" s="19" t="n"/>
      <c r="T1" s="33" t="inlineStr">
        <is>
          <t>Stage 2.5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4" t="inlineStr">
        <is>
          <t>Subculture Date</t>
        </is>
      </c>
      <c r="I2" s="4" t="inlineStr">
        <is>
          <t># Explants</t>
        </is>
      </c>
      <c r="J2" s="4" t="inlineStr">
        <is>
          <t># Days in Culture</t>
        </is>
      </c>
      <c r="K2" s="4" t="inlineStr">
        <is>
          <t>Ready</t>
        </is>
      </c>
      <c r="L2" s="35" t="inlineStr">
        <is>
          <t>Subculture Date</t>
        </is>
      </c>
      <c r="M2" s="35" t="inlineStr">
        <is>
          <t># Explants</t>
        </is>
      </c>
      <c r="N2" s="35" t="inlineStr">
        <is>
          <t># Days in Culture</t>
        </is>
      </c>
      <c r="O2" s="35" t="inlineStr">
        <is>
          <t>Ready</t>
        </is>
      </c>
      <c r="P2" s="6" t="inlineStr">
        <is>
          <t>Subculture Date</t>
        </is>
      </c>
      <c r="Q2" s="6" t="inlineStr">
        <is>
          <t># Explants</t>
        </is>
      </c>
      <c r="R2" s="6" t="inlineStr">
        <is>
          <t># Days in Culture</t>
        </is>
      </c>
      <c r="S2" s="6" t="inlineStr">
        <is>
          <t>Ready</t>
        </is>
      </c>
      <c r="T2" s="33" t="inlineStr">
        <is>
          <t>Subculture Date</t>
        </is>
      </c>
      <c r="U2" s="33" t="inlineStr">
        <is>
          <t># Explants</t>
        </is>
      </c>
      <c r="V2" s="33" t="inlineStr">
        <is>
          <t># Days in Culture</t>
        </is>
      </c>
      <c r="W2" s="33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44566</v>
      </c>
      <c r="E3" s="19" t="n">
        <v>59</v>
      </c>
      <c r="F3" s="19">
        <f>TODAY()-D3</f>
        <v/>
      </c>
      <c r="G3" s="19">
        <f>IF(F3&gt;21, "Yes", "No")</f>
        <v/>
      </c>
      <c r="H3" s="12" t="n">
        <v>44589</v>
      </c>
      <c r="I3" s="19" t="n">
        <v>110</v>
      </c>
      <c r="J3" s="19">
        <f>TODAY()-H3</f>
        <v/>
      </c>
      <c r="K3" s="19">
        <f>IF(J3&gt;21, "Yes", "No")</f>
        <v/>
      </c>
      <c r="L3" s="12" t="n">
        <v>44594</v>
      </c>
      <c r="M3" s="19">
        <f>16+28+110+12</f>
        <v/>
      </c>
      <c r="N3" s="19">
        <f>TODAY()-L3</f>
        <v/>
      </c>
      <c r="O3" s="19">
        <f>IF(N3&gt;21, "Yes", "No")</f>
        <v/>
      </c>
      <c r="P3" s="12" t="n">
        <v>44594</v>
      </c>
      <c r="Q3" s="19">
        <f>29+22</f>
        <v/>
      </c>
      <c r="R3" s="19">
        <f>TODAY()-P3</f>
        <v/>
      </c>
      <c r="S3" s="19">
        <f>IF(R3&gt;21, "Yes", "No")</f>
        <v/>
      </c>
      <c r="T3" s="12" t="n">
        <v>44636</v>
      </c>
      <c r="U3" s="19" t="n">
        <v>5</v>
      </c>
      <c r="V3" s="19">
        <f>TODAY()-T3</f>
        <v/>
      </c>
      <c r="W3" s="19">
        <f>IF(V3&gt;21, "Yes", "No")</f>
        <v/>
      </c>
      <c r="X3" s="19" t="n"/>
      <c r="Y3" s="19" t="n"/>
      <c r="Z3" s="19" t="n"/>
      <c r="AA3" s="19" t="n"/>
      <c r="AC3" s="13" t="n">
        <v>44582</v>
      </c>
      <c r="AD3" s="19" t="n">
        <v>3</v>
      </c>
      <c r="AE3" s="19" t="n"/>
      <c r="AF3" s="19" t="n"/>
      <c r="AG3" s="19" t="n"/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E3-3</f>
        <v/>
      </c>
      <c r="F4" s="15" t="n"/>
      <c r="G4" s="15" t="n"/>
      <c r="H4" s="19" t="inlineStr">
        <is>
          <t>N/A</t>
        </is>
      </c>
      <c r="I4" s="19" t="inlineStr">
        <is>
          <t>N/A</t>
        </is>
      </c>
      <c r="J4" s="19" t="inlineStr">
        <is>
          <t>N/A</t>
        </is>
      </c>
      <c r="K4" s="19" t="inlineStr">
        <is>
          <t>N/A</t>
        </is>
      </c>
      <c r="L4" s="14" t="n">
        <v>44636</v>
      </c>
      <c r="M4" s="15" t="n">
        <v>53</v>
      </c>
      <c r="N4" s="19">
        <f>TODAY()-L4</f>
        <v/>
      </c>
      <c r="O4" s="19">
        <f>IF(N4&gt;21, "Yes", "No")</f>
        <v/>
      </c>
      <c r="P4" s="12" t="n">
        <v>44636</v>
      </c>
      <c r="Q4" s="19" t="n">
        <v>40</v>
      </c>
      <c r="R4" s="19">
        <f>TODAY()-P4</f>
        <v/>
      </c>
      <c r="S4" s="19">
        <f>IF(R4&gt;21, "Yes", "No")</f>
        <v/>
      </c>
      <c r="T4" s="12" t="n">
        <v>44665</v>
      </c>
      <c r="U4" s="19">
        <f>12+6</f>
        <v/>
      </c>
      <c r="V4" s="19">
        <f>TODAY()-T4</f>
        <v/>
      </c>
      <c r="W4" s="19">
        <f>IF(V4&gt;21, "Yes", "No")</f>
        <v/>
      </c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1">
      <c r="A5" s="8" t="inlineStr">
        <is>
          <t>Stage I (2) # Explants:</t>
        </is>
      </c>
      <c r="B5" s="3">
        <f t="array" ref="B5">(IFERROR((LOOKUP(2,1/(I$3:I$100&lt;&gt;""),I$3:I$100)),0))</f>
        <v/>
      </c>
      <c r="D5" s="12" t="n"/>
      <c r="E5" s="19" t="n">
        <v>55</v>
      </c>
      <c r="F5" s="19" t="n"/>
      <c r="G5" s="19" t="n"/>
      <c r="H5" s="12" t="n"/>
      <c r="I5" s="19" t="n"/>
      <c r="J5" s="19" t="n"/>
      <c r="K5" s="19" t="n"/>
      <c r="L5" s="19" t="inlineStr">
        <is>
          <t>N/A</t>
        </is>
      </c>
      <c r="M5" s="19" t="inlineStr">
        <is>
          <t>N/A</t>
        </is>
      </c>
      <c r="N5" s="19" t="inlineStr">
        <is>
          <t>N/A</t>
        </is>
      </c>
      <c r="O5" s="19" t="inlineStr">
        <is>
          <t>N/A</t>
        </is>
      </c>
      <c r="P5" s="12" t="n">
        <v>44665</v>
      </c>
      <c r="Q5" s="19">
        <f>16+36+39+50+8+3+8+8+12+12+4</f>
        <v/>
      </c>
      <c r="R5" s="19">
        <f>TODAY()-P5</f>
        <v/>
      </c>
      <c r="S5" s="19">
        <f>IF(R5&gt;21, "Yes", "No")</f>
        <v/>
      </c>
      <c r="T5" s="12" t="n">
        <v>44718</v>
      </c>
      <c r="U5" s="19">
        <f>21+24+5</f>
        <v/>
      </c>
      <c r="V5" s="19">
        <f>TODAY()-T5</f>
        <v/>
      </c>
      <c r="W5" s="19">
        <f>IF(V5&gt;21, "Yes", "No")</f>
        <v/>
      </c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1">
      <c r="A6" s="8" t="inlineStr">
        <is>
          <t>Stage I (2) Date:</t>
        </is>
      </c>
      <c r="B6" s="10">
        <f t="array" ref="B6">LOOKUP(2,1 / (H$3:H$100 &lt;&gt;""), H$3:H$100)</f>
        <v/>
      </c>
      <c r="D6" s="19" t="inlineStr">
        <is>
          <t>N/A</t>
        </is>
      </c>
      <c r="E6" s="19" t="inlineStr">
        <is>
          <t>N/A</t>
        </is>
      </c>
      <c r="F6" s="19" t="inlineStr">
        <is>
          <t>N/A</t>
        </is>
      </c>
      <c r="G6" s="19" t="inlineStr">
        <is>
          <t>N/A</t>
        </is>
      </c>
      <c r="H6" s="19" t="n"/>
      <c r="I6" s="19" t="n"/>
      <c r="J6" s="19" t="n"/>
      <c r="K6" s="19" t="n"/>
      <c r="L6" s="19" t="n"/>
      <c r="M6" s="19" t="n"/>
      <c r="N6" s="19" t="n"/>
      <c r="O6" s="19" t="n"/>
      <c r="P6" s="12" t="n">
        <v>44718</v>
      </c>
      <c r="Q6" s="19">
        <f>112+52+19</f>
        <v/>
      </c>
      <c r="R6" s="19">
        <f>TODAY()-P6</f>
        <v/>
      </c>
      <c r="S6" s="19">
        <f>IF(R6&gt;21, "Yes", "No")</f>
        <v/>
      </c>
      <c r="T6" s="12" t="n">
        <v>44741</v>
      </c>
      <c r="U6" s="19">
        <f>3+11</f>
        <v/>
      </c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1">
      <c r="A7" s="8" t="inlineStr">
        <is>
          <t>Stage I (2) Subculture</t>
        </is>
      </c>
      <c r="B7" s="1">
        <f t="array" aca="1" ref="B7" ca="1">LOOKUP(2,1 / (K$3:K$100 &lt;&gt;""), K$3:K$100)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2" t="n">
        <v>44741</v>
      </c>
      <c r="Q7" s="19">
        <f>15+15+21+40</f>
        <v/>
      </c>
      <c r="R7" s="19">
        <f>TODAY()-P7</f>
        <v/>
      </c>
      <c r="S7" s="19">
        <f>IF(R7&gt;21, "Yes", "No")</f>
        <v/>
      </c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1">
      <c r="A8" s="36" t="inlineStr">
        <is>
          <t>Stage II # Explants:</t>
        </is>
      </c>
      <c r="B8" s="3">
        <f t="array" ref="B8">(IFERROR((LOOKUP(2,1/(M$3:M$98&lt;&gt;""),M$3:M$100)),0))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1">
      <c r="A9" s="36" t="inlineStr">
        <is>
          <t>Stage 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2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1">
      <c r="A10" s="36" t="inlineStr">
        <is>
          <t>Stage II Subculture</t>
        </is>
      </c>
      <c r="B10" s="1">
        <f t="array" ref="B10">LOOKUP(2,1 / (O$3:O$1048576 &lt;&gt;""), O$3:O$1048576)</f>
        <v/>
      </c>
    </row>
    <row r="11" ht="18" customHeight="1" s="21">
      <c r="A11" s="9" t="inlineStr">
        <is>
          <t>Stage III  # Explants:</t>
        </is>
      </c>
      <c r="B11" s="3">
        <f t="array" ref="B11">(IFERROR((LOOKUP(2,1/(Q$3:Q$100&lt;&gt;""),Q$3:Q$100)),0))</f>
        <v/>
      </c>
    </row>
    <row r="12" ht="18" customHeight="1" s="21">
      <c r="A12" s="9" t="inlineStr">
        <is>
          <t>Stage III  Date:</t>
        </is>
      </c>
      <c r="B12" s="10">
        <f t="array" ref="B12">LOOKUP(2,1 / (P$3:P$100 &lt;&gt;""), P$3:P$100)</f>
        <v/>
      </c>
    </row>
    <row r="13" ht="18" customHeight="1" s="21">
      <c r="A13" s="9" t="inlineStr">
        <is>
          <t>Stage III  Subculture</t>
        </is>
      </c>
      <c r="B13" s="1">
        <f t="array" aca="1" ref="B13" ca="1">LOOKUP(2,1 / (S$3:S$100 &lt;&gt;""), S$3:S$100)</f>
        <v/>
      </c>
    </row>
    <row r="14" ht="18" customHeight="1" s="21">
      <c r="A14" s="34" t="inlineStr">
        <is>
          <t>Stage 2.5 # Explants:</t>
        </is>
      </c>
      <c r="B14" s="3">
        <f t="array" ref="B14">(IFERROR((LOOKUP(2,1/(U$3:U$100&lt;&gt;""),U$3:U$100)),0))</f>
        <v/>
      </c>
    </row>
    <row r="15" ht="18" customHeight="1" s="21">
      <c r="A15" s="34" t="inlineStr">
        <is>
          <t>Stage 2.5 Date:</t>
        </is>
      </c>
      <c r="B15" s="10">
        <f t="array" ref="B15">LOOKUP(2,1 / (T$3:T$100 &lt;&gt;""), T$3:T$100)</f>
        <v/>
      </c>
    </row>
    <row r="16" ht="18" customHeight="1" s="21">
      <c r="A16" s="34" t="inlineStr">
        <is>
          <t>Stage 2.5 Subculture</t>
        </is>
      </c>
      <c r="B16" s="1">
        <f t="array" aca="1" ref="B16" ca="1">LOOKUP(2,1 / (W$3:W$100 &lt;&gt;""), W$3:W$100)</f>
        <v/>
      </c>
    </row>
    <row r="17" ht="18" customHeight="1" s="21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1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8"/>
  <sheetViews>
    <sheetView zoomScale="85" zoomScaleNormal="85" workbookViewId="0">
      <selection activeCell="M9" sqref="M9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9.5546875" bestFit="1" customWidth="1" style="21" min="12" max="12"/>
    <col width="15.44140625" bestFit="1" customWidth="1" style="21" min="14" max="14"/>
    <col width="9.77734375" bestFit="1" customWidth="1" style="21" min="16" max="16"/>
    <col width="10.6640625" bestFit="1" customWidth="1" style="21" min="17" max="17"/>
  </cols>
  <sheetData>
    <row r="1" ht="18" customHeight="1" s="21">
      <c r="A1" s="2" t="inlineStr">
        <is>
          <t>Strain Name:</t>
        </is>
      </c>
      <c r="B1" s="3" t="inlineStr">
        <is>
          <t>Granimals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44566</v>
      </c>
      <c r="E3" s="19" t="n">
        <v>45</v>
      </c>
      <c r="F3" s="19">
        <f>TODAY()-D3</f>
        <v/>
      </c>
      <c r="G3" s="19">
        <f>IF(F3&gt;21, "Yes", "No")</f>
        <v/>
      </c>
      <c r="H3" s="12" t="n">
        <v>44594</v>
      </c>
      <c r="I3" s="19">
        <f>22+17</f>
        <v/>
      </c>
      <c r="J3" s="19">
        <f>TODAY()-H3</f>
        <v/>
      </c>
      <c r="K3" s="19">
        <f>IF(J3&gt;21, "Yes", "No")</f>
        <v/>
      </c>
      <c r="L3" s="12" t="n">
        <v>44594</v>
      </c>
      <c r="M3" s="19">
        <f>3</f>
        <v/>
      </c>
      <c r="N3" s="19">
        <f>TODAY()-L3</f>
        <v/>
      </c>
      <c r="O3" s="19">
        <f>IF(N3&gt;21, "Yes", "No")</f>
        <v/>
      </c>
      <c r="P3" s="12" t="n">
        <v>44635</v>
      </c>
      <c r="Q3" s="19" t="n">
        <v>2</v>
      </c>
      <c r="R3" s="19">
        <f>TODAY()-P3</f>
        <v/>
      </c>
      <c r="S3" s="19">
        <f>IF(R3&gt;21, "Yes", "No")</f>
        <v/>
      </c>
      <c r="T3" s="19" t="n"/>
      <c r="U3" s="19" t="n"/>
      <c r="V3" s="19" t="n"/>
      <c r="W3" s="19" t="n"/>
      <c r="Y3" s="13" t="n">
        <v>44582</v>
      </c>
      <c r="Z3" s="19" t="n">
        <v>7</v>
      </c>
      <c r="AA3" s="19" t="n"/>
      <c r="AB3" s="19" t="n"/>
      <c r="AC3" s="19" t="n"/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E3-8</f>
        <v/>
      </c>
      <c r="F4" s="15" t="n"/>
      <c r="G4" s="15" t="n"/>
      <c r="H4" s="14" t="n">
        <v>44635</v>
      </c>
      <c r="I4" s="15" t="n">
        <v>32</v>
      </c>
      <c r="J4" s="19">
        <f>TODAY()-H4</f>
        <v/>
      </c>
      <c r="K4" s="19">
        <f>IF(J4&gt;21, "Yes", "No")</f>
        <v/>
      </c>
      <c r="L4" s="12" t="n">
        <v>44635</v>
      </c>
      <c r="M4" s="19" t="n">
        <v>27</v>
      </c>
      <c r="N4" s="19">
        <f>TODAY()-L4</f>
        <v/>
      </c>
      <c r="O4" s="19">
        <f>IF(N4&gt;21, "Yes", "No")</f>
        <v/>
      </c>
      <c r="P4" s="12" t="n">
        <v>44683</v>
      </c>
      <c r="Q4" s="19" t="n">
        <v>1</v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/>
      <c r="Z4" s="19" t="n"/>
      <c r="AA4" s="19" t="n"/>
      <c r="AB4" s="19" t="n"/>
      <c r="AC4" s="19" t="n"/>
    </row>
    <row r="5" ht="18" customHeight="1" s="21">
      <c r="A5" s="36" t="inlineStr">
        <is>
          <t>Stage II # Explants:</t>
        </is>
      </c>
      <c r="B5" s="3">
        <f t="array" ref="B5">(IFERROR((LOOKUP(2,1/(I$3:I$98&lt;&gt;""),I$3:I$100)),0))</f>
        <v/>
      </c>
      <c r="D5" s="12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2" t="inlineStr">
        <is>
          <t>N/A</t>
        </is>
      </c>
      <c r="I5" s="19" t="inlineStr">
        <is>
          <t>N/A</t>
        </is>
      </c>
      <c r="J5" s="19" t="inlineStr">
        <is>
          <t>N/A</t>
        </is>
      </c>
      <c r="K5" s="19" t="inlineStr">
        <is>
          <t>N/A</t>
        </is>
      </c>
      <c r="L5" s="12" t="n">
        <v>44683</v>
      </c>
      <c r="M5" s="19" t="n">
        <v>16</v>
      </c>
      <c r="N5" s="19">
        <f>TODAY()-L5</f>
        <v/>
      </c>
      <c r="O5" s="19">
        <f>IF(N5&gt;21, "Yes", "No")</f>
        <v/>
      </c>
      <c r="P5" s="12" t="n">
        <v>44720</v>
      </c>
      <c r="Q5" s="19" t="n">
        <v>1</v>
      </c>
      <c r="R5" s="19">
        <f>TODAY()-P5</f>
        <v/>
      </c>
      <c r="S5" s="19">
        <f>IF(R5&gt;21, "Yes", "No")</f>
        <v/>
      </c>
      <c r="T5" s="19" t="n"/>
      <c r="U5" s="19" t="n"/>
      <c r="V5" s="19" t="n"/>
      <c r="W5" s="19" t="n"/>
      <c r="Y5" s="13" t="n"/>
      <c r="Z5" s="19" t="n"/>
      <c r="AA5" s="19" t="n"/>
      <c r="AB5" s="19" t="n"/>
      <c r="AC5" s="19" t="n"/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>
        <v>44720</v>
      </c>
      <c r="M6" s="19">
        <f>2</f>
        <v/>
      </c>
      <c r="N6" s="19">
        <f>TODAY()-L6</f>
        <v/>
      </c>
      <c r="O6" s="19">
        <f>IF(N6&gt;21, "Yes", "No")</f>
        <v/>
      </c>
      <c r="P6" s="12" t="n"/>
      <c r="Q6" s="19" t="n">
        <v>0</v>
      </c>
      <c r="R6" s="19" t="n"/>
      <c r="S6" s="19" t="n"/>
      <c r="T6" s="19" t="n"/>
      <c r="U6" s="19" t="n"/>
      <c r="V6" s="19" t="n"/>
      <c r="W6" s="19" t="n"/>
      <c r="Y6" s="13" t="n"/>
      <c r="Z6" s="19" t="n"/>
      <c r="AA6" s="19" t="n"/>
      <c r="AB6" s="19" t="n"/>
      <c r="AC6" s="19" t="n"/>
    </row>
    <row r="7" ht="18" customHeight="1" s="21">
      <c r="A7" s="36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2" t="n">
        <v>44734</v>
      </c>
      <c r="M7" s="19" t="n">
        <v>4</v>
      </c>
      <c r="N7" s="19">
        <f>TODAY()-L7</f>
        <v/>
      </c>
      <c r="O7" s="19">
        <f>IF(N7&gt;21, "Yes", "No")</f>
        <v/>
      </c>
      <c r="P7" s="19" t="n"/>
      <c r="Q7" s="19" t="n"/>
      <c r="R7" s="19" t="n"/>
      <c r="S7" s="19" t="n"/>
      <c r="T7" s="19" t="n"/>
      <c r="U7" s="19" t="n"/>
      <c r="V7" s="19" t="n"/>
      <c r="W7" s="19" t="n"/>
      <c r="Z7" s="19" t="n"/>
      <c r="AA7" s="19" t="n"/>
      <c r="AB7" s="19" t="n"/>
      <c r="AC7" s="19" t="n"/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Z8" s="19" t="n"/>
      <c r="AA8" s="19" t="n"/>
      <c r="AB8" s="19" t="n"/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1">
      <c r="A11" s="9" t="inlineStr">
        <is>
          <t>Stage III (2) # Explants:</t>
        </is>
      </c>
      <c r="B11" s="3">
        <f t="array" ref="B11">(IFERROR((LOOKUP(2,1/(Q$3:Q$100&lt;&gt;""),Q$3:Q$100)),0))</f>
        <v/>
      </c>
    </row>
    <row r="12" ht="18" customHeight="1" s="21">
      <c r="A12" s="9" t="inlineStr">
        <is>
          <t>Stage III (2) Date:</t>
        </is>
      </c>
      <c r="B12" s="10">
        <f t="array" ref="B12">LOOKUP(2,1 / (P$3:P$100 &lt;&gt;""), P$3:P$100)</f>
        <v/>
      </c>
    </row>
    <row r="13" ht="18" customHeight="1" s="21">
      <c r="A13" s="9" t="inlineStr">
        <is>
          <t>Stage III (2) Subculture</t>
        </is>
      </c>
      <c r="B13" s="1">
        <f t="array" aca="1" ref="B13" ca="1">LOOKUP(2,1 / (S$3:S$100 &lt;&gt;""), S$3:S$100)</f>
        <v/>
      </c>
    </row>
    <row r="14" ht="18" customHeight="1" s="21">
      <c r="A14" s="34" t="inlineStr">
        <is>
          <t>Stage 2.5 # Explants:</t>
        </is>
      </c>
      <c r="B14" s="3">
        <f t="array" ref="B14">(IFERROR((LOOKUP(2,1/(Q$3:Q$100&lt;&gt;""),Q$3:Q$100)),0))</f>
        <v/>
      </c>
    </row>
    <row r="15" ht="18" customHeight="1" s="21">
      <c r="A15" s="34" t="inlineStr">
        <is>
          <t>Stage 2.5 Date:</t>
        </is>
      </c>
      <c r="B15" s="10">
        <f t="array" ref="B15">LOOKUP(2,1 / (P$3:P$100 &lt;&gt;""), P$3:P$100)</f>
        <v/>
      </c>
    </row>
    <row r="16" ht="18" customHeight="1" s="21">
      <c r="A16" s="34" t="inlineStr">
        <is>
          <t>Stage 2.5 Subculture</t>
        </is>
      </c>
      <c r="B16" s="1">
        <f t="array" aca="1" ref="B16" ca="1">LOOKUP(2,1 / (S$3:S$100 &lt;&gt;""), S$3:S$100)</f>
        <v/>
      </c>
    </row>
    <row r="17" ht="18" customHeight="1" s="21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1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8"/>
  <sheetViews>
    <sheetView topLeftCell="D1" zoomScale="110" zoomScaleNormal="110" workbookViewId="0">
      <selection activeCell="N8" sqref="N8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9.5546875" bestFit="1" customWidth="1" style="21" min="12" max="12"/>
    <col width="15.44140625" bestFit="1" customWidth="1" style="21" min="14" max="14"/>
    <col width="9.5546875" bestFit="1" customWidth="1" style="21" min="16" max="16"/>
    <col width="10.6640625" bestFit="1" customWidth="1" style="21" min="17" max="17"/>
  </cols>
  <sheetData>
    <row r="1" ht="18" customHeight="1" s="21">
      <c r="A1" s="2" t="inlineStr">
        <is>
          <t>Strain Name:</t>
        </is>
      </c>
      <c r="B1" s="3" t="inlineStr">
        <is>
          <t>Strawnana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44566</v>
      </c>
      <c r="E3" s="19" t="n">
        <v>40</v>
      </c>
      <c r="F3" s="19">
        <f>TODAY()-D3</f>
        <v/>
      </c>
      <c r="G3" s="19">
        <f>IF(F3&gt;21, "Yes", "No")</f>
        <v/>
      </c>
      <c r="H3" s="12" t="n">
        <v>44594</v>
      </c>
      <c r="I3" s="19">
        <f>17+25</f>
        <v/>
      </c>
      <c r="J3" s="19">
        <f>TODAY()-H3</f>
        <v/>
      </c>
      <c r="K3" s="19">
        <f>IF(J3&gt;21, "Yes", "No")</f>
        <v/>
      </c>
      <c r="L3" s="12" t="n">
        <v>44594</v>
      </c>
      <c r="M3" s="19" t="n">
        <v>6</v>
      </c>
      <c r="N3" s="19">
        <f>TODAY()-L3</f>
        <v/>
      </c>
      <c r="O3" s="19">
        <f>IF(N3&gt;21, "Yes", "No")</f>
        <v/>
      </c>
      <c r="P3" s="12" t="n">
        <v>44635</v>
      </c>
      <c r="Q3" s="19" t="n">
        <v>2</v>
      </c>
      <c r="R3" s="19">
        <f>TODAY()-P3</f>
        <v/>
      </c>
      <c r="S3" s="19">
        <f>IF(R3&gt;21, "Yes", "No")</f>
        <v/>
      </c>
      <c r="T3" s="19" t="n"/>
      <c r="U3" s="19" t="n"/>
      <c r="V3" s="19" t="n"/>
      <c r="W3" s="19" t="n"/>
      <c r="Y3" s="13" t="n">
        <v>44582</v>
      </c>
      <c r="Z3" s="19" t="n">
        <v>7</v>
      </c>
      <c r="AA3" s="19" t="n"/>
      <c r="AB3" s="19" t="n"/>
      <c r="AC3" s="19" t="n"/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E3-7</f>
        <v/>
      </c>
      <c r="F4" s="15" t="n"/>
      <c r="G4" s="15" t="n"/>
      <c r="H4" s="14" t="n">
        <v>44635</v>
      </c>
      <c r="I4" s="15" t="n">
        <v>17</v>
      </c>
      <c r="J4" s="19">
        <f>TODAY()-H4</f>
        <v/>
      </c>
      <c r="K4" s="19">
        <f>IF(J4&gt;21, "Yes", "No")</f>
        <v/>
      </c>
      <c r="L4" s="12" t="n">
        <v>44635</v>
      </c>
      <c r="M4" s="19" t="n">
        <v>17</v>
      </c>
      <c r="N4" s="19">
        <f>TODAY()-L4</f>
        <v/>
      </c>
      <c r="O4" s="19">
        <f>IF(N4&gt;21, "Yes", "No")</f>
        <v/>
      </c>
      <c r="P4" s="12" t="n">
        <v>44683</v>
      </c>
      <c r="Q4" s="19" t="n">
        <v>1</v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/>
      <c r="Z4" s="19" t="n"/>
      <c r="AA4" s="19" t="n"/>
      <c r="AB4" s="19" t="n"/>
      <c r="AC4" s="19" t="n"/>
    </row>
    <row r="5" ht="18" customHeight="1" s="21">
      <c r="A5" s="36" t="inlineStr">
        <is>
          <t>Stage II # Explants:</t>
        </is>
      </c>
      <c r="B5" s="3">
        <f t="array" ref="B5">(IFERROR((LOOKUP(2,1/(I$3:I$98&lt;&gt;""),I$3:I$100)),0))</f>
        <v/>
      </c>
      <c r="D5" s="12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2" t="inlineStr">
        <is>
          <t>N/A</t>
        </is>
      </c>
      <c r="I5" s="19" t="inlineStr">
        <is>
          <t>N/A</t>
        </is>
      </c>
      <c r="J5" s="19" t="inlineStr">
        <is>
          <t>N/A</t>
        </is>
      </c>
      <c r="K5" s="19" t="inlineStr">
        <is>
          <t>N/A</t>
        </is>
      </c>
      <c r="L5" s="12" t="n">
        <v>44683</v>
      </c>
      <c r="M5" s="19" t="n">
        <v>10</v>
      </c>
      <c r="N5" s="19">
        <f>TODAY()-L5</f>
        <v/>
      </c>
      <c r="O5" s="19">
        <f>IF(N5&gt;21, "Yes", "No")</f>
        <v/>
      </c>
      <c r="P5" s="12" t="n">
        <v>44720</v>
      </c>
      <c r="Q5" s="19" t="n">
        <v>1</v>
      </c>
      <c r="R5" s="19">
        <f>TODAY()-P5</f>
        <v/>
      </c>
      <c r="S5" s="19">
        <f>IF(R5&gt;21, "Yes", "No")</f>
        <v/>
      </c>
      <c r="T5" s="19" t="n"/>
      <c r="U5" s="19" t="n"/>
      <c r="V5" s="19" t="n"/>
      <c r="W5" s="19" t="n"/>
      <c r="Y5" s="13" t="n"/>
      <c r="Z5" s="19" t="n"/>
      <c r="AA5" s="19" t="n"/>
      <c r="AB5" s="19" t="n"/>
      <c r="AC5" s="19" t="n"/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>
        <v>44720</v>
      </c>
      <c r="M6" s="19" t="n">
        <v>1</v>
      </c>
      <c r="N6" s="19">
        <f>TODAY()-L6</f>
        <v/>
      </c>
      <c r="O6" s="19">
        <f>IF(N6&gt;21, "Yes", "No")</f>
        <v/>
      </c>
      <c r="P6" s="12" t="n">
        <v>44742</v>
      </c>
      <c r="Q6" s="19" t="n">
        <v>0</v>
      </c>
      <c r="R6" s="19" t="n"/>
      <c r="S6" s="19" t="n"/>
      <c r="T6" s="19" t="n"/>
      <c r="U6" s="19" t="n"/>
      <c r="V6" s="19" t="n"/>
      <c r="W6" s="19" t="n"/>
      <c r="Y6" s="13" t="n"/>
      <c r="Z6" s="19" t="n"/>
      <c r="AA6" s="19" t="n"/>
      <c r="AB6" s="19" t="n"/>
      <c r="AC6" s="19" t="n"/>
    </row>
    <row r="7" ht="18" customHeight="1" s="21">
      <c r="A7" s="36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2" t="n">
        <v>44742</v>
      </c>
      <c r="M7" s="19" t="n">
        <v>3</v>
      </c>
      <c r="N7" s="19">
        <f>TODAY()-L7</f>
        <v/>
      </c>
      <c r="O7" s="19">
        <f>IF(N7&gt;21, "Yes", "No")</f>
        <v/>
      </c>
      <c r="P7" s="19" t="n"/>
      <c r="Q7" s="19" t="n"/>
      <c r="R7" s="19" t="n"/>
      <c r="S7" s="19" t="n"/>
      <c r="T7" s="19" t="n"/>
      <c r="U7" s="19" t="n"/>
      <c r="V7" s="19" t="n"/>
      <c r="W7" s="19" t="n"/>
      <c r="Z7" s="19" t="n"/>
      <c r="AA7" s="19" t="n"/>
      <c r="AB7" s="19" t="n"/>
      <c r="AC7" s="19" t="n"/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Z8" s="19" t="n"/>
      <c r="AA8" s="19" t="n"/>
      <c r="AB8" s="19" t="n"/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1">
      <c r="A11" s="9" t="inlineStr">
        <is>
          <t>Stage III (2) # Explants:</t>
        </is>
      </c>
      <c r="B11" s="3">
        <f t="array" ref="B11">(IFERROR((LOOKUP(2,1/(Q$3:Q$100&lt;&gt;""),Q$3:Q$100)),0))</f>
        <v/>
      </c>
    </row>
    <row r="12" ht="18" customHeight="1" s="21">
      <c r="A12" s="9" t="inlineStr">
        <is>
          <t>Stage III (2) Date:</t>
        </is>
      </c>
      <c r="B12" s="10">
        <f t="array" ref="B12">LOOKUP(2,1 / (P$3:P$100 &lt;&gt;""), P$3:P$100)</f>
        <v/>
      </c>
    </row>
    <row r="13" ht="18" customHeight="1" s="21">
      <c r="A13" s="9" t="inlineStr">
        <is>
          <t>Stage III (2) Subculture</t>
        </is>
      </c>
      <c r="B13" s="1">
        <f t="array" aca="1" ref="B13" ca="1">LOOKUP(2,1 / (S$3:S$100 &lt;&gt;""), S$3:S$100)</f>
        <v/>
      </c>
    </row>
    <row r="14" ht="18" customHeight="1" s="21">
      <c r="A14" s="34" t="inlineStr">
        <is>
          <t>Stage 2.5 # Explants:</t>
        </is>
      </c>
      <c r="B14" s="3">
        <f t="array" ref="B14">(IFERROR((LOOKUP(2,1/(I$3:I$100&lt;&gt;""),I$3:I$100)),0))</f>
        <v/>
      </c>
    </row>
    <row r="15" ht="18" customHeight="1" s="21">
      <c r="A15" s="34" t="inlineStr">
        <is>
          <t>Stage 2.5 Date:</t>
        </is>
      </c>
      <c r="B15" s="10">
        <f t="array" ref="B15">LOOKUP(2,1 / (H$3:H$100 &lt;&gt;""), H$3:H$100)</f>
        <v/>
      </c>
    </row>
    <row r="16" ht="18" customHeight="1" s="21">
      <c r="A16" s="34" t="inlineStr">
        <is>
          <t>Stage 2.5 Subculture</t>
        </is>
      </c>
      <c r="B16" s="1">
        <f t="array" ref="B16">LOOKUP(2,1 / (K$3:K$100 &lt;&gt;""), K$3:K$100)</f>
        <v/>
      </c>
    </row>
    <row r="17" ht="18" customHeight="1" s="21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1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18"/>
  <sheetViews>
    <sheetView topLeftCell="D1" zoomScale="110" zoomScaleNormal="110" workbookViewId="0">
      <selection activeCell="N8" sqref="N8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9.5546875" bestFit="1" customWidth="1" style="21" min="12" max="12"/>
    <col width="15.44140625" bestFit="1" customWidth="1" style="21" min="14" max="14"/>
    <col width="9.5546875" bestFit="1" customWidth="1" style="21" min="16" max="16"/>
    <col width="10.6640625" bestFit="1" customWidth="1" style="21" min="17" max="17"/>
    <col width="9.5546875" bestFit="1" customWidth="1" style="21" min="25" max="25"/>
  </cols>
  <sheetData>
    <row r="1" ht="18" customHeight="1" s="21">
      <c r="A1" s="2" t="inlineStr">
        <is>
          <t>Strain Name:</t>
        </is>
      </c>
      <c r="B1" s="3" t="inlineStr">
        <is>
          <t>Mimosa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44566</v>
      </c>
      <c r="E3" s="19" t="n">
        <v>40</v>
      </c>
      <c r="F3" s="19">
        <f>TODAY()-D3</f>
        <v/>
      </c>
      <c r="G3" s="19">
        <f>IF(F3&gt;21, "Yes", "No")</f>
        <v/>
      </c>
      <c r="H3" s="12" t="n">
        <v>44595</v>
      </c>
      <c r="I3" s="19">
        <f>26</f>
        <v/>
      </c>
      <c r="J3" s="19">
        <f>TODAY()-H3</f>
        <v/>
      </c>
      <c r="K3" s="19">
        <f>IF(J3&gt;21, "Yes", "No")</f>
        <v/>
      </c>
      <c r="L3" s="12" t="n">
        <v>44595</v>
      </c>
      <c r="M3" s="19">
        <f>8+5</f>
        <v/>
      </c>
      <c r="N3" s="19">
        <f>TODAY()-L3</f>
        <v/>
      </c>
      <c r="O3" s="19">
        <f>IF(N3&gt;21, "Yes", "No")</f>
        <v/>
      </c>
      <c r="P3" s="12" t="n">
        <v>44641</v>
      </c>
      <c r="Q3" s="19" t="n">
        <v>4</v>
      </c>
      <c r="R3" s="19">
        <f>TODAY()-P3</f>
        <v/>
      </c>
      <c r="S3" s="19">
        <f>IF(R3&gt;21, "Yes", "No")</f>
        <v/>
      </c>
      <c r="T3" s="19" t="n"/>
      <c r="U3" s="19" t="n"/>
      <c r="V3" s="19" t="n"/>
      <c r="W3" s="19" t="n"/>
      <c r="Y3" s="13" t="n">
        <v>44582</v>
      </c>
      <c r="Z3" s="19" t="n">
        <v>3</v>
      </c>
      <c r="AA3" s="19" t="n"/>
      <c r="AB3" s="19" t="n"/>
      <c r="AC3" s="19" t="n"/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E3-3</f>
        <v/>
      </c>
      <c r="F4" s="15" t="n"/>
      <c r="G4" s="15" t="n"/>
      <c r="H4" s="12" t="inlineStr">
        <is>
          <t>N/A</t>
        </is>
      </c>
      <c r="I4" s="19" t="inlineStr">
        <is>
          <t>N/A</t>
        </is>
      </c>
      <c r="J4" s="19" t="inlineStr">
        <is>
          <t>N/A</t>
        </is>
      </c>
      <c r="K4" s="19" t="inlineStr">
        <is>
          <t>N/A</t>
        </is>
      </c>
      <c r="L4" s="12" t="n">
        <v>44641</v>
      </c>
      <c r="M4" s="19" t="n">
        <v>32</v>
      </c>
      <c r="N4" s="19">
        <f>TODAY()-L4</f>
        <v/>
      </c>
      <c r="O4" s="19">
        <f>IF(N4&gt;21, "Yes", "No")</f>
        <v/>
      </c>
      <c r="P4" s="12" t="n">
        <v>44683</v>
      </c>
      <c r="Q4" s="19" t="n">
        <v>22</v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/>
      <c r="Z4" s="19" t="n"/>
      <c r="AA4" s="19" t="n"/>
      <c r="AB4" s="19" t="n"/>
      <c r="AC4" s="19" t="n"/>
    </row>
    <row r="5" ht="18" customHeight="1" s="21">
      <c r="A5" s="36" t="inlineStr">
        <is>
          <t>Stage II # Explants:</t>
        </is>
      </c>
      <c r="B5" s="3">
        <f t="array" ref="B5">(IFERROR((LOOKUP(2,1/(I$3:I$98&lt;&gt;""),I$3:I$100)),0))</f>
        <v/>
      </c>
      <c r="D5" s="12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2" t="n"/>
      <c r="I5" s="19" t="n"/>
      <c r="J5" s="19" t="n"/>
      <c r="K5" s="19" t="n"/>
      <c r="L5" s="12" t="n">
        <v>44683</v>
      </c>
      <c r="M5" s="19" t="n">
        <v>18</v>
      </c>
      <c r="N5" s="19">
        <f>TODAY()-L5</f>
        <v/>
      </c>
      <c r="O5" s="19">
        <f>IF(N5&gt;21, "Yes", "No")</f>
        <v/>
      </c>
      <c r="P5" s="12" t="n">
        <v>44721</v>
      </c>
      <c r="Q5" s="19" t="n">
        <v>4</v>
      </c>
      <c r="R5" s="19">
        <f>TODAY()-P5</f>
        <v/>
      </c>
      <c r="S5" s="19">
        <f>IF(R5&gt;21, "Yes", "No")</f>
        <v/>
      </c>
      <c r="T5" s="19" t="n"/>
      <c r="U5" s="19" t="n"/>
      <c r="V5" s="19" t="n"/>
      <c r="W5" s="19" t="n"/>
      <c r="Y5" s="13" t="n"/>
      <c r="Z5" s="19" t="n"/>
      <c r="AA5" s="19" t="n"/>
      <c r="AB5" s="19" t="n"/>
      <c r="AC5" s="19" t="n"/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>
        <v>44721</v>
      </c>
      <c r="M6" s="19" t="n">
        <v>10</v>
      </c>
      <c r="N6" s="19">
        <f>TODAY()-L6</f>
        <v/>
      </c>
      <c r="O6" s="19">
        <f>IF(N6&gt;21, "Yes", "No")</f>
        <v/>
      </c>
      <c r="P6" s="12" t="n">
        <v>44739</v>
      </c>
      <c r="Q6" s="19" t="n">
        <v>10</v>
      </c>
      <c r="R6" s="19" t="n"/>
      <c r="S6" s="19" t="n"/>
      <c r="T6" s="19" t="n"/>
      <c r="U6" s="19" t="n"/>
      <c r="V6" s="19" t="n"/>
      <c r="W6" s="19" t="n"/>
      <c r="Y6" s="13" t="n"/>
      <c r="Z6" s="19" t="n"/>
      <c r="AA6" s="19" t="n"/>
      <c r="AB6" s="19" t="n"/>
      <c r="AC6" s="19" t="n"/>
    </row>
    <row r="7" ht="18" customHeight="1" s="21">
      <c r="A7" s="36" t="inlineStr">
        <is>
          <t>Stage II Subculture</t>
        </is>
      </c>
      <c r="B7" s="1">
        <f t="array" aca="1" ref="B7" ca="1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2" t="n">
        <v>44739</v>
      </c>
      <c r="M7" s="19" t="n">
        <v>9</v>
      </c>
      <c r="N7" s="19">
        <f>TODAY()-L7</f>
        <v/>
      </c>
      <c r="O7" s="19">
        <f>IF(N7&gt;21, "Yes", "No")</f>
        <v/>
      </c>
      <c r="P7" s="19" t="n"/>
      <c r="Q7" s="19" t="n"/>
      <c r="R7" s="19" t="n"/>
      <c r="S7" s="19" t="n"/>
      <c r="T7" s="19" t="n"/>
      <c r="U7" s="19" t="n"/>
      <c r="V7" s="19" t="n"/>
      <c r="W7" s="19" t="n"/>
      <c r="Z7" s="19" t="n"/>
      <c r="AA7" s="19" t="n"/>
      <c r="AB7" s="19" t="n"/>
      <c r="AC7" s="19" t="n"/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Z8" s="19" t="n"/>
      <c r="AA8" s="19" t="n"/>
      <c r="AB8" s="19" t="n"/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1">
      <c r="A11" s="9" t="inlineStr">
        <is>
          <t>Stage III (2) # Explants:</t>
        </is>
      </c>
      <c r="B11" s="3">
        <f t="array" ref="B11">(IFERROR((LOOKUP(2,1/(Q$3:Q$100&lt;&gt;""),Q$3:Q$100)),0))</f>
        <v/>
      </c>
    </row>
    <row r="12" ht="18" customHeight="1" s="21">
      <c r="A12" s="9" t="inlineStr">
        <is>
          <t>Stage III (2) Date:</t>
        </is>
      </c>
      <c r="B12" s="10">
        <f t="array" ref="B12">LOOKUP(2,1 / (P$3:P$100 &lt;&gt;""), P$3:P$100)</f>
        <v/>
      </c>
    </row>
    <row r="13" ht="18" customHeight="1" s="21">
      <c r="A13" s="9" t="inlineStr">
        <is>
          <t>Stage III (2) Subculture</t>
        </is>
      </c>
      <c r="B13" s="1">
        <f t="array" aca="1" ref="B13" ca="1">LOOKUP(2,1 / (S$3:S$100 &lt;&gt;""), S$3:S$100)</f>
        <v/>
      </c>
    </row>
    <row r="14" ht="18" customHeight="1" s="21">
      <c r="A14" s="34" t="inlineStr">
        <is>
          <t>Stage 2.5 # Explants:</t>
        </is>
      </c>
      <c r="B14" s="3">
        <f t="array" ref="B14">(IFERROR((LOOKUP(2,1/(I$3:I$100&lt;&gt;""),I$3:I$100)),0))</f>
        <v/>
      </c>
    </row>
    <row r="15" ht="18" customHeight="1" s="21">
      <c r="A15" s="34" t="inlineStr">
        <is>
          <t>Stage 2.5 Date:</t>
        </is>
      </c>
      <c r="B15" s="10">
        <f t="array" ref="B15">LOOKUP(2,1 / (H$3:H$100 &lt;&gt;""), H$3:H$100)</f>
        <v/>
      </c>
    </row>
    <row r="16" ht="18" customHeight="1" s="21">
      <c r="A16" s="34" t="inlineStr">
        <is>
          <t>Stage 2.5 Subculture</t>
        </is>
      </c>
      <c r="B16" s="1">
        <f t="array" aca="1" ref="B16" ca="1">LOOKUP(2,1 / (K$3:K$100 &lt;&gt;""), K$3:K$100)</f>
        <v/>
      </c>
    </row>
    <row r="17" ht="18" customHeight="1" s="21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1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8"/>
  <sheetViews>
    <sheetView topLeftCell="D1" zoomScale="110" zoomScaleNormal="110" workbookViewId="0">
      <selection activeCell="O8" sqref="O8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9.5546875" bestFit="1" customWidth="1" style="21" min="12" max="12"/>
    <col width="15.44140625" bestFit="1" customWidth="1" style="21" min="14" max="14"/>
    <col width="9.5546875" bestFit="1" customWidth="1" style="21" min="16" max="16"/>
    <col width="10.6640625" bestFit="1" customWidth="1" style="21" min="17" max="17"/>
    <col width="9.5546875" bestFit="1" customWidth="1" style="21" min="21" max="21"/>
    <col width="9.5546875" bestFit="1" customWidth="1" style="21" min="25" max="25"/>
  </cols>
  <sheetData>
    <row r="1" ht="18" customHeight="1" s="21">
      <c r="A1" s="2" t="inlineStr">
        <is>
          <t>Strain Name:</t>
        </is>
      </c>
      <c r="B1" s="3" t="inlineStr">
        <is>
          <t>Mendo1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44566</v>
      </c>
      <c r="E3" s="19" t="n">
        <v>79</v>
      </c>
      <c r="F3" s="19">
        <f>TODAY()-D3</f>
        <v/>
      </c>
      <c r="G3" s="19">
        <f>IF(F3&gt;21, "Yes", "No")</f>
        <v/>
      </c>
      <c r="H3" s="12" t="n">
        <v>44594</v>
      </c>
      <c r="I3" s="19">
        <f>33+24+14</f>
        <v/>
      </c>
      <c r="J3" s="19">
        <f>TODAY()-H3</f>
        <v/>
      </c>
      <c r="K3" s="19">
        <f>IF(J3&gt;21, "Yes", "No")</f>
        <v/>
      </c>
      <c r="L3" s="12" t="n">
        <v>44594</v>
      </c>
      <c r="M3" s="19" t="n">
        <v>4</v>
      </c>
      <c r="N3" s="19">
        <f>TODAY()-L3</f>
        <v/>
      </c>
      <c r="O3" s="19">
        <f>IF(N3&gt;21, "Yes", "No")</f>
        <v/>
      </c>
      <c r="P3" s="12" t="n">
        <v>44683</v>
      </c>
      <c r="Q3" s="19" t="n">
        <v>1</v>
      </c>
      <c r="R3" s="19">
        <f>TODAY()-P3</f>
        <v/>
      </c>
      <c r="S3" s="19">
        <f>IF(R3&gt;21, "Yes", "No")</f>
        <v/>
      </c>
      <c r="T3" s="19" t="n"/>
      <c r="U3" s="19" t="n"/>
      <c r="V3" s="19" t="n"/>
      <c r="W3" s="19" t="n"/>
      <c r="Y3" s="13" t="n">
        <v>44582</v>
      </c>
      <c r="Z3" s="19" t="n">
        <v>9</v>
      </c>
      <c r="AA3" s="19" t="n"/>
      <c r="AB3" s="19" t="n"/>
      <c r="AC3" s="19" t="n"/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 t="n">
        <v>70</v>
      </c>
      <c r="F4" s="15" t="n"/>
      <c r="G4" s="15" t="n"/>
      <c r="H4" s="14" t="n">
        <v>44636</v>
      </c>
      <c r="I4" s="15" t="n">
        <v>47</v>
      </c>
      <c r="J4" s="19">
        <f>TODAY()-H4</f>
        <v/>
      </c>
      <c r="K4" s="19">
        <f>IF(J4&gt;21, "Yes", "No")</f>
        <v/>
      </c>
      <c r="L4" s="12" t="n">
        <v>44636</v>
      </c>
      <c r="M4" s="19" t="n">
        <v>24</v>
      </c>
      <c r="N4" s="19" t="n"/>
      <c r="O4" s="19" t="n"/>
      <c r="P4" s="12" t="n">
        <v>44720</v>
      </c>
      <c r="Q4" s="19" t="n">
        <v>15</v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/>
      <c r="Z4" s="19" t="n"/>
      <c r="AA4" s="19" t="n"/>
      <c r="AB4" s="19" t="n"/>
      <c r="AC4" s="19" t="n"/>
    </row>
    <row r="5" ht="18" customHeight="1" s="21">
      <c r="A5" s="36" t="inlineStr">
        <is>
          <t>Stage II # Explants:</t>
        </is>
      </c>
      <c r="B5" s="3">
        <f t="array" ref="B5">(IFERROR((LOOKUP(2,1/(I$3:I$98&lt;&gt;""),I$3:I$100)),0))</f>
        <v/>
      </c>
      <c r="D5" s="12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2" t="inlineStr">
        <is>
          <t>N/A</t>
        </is>
      </c>
      <c r="I5" s="19" t="inlineStr">
        <is>
          <t>N/A</t>
        </is>
      </c>
      <c r="J5" s="19" t="inlineStr">
        <is>
          <t>N/A</t>
        </is>
      </c>
      <c r="K5" s="19" t="inlineStr">
        <is>
          <t>N/A</t>
        </is>
      </c>
      <c r="L5" s="12" t="n">
        <v>44683</v>
      </c>
      <c r="M5" s="19" t="n">
        <v>18</v>
      </c>
      <c r="N5" s="19">
        <f>TODAY()-L5</f>
        <v/>
      </c>
      <c r="O5" s="19">
        <f>IF(N5&gt;21, "Yes", "No")</f>
        <v/>
      </c>
      <c r="P5" s="12" t="n">
        <v>44739</v>
      </c>
      <c r="Q5" s="19" t="n">
        <v>15</v>
      </c>
      <c r="R5" s="19" t="n"/>
      <c r="S5" s="19" t="n"/>
      <c r="T5" s="19" t="n"/>
      <c r="U5" s="19" t="n"/>
      <c r="V5" s="19" t="n"/>
      <c r="W5" s="19" t="n"/>
      <c r="Y5" s="13" t="n"/>
      <c r="Z5" s="19" t="n"/>
      <c r="AA5" s="19" t="n"/>
      <c r="AB5" s="19" t="n"/>
      <c r="AC5" s="19" t="n"/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>
        <v>44720</v>
      </c>
      <c r="M6" s="19" t="n">
        <v>3</v>
      </c>
      <c r="N6" s="19">
        <f>TODAY()-L6</f>
        <v/>
      </c>
      <c r="O6" s="19">
        <f>IF(N6&gt;21, "Yes", "No")</f>
        <v/>
      </c>
      <c r="P6" s="12" t="n"/>
      <c r="Q6" s="19" t="n"/>
      <c r="R6" s="19" t="n"/>
      <c r="S6" s="19" t="n"/>
      <c r="T6" s="19" t="n"/>
      <c r="U6" s="19" t="n"/>
      <c r="V6" s="19" t="n"/>
      <c r="W6" s="19" t="n"/>
      <c r="Y6" s="13" t="n"/>
      <c r="Z6" s="19" t="n"/>
      <c r="AA6" s="19" t="n"/>
      <c r="AB6" s="19" t="n"/>
      <c r="AC6" s="19" t="n"/>
    </row>
    <row r="7" ht="18" customHeight="1" s="21">
      <c r="A7" s="36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2" t="n">
        <v>44739</v>
      </c>
      <c r="M7" s="19" t="n">
        <v>3</v>
      </c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Z7" s="19" t="n"/>
      <c r="AA7" s="19" t="n"/>
      <c r="AB7" s="19" t="n"/>
      <c r="AC7" s="19" t="n"/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Z8" s="19" t="n"/>
      <c r="AA8" s="19" t="n"/>
      <c r="AB8" s="19" t="n"/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1">
      <c r="A11" s="9" t="inlineStr">
        <is>
          <t>Stage III (2) # Explants:</t>
        </is>
      </c>
      <c r="B11" s="3">
        <f t="array" ref="B11">(IFERROR((LOOKUP(2,1/(Q$3:Q$100&lt;&gt;""),Q$3:Q$100)),0))</f>
        <v/>
      </c>
    </row>
    <row r="12" ht="18" customHeight="1" s="21">
      <c r="A12" s="9" t="inlineStr">
        <is>
          <t>Stage III (2) Date:</t>
        </is>
      </c>
      <c r="B12" s="10">
        <f t="array" ref="B12">LOOKUP(2,1 / (P$3:P$100 &lt;&gt;""), P$3:P$100)</f>
        <v/>
      </c>
    </row>
    <row r="13" ht="18" customHeight="1" s="21">
      <c r="A13" s="9" t="inlineStr">
        <is>
          <t>Stage III (2) Subculture</t>
        </is>
      </c>
      <c r="B13" s="1">
        <f t="array" aca="1" ref="B13" ca="1">LOOKUP(2,1 / (S$3:S$100 &lt;&gt;""), S$3:S$100)</f>
        <v/>
      </c>
    </row>
    <row r="14" ht="18" customHeight="1" s="21">
      <c r="A14" s="34" t="inlineStr">
        <is>
          <t>Stage 2.5 # Explants:</t>
        </is>
      </c>
      <c r="B14" s="3">
        <f t="array" ref="B14">(IFERROR((LOOKUP(2,1/(Q$3:Q$100&lt;&gt;""),Q$3:Q$100)),0))</f>
        <v/>
      </c>
    </row>
    <row r="15" ht="18" customHeight="1" s="21">
      <c r="A15" s="34" t="inlineStr">
        <is>
          <t>Stage 2.5 Date:</t>
        </is>
      </c>
      <c r="B15" s="10">
        <f t="array" ref="B15">LOOKUP(2,1 / (P$3:P$100 &lt;&gt;""), P$3:P$100)</f>
        <v/>
      </c>
    </row>
    <row r="16" ht="18" customHeight="1" s="21">
      <c r="A16" s="34" t="inlineStr">
        <is>
          <t>Stage 2.5 Subculture</t>
        </is>
      </c>
      <c r="B16" s="1">
        <f t="array" aca="1" ref="B16" ca="1">LOOKUP(2,1 / (S$3:S$100 &lt;&gt;""), S$3:S$100)</f>
        <v/>
      </c>
    </row>
    <row r="17" ht="18" customHeight="1" s="21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1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8"/>
  <sheetViews>
    <sheetView topLeftCell="G1" zoomScale="110" zoomScaleNormal="110" workbookViewId="0">
      <selection activeCell="R8" sqref="R8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664062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9.5546875" bestFit="1" customWidth="1" style="21" min="12" max="12"/>
    <col width="15.44140625" bestFit="1" customWidth="1" style="21" min="14" max="14"/>
    <col width="14.6640625" bestFit="1" customWidth="1" style="21" min="16" max="16"/>
    <col width="10.6640625" bestFit="1" customWidth="1" style="21" min="17" max="17"/>
    <col width="14.6640625" bestFit="1" customWidth="1" style="21" min="20" max="20"/>
  </cols>
  <sheetData>
    <row r="1" ht="18" customHeight="1" s="21">
      <c r="A1" s="2" t="inlineStr">
        <is>
          <t>Strain Name:</t>
        </is>
      </c>
      <c r="B1" s="3" t="inlineStr">
        <is>
          <t>Scoops</t>
        </is>
      </c>
      <c r="D1" s="4" t="inlineStr">
        <is>
          <t>Stage I</t>
        </is>
      </c>
      <c r="E1" s="19" t="n"/>
      <c r="F1" s="19" t="n"/>
      <c r="G1" s="19" t="n"/>
      <c r="H1" s="4" t="inlineStr">
        <is>
          <t>Stage I (2)</t>
        </is>
      </c>
      <c r="I1" s="19" t="n"/>
      <c r="J1" s="19" t="n"/>
      <c r="K1" s="19" t="n"/>
      <c r="L1" s="35" t="inlineStr">
        <is>
          <t>Stage II</t>
        </is>
      </c>
      <c r="M1" s="19" t="n"/>
      <c r="N1" s="19" t="n"/>
      <c r="O1" s="19" t="n"/>
      <c r="P1" s="6" t="inlineStr">
        <is>
          <t>Stage III</t>
        </is>
      </c>
      <c r="Q1" s="19" t="n"/>
      <c r="R1" s="19" t="n"/>
      <c r="S1" s="19" t="n"/>
      <c r="T1" s="33" t="inlineStr">
        <is>
          <t>Stage 2.5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4" t="inlineStr">
        <is>
          <t>Subculture Date</t>
        </is>
      </c>
      <c r="I2" s="4" t="inlineStr">
        <is>
          <t># Explants</t>
        </is>
      </c>
      <c r="J2" s="4" t="inlineStr">
        <is>
          <t># Days in Culture</t>
        </is>
      </c>
      <c r="K2" s="4" t="inlineStr">
        <is>
          <t>Ready</t>
        </is>
      </c>
      <c r="L2" s="35" t="inlineStr">
        <is>
          <t>Subculture Date</t>
        </is>
      </c>
      <c r="M2" s="35" t="inlineStr">
        <is>
          <t># Explants</t>
        </is>
      </c>
      <c r="N2" s="35" t="inlineStr">
        <is>
          <t># Days in Culture</t>
        </is>
      </c>
      <c r="O2" s="35" t="inlineStr">
        <is>
          <t>Ready</t>
        </is>
      </c>
      <c r="P2" s="6" t="inlineStr">
        <is>
          <t>Subculture Date</t>
        </is>
      </c>
      <c r="Q2" s="6" t="inlineStr">
        <is>
          <t># Explants</t>
        </is>
      </c>
      <c r="R2" s="6" t="inlineStr">
        <is>
          <t># Days in Culture</t>
        </is>
      </c>
      <c r="S2" s="6" t="inlineStr">
        <is>
          <t>Ready</t>
        </is>
      </c>
      <c r="T2" s="33" t="inlineStr">
        <is>
          <t>Subculture Date</t>
        </is>
      </c>
      <c r="U2" s="33" t="inlineStr">
        <is>
          <t># Explants</t>
        </is>
      </c>
      <c r="V2" s="33" t="inlineStr">
        <is>
          <t># Days in Culture</t>
        </is>
      </c>
      <c r="W2" s="33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44582</v>
      </c>
      <c r="E3" s="19" t="n">
        <v>66</v>
      </c>
      <c r="F3" s="19">
        <f>TODAY()-D3</f>
        <v/>
      </c>
      <c r="G3" s="19">
        <f>IF(F3&gt;21, "Yes", "No")</f>
        <v/>
      </c>
      <c r="H3" s="12" t="n">
        <v>44589</v>
      </c>
      <c r="I3" s="19" t="n">
        <v>89</v>
      </c>
      <c r="J3" s="19">
        <f>TODAY()-H3</f>
        <v/>
      </c>
      <c r="K3" s="19">
        <f>IF(J3&gt;21, "Yes", "No")</f>
        <v/>
      </c>
      <c r="L3" s="12" t="n">
        <v>44610</v>
      </c>
      <c r="M3" s="19">
        <f>81+40</f>
        <v/>
      </c>
      <c r="N3" s="19">
        <f>TODAY()-L3</f>
        <v/>
      </c>
      <c r="O3" s="19">
        <f>IF(N3&gt;21, "Yes", "No")</f>
        <v/>
      </c>
      <c r="P3" s="12" t="n">
        <v>44610</v>
      </c>
      <c r="Q3" s="19">
        <f>17+27</f>
        <v/>
      </c>
      <c r="R3" s="19">
        <f>TODAY()-P3</f>
        <v/>
      </c>
      <c r="S3" s="19">
        <f>IF(R3&gt;21, "Yes", "No")</f>
        <v/>
      </c>
      <c r="T3" s="12" t="n">
        <v>44610</v>
      </c>
      <c r="U3" s="19" t="n">
        <v>3</v>
      </c>
      <c r="V3" s="19">
        <f>TODAY()-T3</f>
        <v/>
      </c>
      <c r="W3" s="19">
        <f>IF(V3&gt;21, "Yes", "No")</f>
        <v/>
      </c>
      <c r="X3" s="19" t="n"/>
      <c r="Y3" s="19" t="n"/>
      <c r="Z3" s="19" t="n"/>
      <c r="AA3" s="19" t="n"/>
      <c r="AC3" s="13" t="n"/>
      <c r="AD3" s="19" t="n"/>
      <c r="AE3" s="19" t="n"/>
      <c r="AF3" s="19" t="n"/>
      <c r="AG3" s="19" t="n"/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E3-8</f>
        <v/>
      </c>
      <c r="F4" s="15" t="n"/>
      <c r="G4" s="15" t="n"/>
      <c r="H4" s="12" t="inlineStr">
        <is>
          <t>N/A</t>
        </is>
      </c>
      <c r="I4" s="19" t="inlineStr">
        <is>
          <t>N/A</t>
        </is>
      </c>
      <c r="J4" s="19" t="inlineStr">
        <is>
          <t>N/A</t>
        </is>
      </c>
      <c r="K4" s="19" t="inlineStr">
        <is>
          <t>N/A</t>
        </is>
      </c>
      <c r="L4" s="14" t="n">
        <v>44642</v>
      </c>
      <c r="M4" s="15" t="n">
        <v>33</v>
      </c>
      <c r="N4" s="19">
        <f>TODAY()-L4</f>
        <v/>
      </c>
      <c r="O4" s="19">
        <f>IF(N4&gt;21, "Yes", "No")</f>
        <v/>
      </c>
      <c r="P4" s="14" t="n">
        <v>44642</v>
      </c>
      <c r="Q4" s="19" t="n">
        <v>20</v>
      </c>
      <c r="R4" s="19">
        <f>TODAY()-P4</f>
        <v/>
      </c>
      <c r="S4" s="19">
        <f>IF(R4&gt;21, "Yes", "No")</f>
        <v/>
      </c>
      <c r="T4" s="14" t="n">
        <v>44642</v>
      </c>
      <c r="U4" s="19" t="n">
        <v>10</v>
      </c>
      <c r="V4" s="19">
        <f>TODAY()-T4</f>
        <v/>
      </c>
      <c r="W4" s="19">
        <f>IF(V4&gt;21, "Yes", "No")</f>
        <v/>
      </c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1">
      <c r="A5" s="8" t="inlineStr">
        <is>
          <t>Stage I (2) # Explants:</t>
        </is>
      </c>
      <c r="B5" s="3">
        <f t="array" ref="B5">(IFERROR((LOOKUP(2,1/(I$3:I$98&lt;&gt;""),I$3:I$100)),0))</f>
        <v/>
      </c>
      <c r="D5" s="12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2" t="n"/>
      <c r="I5" s="19" t="n"/>
      <c r="J5" s="19" t="n"/>
      <c r="K5" s="19" t="n"/>
      <c r="L5" s="12" t="inlineStr">
        <is>
          <t>N/A</t>
        </is>
      </c>
      <c r="M5" s="19" t="inlineStr">
        <is>
          <t>N/A</t>
        </is>
      </c>
      <c r="N5" s="19" t="inlineStr">
        <is>
          <t>N/A</t>
        </is>
      </c>
      <c r="O5" s="19" t="inlineStr">
        <is>
          <t>N/A</t>
        </is>
      </c>
      <c r="P5" s="12" t="n">
        <v>44663</v>
      </c>
      <c r="Q5" s="19">
        <f>71+49</f>
        <v/>
      </c>
      <c r="R5" s="19">
        <f>TODAY()-P5</f>
        <v/>
      </c>
      <c r="S5" s="19">
        <f>IF(R5&gt;21, "Yes", "No")</f>
        <v/>
      </c>
      <c r="T5" s="12" t="n">
        <v>44663</v>
      </c>
      <c r="U5" s="19">
        <f>9+8</f>
        <v/>
      </c>
      <c r="V5" s="19">
        <f>TODAY()-T5</f>
        <v/>
      </c>
      <c r="W5" s="19">
        <f>IF(V5&gt;21, "Yes", "No")</f>
        <v/>
      </c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1">
      <c r="A6" s="8" t="inlineStr">
        <is>
          <t>Stage I (2)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2" t="n">
        <v>44718</v>
      </c>
      <c r="Q6" s="19">
        <f>29+29+15+6</f>
        <v/>
      </c>
      <c r="R6" s="19">
        <f>TODAY()-P6</f>
        <v/>
      </c>
      <c r="S6" s="19">
        <f>IF(R6&gt;21, "Yes", "No")</f>
        <v/>
      </c>
      <c r="T6" s="12" t="n">
        <v>44718</v>
      </c>
      <c r="U6" s="19">
        <f>3+3+3+3+3+9+4</f>
        <v/>
      </c>
      <c r="V6" s="19">
        <f>TODAY()-T6</f>
        <v/>
      </c>
      <c r="W6" s="19">
        <f>IF(V6&gt;21, "Yes", "No")</f>
        <v/>
      </c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1">
      <c r="A7" s="8" t="inlineStr">
        <is>
          <t>Stage I (2) Subculture</t>
        </is>
      </c>
      <c r="B7" s="1">
        <f t="array" aca="1" ref="B7" ca="1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2" t="n">
        <v>44739</v>
      </c>
      <c r="Q7" s="19" t="n">
        <v>60</v>
      </c>
      <c r="R7" s="19">
        <f>TODAY()-P7</f>
        <v/>
      </c>
      <c r="S7" s="19">
        <f>IF(R7&gt;21, "Yes", "No")</f>
        <v/>
      </c>
      <c r="T7" s="12" t="n">
        <v>44739</v>
      </c>
      <c r="U7" s="19" t="n">
        <v>21</v>
      </c>
      <c r="V7" s="19">
        <f>TODAY()-T7</f>
        <v/>
      </c>
      <c r="W7" s="19">
        <f>IF(V7&gt;21, "Yes", "No")</f>
        <v/>
      </c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1">
      <c r="A8" s="36" t="inlineStr">
        <is>
          <t>Stage 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1">
      <c r="A9" s="36" t="inlineStr">
        <is>
          <t>Stage 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2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1">
      <c r="A10" s="36" t="inlineStr">
        <is>
          <t>Stage II Subculture</t>
        </is>
      </c>
      <c r="B10" s="1">
        <f t="array" ref="B10">LOOKUP(2,1 / (O$3:O$1048576 &lt;&gt;""), O$3:O$1048576)</f>
        <v/>
      </c>
    </row>
    <row r="11" ht="18" customHeight="1" s="21">
      <c r="A11" s="9" t="inlineStr">
        <is>
          <t>Stage III # Explants:</t>
        </is>
      </c>
      <c r="B11" s="3">
        <f t="array" ref="B11">(IFERROR((LOOKUP(2,1/(Q$3:Q$100&lt;&gt;""),Q$3:Q$100)),0))</f>
        <v/>
      </c>
    </row>
    <row r="12" ht="18" customHeight="1" s="21">
      <c r="A12" s="9" t="inlineStr">
        <is>
          <t>Stage III Date:</t>
        </is>
      </c>
      <c r="B12" s="10">
        <f t="array" ref="B12">LOOKUP(2,1 / (P$3:P$100 &lt;&gt;""), P$3:P$100)</f>
        <v/>
      </c>
    </row>
    <row r="13" ht="18" customHeight="1" s="21">
      <c r="A13" s="9" t="inlineStr">
        <is>
          <t>Stage III Subculture</t>
        </is>
      </c>
      <c r="B13" s="1">
        <f t="array" aca="1" ref="B13" ca="1">LOOKUP(2,1 / (S$3:S$100 &lt;&gt;""), S$3:S$100)</f>
        <v/>
      </c>
    </row>
    <row r="14" ht="18" customHeight="1" s="21">
      <c r="A14" s="34" t="inlineStr">
        <is>
          <t>Stage 2.5 # Explants:</t>
        </is>
      </c>
      <c r="B14" s="3">
        <f t="array" ref="B14">(IFERROR((LOOKUP(2,1/(U$3:U$100&lt;&gt;""),U$3:U$100)),0))</f>
        <v/>
      </c>
    </row>
    <row r="15" ht="18" customHeight="1" s="21">
      <c r="A15" s="34" t="inlineStr">
        <is>
          <t>Stage 2.5 Date:</t>
        </is>
      </c>
      <c r="B15" s="10">
        <f t="array" ref="B15">LOOKUP(2,1 / (T$3:T$100 &lt;&gt;""), T$3:T$100)</f>
        <v/>
      </c>
    </row>
    <row r="16" ht="18" customHeight="1" s="21">
      <c r="A16" s="34" t="inlineStr">
        <is>
          <t>Stage 2.5 Subculture</t>
        </is>
      </c>
      <c r="B16" s="1">
        <f t="array" aca="1" ref="B16" ca="1">LOOKUP(2,1 / (W$3:W$100 &lt;&gt;""), W$3:W$100)</f>
        <v/>
      </c>
    </row>
    <row r="17" ht="18" customHeight="1" s="21">
      <c r="A17" s="2" t="inlineStr">
        <is>
          <t>Stage IV # Explants:</t>
        </is>
      </c>
      <c r="B17" s="3">
        <f t="array" ref="B17">(IFERROR((LOOKUP(2,1/(Y$3:Y$100&lt;&gt;""),Y$3:Y$100)),0))</f>
        <v/>
      </c>
    </row>
    <row r="18" ht="18" customHeight="1" s="21">
      <c r="A18" s="2" t="inlineStr">
        <is>
          <t>Stage IV Date:</t>
        </is>
      </c>
      <c r="B18" s="10">
        <f t="array" ref="B18">LOOKUP(2,1 / (X$3:X$9 &lt;&gt;""), X$3:X$9)</f>
        <v/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15"/>
  <sheetViews>
    <sheetView topLeftCell="D1" zoomScale="110" zoomScaleNormal="110" workbookViewId="0">
      <selection activeCell="P9" sqref="P9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9.5546875" bestFit="1" customWidth="1" style="21" min="12" max="12"/>
    <col width="15.44140625" bestFit="1" customWidth="1" style="21" min="14" max="14"/>
    <col width="14.6640625" bestFit="1" customWidth="1" style="21" min="16" max="16"/>
    <col width="10.6640625" bestFit="1" customWidth="1" style="21" min="17" max="17"/>
    <col width="9.5546875" bestFit="1" customWidth="1" style="21" min="25" max="25"/>
  </cols>
  <sheetData>
    <row r="1" ht="18" customHeight="1" s="21">
      <c r="A1" s="2" t="inlineStr">
        <is>
          <t>Strain Name:</t>
        </is>
      </c>
      <c r="B1" s="3" t="inlineStr">
        <is>
          <t>Road Dawg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44582</v>
      </c>
      <c r="E3" s="19" t="n">
        <v>82</v>
      </c>
      <c r="F3" s="19">
        <f>TODAY()-D3</f>
        <v/>
      </c>
      <c r="G3" s="19">
        <f>IF(F3&gt;21, "Yes", "No")</f>
        <v/>
      </c>
      <c r="H3" s="12" t="n">
        <v>44610</v>
      </c>
      <c r="I3" s="19" t="n">
        <v>31</v>
      </c>
      <c r="J3" s="19">
        <f>TODAY()-H3</f>
        <v/>
      </c>
      <c r="K3" s="19">
        <f>IF(J3&gt;21, "Yes", "No")</f>
        <v/>
      </c>
      <c r="L3" s="12" t="n">
        <v>44610</v>
      </c>
      <c r="M3" s="19" t="n">
        <v>33</v>
      </c>
      <c r="N3" s="19">
        <f>TODAY()-L3</f>
        <v/>
      </c>
      <c r="O3" s="19">
        <f>IF(N3&gt;21, "Yes", "No")</f>
        <v/>
      </c>
      <c r="P3" s="12" t="n">
        <v>44610</v>
      </c>
      <c r="Q3" s="19" t="n">
        <v>4</v>
      </c>
      <c r="R3" s="19">
        <f>TODAY()-P3</f>
        <v/>
      </c>
      <c r="S3" s="19">
        <f>IF(R3&gt;21, "Yes", "No")</f>
        <v/>
      </c>
      <c r="T3" s="19" t="n"/>
      <c r="U3" s="19" t="n"/>
      <c r="V3" s="19" t="n"/>
      <c r="W3" s="19" t="n"/>
      <c r="Y3" s="13" t="n">
        <v>44610</v>
      </c>
      <c r="Z3" s="19" t="n">
        <v>21</v>
      </c>
      <c r="AA3" s="19" t="n"/>
      <c r="AB3" s="19" t="n"/>
      <c r="AC3" s="19" t="n"/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E3-21</f>
        <v/>
      </c>
      <c r="F4" s="15" t="n"/>
      <c r="G4" s="15" t="n"/>
      <c r="H4" s="14" t="inlineStr">
        <is>
          <t>N/A</t>
        </is>
      </c>
      <c r="I4" s="15" t="inlineStr">
        <is>
          <t>N/A</t>
        </is>
      </c>
      <c r="J4" s="19" t="inlineStr">
        <is>
          <t>N/A</t>
        </is>
      </c>
      <c r="K4" s="19" t="inlineStr">
        <is>
          <t>N/A</t>
        </is>
      </c>
      <c r="L4" s="12" t="n">
        <v>44643</v>
      </c>
      <c r="M4" s="19" t="n">
        <v>36</v>
      </c>
      <c r="N4" s="19">
        <f>TODAY()-L4</f>
        <v/>
      </c>
      <c r="O4" s="19">
        <f>IF(N4&gt;21, "Yes", "No")</f>
        <v/>
      </c>
      <c r="P4" s="12" t="n">
        <v>44643</v>
      </c>
      <c r="Q4" s="19" t="n">
        <v>10</v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/>
      <c r="Z4" s="19" t="n"/>
      <c r="AA4" s="19" t="n"/>
      <c r="AB4" s="19" t="n"/>
      <c r="AC4" s="19" t="n"/>
    </row>
    <row r="5" ht="18" customHeight="1" s="21">
      <c r="A5" s="36" t="inlineStr">
        <is>
          <t>Stage II # Explants:</t>
        </is>
      </c>
      <c r="B5" s="3">
        <f t="array" ref="B5">(IFERROR((LOOKUP(2,1/(I$3:I$100&lt;&gt;""),I$3:I$100)),0))</f>
        <v/>
      </c>
      <c r="D5" s="12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2" t="n"/>
      <c r="I5" s="19" t="n"/>
      <c r="J5" s="19" t="n"/>
      <c r="K5" s="19" t="n"/>
      <c r="L5" s="12" t="n">
        <v>44685</v>
      </c>
      <c r="M5" s="19" t="n">
        <v>31</v>
      </c>
      <c r="N5" s="19">
        <f>TODAY()-L5</f>
        <v/>
      </c>
      <c r="O5" s="19">
        <f>IF(N5&gt;21, "Yes", "No")</f>
        <v/>
      </c>
      <c r="P5" s="12" t="n">
        <v>44685</v>
      </c>
      <c r="Q5" s="19" t="n">
        <v>13</v>
      </c>
      <c r="R5" s="19">
        <f>TODAY()-P5</f>
        <v/>
      </c>
      <c r="S5" s="19">
        <f>IF(R5&gt;21, "Yes", "No")</f>
        <v/>
      </c>
      <c r="T5" s="19" t="n"/>
      <c r="U5" s="19" t="n"/>
      <c r="V5" s="19" t="n"/>
      <c r="W5" s="19" t="n"/>
      <c r="Y5" s="13" t="n"/>
      <c r="Z5" s="19" t="n"/>
      <c r="AA5" s="19" t="n"/>
      <c r="AB5" s="19" t="n"/>
      <c r="AC5" s="19" t="n"/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>
        <v>44720</v>
      </c>
      <c r="M6" s="19">
        <f>5+5+5+6</f>
        <v/>
      </c>
      <c r="N6" s="19">
        <f>TODAY()-L6</f>
        <v/>
      </c>
      <c r="O6" s="19">
        <f>IF(N6&gt;21, "Yes", "No")</f>
        <v/>
      </c>
      <c r="P6" s="12" t="n">
        <v>44720</v>
      </c>
      <c r="Q6" s="19">
        <f>3+3+3+2+2</f>
        <v/>
      </c>
      <c r="R6" s="19">
        <f>TODAY()-P6</f>
        <v/>
      </c>
      <c r="S6" s="19">
        <f>IF(R6&gt;21, "Yes", "No")</f>
        <v/>
      </c>
      <c r="T6" s="19" t="n"/>
      <c r="U6" s="19" t="n"/>
      <c r="V6" s="19" t="n"/>
      <c r="W6" s="19" t="n"/>
      <c r="Y6" s="13" t="n"/>
      <c r="Z6" s="19" t="n"/>
      <c r="AA6" s="19" t="n"/>
      <c r="AB6" s="19" t="n"/>
      <c r="AC6" s="19" t="n"/>
    </row>
    <row r="7" ht="18" customHeight="1" s="21">
      <c r="A7" s="36" t="inlineStr">
        <is>
          <t>Stage II Subculture</t>
        </is>
      </c>
      <c r="B7" s="1">
        <f t="array" aca="1" ref="B7" ca="1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2" t="n">
        <v>44739</v>
      </c>
      <c r="M7" s="19" t="n">
        <v>14</v>
      </c>
      <c r="N7" s="19">
        <f>TODAY()-L7</f>
        <v/>
      </c>
      <c r="O7" s="19">
        <f>IF(N7&gt;21, "Yes", "No")</f>
        <v/>
      </c>
      <c r="P7" s="12" t="n">
        <v>44739</v>
      </c>
      <c r="Q7" s="19" t="n">
        <v>20</v>
      </c>
      <c r="R7" s="19">
        <f>TODAY()-P7</f>
        <v/>
      </c>
      <c r="S7" s="19">
        <f>IF(R7&gt;21, "Yes", "No")</f>
        <v/>
      </c>
      <c r="T7" s="19" t="n"/>
      <c r="U7" s="19" t="n"/>
      <c r="V7" s="19" t="n"/>
      <c r="W7" s="19" t="n"/>
      <c r="Z7" s="19" t="n"/>
      <c r="AA7" s="19" t="n"/>
      <c r="AB7" s="19" t="n"/>
      <c r="AC7" s="19" t="n"/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2" t="n">
        <v>44777</v>
      </c>
      <c r="M8" s="19">
        <f>16+28</f>
        <v/>
      </c>
      <c r="N8" s="19">
        <f>TODAY()-L8</f>
        <v/>
      </c>
      <c r="O8" s="19">
        <f>IF(N8&gt;21, "Yes", "No")</f>
        <v/>
      </c>
      <c r="P8" s="12" t="n">
        <v>44777</v>
      </c>
      <c r="Q8" s="19" t="n">
        <v>3</v>
      </c>
      <c r="R8" s="19">
        <f>TODAY()-P8</f>
        <v/>
      </c>
      <c r="S8" s="19">
        <f>IF(R8&gt;21, "Yes", "No")</f>
        <v/>
      </c>
      <c r="T8" s="19" t="n"/>
      <c r="U8" s="19" t="n"/>
      <c r="V8" s="19" t="n"/>
      <c r="W8" s="19" t="n"/>
      <c r="Z8" s="19" t="n"/>
      <c r="AA8" s="19" t="n"/>
      <c r="AB8" s="19" t="n"/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1">
      <c r="A11" s="34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1">
      <c r="A12" s="34" t="inlineStr">
        <is>
          <t>Stage 2.5 Date:</t>
        </is>
      </c>
      <c r="B12" s="10">
        <f t="array" ref="B12">LOOKUP(2,1 / (P$3:P$100 &lt;&gt;""), P$3:P$100)</f>
        <v/>
      </c>
    </row>
    <row r="13" ht="18" customHeight="1" s="21">
      <c r="A13" s="34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1">
      <c r="A14" s="2" t="inlineStr">
        <is>
          <t>Stage IV # Explants:</t>
        </is>
      </c>
      <c r="B14" s="3">
        <f t="array" ref="B14">(IFERROR((LOOKUP(2,1/(Q$3:Q$100&lt;&gt;""),Q$3:Q$100)),0))</f>
        <v/>
      </c>
    </row>
    <row r="15" ht="18" customHeight="1" s="21">
      <c r="A15" s="2" t="inlineStr">
        <is>
          <t>Stage IV Date:</t>
        </is>
      </c>
      <c r="B15" s="10">
        <f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="110" zoomScaleNormal="110" workbookViewId="0">
      <selection activeCell="G4" sqref="G4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9.5546875" bestFit="1" customWidth="1" style="21" min="12" max="12"/>
    <col width="15.44140625" bestFit="1" customWidth="1" style="21" min="14" max="14"/>
    <col width="10.6640625" bestFit="1" customWidth="1" style="21" min="17" max="17"/>
  </cols>
  <sheetData>
    <row r="1" ht="18" customHeight="1" s="21">
      <c r="A1" s="2" t="inlineStr">
        <is>
          <t>Strain Name:</t>
        </is>
      </c>
      <c r="B1" s="3" t="inlineStr">
        <is>
          <t>White Walker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44582</v>
      </c>
      <c r="E3" s="19" t="n">
        <v>64</v>
      </c>
      <c r="F3" s="19">
        <f>TODAY()-D3</f>
        <v/>
      </c>
      <c r="G3" s="19">
        <f>IF(F3&gt;21, "Yes", "No")</f>
        <v/>
      </c>
      <c r="H3" s="12" t="n">
        <v>44621</v>
      </c>
      <c r="I3" s="19" t="n">
        <v>61</v>
      </c>
      <c r="J3" s="19">
        <f>TODAY()-H3</f>
        <v/>
      </c>
      <c r="K3" s="19">
        <f>IF(J3&gt;21, "Yes", "No")</f>
        <v/>
      </c>
      <c r="L3" s="12" t="n">
        <v>44621</v>
      </c>
      <c r="M3" s="19" t="n">
        <v>4</v>
      </c>
      <c r="N3" s="19" t="n"/>
      <c r="O3" s="19" t="n"/>
      <c r="P3" s="12" t="n"/>
      <c r="Q3" s="19" t="n"/>
      <c r="R3" s="19" t="n"/>
      <c r="S3" s="19" t="n"/>
      <c r="T3" s="19" t="n"/>
      <c r="U3" s="19" t="n"/>
      <c r="V3" s="19" t="n"/>
      <c r="W3" s="19" t="n"/>
      <c r="Y3" s="13" t="n"/>
      <c r="Z3" s="19" t="n"/>
      <c r="AA3" s="19" t="n"/>
      <c r="AB3" s="19" t="n"/>
      <c r="AC3" s="19" t="n"/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inlineStr">
        <is>
          <t>N/A</t>
        </is>
      </c>
      <c r="E4" s="15" t="inlineStr">
        <is>
          <t>N/A</t>
        </is>
      </c>
      <c r="F4" s="15" t="inlineStr">
        <is>
          <t>N/A</t>
        </is>
      </c>
      <c r="G4" s="15" t="inlineStr">
        <is>
          <t>N/A</t>
        </is>
      </c>
      <c r="H4" s="14" t="n"/>
      <c r="I4" s="15" t="n"/>
      <c r="J4" s="19" t="n"/>
      <c r="K4" s="19" t="n"/>
      <c r="L4" s="12" t="n"/>
      <c r="M4" s="19" t="n"/>
      <c r="N4" s="19" t="n"/>
      <c r="O4" s="19" t="n"/>
      <c r="P4" s="12" t="n"/>
      <c r="Q4" s="19" t="n"/>
      <c r="R4" s="19" t="n"/>
      <c r="S4" s="19" t="n"/>
      <c r="T4" s="19" t="n"/>
      <c r="U4" s="19" t="n"/>
      <c r="V4" s="19" t="n"/>
      <c r="W4" s="19" t="n"/>
      <c r="Y4" s="13" t="n"/>
      <c r="Z4" s="19" t="n"/>
      <c r="AA4" s="19" t="n"/>
      <c r="AB4" s="19" t="n"/>
      <c r="AC4" s="19" t="n"/>
    </row>
    <row r="5" ht="18" customHeight="1" s="21">
      <c r="A5" s="36" t="inlineStr">
        <is>
          <t>Stage II # Explants:</t>
        </is>
      </c>
      <c r="B5" s="3">
        <f t="array" ref="B5">(IFERROR((LOOKUP(2,1/(I$3:I$100&lt;&gt;""),I$3:I$100)),0))</f>
        <v/>
      </c>
      <c r="D5" s="12" t="n"/>
      <c r="E5" s="19" t="n"/>
      <c r="F5" s="19" t="n"/>
      <c r="G5" s="19" t="n"/>
      <c r="H5" s="12" t="n"/>
      <c r="I5" s="19" t="n"/>
      <c r="J5" s="19" t="n"/>
      <c r="K5" s="19" t="n"/>
      <c r="L5" s="12" t="n"/>
      <c r="M5" s="19" t="n"/>
      <c r="N5" s="19" t="n"/>
      <c r="O5" s="19" t="n"/>
      <c r="P5" s="12" t="n"/>
      <c r="Q5" s="19" t="n"/>
      <c r="R5" s="19" t="n"/>
      <c r="S5" s="19" t="n"/>
      <c r="T5" s="19" t="n"/>
      <c r="U5" s="19" t="n"/>
      <c r="V5" s="19" t="n"/>
      <c r="W5" s="19" t="n"/>
      <c r="Y5" s="13" t="n"/>
      <c r="Z5" s="19" t="n"/>
      <c r="AA5" s="19" t="n"/>
      <c r="AB5" s="19" t="n"/>
      <c r="AC5" s="19" t="n"/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2" t="n"/>
      <c r="Q6" s="19" t="n"/>
      <c r="R6" s="19" t="n"/>
      <c r="S6" s="19" t="n"/>
      <c r="T6" s="19" t="n"/>
      <c r="U6" s="19" t="n"/>
      <c r="V6" s="19" t="n"/>
      <c r="W6" s="19" t="n"/>
      <c r="Y6" s="13" t="n"/>
      <c r="Z6" s="19" t="n"/>
      <c r="AA6" s="19" t="n"/>
      <c r="AB6" s="19" t="n"/>
      <c r="AC6" s="19" t="n"/>
    </row>
    <row r="7" ht="18" customHeight="1" s="21">
      <c r="A7" s="36" t="inlineStr">
        <is>
          <t>Stage II Subculture</t>
        </is>
      </c>
      <c r="B7" s="1">
        <f t="array" aca="1" ref="B7" ca="1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Z7" s="19" t="n"/>
      <c r="AA7" s="19" t="n"/>
      <c r="AB7" s="19" t="n"/>
      <c r="AC7" s="19" t="n"/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Z8" s="19" t="n"/>
      <c r="AA8" s="19" t="n"/>
      <c r="AB8" s="19" t="n"/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1">
      <c r="A11" s="34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1">
      <c r="A12" s="34" t="inlineStr">
        <is>
          <t>Stage 2.5 Date:</t>
        </is>
      </c>
      <c r="B12" s="10">
        <f t="array" ref="B12">LOOKUP(2,1 / (P$3:P$100 &lt;&gt;""), P$3:P$100)</f>
        <v/>
      </c>
    </row>
    <row r="13" ht="18" customHeight="1" s="21">
      <c r="A13" s="34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1">
      <c r="A14" s="2" t="inlineStr">
        <is>
          <t>Stage IV # Explants:</t>
        </is>
      </c>
      <c r="B14" s="3">
        <f t="array" ref="B14">(IFERROR((LOOKUP(2,1/(Q$3:Q$100&lt;&gt;""),Q$3:Q$100)),0))</f>
        <v/>
      </c>
    </row>
    <row r="15" ht="18" customHeight="1" s="21">
      <c r="A15" s="2" t="inlineStr">
        <is>
          <t>Stage IV Date:</t>
        </is>
      </c>
      <c r="B15" s="10">
        <f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15"/>
  <sheetViews>
    <sheetView topLeftCell="G1" zoomScale="110" zoomScaleNormal="110" workbookViewId="0">
      <selection activeCell="M8" sqref="M8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9.5546875" bestFit="1" customWidth="1" style="21" min="12" max="12"/>
    <col width="15.44140625" bestFit="1" customWidth="1" style="21" min="14" max="14"/>
    <col width="9.5546875" bestFit="1" customWidth="1" style="21" min="16" max="16"/>
    <col width="10.6640625" bestFit="1" customWidth="1" style="21" min="17" max="17"/>
    <col width="9.5546875" bestFit="1" customWidth="1" style="21" min="25" max="25"/>
  </cols>
  <sheetData>
    <row r="1" ht="18" customHeight="1" s="21">
      <c r="A1" s="2" t="inlineStr">
        <is>
          <t>Strain Name:</t>
        </is>
      </c>
      <c r="B1" s="3" t="inlineStr">
        <is>
          <t>TK9</t>
        </is>
      </c>
      <c r="D1" s="4" t="inlineStr">
        <is>
          <t>Stage I</t>
        </is>
      </c>
      <c r="E1" s="19" t="n"/>
      <c r="F1" s="19" t="n"/>
      <c r="G1" s="19" t="n"/>
      <c r="H1" s="35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33" t="inlineStr">
        <is>
          <t>Stage 2.5</t>
        </is>
      </c>
      <c r="Q1" s="19" t="n"/>
      <c r="R1" s="19" t="n"/>
      <c r="S1" s="19" t="n"/>
      <c r="T1" s="7" t="inlineStr">
        <is>
          <t>Stage IV</t>
        </is>
      </c>
      <c r="U1" s="19" t="n"/>
      <c r="V1" s="19" t="n"/>
      <c r="W1" s="19" t="n"/>
      <c r="Z1" s="7" t="inlineStr">
        <is>
          <t>Infection</t>
        </is>
      </c>
      <c r="AA1" s="19" t="n"/>
      <c r="AB1" s="19" t="n"/>
      <c r="AC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35" t="inlineStr">
        <is>
          <t>Subculture Date</t>
        </is>
      </c>
      <c r="I2" s="35" t="inlineStr">
        <is>
          <t># Explants</t>
        </is>
      </c>
      <c r="J2" s="35" t="inlineStr">
        <is>
          <t># Days in Culture</t>
        </is>
      </c>
      <c r="K2" s="35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33" t="inlineStr">
        <is>
          <t>Subculture Date</t>
        </is>
      </c>
      <c r="Q2" s="33" t="inlineStr">
        <is>
          <t># Explants</t>
        </is>
      </c>
      <c r="R2" s="33" t="inlineStr">
        <is>
          <t># Days in Culture</t>
        </is>
      </c>
      <c r="S2" s="33" t="inlineStr">
        <is>
          <t>Ready</t>
        </is>
      </c>
      <c r="T2" s="7" t="inlineStr">
        <is>
          <t>Subculture Date</t>
        </is>
      </c>
      <c r="U2" s="7" t="inlineStr">
        <is>
          <t># Explants</t>
        </is>
      </c>
      <c r="V2" s="7" t="inlineStr">
        <is>
          <t># Days in Culture</t>
        </is>
      </c>
      <c r="W2" s="7" t="inlineStr">
        <is>
          <t>Ready</t>
        </is>
      </c>
      <c r="Y2" s="11" t="inlineStr">
        <is>
          <t>Date</t>
        </is>
      </c>
      <c r="Z2" s="7" t="inlineStr">
        <is>
          <t>Stage I</t>
        </is>
      </c>
      <c r="AA2" s="7" t="inlineStr">
        <is>
          <t>Stage II</t>
        </is>
      </c>
      <c r="AB2" s="7" t="inlineStr">
        <is>
          <t>Stage III</t>
        </is>
      </c>
      <c r="AC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44582</v>
      </c>
      <c r="E3" s="19" t="n">
        <v>40</v>
      </c>
      <c r="F3" s="19">
        <f>TODAY()-D3</f>
        <v/>
      </c>
      <c r="G3" s="19">
        <f>IF(F3&gt;21, "Yes", "No")</f>
        <v/>
      </c>
      <c r="H3" s="12" t="n">
        <v>44610</v>
      </c>
      <c r="I3" s="19" t="n">
        <v>28</v>
      </c>
      <c r="J3" s="19">
        <f>TODAY()-H3</f>
        <v/>
      </c>
      <c r="K3" s="19">
        <f>IF(J3&gt;21, "Yes", "No")</f>
        <v/>
      </c>
      <c r="L3" s="12" t="n">
        <v>44610</v>
      </c>
      <c r="M3" s="19" t="n">
        <v>12</v>
      </c>
      <c r="N3" s="19">
        <f>TODAY()-L3</f>
        <v/>
      </c>
      <c r="O3" s="19">
        <f>IF(N3&gt;21, "Yes", "No")</f>
        <v/>
      </c>
      <c r="P3" s="12" t="n">
        <v>44642</v>
      </c>
      <c r="Q3" s="19" t="n">
        <v>1</v>
      </c>
      <c r="R3" s="19">
        <f>TODAY()-P3</f>
        <v/>
      </c>
      <c r="S3" s="19">
        <f>IF(R3&gt;21, "Yes", "No")</f>
        <v/>
      </c>
      <c r="T3" s="19" t="n"/>
      <c r="U3" s="19" t="n"/>
      <c r="V3" s="19" t="n"/>
      <c r="W3" s="19" t="n"/>
      <c r="Y3" s="13" t="n">
        <v>44610</v>
      </c>
      <c r="Z3" s="19" t="n">
        <v>9</v>
      </c>
      <c r="AA3" s="19" t="n"/>
      <c r="AB3" s="19" t="n"/>
      <c r="AC3" s="19" t="n"/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 t="n">
        <v>31</v>
      </c>
      <c r="F4" s="15" t="n"/>
      <c r="G4" s="15" t="n"/>
      <c r="H4" s="14" t="n">
        <v>44642</v>
      </c>
      <c r="I4" s="15" t="n">
        <v>20</v>
      </c>
      <c r="J4" s="19">
        <f>TODAY()-H4</f>
        <v/>
      </c>
      <c r="K4" s="19">
        <f>IF(J4&gt;21, "Yes", "No")</f>
        <v/>
      </c>
      <c r="L4" s="12" t="n">
        <v>44642</v>
      </c>
      <c r="M4" s="19" t="n">
        <v>27</v>
      </c>
      <c r="N4" s="19">
        <f>TODAY()-L4</f>
        <v/>
      </c>
      <c r="O4" s="19">
        <f>IF(N4&gt;21, "Yes", "No")</f>
        <v/>
      </c>
      <c r="P4" s="12" t="n">
        <v>44684</v>
      </c>
      <c r="Q4" s="19" t="n">
        <v>3</v>
      </c>
      <c r="R4" s="19">
        <f>TODAY()-P4</f>
        <v/>
      </c>
      <c r="S4" s="19">
        <f>IF(R4&gt;21, "Yes", "No")</f>
        <v/>
      </c>
      <c r="T4" s="19" t="n"/>
      <c r="U4" s="19" t="n"/>
      <c r="V4" s="19" t="n"/>
      <c r="W4" s="19" t="n"/>
      <c r="Y4" s="13" t="n"/>
      <c r="Z4" s="19" t="n"/>
      <c r="AA4" s="19" t="n"/>
      <c r="AB4" s="19" t="n"/>
      <c r="AC4" s="19" t="n"/>
    </row>
    <row r="5" ht="18" customHeight="1" s="21">
      <c r="A5" s="36" t="inlineStr">
        <is>
          <t>Stage II # Explants:</t>
        </is>
      </c>
      <c r="B5" s="3">
        <f t="array" ref="B5">(IFERROR((LOOKUP(2,1/(I$3:I$100&lt;&gt;""),I$3:I$100)),0))</f>
        <v/>
      </c>
      <c r="D5" s="12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2" t="inlineStr">
        <is>
          <t>N/A</t>
        </is>
      </c>
      <c r="I5" s="19" t="inlineStr">
        <is>
          <t>N/A</t>
        </is>
      </c>
      <c r="J5" s="19" t="inlineStr">
        <is>
          <t>N/A</t>
        </is>
      </c>
      <c r="K5" s="19" t="inlineStr">
        <is>
          <t>N/A</t>
        </is>
      </c>
      <c r="L5" s="12" t="n">
        <v>44684</v>
      </c>
      <c r="M5" s="19">
        <f>29</f>
        <v/>
      </c>
      <c r="N5" s="19">
        <f>TODAY()-L5</f>
        <v/>
      </c>
      <c r="O5" s="19">
        <f>IF(N5&gt;21, "Yes", "No")</f>
        <v/>
      </c>
      <c r="P5" s="12" t="n">
        <v>44720</v>
      </c>
      <c r="Q5" s="19" t="n">
        <v>1</v>
      </c>
      <c r="R5" s="19">
        <f>TODAY()-P5</f>
        <v/>
      </c>
      <c r="S5" s="19">
        <f>IF(R5&gt;21, "Yes", "No")</f>
        <v/>
      </c>
      <c r="T5" s="19" t="n"/>
      <c r="U5" s="19" t="n"/>
      <c r="V5" s="19" t="n"/>
      <c r="W5" s="19" t="n"/>
      <c r="Y5" s="13" t="n"/>
      <c r="Z5" s="19" t="n"/>
      <c r="AA5" s="19" t="n"/>
      <c r="AB5" s="19" t="n"/>
      <c r="AC5" s="19" t="n"/>
    </row>
    <row r="6" ht="18" customHeight="1" s="21">
      <c r="A6" s="36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>
        <v>44720</v>
      </c>
      <c r="M6" s="19" t="n">
        <v>10</v>
      </c>
      <c r="N6" s="12">
        <f>TODAY()-L6</f>
        <v/>
      </c>
      <c r="O6" s="19">
        <f>IF(N6&gt;21, "Yes", "No")</f>
        <v/>
      </c>
      <c r="P6" s="12" t="n">
        <v>44739</v>
      </c>
      <c r="Q6" s="19" t="n">
        <v>2</v>
      </c>
      <c r="R6" s="19" t="n"/>
      <c r="S6" s="19" t="n"/>
      <c r="T6" s="19" t="n"/>
      <c r="U6" s="19" t="n"/>
      <c r="V6" s="19" t="n"/>
      <c r="W6" s="19" t="n"/>
      <c r="Y6" s="13" t="n"/>
      <c r="Z6" s="19" t="n"/>
      <c r="AA6" s="19" t="n"/>
      <c r="AB6" s="19" t="n"/>
      <c r="AC6" s="19" t="n"/>
    </row>
    <row r="7" ht="18" customHeight="1" s="21">
      <c r="A7" s="36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2" t="n">
        <v>44739</v>
      </c>
      <c r="M7" s="19" t="n">
        <v>12</v>
      </c>
      <c r="N7" s="19">
        <f>TODAY()-L7</f>
        <v/>
      </c>
      <c r="O7" s="19">
        <f>IF(N7&gt;21, "Yes", "No")</f>
        <v/>
      </c>
      <c r="P7" s="19" t="n"/>
      <c r="Q7" s="19" t="n"/>
      <c r="R7" s="19" t="n"/>
      <c r="S7" s="19" t="n"/>
      <c r="T7" s="19" t="n"/>
      <c r="U7" s="19" t="n"/>
      <c r="V7" s="19" t="n"/>
      <c r="W7" s="19" t="n"/>
      <c r="Z7" s="19" t="n"/>
      <c r="AA7" s="19" t="n"/>
      <c r="AB7" s="19" t="n"/>
      <c r="AC7" s="19" t="n"/>
    </row>
    <row r="8" ht="18" customHeight="1" s="21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Z8" s="19" t="n"/>
      <c r="AA8" s="19" t="n"/>
      <c r="AB8" s="19" t="n"/>
      <c r="AC8" s="19" t="n"/>
    </row>
    <row r="9" ht="18" customHeight="1" s="21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Z9" s="19" t="n"/>
      <c r="AA9" s="19" t="n"/>
      <c r="AB9" s="19" t="n"/>
      <c r="AC9" s="19" t="n"/>
    </row>
    <row r="10" ht="18" customHeight="1" s="21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1">
      <c r="A11" s="34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1">
      <c r="A12" s="34" t="inlineStr">
        <is>
          <t>Stage 2.5 Date:</t>
        </is>
      </c>
      <c r="B12" s="10">
        <f t="array" ref="B12">LOOKUP(2,1 / (P$3:P$100 &lt;&gt;""), P$3:P$100)</f>
        <v/>
      </c>
    </row>
    <row r="13" ht="18" customHeight="1" s="21">
      <c r="A13" s="34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1">
      <c r="A14" s="2" t="inlineStr">
        <is>
          <t>Stage IV # Explants:</t>
        </is>
      </c>
      <c r="B14" s="3">
        <f t="array" ref="B14">(IFERROR((LOOKUP(2,1/(Q$3:Q$100&lt;&gt;""),Q$3:Q$100)),0))</f>
        <v/>
      </c>
    </row>
    <row r="15" ht="18" customHeight="1" s="21">
      <c r="A15" s="2" t="inlineStr">
        <is>
          <t>Stage IV Date:</t>
        </is>
      </c>
      <c r="B15" s="10">
        <f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18"/>
  <sheetViews>
    <sheetView topLeftCell="G1" zoomScale="110" zoomScaleNormal="110" workbookViewId="0">
      <selection activeCell="T9" sqref="T9"/>
    </sheetView>
  </sheetViews>
  <sheetFormatPr baseColWidth="8" defaultRowHeight="14.4"/>
  <cols>
    <col width="21.88671875" bestFit="1" customWidth="1" style="21" min="1" max="1"/>
    <col width="22.109375" bestFit="1" customWidth="1" style="21" min="2" max="2"/>
    <col width="14.5546875" bestFit="1" customWidth="1" style="21" min="4" max="4"/>
    <col width="9.44140625" bestFit="1" customWidth="1" style="21" min="5" max="5"/>
    <col width="15.109375" bestFit="1" customWidth="1" style="21" min="6" max="6"/>
    <col width="6.21875" bestFit="1" customWidth="1" style="21" min="7" max="7"/>
    <col width="14.6640625" bestFit="1" customWidth="1" style="21" min="8" max="8"/>
    <col width="9.5546875" bestFit="1" customWidth="1" style="21" min="12" max="12"/>
    <col width="15.44140625" bestFit="1" customWidth="1" style="21" min="14" max="14"/>
    <col width="14.6640625" bestFit="1" customWidth="1" style="21" min="16" max="16"/>
    <col width="10.6640625" bestFit="1" customWidth="1" style="21" min="17" max="17"/>
    <col width="14.6640625" bestFit="1" customWidth="1" style="21" min="20" max="20"/>
    <col width="9.5546875" bestFit="1" customWidth="1" style="21" min="29" max="29"/>
  </cols>
  <sheetData>
    <row r="1" ht="18" customHeight="1" s="21">
      <c r="A1" s="2" t="inlineStr">
        <is>
          <t>Strain Name:</t>
        </is>
      </c>
      <c r="B1" s="3" t="inlineStr">
        <is>
          <t>PBB</t>
        </is>
      </c>
      <c r="D1" s="4" t="inlineStr">
        <is>
          <t>Stage I</t>
        </is>
      </c>
      <c r="E1" s="19" t="n"/>
      <c r="F1" s="19" t="n"/>
      <c r="G1" s="19" t="n"/>
      <c r="H1" s="4" t="inlineStr">
        <is>
          <t>Stage I (2)</t>
        </is>
      </c>
      <c r="I1" s="19" t="n"/>
      <c r="J1" s="19" t="n"/>
      <c r="K1" s="19" t="n"/>
      <c r="L1" s="35" t="inlineStr">
        <is>
          <t>Stage II</t>
        </is>
      </c>
      <c r="M1" s="19" t="n"/>
      <c r="N1" s="19" t="n"/>
      <c r="O1" s="19" t="n"/>
      <c r="P1" s="6" t="inlineStr">
        <is>
          <t>Stage III</t>
        </is>
      </c>
      <c r="Q1" s="19" t="n"/>
      <c r="R1" s="19" t="n"/>
      <c r="S1" s="19" t="n"/>
      <c r="T1" s="33" t="inlineStr">
        <is>
          <t>Stage 2.5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1">
      <c r="A2" s="8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4" t="inlineStr">
        <is>
          <t>Subculture Date</t>
        </is>
      </c>
      <c r="I2" s="4" t="inlineStr">
        <is>
          <t># Explants</t>
        </is>
      </c>
      <c r="J2" s="4" t="inlineStr">
        <is>
          <t># Days in Culture</t>
        </is>
      </c>
      <c r="K2" s="4" t="inlineStr">
        <is>
          <t>Ready</t>
        </is>
      </c>
      <c r="L2" s="35" t="inlineStr">
        <is>
          <t>Subculture Date</t>
        </is>
      </c>
      <c r="M2" s="35" t="inlineStr">
        <is>
          <t># Explants</t>
        </is>
      </c>
      <c r="N2" s="35" t="inlineStr">
        <is>
          <t># Days in Culture</t>
        </is>
      </c>
      <c r="O2" s="35" t="inlineStr">
        <is>
          <t>Ready</t>
        </is>
      </c>
      <c r="P2" s="6" t="inlineStr">
        <is>
          <t>Subculture Date</t>
        </is>
      </c>
      <c r="Q2" s="6" t="inlineStr">
        <is>
          <t># Explants</t>
        </is>
      </c>
      <c r="R2" s="6" t="inlineStr">
        <is>
          <t># Days in Culture</t>
        </is>
      </c>
      <c r="S2" s="6" t="inlineStr">
        <is>
          <t>Ready</t>
        </is>
      </c>
      <c r="T2" s="33" t="inlineStr">
        <is>
          <t>Subculture Date</t>
        </is>
      </c>
      <c r="U2" s="33" t="inlineStr">
        <is>
          <t># Explants</t>
        </is>
      </c>
      <c r="V2" s="33" t="inlineStr">
        <is>
          <t># Days in Culture</t>
        </is>
      </c>
      <c r="W2" s="33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1">
      <c r="A3" s="8" t="inlineStr">
        <is>
          <t>Stage I Date:</t>
        </is>
      </c>
      <c r="B3" s="10">
        <f t="array" ref="B3">LOOKUP(2,1 / (D$3:D$100 &lt;&gt;""), D$3:D$100)</f>
        <v/>
      </c>
      <c r="D3" s="12" t="n">
        <v>44582</v>
      </c>
      <c r="E3" s="19" t="n">
        <v>61</v>
      </c>
      <c r="F3" s="19">
        <f>TODAY()-D3</f>
        <v/>
      </c>
      <c r="G3" s="19">
        <f>IF(F3&gt;21, "Yes", "No")</f>
        <v/>
      </c>
      <c r="H3" s="12" t="n">
        <v>44589</v>
      </c>
      <c r="I3" s="19" t="n">
        <v>119</v>
      </c>
      <c r="J3" s="19">
        <f>TODAY()-H3</f>
        <v/>
      </c>
      <c r="K3" s="19">
        <f>IF(J3&gt;21, "Yes", "No")</f>
        <v/>
      </c>
      <c r="L3" s="12" t="n">
        <v>44610</v>
      </c>
      <c r="M3" s="19">
        <f>15+28+50</f>
        <v/>
      </c>
      <c r="N3" s="19">
        <f>TODAY()-L3</f>
        <v/>
      </c>
      <c r="O3" s="19">
        <f>IF(N3&gt;21, "Yes", "No")</f>
        <v/>
      </c>
      <c r="P3" s="12" t="n">
        <v>44610</v>
      </c>
      <c r="Q3" s="19">
        <f>41+11+9</f>
        <v/>
      </c>
      <c r="R3" s="19">
        <f>TODAY()-P3</f>
        <v/>
      </c>
      <c r="S3" s="19">
        <f>IF(R3&gt;21, "Yes", "No")</f>
        <v/>
      </c>
      <c r="T3" s="12" t="n">
        <v>44642</v>
      </c>
      <c r="U3" s="19">
        <f>6+7</f>
        <v/>
      </c>
      <c r="V3" s="19">
        <f>TODAY()-T3</f>
        <v/>
      </c>
      <c r="W3" s="19">
        <f>IF(V3&gt;21, "Yes", "No")</f>
        <v/>
      </c>
      <c r="X3" s="19" t="n"/>
      <c r="Y3" s="19" t="n"/>
      <c r="Z3" s="19" t="n"/>
      <c r="AA3" s="19" t="n"/>
      <c r="AC3" s="13" t="n">
        <v>44610</v>
      </c>
      <c r="AD3" s="19" t="n">
        <v>13</v>
      </c>
      <c r="AE3" s="19" t="n"/>
      <c r="AF3" s="19" t="n"/>
      <c r="AG3" s="19" t="n"/>
    </row>
    <row r="4" ht="18" customHeight="1" s="21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E3-13</f>
        <v/>
      </c>
      <c r="F4" s="15" t="n"/>
      <c r="G4" s="15" t="n"/>
      <c r="H4" s="12" t="inlineStr">
        <is>
          <t>N/A</t>
        </is>
      </c>
      <c r="I4" s="19" t="inlineStr">
        <is>
          <t>N/A</t>
        </is>
      </c>
      <c r="J4" s="19" t="inlineStr">
        <is>
          <t>N/A</t>
        </is>
      </c>
      <c r="K4" s="19" t="inlineStr">
        <is>
          <t>N/A</t>
        </is>
      </c>
      <c r="L4" s="14" t="n">
        <v>44642</v>
      </c>
      <c r="M4" s="15" t="n">
        <v>17</v>
      </c>
      <c r="N4" s="19">
        <f>TODAY()-L4</f>
        <v/>
      </c>
      <c r="O4" s="19">
        <f>IF(N4&gt;21, "Yes", "No")</f>
        <v/>
      </c>
      <c r="P4" s="12" t="n">
        <v>44642</v>
      </c>
      <c r="Q4" s="19">
        <f>26+20+71</f>
        <v/>
      </c>
      <c r="R4" s="19">
        <f>TODAY()-P4</f>
        <v/>
      </c>
      <c r="S4" s="19">
        <f>IF(R4&gt;21, "Yes", "No")</f>
        <v/>
      </c>
      <c r="T4" s="12" t="n">
        <v>44683</v>
      </c>
      <c r="U4" s="19" t="n">
        <v>10</v>
      </c>
      <c r="V4" s="19">
        <f>TODAY()-T4</f>
        <v/>
      </c>
      <c r="W4" s="19">
        <f>IF(V4&gt;21, "Yes", "No")</f>
        <v/>
      </c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1">
      <c r="A5" s="8" t="inlineStr">
        <is>
          <t>Stage I (2) # Explants:</t>
        </is>
      </c>
      <c r="B5" s="3">
        <f t="array" ref="B5">(IFERROR((LOOKUP(2,1/(I$3:I$98&lt;&gt;""),I$3:I$100)),0))</f>
        <v/>
      </c>
      <c r="D5" s="12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2" t="n"/>
      <c r="I5" s="19" t="n"/>
      <c r="J5" s="19" t="n"/>
      <c r="K5" s="19" t="n"/>
      <c r="L5" s="12" t="inlineStr">
        <is>
          <t>N/A</t>
        </is>
      </c>
      <c r="M5" s="19" t="inlineStr">
        <is>
          <t>N/A</t>
        </is>
      </c>
      <c r="N5" s="19" t="inlineStr">
        <is>
          <t>N/A</t>
        </is>
      </c>
      <c r="O5" s="19" t="inlineStr">
        <is>
          <t>N/A</t>
        </is>
      </c>
      <c r="P5" s="12" t="n">
        <v>44677</v>
      </c>
      <c r="Q5" s="19">
        <f>50+32+9</f>
        <v/>
      </c>
      <c r="R5" s="19">
        <f>TODAY()-P5</f>
        <v/>
      </c>
      <c r="S5" s="19">
        <f>IF(R5&gt;21, "Yes", "No")</f>
        <v/>
      </c>
      <c r="T5" s="12" t="n">
        <v>44718</v>
      </c>
      <c r="U5" s="19">
        <f>3+3+3+3</f>
        <v/>
      </c>
      <c r="V5" s="19">
        <f>TODAY()-T5</f>
        <v/>
      </c>
      <c r="W5" s="19">
        <f>IF(V5&gt;21, "Yes", "No")</f>
        <v/>
      </c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1">
      <c r="A6" s="8" t="inlineStr">
        <is>
          <t>Stage I (2)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2" t="n">
        <v>44718</v>
      </c>
      <c r="Q6" s="19">
        <f>5+5+8+3</f>
        <v/>
      </c>
      <c r="R6" s="19">
        <f>TODAY()-P6</f>
        <v/>
      </c>
      <c r="S6" s="19">
        <f>IF(R6&gt;21, "Yes", "No")</f>
        <v/>
      </c>
      <c r="T6" s="12" t="n">
        <v>44739</v>
      </c>
      <c r="U6" s="19" t="n">
        <v>1</v>
      </c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1">
      <c r="A7" s="8" t="inlineStr">
        <is>
          <t>Stage I (2) Subculture</t>
        </is>
      </c>
      <c r="B7" s="1">
        <f t="array" aca="1" ref="B7" ca="1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2" t="n">
        <v>44739</v>
      </c>
      <c r="Q7" s="19" t="n">
        <v>42</v>
      </c>
      <c r="R7" s="19">
        <f>TODAY()-P7</f>
        <v/>
      </c>
      <c r="S7" s="19">
        <f>IF(R7&gt;21, "Yes", "No")</f>
        <v/>
      </c>
      <c r="T7" s="12" t="n">
        <v>44777</v>
      </c>
      <c r="U7" s="19" t="n">
        <v>2</v>
      </c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1">
      <c r="A8" s="36" t="inlineStr">
        <is>
          <t>Stage 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2" t="n">
        <v>44777</v>
      </c>
      <c r="Q8" s="19" t="n">
        <v>8</v>
      </c>
      <c r="R8" s="19">
        <f>TODAY()-P8</f>
        <v/>
      </c>
      <c r="S8" s="19">
        <f>IF(R8&gt;21, "Yes", "No")</f>
        <v/>
      </c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1">
      <c r="A9" s="36" t="inlineStr">
        <is>
          <t>Stage 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2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1">
      <c r="A10" s="36" t="inlineStr">
        <is>
          <t>Stage II Subculture</t>
        </is>
      </c>
      <c r="B10" s="1">
        <f t="array" ref="B10">LOOKUP(2,1 / (O$3:O$1048576 &lt;&gt;""), O$3:O$1048576)</f>
        <v/>
      </c>
    </row>
    <row r="11" ht="18" customHeight="1" s="21">
      <c r="A11" s="9" t="inlineStr">
        <is>
          <t>Stage III # Explants:</t>
        </is>
      </c>
      <c r="B11" s="3">
        <f t="array" ref="B11">(IFERROR((LOOKUP(2,1/(Q$3:Q$100&lt;&gt;""),Q$3:Q$100)),0))</f>
        <v/>
      </c>
    </row>
    <row r="12" ht="18" customHeight="1" s="21">
      <c r="A12" s="9" t="inlineStr">
        <is>
          <t>Stage III Date:</t>
        </is>
      </c>
      <c r="B12" s="10">
        <f t="array" ref="B12">LOOKUP(2,1 / (P$3:P$100 &lt;&gt;""), P$3:P$100)</f>
        <v/>
      </c>
    </row>
    <row r="13" ht="18" customHeight="1" s="21">
      <c r="A13" s="9" t="inlineStr">
        <is>
          <t>Stage III Subculture</t>
        </is>
      </c>
      <c r="B13" s="1">
        <f t="array" aca="1" ref="B13" ca="1">LOOKUP(2,1 / (S$3:S$100 &lt;&gt;""), S$3:S$100)</f>
        <v/>
      </c>
    </row>
    <row r="14" ht="18" customHeight="1" s="21">
      <c r="A14" s="34" t="inlineStr">
        <is>
          <t>Stage 2.5 # Explants:</t>
        </is>
      </c>
      <c r="B14" s="3">
        <f t="array" ref="B14">(IFERROR((LOOKUP(2,1/(U$3:U$100&lt;&gt;""),U$3:U$100)),0))</f>
        <v/>
      </c>
    </row>
    <row r="15" ht="18" customHeight="1" s="21">
      <c r="A15" s="34" t="inlineStr">
        <is>
          <t>Stage 2.5 Date:</t>
        </is>
      </c>
      <c r="B15" s="10">
        <f t="array" ref="B15">LOOKUP(2,1 / (T$3:T$100 &lt;&gt;""), T$3:T$100)</f>
        <v/>
      </c>
    </row>
    <row r="16" ht="18" customHeight="1" s="21">
      <c r="A16" s="34" t="inlineStr">
        <is>
          <t>Stage 2.5 Subculture</t>
        </is>
      </c>
      <c r="B16" s="1">
        <f t="array" aca="1" ref="B16" ca="1">LOOKUP(2,1 / (W$3:W$100 &lt;&gt;""), W$3:W$100)</f>
        <v/>
      </c>
    </row>
    <row r="17" ht="18" customHeight="1" s="21">
      <c r="A17" s="2" t="inlineStr">
        <is>
          <t>Stage IV # Explants:</t>
        </is>
      </c>
      <c r="B17" s="3">
        <f t="array" ref="B17">(IFERROR((LOOKUP(2,1/(Y$3:Y$100&lt;&gt;""),Y$3:Y$100)),0))</f>
        <v/>
      </c>
    </row>
    <row r="18" ht="18" customHeight="1" s="21">
      <c r="A18" s="2" t="inlineStr">
        <is>
          <t>Stage IV Date:</t>
        </is>
      </c>
      <c r="B18" s="10">
        <f t="array" ref="B18">LOOKUP(2,1 / (X$3:X$9 &lt;&gt;""), X$3:X$9)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Zack</dc:creator>
  <dcterms:created xsi:type="dcterms:W3CDTF">2019-02-24T04:31:45Z</dcterms:created>
  <dcterms:modified xsi:type="dcterms:W3CDTF">2022-09-22T13:04:52Z</dcterms:modified>
  <cp:lastModifiedBy>Zack</cp:lastModifiedBy>
</cp:coreProperties>
</file>