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Vertikal Tech TC Plant Lists\"/>
    </mc:Choice>
  </mc:AlternateContent>
  <xr:revisionPtr revIDLastSave="0" documentId="13_ncr:1_{A2A87E8A-E8D2-4C43-AC4F-67E8BDE27A0F}" xr6:coauthVersionLast="47" xr6:coauthVersionMax="47" xr10:uidLastSave="{00000000-0000-0000-0000-000000000000}"/>
  <bookViews>
    <workbookView xWindow="-108" yWindow="-108" windowWidth="23256" windowHeight="12576" tabRatio="910" activeTab="8" xr2:uid="{00000000-000D-0000-FFFF-FFFF00000000}"/>
  </bookViews>
  <sheets>
    <sheet name="Master List" sheetId="1" r:id="rId1"/>
    <sheet name="PBxZ" sheetId="2" r:id="rId2"/>
    <sheet name="WG" sheetId="3" r:id="rId3"/>
    <sheet name="MAC" sheetId="4" r:id="rId4"/>
    <sheet name="Jungle Cookies" sheetId="5" r:id="rId5"/>
    <sheet name="P.P." sheetId="6" r:id="rId6"/>
    <sheet name="GMO x Larry" sheetId="7" r:id="rId7"/>
    <sheet name="Runtz" sheetId="8" r:id="rId8"/>
    <sheet name="Meat Breath" sheetId="9" r:id="rId9"/>
    <sheet name="Wedding Pie" sheetId="10" r:id="rId10"/>
    <sheet name="Wedding Cake" sheetId="11" r:id="rId11"/>
    <sheet name="Silver Kush" sheetId="12" r:id="rId12"/>
    <sheet name="Violet Vixen" sheetId="13" r:id="rId13"/>
    <sheet name="ICC" sheetId="14" r:id="rId14"/>
    <sheet name="Sour Sniffets" sheetId="15" r:id="rId15"/>
    <sheet name="Chem Diesel" sheetId="16" r:id="rId16"/>
    <sheet name="Ethos Cookies" sheetId="17" r:id="rId17"/>
    <sheet name="Topanga Canyon" sheetId="18" r:id="rId18"/>
    <sheet name="Mandarin Cookies" sheetId="19" r:id="rId19"/>
    <sheet name="CG" sheetId="20" r:id="rId20"/>
    <sheet name="CRP" sheetId="21" r:id="rId21"/>
    <sheet name="LL" sheetId="22" r:id="rId22"/>
    <sheet name="ICC meristem" sheetId="23" r:id="rId23"/>
    <sheet name="Runtz meristem" sheetId="24" r:id="rId24"/>
    <sheet name="GMO meristem" sheetId="25" r:id="rId25"/>
    <sheet name="MB15 meristem" sheetId="26" r:id="rId26"/>
    <sheet name="SD meristem" sheetId="27" r:id="rId27"/>
    <sheet name="WP meristem" sheetId="28" r:id="rId28"/>
    <sheet name="WTC meristem" sheetId="29" r:id="rId29"/>
    <sheet name="LC meristem" sheetId="30" r:id="rId30"/>
    <sheet name="Banana OG meristem" sheetId="31" r:id="rId31"/>
    <sheet name="Violet Vixen meristem" sheetId="32" r:id="rId32"/>
    <sheet name="JC meristem" sheetId="33" r:id="rId33"/>
    <sheet name="Sun Cake meristem" sheetId="34" r:id="rId34"/>
    <sheet name="WC meristem" sheetId="35" r:id="rId35"/>
    <sheet name="MAC meristem" sheetId="36" r:id="rId36"/>
    <sheet name="Silver Kush meristem" sheetId="37" r:id="rId37"/>
    <sheet name="WG meristem" sheetId="38" r:id="rId38"/>
    <sheet name="Meat Breath meristem" sheetId="39" r:id="rId39"/>
    <sheet name="CL4 meristem" sheetId="40" r:id="rId40"/>
    <sheet name="PBxZ meristem" sheetId="41" r:id="rId41"/>
    <sheet name="BR Map" sheetId="42" r:id="rId4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41" l="1"/>
  <c r="B15" i="41" a="1"/>
  <c r="B15" i="41" s="1"/>
  <c r="B14" i="41" a="1"/>
  <c r="B14" i="41"/>
  <c r="B12" i="41" a="1"/>
  <c r="B12" i="41"/>
  <c r="M11" i="41"/>
  <c r="B8" i="41" s="1" a="1"/>
  <c r="B8" i="41" s="1"/>
  <c r="O10" i="41"/>
  <c r="N10" i="41"/>
  <c r="M10" i="41"/>
  <c r="N9" i="41"/>
  <c r="O9" i="41" s="1"/>
  <c r="B16" i="41" s="1" a="1"/>
  <c r="B16" i="41" s="1"/>
  <c r="M9" i="41"/>
  <c r="B9" i="41" a="1"/>
  <c r="B9" i="41" s="1"/>
  <c r="R7" i="41"/>
  <c r="S7" i="41" s="1"/>
  <c r="N7" i="41"/>
  <c r="O7" i="41" s="1"/>
  <c r="M7" i="41"/>
  <c r="B7" i="41" a="1"/>
  <c r="B7" i="41" s="1"/>
  <c r="R6" i="41"/>
  <c r="S6" i="41" s="1"/>
  <c r="Q6" i="41"/>
  <c r="B17" i="41" s="1"/>
  <c r="B6" i="41" a="1"/>
  <c r="B6" i="41"/>
  <c r="S5" i="41"/>
  <c r="R5" i="41"/>
  <c r="N5" i="41"/>
  <c r="O5" i="41" s="1"/>
  <c r="M5" i="41"/>
  <c r="M6" i="41" s="1"/>
  <c r="B5" i="41" a="1"/>
  <c r="B5" i="41"/>
  <c r="AF4" i="41"/>
  <c r="R4" i="41"/>
  <c r="S4" i="41" s="1"/>
  <c r="Q4" i="41"/>
  <c r="B4" i="41"/>
  <c r="R3" i="41"/>
  <c r="S3" i="41" s="1"/>
  <c r="Q3" i="41"/>
  <c r="O3" i="41"/>
  <c r="N3" i="41"/>
  <c r="B3" i="41"/>
  <c r="B2" i="41"/>
  <c r="B18" i="40"/>
  <c r="B17" i="40" a="1"/>
  <c r="B17" i="40" s="1"/>
  <c r="B15" i="40" a="1"/>
  <c r="B15" i="40" s="1"/>
  <c r="B14" i="40" a="1"/>
  <c r="B14" i="40"/>
  <c r="B13" i="40" a="1"/>
  <c r="B13" i="40" s="1"/>
  <c r="B12" i="40" a="1"/>
  <c r="B12" i="40"/>
  <c r="B11" i="40" a="1"/>
  <c r="B11" i="40" s="1"/>
  <c r="B9" i="40" a="1"/>
  <c r="B9" i="40" s="1"/>
  <c r="B8" i="40" a="1"/>
  <c r="B8" i="40"/>
  <c r="N6" i="40"/>
  <c r="O6" i="40" s="1"/>
  <c r="B6" i="40" a="1"/>
  <c r="B6" i="40" s="1"/>
  <c r="O4" i="40"/>
  <c r="N4" i="40"/>
  <c r="B4" i="40"/>
  <c r="N3" i="40"/>
  <c r="O3" i="40" s="1"/>
  <c r="J3" i="40"/>
  <c r="K3" i="40" s="1"/>
  <c r="B7" i="40" s="1" a="1"/>
  <c r="B7" i="40" s="1"/>
  <c r="I3" i="40"/>
  <c r="B5" i="40" s="1" a="1"/>
  <c r="B5" i="40" s="1"/>
  <c r="B3" i="40"/>
  <c r="B2" i="40"/>
  <c r="B15" i="39"/>
  <c r="B14" i="39"/>
  <c r="B12" i="39" a="1"/>
  <c r="B12" i="39"/>
  <c r="B11" i="39" a="1"/>
  <c r="B11" i="39" s="1"/>
  <c r="B9" i="39" a="1"/>
  <c r="B9" i="39" s="1"/>
  <c r="J8" i="39"/>
  <c r="K8" i="39" s="1"/>
  <c r="B7" i="39" s="1" a="1"/>
  <c r="B7" i="39" s="1"/>
  <c r="B8" i="39" a="1"/>
  <c r="B8" i="39" s="1"/>
  <c r="J7" i="39"/>
  <c r="K7" i="39" s="1"/>
  <c r="J6" i="39"/>
  <c r="K6" i="39" s="1"/>
  <c r="I6" i="39"/>
  <c r="B6" i="39" a="1"/>
  <c r="B6" i="39"/>
  <c r="B5" i="39" a="1"/>
  <c r="B5" i="39" s="1"/>
  <c r="N4" i="39"/>
  <c r="O4" i="39" s="1"/>
  <c r="K4" i="39"/>
  <c r="J4" i="39"/>
  <c r="I4" i="39"/>
  <c r="B4" i="39"/>
  <c r="O3" i="39"/>
  <c r="N3" i="39"/>
  <c r="J3" i="39"/>
  <c r="K3" i="39" s="1"/>
  <c r="B3" i="39"/>
  <c r="B2" i="39"/>
  <c r="B15" i="38"/>
  <c r="B14" i="38"/>
  <c r="B12" i="38" a="1"/>
  <c r="B12" i="38"/>
  <c r="B11" i="38" a="1"/>
  <c r="B11" i="38" s="1"/>
  <c r="J10" i="38"/>
  <c r="K10" i="38" s="1"/>
  <c r="I10" i="38"/>
  <c r="B5" i="38" s="1" a="1"/>
  <c r="B5" i="38" s="1"/>
  <c r="K9" i="38"/>
  <c r="J9" i="38"/>
  <c r="I9" i="38"/>
  <c r="B9" i="38" a="1"/>
  <c r="B9" i="38"/>
  <c r="K8" i="38"/>
  <c r="J8" i="38"/>
  <c r="I8" i="38"/>
  <c r="B8" i="38" a="1"/>
  <c r="B8" i="38" s="1"/>
  <c r="K7" i="38"/>
  <c r="J7" i="38"/>
  <c r="I7" i="38"/>
  <c r="B6" i="38" a="1"/>
  <c r="B6" i="38" s="1"/>
  <c r="M5" i="38"/>
  <c r="J5" i="38"/>
  <c r="K5" i="38" s="1"/>
  <c r="I5" i="38"/>
  <c r="I6" i="38" s="1"/>
  <c r="O4" i="38"/>
  <c r="N4" i="38"/>
  <c r="M4" i="38"/>
  <c r="B4" i="38"/>
  <c r="S3" i="38"/>
  <c r="R3" i="38"/>
  <c r="N3" i="38"/>
  <c r="O3" i="38" s="1"/>
  <c r="M3" i="38"/>
  <c r="K3" i="38"/>
  <c r="J3" i="38"/>
  <c r="B3" i="38"/>
  <c r="B2" i="38"/>
  <c r="B18" i="37"/>
  <c r="B17" i="37"/>
  <c r="B15" i="37" a="1"/>
  <c r="B15" i="37" s="1"/>
  <c r="B14" i="37" a="1"/>
  <c r="B14" i="37"/>
  <c r="B12" i="37" a="1"/>
  <c r="B12" i="37"/>
  <c r="B11" i="37" a="1"/>
  <c r="B11" i="37" s="1"/>
  <c r="N10" i="37"/>
  <c r="O10" i="37" s="1"/>
  <c r="N9" i="37"/>
  <c r="O9" i="37" s="1"/>
  <c r="B9" i="37" a="1"/>
  <c r="B9" i="37" s="1"/>
  <c r="N8" i="37"/>
  <c r="O8" i="37" s="1"/>
  <c r="M8" i="37"/>
  <c r="B8" i="37" s="1" a="1"/>
  <c r="B8" i="37" s="1"/>
  <c r="M7" i="37"/>
  <c r="B7" i="37" a="1"/>
  <c r="B7" i="37" s="1"/>
  <c r="N6" i="37"/>
  <c r="O6" i="37" s="1"/>
  <c r="M6" i="37"/>
  <c r="B6" i="37" a="1"/>
  <c r="B6" i="37"/>
  <c r="R5" i="37"/>
  <c r="S5" i="37" s="1"/>
  <c r="B13" i="37" s="1" a="1"/>
  <c r="B13" i="37" s="1"/>
  <c r="B5" i="37" a="1"/>
  <c r="B5" i="37"/>
  <c r="AF4" i="37"/>
  <c r="S4" i="37"/>
  <c r="R4" i="37"/>
  <c r="Q4" i="37"/>
  <c r="N4" i="37"/>
  <c r="O4" i="37" s="1"/>
  <c r="B4" i="37"/>
  <c r="R3" i="37"/>
  <c r="S3" i="37" s="1"/>
  <c r="Q3" i="37"/>
  <c r="N3" i="37"/>
  <c r="O3" i="37" s="1"/>
  <c r="B3" i="37"/>
  <c r="B2" i="37"/>
  <c r="B15" i="36"/>
  <c r="B14" i="36"/>
  <c r="B13" i="36" a="1"/>
  <c r="B13" i="36" s="1"/>
  <c r="B12" i="36" a="1"/>
  <c r="B12" i="36"/>
  <c r="B11" i="36" a="1"/>
  <c r="B11" i="36" s="1"/>
  <c r="B9" i="36" a="1"/>
  <c r="B9" i="36" s="1"/>
  <c r="J7" i="36"/>
  <c r="K7" i="36" s="1"/>
  <c r="K6" i="36"/>
  <c r="J6" i="36"/>
  <c r="I6" i="36"/>
  <c r="B6" i="36" a="1"/>
  <c r="B6" i="36"/>
  <c r="I5" i="36"/>
  <c r="B8" i="36" s="1" a="1"/>
  <c r="B8" i="36" s="1"/>
  <c r="J4" i="36"/>
  <c r="K4" i="36" s="1"/>
  <c r="B4" i="36"/>
  <c r="J3" i="36"/>
  <c r="K3" i="36" s="1"/>
  <c r="B3" i="36"/>
  <c r="B2" i="36"/>
  <c r="B18" i="35"/>
  <c r="B17" i="35" a="1"/>
  <c r="B17" i="35" s="1"/>
  <c r="B15" i="35" a="1"/>
  <c r="B15" i="35" s="1"/>
  <c r="B14" i="35" a="1"/>
  <c r="B14" i="35" s="1"/>
  <c r="B12" i="35" a="1"/>
  <c r="B12" i="35" s="1"/>
  <c r="B11" i="35" a="1"/>
  <c r="B11" i="35" s="1"/>
  <c r="N9" i="35"/>
  <c r="O9" i="35" s="1"/>
  <c r="B9" i="35" a="1"/>
  <c r="B9" i="35" s="1"/>
  <c r="O8" i="35"/>
  <c r="N8" i="35"/>
  <c r="B8" i="35" a="1"/>
  <c r="B8" i="35" s="1"/>
  <c r="O7" i="35"/>
  <c r="N7" i="35"/>
  <c r="N6" i="35"/>
  <c r="O6" i="35" s="1"/>
  <c r="M6" i="35"/>
  <c r="B6" i="35" a="1"/>
  <c r="B6" i="35"/>
  <c r="M5" i="35"/>
  <c r="B5" i="35" a="1"/>
  <c r="B5" i="35" s="1"/>
  <c r="S4" i="35"/>
  <c r="R4" i="35"/>
  <c r="N4" i="35"/>
  <c r="O4" i="35" s="1"/>
  <c r="B4" i="35"/>
  <c r="R3" i="35"/>
  <c r="S3" i="35" s="1"/>
  <c r="N3" i="35"/>
  <c r="O3" i="35" s="1"/>
  <c r="J3" i="35"/>
  <c r="K3" i="35" s="1"/>
  <c r="B7" i="35" s="1" a="1"/>
  <c r="B7" i="35" s="1"/>
  <c r="B3" i="35"/>
  <c r="B2" i="35"/>
  <c r="B18" i="34"/>
  <c r="B17" i="34" a="1"/>
  <c r="B17" i="34" s="1"/>
  <c r="B15" i="34" a="1"/>
  <c r="B15" i="34" s="1"/>
  <c r="B14" i="34" a="1"/>
  <c r="B14" i="34" s="1"/>
  <c r="B12" i="34" a="1"/>
  <c r="B12" i="34" s="1"/>
  <c r="B11" i="34" a="1"/>
  <c r="B11" i="34" s="1"/>
  <c r="B9" i="34" a="1"/>
  <c r="B9" i="34" s="1"/>
  <c r="B8" i="34" a="1"/>
  <c r="B8" i="34" s="1"/>
  <c r="B7" i="34" a="1"/>
  <c r="B7" i="34" s="1"/>
  <c r="B6" i="34" a="1"/>
  <c r="B6" i="34" s="1"/>
  <c r="B5" i="34" a="1"/>
  <c r="B5" i="34" s="1"/>
  <c r="R4" i="34"/>
  <c r="S4" i="34" s="1"/>
  <c r="O4" i="34"/>
  <c r="N4" i="34"/>
  <c r="B4" i="34"/>
  <c r="R3" i="34"/>
  <c r="S3" i="34" s="1"/>
  <c r="N3" i="34"/>
  <c r="O3" i="34" s="1"/>
  <c r="B10" i="34" s="1" a="1"/>
  <c r="B10" i="34" s="1"/>
  <c r="B3" i="34"/>
  <c r="B2" i="34"/>
  <c r="B18" i="33"/>
  <c r="B17" i="33" a="1"/>
  <c r="B17" i="33" s="1"/>
  <c r="B15" i="33" a="1"/>
  <c r="B15" i="33" s="1"/>
  <c r="M12" i="33"/>
  <c r="B14" i="33" s="1" a="1"/>
  <c r="B14" i="33" s="1"/>
  <c r="B12" i="33" a="1"/>
  <c r="B12" i="33"/>
  <c r="N11" i="33"/>
  <c r="O11" i="33" s="1"/>
  <c r="M11" i="33"/>
  <c r="B11" i="33" a="1"/>
  <c r="B11" i="33" s="1"/>
  <c r="N9" i="33"/>
  <c r="O9" i="33" s="1"/>
  <c r="M9" i="33"/>
  <c r="B9" i="33" a="1"/>
  <c r="B9" i="33"/>
  <c r="Q6" i="33"/>
  <c r="N6" i="33"/>
  <c r="O6" i="33" s="1"/>
  <c r="M6" i="33"/>
  <c r="M7" i="33" s="1"/>
  <c r="B6" i="33" a="1"/>
  <c r="B6" i="33" s="1"/>
  <c r="AF5" i="33"/>
  <c r="R5" i="33"/>
  <c r="S5" i="33" s="1"/>
  <c r="B13" i="33" s="1" a="1"/>
  <c r="B13" i="33" s="1"/>
  <c r="Q5" i="33"/>
  <c r="N5" i="33"/>
  <c r="O5" i="33" s="1"/>
  <c r="M5" i="33"/>
  <c r="B4" i="33"/>
  <c r="R3" i="33"/>
  <c r="S3" i="33" s="1"/>
  <c r="Q3" i="33"/>
  <c r="N3" i="33"/>
  <c r="O3" i="33" s="1"/>
  <c r="J3" i="33"/>
  <c r="K3" i="33" s="1"/>
  <c r="B7" i="33" s="1" a="1"/>
  <c r="B7" i="33" s="1"/>
  <c r="I3" i="33"/>
  <c r="B5" i="33" s="1" a="1"/>
  <c r="B5" i="33" s="1"/>
  <c r="B3" i="33"/>
  <c r="B2" i="33"/>
  <c r="B18" i="32"/>
  <c r="B17" i="32"/>
  <c r="B15" i="32" a="1"/>
  <c r="B15" i="32"/>
  <c r="B14" i="32" a="1"/>
  <c r="B14" i="32" s="1"/>
  <c r="B12" i="32" a="1"/>
  <c r="B12" i="32" s="1"/>
  <c r="B11" i="32" a="1"/>
  <c r="B11" i="32" s="1"/>
  <c r="N9" i="32"/>
  <c r="O9" i="32" s="1"/>
  <c r="M9" i="32"/>
  <c r="B9" i="32" a="1"/>
  <c r="B9" i="32"/>
  <c r="N8" i="32"/>
  <c r="O8" i="32" s="1"/>
  <c r="M8" i="32"/>
  <c r="B8" i="32" a="1"/>
  <c r="B8" i="32"/>
  <c r="O7" i="32"/>
  <c r="N7" i="32"/>
  <c r="M7" i="32"/>
  <c r="N6" i="32"/>
  <c r="O6" i="32" s="1"/>
  <c r="M6" i="32"/>
  <c r="B6" i="32" a="1"/>
  <c r="B6" i="32" s="1"/>
  <c r="R5" i="32"/>
  <c r="S5" i="32" s="1"/>
  <c r="B13" i="32" s="1" a="1"/>
  <c r="B13" i="32" s="1"/>
  <c r="O5" i="32"/>
  <c r="N5" i="32"/>
  <c r="M5" i="32"/>
  <c r="B5" i="32" a="1"/>
  <c r="B5" i="32" s="1"/>
  <c r="R4" i="32"/>
  <c r="S4" i="32" s="1"/>
  <c r="Q4" i="32"/>
  <c r="N4" i="32"/>
  <c r="O4" i="32" s="1"/>
  <c r="M4" i="32"/>
  <c r="B4" i="32"/>
  <c r="R3" i="32"/>
  <c r="S3" i="32" s="1"/>
  <c r="Q3" i="32"/>
  <c r="N3" i="32"/>
  <c r="O3" i="32" s="1"/>
  <c r="J3" i="32"/>
  <c r="K3" i="32" s="1"/>
  <c r="B7" i="32" s="1" a="1"/>
  <c r="B7" i="32" s="1"/>
  <c r="I3" i="32"/>
  <c r="B3" i="32"/>
  <c r="B2" i="32"/>
  <c r="B18" i="31"/>
  <c r="B17" i="31"/>
  <c r="B15" i="31" a="1"/>
  <c r="B15" i="31" s="1"/>
  <c r="B14" i="31" a="1"/>
  <c r="B14" i="31" s="1"/>
  <c r="B12" i="31" a="1"/>
  <c r="B12" i="31" s="1"/>
  <c r="B11" i="31" a="1"/>
  <c r="B11" i="31" s="1"/>
  <c r="B9" i="31" a="1"/>
  <c r="B9" i="31" s="1"/>
  <c r="N8" i="31"/>
  <c r="O8" i="31" s="1"/>
  <c r="B16" i="31" s="1" a="1"/>
  <c r="B16" i="31" s="1"/>
  <c r="B8" i="31" a="1"/>
  <c r="B8" i="31" s="1"/>
  <c r="N7" i="31"/>
  <c r="O7" i="31" s="1"/>
  <c r="O6" i="31"/>
  <c r="N6" i="31"/>
  <c r="B6" i="31" a="1"/>
  <c r="B6" i="31" s="1"/>
  <c r="O5" i="31"/>
  <c r="N5" i="31"/>
  <c r="M5" i="31"/>
  <c r="B5" i="31" a="1"/>
  <c r="B5" i="31" s="1"/>
  <c r="R4" i="31"/>
  <c r="S4" i="31" s="1"/>
  <c r="O4" i="31"/>
  <c r="N4" i="31"/>
  <c r="B4" i="31"/>
  <c r="S3" i="31"/>
  <c r="B13" i="31" s="1" a="1"/>
  <c r="B13" i="31" s="1"/>
  <c r="R3" i="31"/>
  <c r="N3" i="31"/>
  <c r="O3" i="31" s="1"/>
  <c r="J3" i="31"/>
  <c r="K3" i="31" s="1"/>
  <c r="B7" i="31" s="1" a="1"/>
  <c r="B7" i="31" s="1"/>
  <c r="B3" i="31"/>
  <c r="B2" i="31"/>
  <c r="B18" i="30"/>
  <c r="B17" i="30"/>
  <c r="B15" i="30" a="1"/>
  <c r="B15" i="30" s="1"/>
  <c r="B14" i="30" a="1"/>
  <c r="B14" i="30"/>
  <c r="M13" i="30"/>
  <c r="B8" i="30" s="1" a="1"/>
  <c r="B8" i="30" s="1"/>
  <c r="B12" i="30" a="1"/>
  <c r="B12" i="30" s="1"/>
  <c r="N11" i="30"/>
  <c r="O11" i="30" s="1"/>
  <c r="M11" i="30"/>
  <c r="N10" i="30"/>
  <c r="O10" i="30" s="1"/>
  <c r="M10" i="30"/>
  <c r="N9" i="30"/>
  <c r="O9" i="30" s="1"/>
  <c r="B16" i="30" s="1" a="1"/>
  <c r="B16" i="30" s="1"/>
  <c r="M9" i="30"/>
  <c r="B9" i="30" a="1"/>
  <c r="B9" i="30"/>
  <c r="Q7" i="30"/>
  <c r="O7" i="30"/>
  <c r="N7" i="30"/>
  <c r="M7" i="30"/>
  <c r="O6" i="30"/>
  <c r="N6" i="30"/>
  <c r="M6" i="30"/>
  <c r="B6" i="30" a="1"/>
  <c r="B6" i="30"/>
  <c r="S5" i="30"/>
  <c r="B13" i="30" s="1" a="1"/>
  <c r="B13" i="30" s="1"/>
  <c r="R5" i="30"/>
  <c r="Q5" i="30"/>
  <c r="B11" i="30" s="1" a="1"/>
  <c r="B11" i="30" s="1"/>
  <c r="B5" i="30" a="1"/>
  <c r="B5" i="30" s="1"/>
  <c r="R4" i="30"/>
  <c r="S4" i="30" s="1"/>
  <c r="Q4" i="30"/>
  <c r="B4" i="30"/>
  <c r="V3" i="30"/>
  <c r="W3" i="30" s="1"/>
  <c r="S3" i="30"/>
  <c r="R3" i="30"/>
  <c r="Q3" i="30"/>
  <c r="O3" i="30"/>
  <c r="N3" i="30"/>
  <c r="J3" i="30"/>
  <c r="K3" i="30" s="1"/>
  <c r="B7" i="30" s="1" a="1"/>
  <c r="B7" i="30" s="1"/>
  <c r="B3" i="30"/>
  <c r="B2" i="30"/>
  <c r="B18" i="29"/>
  <c r="N12" i="29"/>
  <c r="O12" i="29" s="1"/>
  <c r="M12" i="29"/>
  <c r="B12" i="29" a="1"/>
  <c r="B12" i="29" s="1"/>
  <c r="N10" i="29"/>
  <c r="O10" i="29" s="1"/>
  <c r="N9" i="29"/>
  <c r="O9" i="29" s="1"/>
  <c r="M9" i="29"/>
  <c r="B9" i="29" a="1"/>
  <c r="B9" i="29" s="1"/>
  <c r="M8" i="29"/>
  <c r="B8" i="29" s="1" a="1"/>
  <c r="B8" i="29" s="1"/>
  <c r="R6" i="29"/>
  <c r="S6" i="29" s="1"/>
  <c r="B13" i="29" s="1" a="1"/>
  <c r="B13" i="29" s="1"/>
  <c r="Q6" i="29"/>
  <c r="N6" i="29"/>
  <c r="O6" i="29" s="1"/>
  <c r="M6" i="29"/>
  <c r="B6" i="29" a="1"/>
  <c r="B6" i="29" s="1"/>
  <c r="AF5" i="29"/>
  <c r="B5" i="29" a="1"/>
  <c r="B5" i="29" s="1"/>
  <c r="W4" i="29"/>
  <c r="V4" i="29"/>
  <c r="R4" i="29"/>
  <c r="S4" i="29" s="1"/>
  <c r="O4" i="29"/>
  <c r="N4" i="29"/>
  <c r="M4" i="29"/>
  <c r="B4" i="29"/>
  <c r="W3" i="29"/>
  <c r="V3" i="29"/>
  <c r="R3" i="29"/>
  <c r="S3" i="29" s="1"/>
  <c r="Q3" i="29"/>
  <c r="N3" i="29"/>
  <c r="O3" i="29" s="1"/>
  <c r="J3" i="29"/>
  <c r="K3" i="29" s="1"/>
  <c r="B7" i="29" s="1" a="1"/>
  <c r="B7" i="29" s="1"/>
  <c r="B3" i="29"/>
  <c r="B2" i="29"/>
  <c r="B18" i="28"/>
  <c r="B17" i="28"/>
  <c r="B15" i="28" a="1"/>
  <c r="B15" i="28"/>
  <c r="B12" i="28" a="1"/>
  <c r="B12" i="28"/>
  <c r="B11" i="28" a="1"/>
  <c r="B11" i="28" s="1"/>
  <c r="M10" i="28"/>
  <c r="B14" i="28" s="1" a="1"/>
  <c r="B14" i="28" s="1"/>
  <c r="B9" i="28" a="1"/>
  <c r="B9" i="28" s="1"/>
  <c r="O8" i="28"/>
  <c r="B16" i="28" s="1" a="1"/>
  <c r="B16" i="28" s="1"/>
  <c r="N8" i="28"/>
  <c r="B8" i="28" a="1"/>
  <c r="B8" i="28" s="1"/>
  <c r="N6" i="28"/>
  <c r="O6" i="28" s="1"/>
  <c r="M6" i="28"/>
  <c r="B6" i="28" a="1"/>
  <c r="B6" i="28" s="1"/>
  <c r="N5" i="28"/>
  <c r="O5" i="28" s="1"/>
  <c r="M5" i="28"/>
  <c r="B5" i="28" a="1"/>
  <c r="B5" i="28" s="1"/>
  <c r="M4" i="28"/>
  <c r="B4" i="28"/>
  <c r="S3" i="28"/>
  <c r="B13" i="28" s="1" a="1"/>
  <c r="B13" i="28" s="1"/>
  <c r="R3" i="28"/>
  <c r="N3" i="28"/>
  <c r="O3" i="28" s="1"/>
  <c r="K3" i="28"/>
  <c r="B7" i="28" s="1" a="1"/>
  <c r="B7" i="28" s="1"/>
  <c r="J3" i="28"/>
  <c r="B3" i="28"/>
  <c r="B2" i="28"/>
  <c r="I16" i="27"/>
  <c r="J15" i="27"/>
  <c r="K15" i="27" s="1"/>
  <c r="B7" i="27" s="1" a="1"/>
  <c r="B7" i="27" s="1"/>
  <c r="I15" i="27"/>
  <c r="B5" i="27" s="1" a="1"/>
  <c r="B5" i="27" s="1"/>
  <c r="B15" i="27"/>
  <c r="B14" i="27"/>
  <c r="K13" i="27"/>
  <c r="J13" i="27"/>
  <c r="I13" i="27"/>
  <c r="K12" i="27"/>
  <c r="J12" i="27"/>
  <c r="B12" i="27" a="1"/>
  <c r="B12" i="27"/>
  <c r="B11" i="27" a="1"/>
  <c r="B11" i="27" s="1"/>
  <c r="J10" i="27"/>
  <c r="K10" i="27" s="1"/>
  <c r="I10" i="27"/>
  <c r="B9" i="27" a="1"/>
  <c r="B9" i="27" s="1"/>
  <c r="B8" i="27" a="1"/>
  <c r="B8" i="27" s="1"/>
  <c r="AB7" i="27"/>
  <c r="J7" i="27"/>
  <c r="K7" i="27" s="1"/>
  <c r="I7" i="27"/>
  <c r="I8" i="27" s="1"/>
  <c r="I9" i="27" s="1"/>
  <c r="AB6" i="27"/>
  <c r="N6" i="27"/>
  <c r="O6" i="27" s="1"/>
  <c r="B13" i="27" s="1" a="1"/>
  <c r="B13" i="27" s="1"/>
  <c r="M6" i="27"/>
  <c r="I6" i="27"/>
  <c r="B6" i="27" a="1"/>
  <c r="B6" i="27"/>
  <c r="R5" i="27"/>
  <c r="S5" i="27" s="1"/>
  <c r="N4" i="27"/>
  <c r="O4" i="27" s="1"/>
  <c r="M4" i="27"/>
  <c r="B4" i="27"/>
  <c r="R3" i="27"/>
  <c r="S3" i="27" s="1"/>
  <c r="O3" i="27"/>
  <c r="N3" i="27"/>
  <c r="M3" i="27"/>
  <c r="J3" i="27"/>
  <c r="K3" i="27" s="1"/>
  <c r="B3" i="27"/>
  <c r="B2" i="27"/>
  <c r="B18" i="26"/>
  <c r="B17" i="26"/>
  <c r="B15" i="26" a="1"/>
  <c r="B15" i="26" s="1"/>
  <c r="B14" i="26" a="1"/>
  <c r="B14" i="26" s="1"/>
  <c r="B12" i="26" a="1"/>
  <c r="B12" i="26" s="1"/>
  <c r="B11" i="26" a="1"/>
  <c r="B11" i="26" s="1"/>
  <c r="N9" i="26"/>
  <c r="O9" i="26" s="1"/>
  <c r="M9" i="26"/>
  <c r="B9" i="26" a="1"/>
  <c r="B9" i="26"/>
  <c r="B8" i="26" a="1"/>
  <c r="B8" i="26" s="1"/>
  <c r="O6" i="26"/>
  <c r="N6" i="26"/>
  <c r="M6" i="26"/>
  <c r="M7" i="26" s="1"/>
  <c r="B6" i="26" a="1"/>
  <c r="B6" i="26"/>
  <c r="N5" i="26"/>
  <c r="O5" i="26" s="1"/>
  <c r="M5" i="26"/>
  <c r="R4" i="26"/>
  <c r="S4" i="26" s="1"/>
  <c r="B4" i="26"/>
  <c r="V3" i="26"/>
  <c r="W3" i="26" s="1"/>
  <c r="R3" i="26"/>
  <c r="S3" i="26" s="1"/>
  <c r="Q3" i="26"/>
  <c r="N3" i="26"/>
  <c r="O3" i="26" s="1"/>
  <c r="J3" i="26"/>
  <c r="K3" i="26" s="1"/>
  <c r="B7" i="26" s="1" a="1"/>
  <c r="B7" i="26" s="1"/>
  <c r="I3" i="26"/>
  <c r="B5" i="26" s="1" a="1"/>
  <c r="B5" i="26" s="1"/>
  <c r="B3" i="26"/>
  <c r="B2" i="26"/>
  <c r="B18" i="25"/>
  <c r="B17" i="25"/>
  <c r="B12" i="25" a="1"/>
  <c r="B12" i="25"/>
  <c r="B11" i="25" a="1"/>
  <c r="B11" i="25" s="1"/>
  <c r="N9" i="25"/>
  <c r="O9" i="25" s="1"/>
  <c r="M9" i="25"/>
  <c r="B9" i="25" a="1"/>
  <c r="B9" i="25" s="1"/>
  <c r="O8" i="25"/>
  <c r="N8" i="25"/>
  <c r="M8" i="25"/>
  <c r="B8" i="25" s="1" a="1"/>
  <c r="B8" i="25" s="1"/>
  <c r="B7" i="25" a="1"/>
  <c r="B7" i="25"/>
  <c r="N6" i="25"/>
  <c r="O6" i="25" s="1"/>
  <c r="M6" i="25"/>
  <c r="M7" i="25" s="1"/>
  <c r="B6" i="25" a="1"/>
  <c r="B6" i="25" s="1"/>
  <c r="B5" i="25" a="1"/>
  <c r="B5" i="25" s="1"/>
  <c r="S4" i="25"/>
  <c r="R4" i="25"/>
  <c r="Q4" i="25"/>
  <c r="N4" i="25"/>
  <c r="O4" i="25" s="1"/>
  <c r="M4" i="25"/>
  <c r="M5" i="25" s="1"/>
  <c r="B4" i="25"/>
  <c r="AF3" i="25"/>
  <c r="R3" i="25"/>
  <c r="S3" i="25" s="1"/>
  <c r="B13" i="25" s="1" a="1"/>
  <c r="B13" i="25" s="1"/>
  <c r="Q3" i="25"/>
  <c r="N3" i="25"/>
  <c r="O3" i="25" s="1"/>
  <c r="B3" i="25"/>
  <c r="B2" i="25"/>
  <c r="B18" i="24"/>
  <c r="B17" i="24"/>
  <c r="M15" i="24"/>
  <c r="B14" i="24" s="1" a="1"/>
  <c r="B14" i="24" s="1"/>
  <c r="B15" i="24" a="1"/>
  <c r="B15" i="24" s="1"/>
  <c r="N13" i="24"/>
  <c r="O13" i="24" s="1"/>
  <c r="M13" i="24"/>
  <c r="M12" i="24"/>
  <c r="B12" i="24" a="1"/>
  <c r="B12" i="24" s="1"/>
  <c r="B11" i="24" a="1"/>
  <c r="B11" i="24" s="1"/>
  <c r="N9" i="24"/>
  <c r="O9" i="24" s="1"/>
  <c r="M9" i="24"/>
  <c r="M10" i="24" s="1"/>
  <c r="B9" i="24" a="1"/>
  <c r="B9" i="24" s="1"/>
  <c r="M8" i="24"/>
  <c r="B8" i="24" a="1"/>
  <c r="B8" i="24" s="1"/>
  <c r="AF6" i="24"/>
  <c r="Q6" i="24"/>
  <c r="O6" i="24"/>
  <c r="N6" i="24"/>
  <c r="M6" i="24"/>
  <c r="B6" i="24" a="1"/>
  <c r="B6" i="24"/>
  <c r="AF4" i="24"/>
  <c r="W4" i="24"/>
  <c r="V4" i="24"/>
  <c r="S4" i="24"/>
  <c r="R4" i="24"/>
  <c r="B4" i="24"/>
  <c r="V3" i="24"/>
  <c r="W3" i="24" s="1"/>
  <c r="R3" i="24"/>
  <c r="S3" i="24" s="1"/>
  <c r="B13" i="24" s="1" a="1"/>
  <c r="B13" i="24" s="1"/>
  <c r="Q3" i="24"/>
  <c r="O3" i="24"/>
  <c r="N3" i="24"/>
  <c r="K3" i="24"/>
  <c r="B7" i="24" s="1" a="1"/>
  <c r="B7" i="24" s="1"/>
  <c r="J3" i="24"/>
  <c r="I3" i="24"/>
  <c r="B5" i="24" s="1" a="1"/>
  <c r="B5" i="24" s="1"/>
  <c r="B3" i="24"/>
  <c r="B2" i="24"/>
  <c r="B15" i="23"/>
  <c r="B14" i="23"/>
  <c r="B12" i="23" a="1"/>
  <c r="B12" i="23"/>
  <c r="B11" i="23" a="1"/>
  <c r="B11" i="23"/>
  <c r="I10" i="23"/>
  <c r="K9" i="23"/>
  <c r="B7" i="23" s="1" a="1"/>
  <c r="B7" i="23" s="1"/>
  <c r="J9" i="23"/>
  <c r="B9" i="23" a="1"/>
  <c r="B9" i="23" s="1"/>
  <c r="B8" i="23" a="1"/>
  <c r="B8" i="23" s="1"/>
  <c r="K6" i="23"/>
  <c r="J6" i="23"/>
  <c r="I6" i="23"/>
  <c r="B6" i="23" a="1"/>
  <c r="B6" i="23"/>
  <c r="M5" i="23"/>
  <c r="B5" i="23" a="1"/>
  <c r="B5" i="23" s="1"/>
  <c r="N4" i="23"/>
  <c r="O4" i="23" s="1"/>
  <c r="J4" i="23"/>
  <c r="K4" i="23" s="1"/>
  <c r="I4" i="23"/>
  <c r="B4" i="23"/>
  <c r="AB3" i="23"/>
  <c r="N3" i="23"/>
  <c r="O3" i="23" s="1"/>
  <c r="M3" i="23"/>
  <c r="K3" i="23"/>
  <c r="J3" i="23"/>
  <c r="B3" i="23"/>
  <c r="B2" i="23"/>
  <c r="B18" i="22"/>
  <c r="B16" i="22" a="1"/>
  <c r="B16" i="22"/>
  <c r="B15" i="22" a="1"/>
  <c r="B15" i="22"/>
  <c r="B14" i="22" a="1"/>
  <c r="B14" i="22"/>
  <c r="B12" i="22" a="1"/>
  <c r="B12" i="22"/>
  <c r="B9" i="22" a="1"/>
  <c r="B9" i="22"/>
  <c r="B6" i="22" a="1"/>
  <c r="B6" i="22"/>
  <c r="Q5" i="22"/>
  <c r="B17" i="22" s="1" a="1"/>
  <c r="B17" i="22" s="1"/>
  <c r="M5" i="22"/>
  <c r="B8" i="22" s="1" a="1"/>
  <c r="B8" i="22" s="1"/>
  <c r="B5" i="22" a="1"/>
  <c r="B5" i="22" s="1"/>
  <c r="S4" i="22"/>
  <c r="R4" i="22"/>
  <c r="O4" i="22"/>
  <c r="N4" i="22"/>
  <c r="M4" i="22"/>
  <c r="E4" i="22"/>
  <c r="E5" i="22" s="1"/>
  <c r="B2" i="22" s="1"/>
  <c r="B4" i="22"/>
  <c r="R3" i="22"/>
  <c r="S3" i="22" s="1"/>
  <c r="Q3" i="22"/>
  <c r="N3" i="22"/>
  <c r="O3" i="22" s="1"/>
  <c r="B10" i="22" s="1" a="1"/>
  <c r="B10" i="22" s="1"/>
  <c r="M3" i="22"/>
  <c r="J3" i="22"/>
  <c r="K3" i="22" s="1"/>
  <c r="B7" i="22" s="1" a="1"/>
  <c r="B7" i="22" s="1"/>
  <c r="I3" i="22"/>
  <c r="G3" i="22"/>
  <c r="F3" i="22"/>
  <c r="B3" i="22"/>
  <c r="B18" i="21"/>
  <c r="B16" i="21" a="1"/>
  <c r="B16" i="21"/>
  <c r="B15" i="21" a="1"/>
  <c r="B15" i="21"/>
  <c r="B14" i="21" a="1"/>
  <c r="B14" i="21"/>
  <c r="B12" i="21" a="1"/>
  <c r="B12" i="21"/>
  <c r="B9" i="21" a="1"/>
  <c r="B9" i="21"/>
  <c r="R6" i="21"/>
  <c r="S6" i="21" s="1"/>
  <c r="B13" i="21" s="1" a="1"/>
  <c r="B13" i="21" s="1"/>
  <c r="Q6" i="21"/>
  <c r="O6" i="21"/>
  <c r="B10" i="21" s="1" a="1"/>
  <c r="B10" i="21" s="1"/>
  <c r="N6" i="21"/>
  <c r="M6" i="21"/>
  <c r="B6" i="21" a="1"/>
  <c r="B6" i="21"/>
  <c r="Q5" i="21"/>
  <c r="B17" i="21" s="1" a="1"/>
  <c r="B17" i="21" s="1"/>
  <c r="M5" i="21"/>
  <c r="B8" i="21" s="1" a="1"/>
  <c r="B8" i="21" s="1"/>
  <c r="R4" i="21"/>
  <c r="S4" i="21" s="1"/>
  <c r="Q4" i="21"/>
  <c r="N4" i="21"/>
  <c r="O4" i="21" s="1"/>
  <c r="M4" i="21"/>
  <c r="E4" i="21"/>
  <c r="B4" i="21"/>
  <c r="R3" i="21"/>
  <c r="S3" i="21" s="1"/>
  <c r="Q3" i="21"/>
  <c r="O3" i="21"/>
  <c r="N3" i="21"/>
  <c r="M3" i="21"/>
  <c r="J3" i="21"/>
  <c r="K3" i="21" s="1"/>
  <c r="B7" i="21" s="1" a="1"/>
  <c r="B7" i="21" s="1"/>
  <c r="I3" i="21"/>
  <c r="B5" i="21" s="1" a="1"/>
  <c r="B5" i="21" s="1"/>
  <c r="F3" i="21"/>
  <c r="G3" i="21" s="1"/>
  <c r="B3" i="21"/>
  <c r="B2" i="21"/>
  <c r="B18" i="20"/>
  <c r="B16" i="20" a="1"/>
  <c r="B16" i="20"/>
  <c r="B15" i="20" a="1"/>
  <c r="B15" i="20"/>
  <c r="B14" i="20" a="1"/>
  <c r="B14" i="20"/>
  <c r="B12" i="20" a="1"/>
  <c r="B12" i="20"/>
  <c r="B9" i="20" a="1"/>
  <c r="B9" i="20"/>
  <c r="Q7" i="20"/>
  <c r="M7" i="20"/>
  <c r="Q6" i="20"/>
  <c r="M6" i="20"/>
  <c r="B6" i="20" a="1"/>
  <c r="B6" i="20" s="1"/>
  <c r="Q5" i="20"/>
  <c r="B17" i="20" s="1" a="1"/>
  <c r="B17" i="20" s="1"/>
  <c r="M5" i="20"/>
  <c r="B8" i="20" s="1" a="1"/>
  <c r="B8" i="20" s="1"/>
  <c r="R4" i="20"/>
  <c r="S4" i="20" s="1"/>
  <c r="N4" i="20"/>
  <c r="O4" i="20" s="1"/>
  <c r="M4" i="20"/>
  <c r="E4" i="20"/>
  <c r="E5" i="20" s="1"/>
  <c r="B4" i="20"/>
  <c r="S3" i="20"/>
  <c r="R3" i="20"/>
  <c r="Q3" i="20"/>
  <c r="N3" i="20"/>
  <c r="O3" i="20" s="1"/>
  <c r="B10" i="20" s="1" a="1"/>
  <c r="B10" i="20" s="1"/>
  <c r="M3" i="20"/>
  <c r="J3" i="20"/>
  <c r="K3" i="20" s="1"/>
  <c r="B7" i="20" s="1" a="1"/>
  <c r="B7" i="20" s="1"/>
  <c r="I3" i="20"/>
  <c r="B5" i="20" s="1" a="1"/>
  <c r="B5" i="20" s="1"/>
  <c r="F3" i="20"/>
  <c r="G3" i="20" s="1"/>
  <c r="B3" i="20"/>
  <c r="B18" i="19"/>
  <c r="B17" i="19" a="1"/>
  <c r="B17" i="19" s="1"/>
  <c r="B16" i="19" a="1"/>
  <c r="B16" i="19" s="1"/>
  <c r="B15" i="19" a="1"/>
  <c r="B15" i="19" s="1"/>
  <c r="B14" i="19" a="1"/>
  <c r="B14" i="19" s="1"/>
  <c r="B12" i="19" a="1"/>
  <c r="B12" i="19" s="1"/>
  <c r="B11" i="19" a="1"/>
  <c r="B11" i="19" s="1"/>
  <c r="B9" i="19" a="1"/>
  <c r="B9" i="19" s="1"/>
  <c r="M6" i="19"/>
  <c r="B8" i="19" s="1" a="1"/>
  <c r="B8" i="19" s="1"/>
  <c r="B6" i="19" a="1"/>
  <c r="B6" i="19"/>
  <c r="N4" i="19"/>
  <c r="O4" i="19" s="1"/>
  <c r="M4" i="19"/>
  <c r="E4" i="19"/>
  <c r="E5" i="19" s="1"/>
  <c r="B4" i="19"/>
  <c r="R3" i="19"/>
  <c r="S3" i="19" s="1"/>
  <c r="B13" i="19" s="1" a="1"/>
  <c r="B13" i="19" s="1"/>
  <c r="N3" i="19"/>
  <c r="O3" i="19" s="1"/>
  <c r="M3" i="19"/>
  <c r="J3" i="19"/>
  <c r="K3" i="19" s="1"/>
  <c r="B7" i="19" s="1" a="1"/>
  <c r="B7" i="19" s="1"/>
  <c r="I3" i="19"/>
  <c r="B5" i="19" s="1" a="1"/>
  <c r="B5" i="19" s="1"/>
  <c r="F3" i="19"/>
  <c r="G3" i="19" s="1"/>
  <c r="B3" i="19"/>
  <c r="B2" i="19"/>
  <c r="B18" i="18"/>
  <c r="B17" i="18" a="1"/>
  <c r="B17" i="18" s="1"/>
  <c r="B16" i="18" a="1"/>
  <c r="B16" i="18" s="1"/>
  <c r="B15" i="18" a="1"/>
  <c r="B15" i="18" s="1"/>
  <c r="B14" i="18" a="1"/>
  <c r="B14" i="18" s="1"/>
  <c r="B12" i="18" a="1"/>
  <c r="B12" i="18" s="1"/>
  <c r="B11" i="18" a="1"/>
  <c r="B11" i="18" s="1"/>
  <c r="B9" i="18" a="1"/>
  <c r="B9" i="18" s="1"/>
  <c r="B7" i="18" a="1"/>
  <c r="B7" i="18" s="1"/>
  <c r="B6" i="18" a="1"/>
  <c r="B6" i="18" s="1"/>
  <c r="M5" i="18"/>
  <c r="B8" i="18" s="1" a="1"/>
  <c r="B8" i="18" s="1"/>
  <c r="G18" i="1" s="1"/>
  <c r="B5" i="18" a="1"/>
  <c r="B5" i="18" s="1"/>
  <c r="O4" i="18"/>
  <c r="N4" i="18"/>
  <c r="M4" i="18"/>
  <c r="J4" i="18"/>
  <c r="K4" i="18" s="1"/>
  <c r="I4" i="18"/>
  <c r="E4" i="18"/>
  <c r="E5" i="18" s="1"/>
  <c r="B2" i="18" s="1"/>
  <c r="B4" i="18"/>
  <c r="S3" i="18"/>
  <c r="B13" i="18" s="1" a="1"/>
  <c r="B13" i="18" s="1"/>
  <c r="R3" i="18"/>
  <c r="O3" i="18"/>
  <c r="N3" i="18"/>
  <c r="M3" i="18"/>
  <c r="J3" i="18"/>
  <c r="K3" i="18" s="1"/>
  <c r="I3" i="18"/>
  <c r="F3" i="18"/>
  <c r="G3" i="18" s="1"/>
  <c r="B3" i="18"/>
  <c r="B18" i="17"/>
  <c r="B17" i="17" a="1"/>
  <c r="B17" i="17"/>
  <c r="B16" i="17" a="1"/>
  <c r="B16" i="17"/>
  <c r="B15" i="17" a="1"/>
  <c r="B15" i="17"/>
  <c r="B14" i="17" a="1"/>
  <c r="B14" i="17"/>
  <c r="B12" i="17" a="1"/>
  <c r="B12" i="17"/>
  <c r="B11" i="17" a="1"/>
  <c r="B11" i="17"/>
  <c r="B9" i="17" a="1"/>
  <c r="B9" i="17"/>
  <c r="B8" i="17" a="1"/>
  <c r="B8" i="17"/>
  <c r="B7" i="17" a="1"/>
  <c r="B7" i="17"/>
  <c r="B6" i="17" a="1"/>
  <c r="B6" i="17"/>
  <c r="E5" i="17"/>
  <c r="B2" i="17" s="1"/>
  <c r="B5" i="17" a="1"/>
  <c r="B5" i="17" s="1"/>
  <c r="O4" i="17"/>
  <c r="N4" i="17"/>
  <c r="I4" i="17"/>
  <c r="E4" i="17"/>
  <c r="B4" i="17"/>
  <c r="R3" i="17"/>
  <c r="S3" i="17" s="1"/>
  <c r="B13" i="17" s="1" a="1"/>
  <c r="B13" i="17" s="1"/>
  <c r="N3" i="17"/>
  <c r="O3" i="17" s="1"/>
  <c r="B10" i="17" s="1" a="1"/>
  <c r="B10" i="17" s="1"/>
  <c r="J3" i="17"/>
  <c r="K3" i="17" s="1"/>
  <c r="I3" i="17"/>
  <c r="F3" i="17"/>
  <c r="G3" i="17" s="1"/>
  <c r="B3" i="17"/>
  <c r="B18" i="16"/>
  <c r="B16" i="16" a="1"/>
  <c r="B16" i="16"/>
  <c r="B15" i="16" a="1"/>
  <c r="B15" i="16"/>
  <c r="B14" i="16" a="1"/>
  <c r="B14" i="16"/>
  <c r="B12" i="16" a="1"/>
  <c r="B12" i="16"/>
  <c r="B9" i="16" a="1"/>
  <c r="B9" i="16"/>
  <c r="M7" i="16"/>
  <c r="Q6" i="16"/>
  <c r="N6" i="16"/>
  <c r="O6" i="16" s="1"/>
  <c r="B10" i="16" s="1" a="1"/>
  <c r="B10" i="16" s="1"/>
  <c r="M6" i="16"/>
  <c r="B8" i="16" s="1" a="1"/>
  <c r="B8" i="16" s="1"/>
  <c r="G16" i="1" s="1"/>
  <c r="B6" i="16" a="1"/>
  <c r="B6" i="16" s="1"/>
  <c r="R5" i="16"/>
  <c r="S5" i="16" s="1"/>
  <c r="B13" i="16" s="1" a="1"/>
  <c r="B13" i="16" s="1"/>
  <c r="Q5" i="16"/>
  <c r="E5" i="16"/>
  <c r="B5" i="16" a="1"/>
  <c r="B5" i="16" s="1"/>
  <c r="S4" i="16"/>
  <c r="R4" i="16"/>
  <c r="Q4" i="16"/>
  <c r="N4" i="16"/>
  <c r="O4" i="16" s="1"/>
  <c r="M4" i="16"/>
  <c r="I4" i="16"/>
  <c r="E4" i="16"/>
  <c r="B4" i="16"/>
  <c r="R3" i="16"/>
  <c r="S3" i="16" s="1"/>
  <c r="Q3" i="16"/>
  <c r="O3" i="16"/>
  <c r="N3" i="16"/>
  <c r="M3" i="16"/>
  <c r="J3" i="16"/>
  <c r="K3" i="16" s="1"/>
  <c r="B7" i="16" s="1" a="1"/>
  <c r="B7" i="16" s="1"/>
  <c r="I3" i="16"/>
  <c r="F3" i="16"/>
  <c r="G3" i="16" s="1"/>
  <c r="B3" i="16"/>
  <c r="B2" i="16"/>
  <c r="B18" i="15"/>
  <c r="B16" i="15" a="1"/>
  <c r="B16" i="15"/>
  <c r="B15" i="15" a="1"/>
  <c r="B15" i="15"/>
  <c r="B14" i="15" a="1"/>
  <c r="B14" i="15"/>
  <c r="B12" i="15" a="1"/>
  <c r="B12" i="15"/>
  <c r="B9" i="15" a="1"/>
  <c r="B9" i="15"/>
  <c r="M6" i="15"/>
  <c r="B6" i="15" a="1"/>
  <c r="B6" i="15" s="1"/>
  <c r="Q5" i="15"/>
  <c r="M5" i="15"/>
  <c r="B8" i="15" s="1" a="1"/>
  <c r="B8" i="15" s="1"/>
  <c r="B5" i="15"/>
  <c r="N4" i="15"/>
  <c r="O4" i="15" s="1"/>
  <c r="M4" i="15"/>
  <c r="E4" i="15"/>
  <c r="E5" i="15" s="1"/>
  <c r="B2" i="15" s="1"/>
  <c r="B4" i="15"/>
  <c r="S3" i="15"/>
  <c r="B13" i="15" s="1" a="1"/>
  <c r="B13" i="15" s="1"/>
  <c r="R3" i="15"/>
  <c r="N3" i="15"/>
  <c r="O3" i="15" s="1"/>
  <c r="B10" i="15" s="1" a="1"/>
  <c r="B10" i="15" s="1"/>
  <c r="M3" i="15"/>
  <c r="J3" i="15"/>
  <c r="K3" i="15" s="1"/>
  <c r="B7" i="15" s="1" a="1"/>
  <c r="B7" i="15" s="1"/>
  <c r="I3" i="15"/>
  <c r="B5" i="15" s="1" a="1"/>
  <c r="F3" i="15"/>
  <c r="G3" i="15" s="1"/>
  <c r="B3" i="15"/>
  <c r="I15" i="1" s="1"/>
  <c r="J15" i="1" s="1"/>
  <c r="B15" i="14"/>
  <c r="B14" i="14"/>
  <c r="B13" i="14" a="1"/>
  <c r="B13" i="14" s="1"/>
  <c r="B12" i="14" a="1"/>
  <c r="B12" i="14" s="1"/>
  <c r="B11" i="14" a="1"/>
  <c r="B11" i="14"/>
  <c r="K10" i="14"/>
  <c r="B7" i="14" s="1" a="1"/>
  <c r="J10" i="14"/>
  <c r="I10" i="14"/>
  <c r="B9" i="14" a="1"/>
  <c r="B9" i="14"/>
  <c r="K7" i="14"/>
  <c r="J7" i="14"/>
  <c r="I7" i="14"/>
  <c r="I8" i="14" s="1"/>
  <c r="B5" i="14" s="1" a="1"/>
  <c r="B5" i="14" s="1"/>
  <c r="B7" i="14"/>
  <c r="B6" i="14" a="1"/>
  <c r="B6" i="14" s="1"/>
  <c r="AB5" i="14"/>
  <c r="R5" i="14"/>
  <c r="S5" i="14" s="1"/>
  <c r="O4" i="14"/>
  <c r="N4" i="14"/>
  <c r="M4" i="14"/>
  <c r="J4" i="14"/>
  <c r="K4" i="14" s="1"/>
  <c r="I4" i="14"/>
  <c r="I5" i="14" s="1"/>
  <c r="I6" i="14" s="1"/>
  <c r="B4" i="14"/>
  <c r="R3" i="14"/>
  <c r="S3" i="14" s="1"/>
  <c r="N3" i="14"/>
  <c r="O3" i="14" s="1"/>
  <c r="M3" i="14"/>
  <c r="B8" i="14" s="1" a="1"/>
  <c r="B8" i="14" s="1"/>
  <c r="F14" i="1" s="1"/>
  <c r="J3" i="14"/>
  <c r="K3" i="14" s="1"/>
  <c r="B3" i="14"/>
  <c r="I14" i="1" s="1"/>
  <c r="J14" i="1" s="1"/>
  <c r="B2" i="14"/>
  <c r="I16" i="13"/>
  <c r="I15" i="13"/>
  <c r="B15" i="13"/>
  <c r="J14" i="13"/>
  <c r="K14" i="13" s="1"/>
  <c r="I14" i="13"/>
  <c r="B14" i="13"/>
  <c r="J13" i="13"/>
  <c r="K13" i="13" s="1"/>
  <c r="I13" i="13"/>
  <c r="B13" i="13" a="1"/>
  <c r="B13" i="13" s="1"/>
  <c r="J12" i="13"/>
  <c r="K12" i="13" s="1"/>
  <c r="I12" i="13"/>
  <c r="B12" i="13" a="1"/>
  <c r="B12" i="13" s="1"/>
  <c r="B11" i="13" a="1"/>
  <c r="B11" i="13"/>
  <c r="K10" i="13"/>
  <c r="J10" i="13"/>
  <c r="I10" i="13"/>
  <c r="I11" i="13" s="1"/>
  <c r="B9" i="13" a="1"/>
  <c r="B9" i="13" s="1"/>
  <c r="I8" i="13"/>
  <c r="I9" i="13" s="1"/>
  <c r="B8" i="13"/>
  <c r="AB7" i="13"/>
  <c r="K7" i="13"/>
  <c r="J7" i="13"/>
  <c r="M6" i="13"/>
  <c r="B6" i="13" a="1"/>
  <c r="B6" i="13"/>
  <c r="AB5" i="13"/>
  <c r="M5" i="13"/>
  <c r="B8" i="13" s="1" a="1"/>
  <c r="B5" i="13" a="1"/>
  <c r="B5" i="13" s="1"/>
  <c r="O4" i="13"/>
  <c r="N4" i="13"/>
  <c r="M4" i="13"/>
  <c r="I4" i="13"/>
  <c r="I5" i="13" s="1"/>
  <c r="B4" i="13"/>
  <c r="N3" i="13"/>
  <c r="O3" i="13" s="1"/>
  <c r="M3" i="13"/>
  <c r="K3" i="13"/>
  <c r="J3" i="13"/>
  <c r="B3" i="13"/>
  <c r="B2" i="13"/>
  <c r="D13" i="1" s="1"/>
  <c r="B16" i="12" a="1"/>
  <c r="B16" i="12"/>
  <c r="B15" i="12" a="1"/>
  <c r="B15" i="12"/>
  <c r="B14" i="12" a="1"/>
  <c r="B14" i="12"/>
  <c r="B12" i="12" a="1"/>
  <c r="B12" i="12" s="1"/>
  <c r="M12" i="1" s="1"/>
  <c r="N12" i="1" s="1"/>
  <c r="M11" i="12"/>
  <c r="M10" i="12"/>
  <c r="N9" i="12"/>
  <c r="O9" i="12" s="1"/>
  <c r="M9" i="12"/>
  <c r="B9" i="12" a="1"/>
  <c r="B9" i="12" s="1"/>
  <c r="O8" i="12"/>
  <c r="N8" i="12"/>
  <c r="B8" i="12" a="1"/>
  <c r="B8" i="12" s="1"/>
  <c r="Q7" i="12"/>
  <c r="M7" i="12"/>
  <c r="X6" i="12"/>
  <c r="B18" i="12" s="1"/>
  <c r="W6" i="12"/>
  <c r="R6" i="12"/>
  <c r="S6" i="12" s="1"/>
  <c r="Q6" i="12"/>
  <c r="N6" i="12"/>
  <c r="O6" i="12" s="1"/>
  <c r="M6" i="12"/>
  <c r="B6" i="12" a="1"/>
  <c r="B6" i="12" s="1"/>
  <c r="S5" i="12"/>
  <c r="R5" i="12"/>
  <c r="Q5" i="12"/>
  <c r="B17" i="12" s="1" a="1"/>
  <c r="B17" i="12" s="1"/>
  <c r="B5" i="12" a="1"/>
  <c r="B5" i="12"/>
  <c r="W4" i="12"/>
  <c r="X4" i="12" s="1"/>
  <c r="R4" i="12"/>
  <c r="S4" i="12" s="1"/>
  <c r="Q4" i="12"/>
  <c r="O4" i="12"/>
  <c r="N4" i="12"/>
  <c r="M4" i="12"/>
  <c r="B4" i="12"/>
  <c r="X3" i="12"/>
  <c r="W3" i="12"/>
  <c r="R3" i="12"/>
  <c r="S3" i="12" s="1"/>
  <c r="Q3" i="12"/>
  <c r="N3" i="12"/>
  <c r="O3" i="12" s="1"/>
  <c r="J3" i="12"/>
  <c r="K3" i="12" s="1"/>
  <c r="B7" i="12" s="1" a="1"/>
  <c r="B7" i="12" s="1"/>
  <c r="B3" i="12"/>
  <c r="B2" i="12"/>
  <c r="B15" i="11"/>
  <c r="B14" i="11"/>
  <c r="B13" i="11" a="1"/>
  <c r="B13" i="11"/>
  <c r="B12" i="11" a="1"/>
  <c r="B12" i="11"/>
  <c r="B11" i="11" a="1"/>
  <c r="B11" i="11"/>
  <c r="I9" i="11"/>
  <c r="B9" i="11" a="1"/>
  <c r="B9" i="11" s="1"/>
  <c r="B8" i="11" a="1"/>
  <c r="B8" i="11" s="1"/>
  <c r="J7" i="11"/>
  <c r="K7" i="11" s="1"/>
  <c r="B6" i="11" a="1"/>
  <c r="B6" i="11" s="1"/>
  <c r="O11" i="1" s="1"/>
  <c r="P11" i="1" s="1"/>
  <c r="J5" i="11"/>
  <c r="K5" i="11" s="1"/>
  <c r="B7" i="11" s="1" a="1"/>
  <c r="B7" i="11" s="1"/>
  <c r="I5" i="11"/>
  <c r="B5" i="11" a="1"/>
  <c r="B5" i="11"/>
  <c r="G11" i="1" s="1"/>
  <c r="N4" i="11"/>
  <c r="O4" i="11" s="1"/>
  <c r="K4" i="11"/>
  <c r="J4" i="11"/>
  <c r="I4" i="11"/>
  <c r="B4" i="11"/>
  <c r="O3" i="11"/>
  <c r="B10" i="11" s="1" a="1"/>
  <c r="B10" i="11" s="1"/>
  <c r="N3" i="11"/>
  <c r="M3" i="11"/>
  <c r="J3" i="11"/>
  <c r="K3" i="11" s="1"/>
  <c r="B3" i="11"/>
  <c r="B2" i="11"/>
  <c r="B15" i="10"/>
  <c r="B14" i="10"/>
  <c r="I13" i="10"/>
  <c r="B13" i="10" a="1"/>
  <c r="B13" i="10"/>
  <c r="B12" i="10" a="1"/>
  <c r="B12" i="10" s="1"/>
  <c r="J11" i="10"/>
  <c r="K11" i="10" s="1"/>
  <c r="I11" i="10"/>
  <c r="B5" i="10" s="1" a="1"/>
  <c r="B5" i="10" s="1"/>
  <c r="G10" i="1" s="1"/>
  <c r="B11" i="10" a="1"/>
  <c r="B11" i="10" s="1"/>
  <c r="J10" i="10"/>
  <c r="K10" i="10" s="1"/>
  <c r="I10" i="10"/>
  <c r="B9" i="10" a="1"/>
  <c r="B9" i="10" s="1"/>
  <c r="J8" i="10"/>
  <c r="K8" i="10" s="1"/>
  <c r="I8" i="10"/>
  <c r="I7" i="10"/>
  <c r="AB6" i="10"/>
  <c r="J6" i="10"/>
  <c r="K6" i="10" s="1"/>
  <c r="I6" i="10"/>
  <c r="B6" i="10" a="1"/>
  <c r="B6" i="10"/>
  <c r="O10" i="1" s="1"/>
  <c r="P10" i="1" s="1"/>
  <c r="AB5" i="10"/>
  <c r="M5" i="10"/>
  <c r="M4" i="10"/>
  <c r="J4" i="10"/>
  <c r="K4" i="10" s="1"/>
  <c r="B4" i="10"/>
  <c r="O3" i="10"/>
  <c r="N3" i="10"/>
  <c r="M3" i="10"/>
  <c r="J3" i="10"/>
  <c r="K3" i="10" s="1"/>
  <c r="B3" i="10"/>
  <c r="B2" i="10"/>
  <c r="N15" i="9"/>
  <c r="O15" i="9" s="1"/>
  <c r="M15" i="9"/>
  <c r="B15" i="9" a="1"/>
  <c r="B15" i="9" s="1"/>
  <c r="N14" i="9"/>
  <c r="O14" i="9" s="1"/>
  <c r="M14" i="9"/>
  <c r="B14" i="9" a="1"/>
  <c r="B14" i="9" s="1"/>
  <c r="O12" i="9"/>
  <c r="N12" i="9"/>
  <c r="M12" i="9"/>
  <c r="B12" i="9" a="1"/>
  <c r="B12" i="9" s="1"/>
  <c r="N11" i="9"/>
  <c r="O11" i="9" s="1"/>
  <c r="N10" i="9"/>
  <c r="O10" i="9" s="1"/>
  <c r="M10" i="9"/>
  <c r="M9" i="9"/>
  <c r="B9" i="9" a="1"/>
  <c r="B9" i="9"/>
  <c r="R8" i="9"/>
  <c r="S8" i="9" s="1"/>
  <c r="B13" i="9" s="1" a="1"/>
  <c r="B13" i="9" s="1"/>
  <c r="Q8" i="9"/>
  <c r="B11" i="9" s="1" a="1"/>
  <c r="B11" i="9" s="1"/>
  <c r="O8" i="9"/>
  <c r="N8" i="9"/>
  <c r="M8" i="9"/>
  <c r="B8" i="9" a="1"/>
  <c r="B8" i="9" s="1"/>
  <c r="G9" i="1" s="1"/>
  <c r="R7" i="9"/>
  <c r="S7" i="9" s="1"/>
  <c r="Q7" i="9"/>
  <c r="B7" i="9" a="1"/>
  <c r="B7" i="9" s="1"/>
  <c r="N6" i="9"/>
  <c r="O6" i="9" s="1"/>
  <c r="B6" i="9" a="1"/>
  <c r="B6" i="9" s="1"/>
  <c r="AG5" i="9"/>
  <c r="W5" i="9"/>
  <c r="X5" i="9" s="1"/>
  <c r="B18" i="9" s="1"/>
  <c r="R5" i="9"/>
  <c r="S5" i="9" s="1"/>
  <c r="Q5" i="9"/>
  <c r="M5" i="9"/>
  <c r="B5" i="9" a="1"/>
  <c r="B5" i="9"/>
  <c r="S4" i="9"/>
  <c r="R4" i="9"/>
  <c r="Q4" i="9"/>
  <c r="N4" i="9"/>
  <c r="O4" i="9" s="1"/>
  <c r="R3" i="9"/>
  <c r="S3" i="9" s="1"/>
  <c r="Q3" i="9"/>
  <c r="O3" i="9"/>
  <c r="N3" i="9"/>
  <c r="K3" i="9"/>
  <c r="J3" i="9"/>
  <c r="G3" i="9"/>
  <c r="B4" i="9" s="1"/>
  <c r="F3" i="9"/>
  <c r="B3" i="9"/>
  <c r="B2" i="9"/>
  <c r="I15" i="8"/>
  <c r="B15" i="8"/>
  <c r="I14" i="8"/>
  <c r="B14" i="8"/>
  <c r="K13" i="8"/>
  <c r="J13" i="8"/>
  <c r="B13" i="8" a="1"/>
  <c r="B13" i="8" s="1"/>
  <c r="J12" i="8"/>
  <c r="K12" i="8" s="1"/>
  <c r="B7" i="8" s="1" a="1"/>
  <c r="B7" i="8" s="1"/>
  <c r="I12" i="8"/>
  <c r="B12" i="8" a="1"/>
  <c r="B12" i="8"/>
  <c r="B11" i="8" a="1"/>
  <c r="B11" i="8" s="1"/>
  <c r="K10" i="8"/>
  <c r="J10" i="8"/>
  <c r="I10" i="8"/>
  <c r="I11" i="8" s="1"/>
  <c r="B9" i="8" a="1"/>
  <c r="B9" i="8"/>
  <c r="K8" i="8"/>
  <c r="J8" i="8"/>
  <c r="B8" i="8" a="1"/>
  <c r="B8" i="8"/>
  <c r="AB6" i="8"/>
  <c r="B6" i="8" a="1"/>
  <c r="B6" i="8"/>
  <c r="AB5" i="8"/>
  <c r="I9" i="8" s="1"/>
  <c r="I5" i="8"/>
  <c r="B5" i="8" a="1"/>
  <c r="B5" i="8"/>
  <c r="M4" i="8"/>
  <c r="J4" i="8"/>
  <c r="K4" i="8" s="1"/>
  <c r="B4" i="8"/>
  <c r="R3" i="8"/>
  <c r="S3" i="8" s="1"/>
  <c r="N3" i="8"/>
  <c r="O3" i="8" s="1"/>
  <c r="J3" i="8"/>
  <c r="K3" i="8" s="1"/>
  <c r="B3" i="8"/>
  <c r="B2" i="8"/>
  <c r="J21" i="7"/>
  <c r="K21" i="7" s="1"/>
  <c r="K20" i="7"/>
  <c r="J20" i="7"/>
  <c r="I20" i="7"/>
  <c r="I19" i="7"/>
  <c r="B15" i="7"/>
  <c r="I14" i="7"/>
  <c r="B14" i="7"/>
  <c r="I13" i="7"/>
  <c r="B13" i="7" a="1"/>
  <c r="B13" i="7"/>
  <c r="B12" i="7" a="1"/>
  <c r="B12" i="7"/>
  <c r="I11" i="7"/>
  <c r="B11" i="7" a="1"/>
  <c r="B11" i="7" s="1"/>
  <c r="I10" i="7"/>
  <c r="AC9" i="7"/>
  <c r="I9" i="7"/>
  <c r="B9" i="7" a="1"/>
  <c r="B9" i="7"/>
  <c r="M7" i="1" s="1"/>
  <c r="N7" i="1" s="1"/>
  <c r="AC8" i="7"/>
  <c r="K8" i="7"/>
  <c r="J8" i="7"/>
  <c r="B7" i="7" a="1"/>
  <c r="B7" i="7" s="1"/>
  <c r="R6" i="7"/>
  <c r="B6" i="7" a="1"/>
  <c r="B6" i="7"/>
  <c r="O7" i="1" s="1"/>
  <c r="P7" i="1" s="1"/>
  <c r="T5" i="7"/>
  <c r="S5" i="7"/>
  <c r="R5" i="7"/>
  <c r="I5" i="7"/>
  <c r="I6" i="7" s="1"/>
  <c r="V4" i="7"/>
  <c r="N4" i="7"/>
  <c r="O4" i="7" s="1"/>
  <c r="J4" i="7"/>
  <c r="K4" i="7" s="1"/>
  <c r="B4" i="7"/>
  <c r="V3" i="7"/>
  <c r="S3" i="7"/>
  <c r="O3" i="7"/>
  <c r="N3" i="7"/>
  <c r="M3" i="7"/>
  <c r="B8" i="7" s="1" a="1"/>
  <c r="B8" i="7" s="1"/>
  <c r="J3" i="7"/>
  <c r="K3" i="7" s="1"/>
  <c r="B3" i="7"/>
  <c r="B2" i="7"/>
  <c r="B15" i="6"/>
  <c r="K14" i="6"/>
  <c r="B7" i="6" s="1" a="1"/>
  <c r="B7" i="6" s="1"/>
  <c r="J14" i="6"/>
  <c r="I14" i="6"/>
  <c r="B14" i="6"/>
  <c r="K13" i="6"/>
  <c r="J13" i="6"/>
  <c r="B13" i="6" a="1"/>
  <c r="B13" i="6" s="1"/>
  <c r="J12" i="6"/>
  <c r="K12" i="6" s="1"/>
  <c r="I12" i="6"/>
  <c r="B12" i="6" a="1"/>
  <c r="B12" i="6"/>
  <c r="K11" i="6"/>
  <c r="J11" i="6"/>
  <c r="I11" i="6"/>
  <c r="B11" i="6" a="1"/>
  <c r="B11" i="6"/>
  <c r="I10" i="6"/>
  <c r="J9" i="6"/>
  <c r="K9" i="6" s="1"/>
  <c r="I9" i="6"/>
  <c r="B9" i="6" a="1"/>
  <c r="B9" i="6"/>
  <c r="I8" i="6"/>
  <c r="AC7" i="6"/>
  <c r="K7" i="6"/>
  <c r="J7" i="6"/>
  <c r="AC6" i="6"/>
  <c r="N6" i="6"/>
  <c r="O6" i="6" s="1"/>
  <c r="M6" i="6"/>
  <c r="B6" i="6" a="1"/>
  <c r="B6" i="6" s="1"/>
  <c r="N5" i="6"/>
  <c r="O5" i="6" s="1"/>
  <c r="M5" i="6"/>
  <c r="B8" i="6" s="1" a="1"/>
  <c r="B8" i="6" s="1"/>
  <c r="I5" i="6"/>
  <c r="B5" i="6" a="1"/>
  <c r="B5" i="6"/>
  <c r="G4" i="1" s="1"/>
  <c r="N4" i="6"/>
  <c r="O4" i="6" s="1"/>
  <c r="M4" i="6"/>
  <c r="K4" i="6"/>
  <c r="J4" i="6"/>
  <c r="B4" i="6"/>
  <c r="S3" i="6"/>
  <c r="T3" i="6" s="1"/>
  <c r="O3" i="6"/>
  <c r="N3" i="6"/>
  <c r="M3" i="6"/>
  <c r="K3" i="6"/>
  <c r="J3" i="6"/>
  <c r="B3" i="6"/>
  <c r="B2" i="6"/>
  <c r="B15" i="5"/>
  <c r="K14" i="5"/>
  <c r="J14" i="5"/>
  <c r="I14" i="5"/>
  <c r="B5" i="5" s="1" a="1"/>
  <c r="B5" i="5" s="1"/>
  <c r="B14" i="5"/>
  <c r="K13" i="5"/>
  <c r="J13" i="5"/>
  <c r="B13" i="5" a="1"/>
  <c r="B13" i="5" s="1"/>
  <c r="J12" i="5"/>
  <c r="K12" i="5" s="1"/>
  <c r="I12" i="5"/>
  <c r="I13" i="5" s="1"/>
  <c r="B12" i="5" a="1"/>
  <c r="B12" i="5" s="1"/>
  <c r="I11" i="5"/>
  <c r="B11" i="5" a="1"/>
  <c r="B11" i="5"/>
  <c r="I10" i="5"/>
  <c r="B9" i="5" a="1"/>
  <c r="B9" i="5" s="1"/>
  <c r="K8" i="5"/>
  <c r="J8" i="5"/>
  <c r="I8" i="5"/>
  <c r="B7" i="5" a="1"/>
  <c r="B7" i="5" s="1"/>
  <c r="J6" i="5"/>
  <c r="K6" i="5" s="1"/>
  <c r="I6" i="5"/>
  <c r="B6" i="5" a="1"/>
  <c r="B6" i="5" s="1"/>
  <c r="O6" i="1" s="1"/>
  <c r="P6" i="1" s="1"/>
  <c r="O5" i="5"/>
  <c r="B10" i="5" s="1" a="1"/>
  <c r="B10" i="5" s="1"/>
  <c r="N5" i="5"/>
  <c r="M5" i="5"/>
  <c r="B8" i="5" s="1" a="1"/>
  <c r="B8" i="5" s="1"/>
  <c r="I5" i="5"/>
  <c r="O4" i="5"/>
  <c r="N4" i="5"/>
  <c r="K4" i="5"/>
  <c r="J4" i="5"/>
  <c r="B4" i="5"/>
  <c r="N3" i="5"/>
  <c r="O3" i="5" s="1"/>
  <c r="K3" i="5"/>
  <c r="J3" i="5"/>
  <c r="B3" i="5"/>
  <c r="B2" i="5"/>
  <c r="B15" i="4"/>
  <c r="B14" i="4"/>
  <c r="B13" i="4" a="1"/>
  <c r="B13" i="4"/>
  <c r="B12" i="4" a="1"/>
  <c r="B12" i="4" s="1"/>
  <c r="B11" i="4" a="1"/>
  <c r="B11" i="4"/>
  <c r="B9" i="4" a="1"/>
  <c r="B9" i="4"/>
  <c r="M5" i="1" s="1"/>
  <c r="N5" i="1" s="1"/>
  <c r="B8" i="4" a="1"/>
  <c r="B8" i="4" s="1"/>
  <c r="F5" i="1" s="1"/>
  <c r="J7" i="4"/>
  <c r="K7" i="4" s="1"/>
  <c r="J6" i="4"/>
  <c r="K6" i="4" s="1"/>
  <c r="B6" i="4" a="1"/>
  <c r="B6" i="4"/>
  <c r="J5" i="4"/>
  <c r="K5" i="4" s="1"/>
  <c r="B7" i="4" s="1" a="1"/>
  <c r="B7" i="4" s="1"/>
  <c r="B5" i="4" a="1"/>
  <c r="B5" i="4"/>
  <c r="G5" i="1" s="1"/>
  <c r="N4" i="4"/>
  <c r="O4" i="4" s="1"/>
  <c r="K4" i="4"/>
  <c r="J4" i="4"/>
  <c r="B4" i="4"/>
  <c r="O3" i="4"/>
  <c r="B10" i="4" s="1" a="1"/>
  <c r="B10" i="4" s="1"/>
  <c r="N3" i="4"/>
  <c r="M3" i="4"/>
  <c r="J3" i="4"/>
  <c r="K3" i="4" s="1"/>
  <c r="B3" i="4"/>
  <c r="B2" i="4"/>
  <c r="B15" i="3"/>
  <c r="I14" i="3"/>
  <c r="B5" i="3" s="1" a="1"/>
  <c r="B5" i="3" s="1"/>
  <c r="G3" i="1" s="1"/>
  <c r="B14" i="3"/>
  <c r="I13" i="3"/>
  <c r="B13" i="3" a="1"/>
  <c r="B13" i="3"/>
  <c r="K12" i="3"/>
  <c r="J12" i="3"/>
  <c r="I12" i="3"/>
  <c r="B12" i="3" a="1"/>
  <c r="B12" i="3" s="1"/>
  <c r="B11" i="3" a="1"/>
  <c r="B11" i="3"/>
  <c r="K10" i="3"/>
  <c r="J10" i="3"/>
  <c r="I10" i="3"/>
  <c r="I9" i="3"/>
  <c r="B9" i="3" a="1"/>
  <c r="B9" i="3"/>
  <c r="K8" i="3"/>
  <c r="J8" i="3"/>
  <c r="I8" i="3"/>
  <c r="AC6" i="3"/>
  <c r="T6" i="3"/>
  <c r="S6" i="3"/>
  <c r="R6" i="3"/>
  <c r="M6" i="3"/>
  <c r="B8" i="3" s="1" a="1"/>
  <c r="B8" i="3" s="1"/>
  <c r="K6" i="3"/>
  <c r="J6" i="3"/>
  <c r="B6" i="3" a="1"/>
  <c r="B6" i="3"/>
  <c r="O3" i="1" s="1"/>
  <c r="P3" i="1" s="1"/>
  <c r="T5" i="3"/>
  <c r="S5" i="3"/>
  <c r="M5" i="3"/>
  <c r="O4" i="3"/>
  <c r="N4" i="3"/>
  <c r="M4" i="3"/>
  <c r="K4" i="3"/>
  <c r="J4" i="3"/>
  <c r="B4" i="3"/>
  <c r="S3" i="3"/>
  <c r="T3" i="3" s="1"/>
  <c r="O3" i="3"/>
  <c r="B10" i="3" s="1" a="1"/>
  <c r="B10" i="3" s="1"/>
  <c r="N3" i="3"/>
  <c r="M3" i="3"/>
  <c r="J3" i="3"/>
  <c r="K3" i="3" s="1"/>
  <c r="B3" i="3"/>
  <c r="B2" i="3"/>
  <c r="M17" i="2"/>
  <c r="B14" i="2" s="1" a="1"/>
  <c r="B14" i="2" s="1"/>
  <c r="B17" i="2" a="1"/>
  <c r="B17" i="2"/>
  <c r="B16" i="2" a="1"/>
  <c r="B16" i="2" s="1"/>
  <c r="N15" i="2"/>
  <c r="O15" i="2" s="1"/>
  <c r="M15" i="2"/>
  <c r="B15" i="2" a="1"/>
  <c r="B15" i="2" s="1"/>
  <c r="N14" i="2"/>
  <c r="O14" i="2" s="1"/>
  <c r="M14" i="2"/>
  <c r="O13" i="2"/>
  <c r="N13" i="2"/>
  <c r="O12" i="2"/>
  <c r="N12" i="2"/>
  <c r="M12" i="2"/>
  <c r="B12" i="2" a="1"/>
  <c r="B12" i="2"/>
  <c r="B11" i="2" a="1"/>
  <c r="B11" i="2"/>
  <c r="M10" i="2"/>
  <c r="M11" i="2" s="1"/>
  <c r="B10" i="2" a="1"/>
  <c r="B10" i="2" s="1"/>
  <c r="N9" i="2"/>
  <c r="O9" i="2" s="1"/>
  <c r="M9" i="2"/>
  <c r="B9" i="2" a="1"/>
  <c r="B9" i="2"/>
  <c r="O2" i="1" s="1"/>
  <c r="P2" i="1" s="1"/>
  <c r="M8" i="2"/>
  <c r="B8" i="2" a="1"/>
  <c r="B8" i="2" s="1"/>
  <c r="G2" i="1" s="1"/>
  <c r="Q7" i="2"/>
  <c r="AG6" i="2"/>
  <c r="N6" i="2"/>
  <c r="O6" i="2" s="1"/>
  <c r="M6" i="2"/>
  <c r="B6" i="2" a="1"/>
  <c r="B6" i="2"/>
  <c r="K2" i="1" s="1"/>
  <c r="L2" i="1" s="1"/>
  <c r="R5" i="2"/>
  <c r="S5" i="2" s="1"/>
  <c r="B13" i="2" s="1" a="1"/>
  <c r="B13" i="2" s="1"/>
  <c r="Q5" i="2"/>
  <c r="B5" i="2" a="1"/>
  <c r="B5" i="2"/>
  <c r="E2" i="1" s="1"/>
  <c r="S2" i="1" s="1"/>
  <c r="S4" i="2"/>
  <c r="R4" i="2"/>
  <c r="Q4" i="2"/>
  <c r="N4" i="2"/>
  <c r="O4" i="2" s="1"/>
  <c r="B4" i="2"/>
  <c r="W3" i="2"/>
  <c r="X3" i="2" s="1"/>
  <c r="B18" i="2" s="1"/>
  <c r="R3" i="2"/>
  <c r="S3" i="2" s="1"/>
  <c r="Q3" i="2"/>
  <c r="O3" i="2"/>
  <c r="N3" i="2"/>
  <c r="J3" i="2"/>
  <c r="K3" i="2" s="1"/>
  <c r="B7" i="2" s="1" a="1"/>
  <c r="B7" i="2" s="1"/>
  <c r="B3" i="2"/>
  <c r="B2" i="2"/>
  <c r="H49" i="1"/>
  <c r="H48" i="1"/>
  <c r="H47" i="1"/>
  <c r="H46" i="1"/>
  <c r="H45" i="1"/>
  <c r="H44" i="1"/>
  <c r="H43" i="1"/>
  <c r="H42" i="1"/>
  <c r="O41" i="1"/>
  <c r="P41" i="1" s="1"/>
  <c r="N41" i="1"/>
  <c r="M41" i="1"/>
  <c r="K41" i="1"/>
  <c r="L41" i="1" s="1"/>
  <c r="J41" i="1"/>
  <c r="I41" i="1"/>
  <c r="G41" i="1"/>
  <c r="E41" i="1"/>
  <c r="D41" i="1"/>
  <c r="C41" i="1"/>
  <c r="P40" i="1"/>
  <c r="O40" i="1"/>
  <c r="M40" i="1"/>
  <c r="N40" i="1" s="1"/>
  <c r="L40" i="1"/>
  <c r="K40" i="1"/>
  <c r="I40" i="1"/>
  <c r="J40" i="1" s="1"/>
  <c r="G40" i="1"/>
  <c r="F40" i="1"/>
  <c r="E40" i="1"/>
  <c r="D40" i="1"/>
  <c r="H40" i="1" s="1"/>
  <c r="C40" i="1"/>
  <c r="O39" i="1"/>
  <c r="P39" i="1" s="1"/>
  <c r="N39" i="1"/>
  <c r="M39" i="1"/>
  <c r="I39" i="1"/>
  <c r="J39" i="1" s="1"/>
  <c r="H39" i="1"/>
  <c r="G39" i="1"/>
  <c r="F39" i="1"/>
  <c r="D39" i="1"/>
  <c r="C39" i="1"/>
  <c r="O38" i="1"/>
  <c r="P38" i="1" s="1"/>
  <c r="M38" i="1"/>
  <c r="N38" i="1" s="1"/>
  <c r="I38" i="1"/>
  <c r="J38" i="1" s="1"/>
  <c r="G38" i="1"/>
  <c r="H38" i="1" s="1"/>
  <c r="F38" i="1"/>
  <c r="D38" i="1"/>
  <c r="C38" i="1"/>
  <c r="P37" i="1"/>
  <c r="O37" i="1"/>
  <c r="M37" i="1"/>
  <c r="N37" i="1" s="1"/>
  <c r="L37" i="1"/>
  <c r="K37" i="1"/>
  <c r="I37" i="1"/>
  <c r="J37" i="1" s="1"/>
  <c r="G37" i="1"/>
  <c r="F37" i="1"/>
  <c r="E37" i="1"/>
  <c r="D37" i="1"/>
  <c r="H37" i="1" s="1"/>
  <c r="C37" i="1"/>
  <c r="O36" i="1"/>
  <c r="P36" i="1" s="1"/>
  <c r="J36" i="1"/>
  <c r="I36" i="1"/>
  <c r="D36" i="1"/>
  <c r="C36" i="1"/>
  <c r="O35" i="1"/>
  <c r="P35" i="1" s="1"/>
  <c r="N35" i="1"/>
  <c r="M35" i="1"/>
  <c r="K35" i="1"/>
  <c r="L35" i="1" s="1"/>
  <c r="J35" i="1"/>
  <c r="I35" i="1"/>
  <c r="G35" i="1"/>
  <c r="F35" i="1"/>
  <c r="E35" i="1"/>
  <c r="D35" i="1"/>
  <c r="H35" i="1" s="1"/>
  <c r="C35" i="1"/>
  <c r="P34" i="1"/>
  <c r="O34" i="1"/>
  <c r="M34" i="1"/>
  <c r="N34" i="1" s="1"/>
  <c r="G34" i="1"/>
  <c r="F34" i="1"/>
  <c r="C34" i="1"/>
  <c r="O33" i="1"/>
  <c r="P33" i="1" s="1"/>
  <c r="M33" i="1"/>
  <c r="N33" i="1" s="1"/>
  <c r="K33" i="1"/>
  <c r="L33" i="1" s="1"/>
  <c r="I33" i="1"/>
  <c r="J33" i="1" s="1"/>
  <c r="F33" i="1"/>
  <c r="E33" i="1"/>
  <c r="D33" i="1"/>
  <c r="C33" i="1"/>
  <c r="O32" i="1"/>
  <c r="P32" i="1" s="1"/>
  <c r="M32" i="1"/>
  <c r="N32" i="1" s="1"/>
  <c r="K32" i="1"/>
  <c r="L32" i="1" s="1"/>
  <c r="I32" i="1"/>
  <c r="J32" i="1" s="1"/>
  <c r="G32" i="1"/>
  <c r="F32" i="1"/>
  <c r="E32" i="1"/>
  <c r="D32" i="1"/>
  <c r="H32" i="1" s="1"/>
  <c r="C32" i="1"/>
  <c r="O31" i="1"/>
  <c r="P31" i="1" s="1"/>
  <c r="M31" i="1"/>
  <c r="N31" i="1" s="1"/>
  <c r="L31" i="1"/>
  <c r="K31" i="1"/>
  <c r="I31" i="1"/>
  <c r="J31" i="1" s="1"/>
  <c r="G31" i="1"/>
  <c r="F31" i="1"/>
  <c r="E31" i="1"/>
  <c r="D31" i="1"/>
  <c r="H31" i="1" s="1"/>
  <c r="C31" i="1"/>
  <c r="O30" i="1"/>
  <c r="P30" i="1" s="1"/>
  <c r="M30" i="1"/>
  <c r="N30" i="1" s="1"/>
  <c r="K30" i="1"/>
  <c r="L30" i="1" s="1"/>
  <c r="I30" i="1"/>
  <c r="J30" i="1" s="1"/>
  <c r="G30" i="1"/>
  <c r="F30" i="1"/>
  <c r="E30" i="1"/>
  <c r="D30" i="1"/>
  <c r="C30" i="1"/>
  <c r="P29" i="1"/>
  <c r="O29" i="1"/>
  <c r="I29" i="1"/>
  <c r="J29" i="1" s="1"/>
  <c r="G29" i="1"/>
  <c r="H29" i="1" s="1"/>
  <c r="D29" i="1"/>
  <c r="C29" i="1"/>
  <c r="O28" i="1"/>
  <c r="P28" i="1" s="1"/>
  <c r="M28" i="1"/>
  <c r="N28" i="1" s="1"/>
  <c r="K28" i="1"/>
  <c r="L28" i="1" s="1"/>
  <c r="I28" i="1"/>
  <c r="J28" i="1" s="1"/>
  <c r="G28" i="1"/>
  <c r="F28" i="1"/>
  <c r="E28" i="1"/>
  <c r="D28" i="1"/>
  <c r="H28" i="1" s="1"/>
  <c r="C28" i="1"/>
  <c r="O27" i="1"/>
  <c r="P27" i="1" s="1"/>
  <c r="N27" i="1"/>
  <c r="M27" i="1"/>
  <c r="I27" i="1"/>
  <c r="J27" i="1" s="1"/>
  <c r="G27" i="1"/>
  <c r="H27" i="1" s="1"/>
  <c r="F27" i="1"/>
  <c r="D27" i="1"/>
  <c r="C27" i="1"/>
  <c r="P26" i="1"/>
  <c r="O26" i="1"/>
  <c r="M26" i="1"/>
  <c r="N26" i="1" s="1"/>
  <c r="L26" i="1"/>
  <c r="K26" i="1"/>
  <c r="I26" i="1"/>
  <c r="J26" i="1" s="1"/>
  <c r="G26" i="1"/>
  <c r="F26" i="1"/>
  <c r="E26" i="1"/>
  <c r="D26" i="1"/>
  <c r="H26" i="1" s="1"/>
  <c r="C26" i="1"/>
  <c r="O25" i="1"/>
  <c r="P25" i="1" s="1"/>
  <c r="N25" i="1"/>
  <c r="M25" i="1"/>
  <c r="K25" i="1"/>
  <c r="L25" i="1" s="1"/>
  <c r="J25" i="1"/>
  <c r="I25" i="1"/>
  <c r="G25" i="1"/>
  <c r="F25" i="1"/>
  <c r="E25" i="1"/>
  <c r="D25" i="1"/>
  <c r="C25" i="1"/>
  <c r="P24" i="1"/>
  <c r="O24" i="1"/>
  <c r="M24" i="1"/>
  <c r="N24" i="1" s="1"/>
  <c r="L24" i="1"/>
  <c r="K24" i="1"/>
  <c r="I24" i="1"/>
  <c r="J24" i="1" s="1"/>
  <c r="G24" i="1"/>
  <c r="F24" i="1"/>
  <c r="E24" i="1"/>
  <c r="D24" i="1"/>
  <c r="H24" i="1" s="1"/>
  <c r="C24" i="1"/>
  <c r="O23" i="1"/>
  <c r="P23" i="1" s="1"/>
  <c r="N23" i="1"/>
  <c r="M23" i="1"/>
  <c r="I23" i="1"/>
  <c r="J23" i="1" s="1"/>
  <c r="H23" i="1"/>
  <c r="G23" i="1"/>
  <c r="F23" i="1"/>
  <c r="D23" i="1"/>
  <c r="C23" i="1"/>
  <c r="O22" i="1"/>
  <c r="P22" i="1" s="1"/>
  <c r="M22" i="1"/>
  <c r="N22" i="1" s="1"/>
  <c r="K22" i="1"/>
  <c r="L22" i="1" s="1"/>
  <c r="J22" i="1"/>
  <c r="I22" i="1"/>
  <c r="G22" i="1"/>
  <c r="E22" i="1"/>
  <c r="D22" i="1"/>
  <c r="C22" i="1"/>
  <c r="O21" i="1"/>
  <c r="P21" i="1" s="1"/>
  <c r="M21" i="1"/>
  <c r="N21" i="1" s="1"/>
  <c r="K21" i="1"/>
  <c r="L21" i="1" s="1"/>
  <c r="I21" i="1"/>
  <c r="J21" i="1" s="1"/>
  <c r="G21" i="1"/>
  <c r="E21" i="1"/>
  <c r="D21" i="1"/>
  <c r="C21" i="1"/>
  <c r="O20" i="1"/>
  <c r="P20" i="1" s="1"/>
  <c r="M20" i="1"/>
  <c r="N20" i="1" s="1"/>
  <c r="K20" i="1"/>
  <c r="L20" i="1" s="1"/>
  <c r="I20" i="1"/>
  <c r="J20" i="1" s="1"/>
  <c r="G20" i="1"/>
  <c r="E20" i="1"/>
  <c r="C20" i="1"/>
  <c r="P19" i="1"/>
  <c r="O19" i="1"/>
  <c r="M19" i="1"/>
  <c r="N19" i="1" s="1"/>
  <c r="K19" i="1"/>
  <c r="L19" i="1" s="1"/>
  <c r="I19" i="1"/>
  <c r="J19" i="1" s="1"/>
  <c r="G19" i="1"/>
  <c r="F19" i="1"/>
  <c r="E19" i="1"/>
  <c r="D19" i="1"/>
  <c r="H19" i="1" s="1"/>
  <c r="C19" i="1"/>
  <c r="O18" i="1"/>
  <c r="P18" i="1" s="1"/>
  <c r="M18" i="1"/>
  <c r="N18" i="1" s="1"/>
  <c r="K18" i="1"/>
  <c r="L18" i="1" s="1"/>
  <c r="J18" i="1"/>
  <c r="I18" i="1"/>
  <c r="F18" i="1"/>
  <c r="E18" i="1"/>
  <c r="D18" i="1"/>
  <c r="H18" i="1" s="1"/>
  <c r="C18" i="1"/>
  <c r="O17" i="1"/>
  <c r="P17" i="1" s="1"/>
  <c r="M17" i="1"/>
  <c r="N17" i="1" s="1"/>
  <c r="K17" i="1"/>
  <c r="L17" i="1" s="1"/>
  <c r="I17" i="1"/>
  <c r="J17" i="1" s="1"/>
  <c r="G17" i="1"/>
  <c r="F17" i="1"/>
  <c r="E17" i="1"/>
  <c r="D17" i="1"/>
  <c r="H17" i="1" s="1"/>
  <c r="C17" i="1"/>
  <c r="O16" i="1"/>
  <c r="P16" i="1" s="1"/>
  <c r="M16" i="1"/>
  <c r="N16" i="1" s="1"/>
  <c r="K16" i="1"/>
  <c r="L16" i="1" s="1"/>
  <c r="I16" i="1"/>
  <c r="J16" i="1" s="1"/>
  <c r="E16" i="1"/>
  <c r="D16" i="1"/>
  <c r="C16" i="1"/>
  <c r="P15" i="1"/>
  <c r="O15" i="1"/>
  <c r="M15" i="1"/>
  <c r="N15" i="1" s="1"/>
  <c r="K15" i="1"/>
  <c r="L15" i="1" s="1"/>
  <c r="G15" i="1"/>
  <c r="E15" i="1"/>
  <c r="D15" i="1"/>
  <c r="C15" i="1"/>
  <c r="O14" i="1"/>
  <c r="P14" i="1" s="1"/>
  <c r="M14" i="1"/>
  <c r="N14" i="1" s="1"/>
  <c r="G14" i="1"/>
  <c r="H14" i="1" s="1"/>
  <c r="D14" i="1"/>
  <c r="C14" i="1"/>
  <c r="P13" i="1"/>
  <c r="O13" i="1"/>
  <c r="M13" i="1"/>
  <c r="N13" i="1" s="1"/>
  <c r="J13" i="1"/>
  <c r="I13" i="1"/>
  <c r="G13" i="1"/>
  <c r="F13" i="1"/>
  <c r="C13" i="1"/>
  <c r="O12" i="1"/>
  <c r="P12" i="1" s="1"/>
  <c r="K12" i="1"/>
  <c r="L12" i="1" s="1"/>
  <c r="I12" i="1"/>
  <c r="J12" i="1" s="1"/>
  <c r="G12" i="1"/>
  <c r="E12" i="1"/>
  <c r="D12" i="1"/>
  <c r="C12" i="1"/>
  <c r="I11" i="1"/>
  <c r="J11" i="1" s="1"/>
  <c r="D11" i="1"/>
  <c r="C11" i="1"/>
  <c r="I10" i="1"/>
  <c r="J10" i="1" s="1"/>
  <c r="D10" i="1"/>
  <c r="H10" i="1" s="1"/>
  <c r="C10" i="1"/>
  <c r="O9" i="1"/>
  <c r="P9" i="1" s="1"/>
  <c r="N9" i="1"/>
  <c r="M9" i="1"/>
  <c r="K9" i="1"/>
  <c r="L9" i="1" s="1"/>
  <c r="I9" i="1"/>
  <c r="J9" i="1" s="1"/>
  <c r="F9" i="1"/>
  <c r="E9" i="1"/>
  <c r="D9" i="1"/>
  <c r="H9" i="1" s="1"/>
  <c r="C9" i="1"/>
  <c r="O8" i="1"/>
  <c r="P8" i="1" s="1"/>
  <c r="I8" i="1"/>
  <c r="J8" i="1" s="1"/>
  <c r="H8" i="1"/>
  <c r="G8" i="1"/>
  <c r="D8" i="1"/>
  <c r="C8" i="1"/>
  <c r="I7" i="1"/>
  <c r="J7" i="1" s="1"/>
  <c r="F7" i="1"/>
  <c r="D7" i="1"/>
  <c r="C7" i="1"/>
  <c r="J6" i="1"/>
  <c r="I6" i="1"/>
  <c r="G6" i="1"/>
  <c r="D6" i="1"/>
  <c r="H6" i="1" s="1"/>
  <c r="C6" i="1"/>
  <c r="O5" i="1"/>
  <c r="P5" i="1" s="1"/>
  <c r="I5" i="1"/>
  <c r="J5" i="1" s="1"/>
  <c r="H5" i="1"/>
  <c r="D5" i="1"/>
  <c r="C5" i="1"/>
  <c r="O4" i="1"/>
  <c r="P4" i="1" s="1"/>
  <c r="J4" i="1"/>
  <c r="I4" i="1"/>
  <c r="D4" i="1"/>
  <c r="C4" i="1"/>
  <c r="J3" i="1"/>
  <c r="I3" i="1"/>
  <c r="D3" i="1"/>
  <c r="C3" i="1"/>
  <c r="M2" i="1"/>
  <c r="N2" i="1" s="1"/>
  <c r="J2" i="1"/>
  <c r="I2" i="1"/>
  <c r="F2" i="1"/>
  <c r="D2" i="1"/>
  <c r="C2" i="1"/>
  <c r="B7" i="13" l="1" a="1"/>
  <c r="B7" i="13" s="1"/>
  <c r="B10" i="13" a="1"/>
  <c r="B10" i="13" s="1"/>
  <c r="B13" i="26" a="1"/>
  <c r="B13" i="26" s="1"/>
  <c r="B7" i="3" a="1"/>
  <c r="B7" i="3" s="1"/>
  <c r="B10" i="7" a="1"/>
  <c r="B10" i="7" s="1"/>
  <c r="B10" i="8" a="1"/>
  <c r="B10" i="8" s="1"/>
  <c r="B10" i="14" a="1"/>
  <c r="B10" i="14" s="1"/>
  <c r="B10" i="18" a="1"/>
  <c r="B10" i="18" s="1"/>
  <c r="B13" i="34" a="1"/>
  <c r="B13" i="34" s="1"/>
  <c r="B13" i="41" a="1"/>
  <c r="B13" i="41" s="1"/>
  <c r="B10" i="19" a="1"/>
  <c r="B10" i="19" s="1"/>
  <c r="B16" i="24" a="1"/>
  <c r="B16" i="24" s="1"/>
  <c r="B10" i="27" a="1"/>
  <c r="B10" i="27" s="1"/>
  <c r="B13" i="35" a="1"/>
  <c r="B13" i="35" s="1"/>
  <c r="B16" i="9" a="1"/>
  <c r="B16" i="9" s="1"/>
  <c r="B13" i="22" a="1"/>
  <c r="B13" i="22" s="1"/>
  <c r="B10" i="29" a="1"/>
  <c r="B10" i="29" s="1"/>
  <c r="B16" i="34" a="1"/>
  <c r="B16" i="34" s="1"/>
  <c r="H2" i="1"/>
  <c r="B5" i="7" a="1"/>
  <c r="B5" i="7" s="1"/>
  <c r="G7" i="1" s="1"/>
  <c r="T2" i="1" s="1"/>
  <c r="I15" i="7"/>
  <c r="I16" i="7" s="1"/>
  <c r="I17" i="7" s="1"/>
  <c r="I18" i="7" s="1"/>
  <c r="B10" i="6" a="1"/>
  <c r="B10" i="6" s="1"/>
  <c r="B10" i="10" a="1"/>
  <c r="B10" i="10" s="1"/>
  <c r="B7" i="10" a="1"/>
  <c r="B7" i="10" s="1"/>
  <c r="H3" i="1"/>
  <c r="H4" i="1"/>
  <c r="H30" i="1"/>
  <c r="H7" i="1"/>
  <c r="H11" i="1"/>
  <c r="H25" i="1"/>
  <c r="H13" i="1"/>
  <c r="B17" i="9" a="1"/>
  <c r="B17" i="9" s="1"/>
  <c r="B10" i="9" a="1"/>
  <c r="B10" i="9" s="1"/>
  <c r="B8" i="10" a="1"/>
  <c r="B8" i="10" s="1"/>
  <c r="I9" i="10"/>
  <c r="B17" i="15" a="1"/>
  <c r="B17" i="15" s="1"/>
  <c r="B11" i="15" a="1"/>
  <c r="B11" i="15" s="1"/>
  <c r="F15" i="1" s="1"/>
  <c r="H15" i="1" s="1"/>
  <c r="B13" i="20" a="1"/>
  <c r="B13" i="20" s="1"/>
  <c r="B10" i="23" a="1"/>
  <c r="B10" i="23" s="1"/>
  <c r="B13" i="23" a="1"/>
  <c r="B13" i="23" s="1"/>
  <c r="B16" i="26" a="1"/>
  <c r="B16" i="26" s="1"/>
  <c r="B10" i="26" a="1"/>
  <c r="B10" i="26" s="1"/>
  <c r="B13" i="12" a="1"/>
  <c r="B13" i="12" s="1"/>
  <c r="B10" i="12" a="1"/>
  <c r="B10" i="12" s="1"/>
  <c r="B17" i="16" a="1"/>
  <c r="B17" i="16" s="1"/>
  <c r="B11" i="16" a="1"/>
  <c r="B11" i="16" s="1"/>
  <c r="F16" i="1" s="1"/>
  <c r="H16" i="1" s="1"/>
  <c r="B11" i="12" a="1"/>
  <c r="B11" i="12" s="1"/>
  <c r="F12" i="1" s="1"/>
  <c r="H12" i="1" s="1"/>
  <c r="E6" i="20"/>
  <c r="B2" i="20" s="1"/>
  <c r="D20" i="1" s="1"/>
  <c r="B10" i="24" a="1"/>
  <c r="B10" i="24" s="1"/>
  <c r="B16" i="37" a="1"/>
  <c r="B16" i="37" s="1"/>
  <c r="B10" i="37" a="1"/>
  <c r="B10" i="37" s="1"/>
  <c r="B7" i="38" a="1"/>
  <c r="B7" i="38" s="1"/>
  <c r="B13" i="39" a="1"/>
  <c r="B13" i="39" s="1"/>
  <c r="B11" i="22" a="1"/>
  <c r="B11" i="22" s="1"/>
  <c r="F22" i="1" s="1"/>
  <c r="H22" i="1" s="1"/>
  <c r="B10" i="28" a="1"/>
  <c r="B10" i="28" s="1"/>
  <c r="B17" i="29"/>
  <c r="B11" i="29" a="1"/>
  <c r="B11" i="29" s="1"/>
  <c r="B16" i="32" a="1"/>
  <c r="B16" i="32" s="1"/>
  <c r="B10" i="32" a="1"/>
  <c r="B10" i="32" s="1"/>
  <c r="B16" i="35" a="1"/>
  <c r="B16" i="35" s="1"/>
  <c r="B10" i="35" a="1"/>
  <c r="B10" i="35" s="1"/>
  <c r="B10" i="25" a="1"/>
  <c r="B10" i="25" s="1"/>
  <c r="B10" i="38" a="1"/>
  <c r="B10" i="38" s="1"/>
  <c r="B13" i="38" a="1"/>
  <c r="B13" i="38" s="1"/>
  <c r="B16" i="40" a="1"/>
  <c r="B16" i="40" s="1"/>
  <c r="B10" i="40" a="1"/>
  <c r="B10" i="40" s="1"/>
  <c r="B11" i="20" a="1"/>
  <c r="B11" i="20" s="1"/>
  <c r="F20" i="1" s="1"/>
  <c r="B11" i="21" a="1"/>
  <c r="B11" i="21" s="1"/>
  <c r="F21" i="1" s="1"/>
  <c r="H21" i="1" s="1"/>
  <c r="B10" i="30" a="1"/>
  <c r="B10" i="30" s="1"/>
  <c r="B16" i="33" a="1"/>
  <c r="B16" i="33" s="1"/>
  <c r="B10" i="33" a="1"/>
  <c r="B10" i="33" s="1"/>
  <c r="B10" i="36" a="1"/>
  <c r="B10" i="36" s="1"/>
  <c r="B7" i="36" a="1"/>
  <c r="B7" i="36" s="1"/>
  <c r="B8" i="33" a="1"/>
  <c r="B8" i="33" s="1"/>
  <c r="G33" i="1" s="1"/>
  <c r="H33" i="1" s="1"/>
  <c r="B10" i="39" a="1"/>
  <c r="B10" i="39" s="1"/>
  <c r="B10" i="41" a="1"/>
  <c r="B10" i="41" s="1"/>
  <c r="B11" i="41" a="1"/>
  <c r="B11" i="41" s="1"/>
  <c r="F41" i="1" s="1"/>
  <c r="H41" i="1" s="1"/>
  <c r="B10" i="31" a="1"/>
  <c r="B10" i="31" s="1"/>
  <c r="B5" i="36" a="1"/>
  <c r="B5" i="36" s="1"/>
  <c r="G36" i="1" s="1"/>
  <c r="H36" i="1" s="1"/>
  <c r="H20" i="1" l="1"/>
  <c r="R2" i="1"/>
  <c r="U2" i="1"/>
  <c r="A2" i="1" l="1"/>
</calcChain>
</file>

<file path=xl/sharedStrings.xml><?xml version="1.0" encoding="utf-8"?>
<sst xmlns="http://schemas.openxmlformats.org/spreadsheetml/2006/main" count="2233" uniqueCount="96">
  <si>
    <t>Total Explants</t>
  </si>
  <si>
    <t>Variety</t>
  </si>
  <si>
    <t>Stage I #</t>
  </si>
  <si>
    <t>Stage II #</t>
  </si>
  <si>
    <t>Stage 2.5 #</t>
  </si>
  <si>
    <t>Stage III #</t>
  </si>
  <si>
    <t>Total # Explants</t>
  </si>
  <si>
    <t>Stage I Date</t>
  </si>
  <si>
    <t>Stage I Ready</t>
  </si>
  <si>
    <t>Stage II Date</t>
  </si>
  <si>
    <t>Stage II Ready</t>
  </si>
  <si>
    <t>Stage 2.5 Date</t>
  </si>
  <si>
    <t>Stage 2.5 Ready</t>
  </si>
  <si>
    <t>Stage III Date</t>
  </si>
  <si>
    <t>Stage III Ready</t>
  </si>
  <si>
    <t>Stage I</t>
  </si>
  <si>
    <t>Stage II</t>
  </si>
  <si>
    <t>Stage III</t>
  </si>
  <si>
    <t>Stage 2.5</t>
  </si>
  <si>
    <t>X</t>
  </si>
  <si>
    <t xml:space="preserve"> </t>
  </si>
  <si>
    <t>Strain Name:</t>
  </si>
  <si>
    <t>PBxZ</t>
  </si>
  <si>
    <t>BRs</t>
  </si>
  <si>
    <t>Stage IV</t>
  </si>
  <si>
    <t>Infection</t>
  </si>
  <si>
    <t>Stage I # Explants:</t>
  </si>
  <si>
    <t>Subculture Date</t>
  </si>
  <si>
    <t># Explants</t>
  </si>
  <si>
    <t># Days in Culture</t>
  </si>
  <si>
    <t>Ready</t>
  </si>
  <si>
    <t># BRs</t>
  </si>
  <si>
    <t># plants in BRs</t>
  </si>
  <si>
    <t>Date</t>
  </si>
  <si>
    <t>Stage I Date:</t>
  </si>
  <si>
    <t>Stage I Subculture</t>
  </si>
  <si>
    <t>Stage II # Explants:</t>
  </si>
  <si>
    <t>Stage II Date:</t>
  </si>
  <si>
    <t>Stage II Subculture</t>
  </si>
  <si>
    <t>Stage III # Explants:</t>
  </si>
  <si>
    <t>09/20/2022</t>
  </si>
  <si>
    <t>Stage III Date:</t>
  </si>
  <si>
    <t>Stage III Subculture</t>
  </si>
  <si>
    <t>Stage 2.5 # Explants:</t>
  </si>
  <si>
    <t>Stage 2.5 Date:</t>
  </si>
  <si>
    <t>Stage 2.5 Subculture</t>
  </si>
  <si>
    <t>BR #:</t>
  </si>
  <si>
    <t>BR Date:</t>
  </si>
  <si>
    <t>BR Subculture</t>
  </si>
  <si>
    <t>Stage IV # Explants:</t>
  </si>
  <si>
    <t>Stage IV Date:</t>
  </si>
  <si>
    <t>WG</t>
  </si>
  <si>
    <t>N/A</t>
  </si>
  <si>
    <t>MAC</t>
  </si>
  <si>
    <t>Jungle Cookies</t>
  </si>
  <si>
    <t>Purple Punch</t>
  </si>
  <si>
    <t>GMO x Larry</t>
  </si>
  <si>
    <t>Runtz</t>
  </si>
  <si>
    <t>Meat Breath</t>
  </si>
  <si>
    <t>09/21/2022</t>
  </si>
  <si>
    <t>Wedding Pie</t>
  </si>
  <si>
    <t>Wedding Cake</t>
  </si>
  <si>
    <t>Silver Kush</t>
  </si>
  <si>
    <t>Violet Vixen</t>
  </si>
  <si>
    <t>ICC</t>
  </si>
  <si>
    <t>Sour Sniffets</t>
  </si>
  <si>
    <t>Chem Diesel</t>
  </si>
  <si>
    <t>Ethos Cookies</t>
  </si>
  <si>
    <t>Topanga Canyon</t>
  </si>
  <si>
    <t>Mandarin Cookies</t>
  </si>
  <si>
    <t>CG</t>
  </si>
  <si>
    <t>CRP</t>
  </si>
  <si>
    <t>LL</t>
  </si>
  <si>
    <t>ICC meristem</t>
  </si>
  <si>
    <t>Runtz meristem</t>
  </si>
  <si>
    <t>GMO meristem</t>
  </si>
  <si>
    <t>MB15 meristem</t>
  </si>
  <si>
    <t>SD meristem</t>
  </si>
  <si>
    <t>WP meristem</t>
  </si>
  <si>
    <t>WTC meristem</t>
  </si>
  <si>
    <t>LC meristem</t>
  </si>
  <si>
    <t>Banana OG meristem</t>
  </si>
  <si>
    <t>Violet Vixen meristem</t>
  </si>
  <si>
    <t>JC meristem</t>
  </si>
  <si>
    <t>Sun Cake meristem</t>
  </si>
  <si>
    <t>WC meristem</t>
  </si>
  <si>
    <t>MAC meristem</t>
  </si>
  <si>
    <t>Silver Kush meristem</t>
  </si>
  <si>
    <t>WG meristem</t>
  </si>
  <si>
    <t>N/a</t>
  </si>
  <si>
    <t>Meat Breath meristem</t>
  </si>
  <si>
    <t>CL4 meristem</t>
  </si>
  <si>
    <t>PBxZ meristem</t>
  </si>
  <si>
    <t>GMO</t>
  </si>
  <si>
    <t>VW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</si>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</sst>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3" fillId="0" borderId="1" xfId="0" applyNumberFormat="1" applyFont="1" applyBorder="1"/>
    <xf numFmtId="0" fontId="4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14" fontId="4" fillId="0" borderId="1" xfId="0" applyNumberFormat="1" applyFont="1" applyBorder="1"/>
    <xf numFmtId="0" fontId="2" fillId="2" borderId="2" xfId="0" applyFont="1" applyFill="1" applyBorder="1"/>
    <xf numFmtId="14" fontId="0" fillId="0" borderId="1" xfId="0" applyNumberFormat="1" applyBorder="1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0" fontId="5" fillId="2" borderId="1" xfId="0" applyFont="1" applyFill="1" applyBorder="1"/>
    <xf numFmtId="1" fontId="0" fillId="0" borderId="1" xfId="0" applyNumberFormat="1" applyBorder="1"/>
    <xf numFmtId="0" fontId="0" fillId="0" borderId="1" xfId="0" applyBorder="1"/>
    <xf numFmtId="0" fontId="6" fillId="0" borderId="1" xfId="0" applyFont="1" applyBorder="1"/>
    <xf numFmtId="0" fontId="4" fillId="5" borderId="1" xfId="0" applyFont="1" applyFill="1" applyBorder="1"/>
    <xf numFmtId="0" fontId="2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" xfId="0" applyFont="1" applyBorder="1"/>
    <xf numFmtId="0" fontId="2" fillId="6" borderId="0" xfId="0" applyFont="1" applyFill="1"/>
    <xf numFmtId="0" fontId="2" fillId="6" borderId="1" xfId="0" applyFont="1" applyFill="1" applyBorder="1"/>
    <xf numFmtId="0" fontId="4" fillId="6" borderId="1" xfId="0" applyFont="1" applyFill="1" applyBorder="1"/>
    <xf numFmtId="0" fontId="0" fillId="0" borderId="11" xfId="0" applyBorder="1"/>
    <xf numFmtId="0" fontId="0" fillId="0" borderId="0" xfId="0"/>
  </cellXfs>
  <cellStyles count="1">
    <cellStyle name="Normal" xfId="0" builtinId="0"/>
  </cellStyles>
  <dxfs count="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zoomScale="93" zoomScaleNormal="85" workbookViewId="0">
      <selection activeCell="B15" sqref="B15"/>
    </sheetView>
  </sheetViews>
  <sheetFormatPr defaultRowHeight="14.4" x14ac:dyDescent="0.3"/>
  <cols>
    <col min="1" max="1" width="18.77734375" style="33" bestFit="1" customWidth="1"/>
    <col min="3" max="3" width="19.5546875" style="33" bestFit="1" customWidth="1"/>
    <col min="4" max="4" width="8.5546875" style="33" bestFit="1" customWidth="1"/>
    <col min="5" max="5" width="9.88671875" style="33" bestFit="1" customWidth="1"/>
    <col min="6" max="6" width="10.33203125" style="33" bestFit="1" customWidth="1"/>
    <col min="7" max="7" width="10.21875" style="33" bestFit="1" customWidth="1"/>
    <col min="8" max="8" width="14.33203125" style="33" bestFit="1" customWidth="1"/>
    <col min="9" max="9" width="11.33203125" style="33" bestFit="1" customWidth="1"/>
    <col min="10" max="10" width="12.5546875" style="33" bestFit="1" customWidth="1"/>
    <col min="11" max="11" width="11.88671875" style="33" bestFit="1" customWidth="1"/>
    <col min="12" max="12" width="13.109375" style="33" bestFit="1" customWidth="1"/>
    <col min="13" max="13" width="13.44140625" style="33" bestFit="1" customWidth="1"/>
    <col min="14" max="14" width="14.77734375" style="33" bestFit="1" customWidth="1"/>
    <col min="15" max="15" width="12.5546875" style="33" bestFit="1" customWidth="1"/>
    <col min="16" max="16" width="13.77734375" style="33" bestFit="1" customWidth="1"/>
    <col min="17" max="17" width="13.5546875" style="33" bestFit="1" customWidth="1"/>
  </cols>
  <sheetData>
    <row r="1" spans="1:21" ht="21" customHeight="1" x14ac:dyDescent="0.4">
      <c r="A1" s="14" t="s">
        <v>0</v>
      </c>
      <c r="C1" s="5" t="s">
        <v>1</v>
      </c>
      <c r="D1" s="3" t="s">
        <v>2</v>
      </c>
      <c r="E1" s="19" t="s">
        <v>3</v>
      </c>
      <c r="F1" s="29" t="s">
        <v>4</v>
      </c>
      <c r="G1" s="4" t="s">
        <v>5</v>
      </c>
      <c r="H1" s="5" t="s">
        <v>6</v>
      </c>
      <c r="I1" s="3" t="s">
        <v>7</v>
      </c>
      <c r="J1" s="3" t="s">
        <v>8</v>
      </c>
      <c r="K1" s="19" t="s">
        <v>9</v>
      </c>
      <c r="L1" s="19" t="s">
        <v>10</v>
      </c>
      <c r="M1" s="30" t="s">
        <v>11</v>
      </c>
      <c r="N1" s="30" t="s">
        <v>12</v>
      </c>
      <c r="O1" s="4" t="s">
        <v>13</v>
      </c>
      <c r="P1" s="4" t="s">
        <v>14</v>
      </c>
      <c r="R1" s="3" t="s">
        <v>15</v>
      </c>
      <c r="S1" s="19" t="s">
        <v>16</v>
      </c>
      <c r="T1" s="4" t="s">
        <v>17</v>
      </c>
      <c r="U1" s="30" t="s">
        <v>18</v>
      </c>
    </row>
    <row r="2" spans="1:21" x14ac:dyDescent="0.3">
      <c r="A2" s="15">
        <f>SUM(R2:U2)</f>
        <v>5032</v>
      </c>
      <c r="B2" t="s">
        <v>19</v>
      </c>
      <c r="C2" s="16" t="str">
        <f>PBxZ!B1</f>
        <v>PBxZ</v>
      </c>
      <c r="D2" s="16">
        <f>PBxZ!B2</f>
        <v>80</v>
      </c>
      <c r="E2" s="16">
        <f>PBxZ!B5</f>
        <v>5</v>
      </c>
      <c r="F2" s="16">
        <f>PBxZ!B11</f>
        <v>62</v>
      </c>
      <c r="G2" s="16">
        <f>PBxZ!B8</f>
        <v>144</v>
      </c>
      <c r="H2" s="16">
        <f t="shared" ref="H2:H33" si="0">SUM(D2:G2)</f>
        <v>291</v>
      </c>
      <c r="I2" s="10">
        <f>PBxZ!B3</f>
        <v>44727</v>
      </c>
      <c r="J2" s="16" t="str">
        <f t="shared" ref="J2:J33" ca="1" si="1">IF(TODAY() - I2 &gt;= 21, "Yes", "No")</f>
        <v>Yes</v>
      </c>
      <c r="K2" s="10">
        <f>PBxZ!B6</f>
        <v>44614</v>
      </c>
      <c r="L2" s="16" t="str">
        <f ca="1">IF(TODAY() - K2 &gt;= 28, "Yes", "No")</f>
        <v>Yes</v>
      </c>
      <c r="M2" s="10" t="str">
        <f>PBxZ!B12</f>
        <v>09/20/2022</v>
      </c>
      <c r="N2" s="16" t="str">
        <f ca="1">IF(TODAY() - M2 &gt;= 28, "Yes", "No")</f>
        <v>No</v>
      </c>
      <c r="O2" s="10" t="str">
        <f>PBxZ!B9</f>
        <v>09/20/2022</v>
      </c>
      <c r="P2" s="16" t="str">
        <f t="shared" ref="P2:P41" ca="1" si="2">IF(TODAY() - O2 &gt;= 28, "Yes", "No")</f>
        <v>No</v>
      </c>
      <c r="R2" s="16">
        <f>SUM(D2:D41)</f>
        <v>168</v>
      </c>
      <c r="S2" s="16">
        <f>SUM(E2:E49)</f>
        <v>216</v>
      </c>
      <c r="T2" s="15">
        <f>SUM(G2:G41)</f>
        <v>3492</v>
      </c>
      <c r="U2" s="16">
        <f>SUM(F2:F49)</f>
        <v>1156</v>
      </c>
    </row>
    <row r="3" spans="1:21" x14ac:dyDescent="0.3">
      <c r="A3" t="s">
        <v>20</v>
      </c>
      <c r="C3" s="16" t="str">
        <f>WG!B1</f>
        <v>WG</v>
      </c>
      <c r="D3" s="16">
        <f>WG!B2</f>
        <v>0</v>
      </c>
      <c r="E3" s="16"/>
      <c r="F3" s="16"/>
      <c r="G3" s="16">
        <f>WG!B5</f>
        <v>183</v>
      </c>
      <c r="H3" s="16">
        <f t="shared" si="0"/>
        <v>183</v>
      </c>
      <c r="I3" s="10" t="e">
        <f>WG!B3</f>
        <v>#N/A</v>
      </c>
      <c r="J3" s="16" t="e">
        <f t="shared" ca="1" si="1"/>
        <v>#N/A</v>
      </c>
      <c r="K3" s="16"/>
      <c r="L3" s="16"/>
      <c r="M3" s="16"/>
      <c r="N3" s="16"/>
      <c r="O3" s="10">
        <f>WG!B6</f>
        <v>44749</v>
      </c>
      <c r="P3" s="16" t="str">
        <f t="shared" ca="1" si="2"/>
        <v>Yes</v>
      </c>
    </row>
    <row r="4" spans="1:21" x14ac:dyDescent="0.3">
      <c r="C4" s="16" t="str">
        <f>'P.P.'!B1</f>
        <v>Purple Punch</v>
      </c>
      <c r="D4" s="16">
        <f>'P.P.'!B2</f>
        <v>0</v>
      </c>
      <c r="E4" s="16"/>
      <c r="F4" s="16"/>
      <c r="G4" s="16">
        <f>'P.P.'!B5</f>
        <v>170</v>
      </c>
      <c r="H4" s="16">
        <f t="shared" si="0"/>
        <v>170</v>
      </c>
      <c r="I4" s="10" t="e">
        <f>'P.P.'!B3</f>
        <v>#N/A</v>
      </c>
      <c r="J4" s="16" t="e">
        <f t="shared" ca="1" si="1"/>
        <v>#N/A</v>
      </c>
      <c r="K4" s="16"/>
      <c r="L4" s="16"/>
      <c r="M4" s="16"/>
      <c r="N4" s="16"/>
      <c r="O4" s="10">
        <f>'P.P.'!B6</f>
        <v>44749</v>
      </c>
      <c r="P4" s="16" t="str">
        <f t="shared" ca="1" si="2"/>
        <v>Yes</v>
      </c>
    </row>
    <row r="5" spans="1:21" x14ac:dyDescent="0.3">
      <c r="C5" s="16" t="str">
        <f>MAC!B1</f>
        <v>MAC</v>
      </c>
      <c r="D5" s="16">
        <f>MAC!B2</f>
        <v>0</v>
      </c>
      <c r="E5" s="16"/>
      <c r="F5" s="16">
        <f>MAC!B8</f>
        <v>3</v>
      </c>
      <c r="G5" s="16">
        <f>MAC!B5</f>
        <v>4</v>
      </c>
      <c r="H5" s="16">
        <f t="shared" si="0"/>
        <v>7</v>
      </c>
      <c r="I5" s="10" t="e">
        <f>MAC!B3</f>
        <v>#N/A</v>
      </c>
      <c r="J5" s="16" t="e">
        <f t="shared" ca="1" si="1"/>
        <v>#N/A</v>
      </c>
      <c r="K5" s="16"/>
      <c r="L5" s="16"/>
      <c r="M5" s="10">
        <f>MAC!B9</f>
        <v>44761</v>
      </c>
      <c r="N5" s="16" t="str">
        <f ca="1">IF(TODAY() - M5 &gt;= 28, "Yes", "No")</f>
        <v>Yes</v>
      </c>
      <c r="O5" s="10">
        <f>MAC!B6</f>
        <v>44761</v>
      </c>
      <c r="P5" s="16" t="str">
        <f t="shared" ca="1" si="2"/>
        <v>Yes</v>
      </c>
    </row>
    <row r="6" spans="1:21" x14ac:dyDescent="0.3">
      <c r="C6" s="16" t="str">
        <f>'Jungle Cookies'!B1</f>
        <v>Jungle Cookies</v>
      </c>
      <c r="D6" s="16">
        <f>'Jungle Cookies'!B2</f>
        <v>0</v>
      </c>
      <c r="E6" s="16"/>
      <c r="F6" s="16"/>
      <c r="G6" s="16">
        <f>'Jungle Cookies'!B5</f>
        <v>27</v>
      </c>
      <c r="H6" s="16">
        <f t="shared" si="0"/>
        <v>27</v>
      </c>
      <c r="I6" s="10" t="e">
        <f>'Jungle Cookies'!B3</f>
        <v>#N/A</v>
      </c>
      <c r="J6" s="16" t="e">
        <f t="shared" ca="1" si="1"/>
        <v>#N/A</v>
      </c>
      <c r="K6" s="16"/>
      <c r="L6" s="16"/>
      <c r="M6" s="16"/>
      <c r="N6" s="16"/>
      <c r="O6" s="10">
        <f>'Jungle Cookies'!B6</f>
        <v>44754</v>
      </c>
      <c r="P6" s="16" t="str">
        <f t="shared" ca="1" si="2"/>
        <v>Yes</v>
      </c>
    </row>
    <row r="7" spans="1:21" x14ac:dyDescent="0.3">
      <c r="C7" s="16" t="str">
        <f>'GMO x Larry'!B1</f>
        <v>GMO x Larry</v>
      </c>
      <c r="D7" s="16">
        <f>'GMO x Larry'!B2</f>
        <v>0</v>
      </c>
      <c r="E7" s="16"/>
      <c r="F7" s="16">
        <f>'GMO x Larry'!B8</f>
        <v>1</v>
      </c>
      <c r="G7" s="16">
        <f>'GMO x Larry'!B5</f>
        <v>24</v>
      </c>
      <c r="H7" s="16">
        <f t="shared" si="0"/>
        <v>25</v>
      </c>
      <c r="I7" s="10" t="e">
        <f>'GMO x Larry'!B3</f>
        <v>#N/A</v>
      </c>
      <c r="J7" s="16" t="e">
        <f t="shared" ca="1" si="1"/>
        <v>#N/A</v>
      </c>
      <c r="K7" s="16"/>
      <c r="L7" s="16"/>
      <c r="M7" s="10">
        <f>'GMO x Larry'!B9</f>
        <v>44733</v>
      </c>
      <c r="N7" s="16" t="str">
        <f ca="1">IF(TODAY() - M7 &gt;= 28, "Yes", "No")</f>
        <v>Yes</v>
      </c>
      <c r="O7" s="10">
        <f>'GMO x Larry'!B6</f>
        <v>44733</v>
      </c>
      <c r="P7" s="16" t="str">
        <f t="shared" ca="1" si="2"/>
        <v>Yes</v>
      </c>
    </row>
    <row r="8" spans="1:21" x14ac:dyDescent="0.3">
      <c r="C8" s="16" t="str">
        <f>Runtz!B1</f>
        <v>Runtz</v>
      </c>
      <c r="D8" s="16">
        <f>Runtz!B2</f>
        <v>0</v>
      </c>
      <c r="E8" s="16"/>
      <c r="F8" s="16"/>
      <c r="G8" s="16">
        <f>Runtz!B5</f>
        <v>158</v>
      </c>
      <c r="H8" s="16">
        <f t="shared" si="0"/>
        <v>158</v>
      </c>
      <c r="I8" s="10" t="e">
        <f>Runtz!B3</f>
        <v>#N/A</v>
      </c>
      <c r="J8" s="16" t="e">
        <f t="shared" ca="1" si="1"/>
        <v>#N/A</v>
      </c>
      <c r="K8" s="16"/>
      <c r="L8" s="16"/>
      <c r="M8" s="16"/>
      <c r="N8" s="16"/>
      <c r="O8" s="10">
        <f>Runtz!B6</f>
        <v>44753</v>
      </c>
      <c r="P8" s="16" t="str">
        <f t="shared" ca="1" si="2"/>
        <v>Yes</v>
      </c>
    </row>
    <row r="9" spans="1:21" x14ac:dyDescent="0.3">
      <c r="B9" t="s">
        <v>19</v>
      </c>
      <c r="C9" s="16" t="str">
        <f>'Meat Breath'!B1</f>
        <v>Meat Breath</v>
      </c>
      <c r="D9" s="16">
        <f>'Meat Breath'!B2</f>
        <v>88</v>
      </c>
      <c r="E9" s="16">
        <f>'Meat Breath'!B5</f>
        <v>10</v>
      </c>
      <c r="F9" s="16">
        <f>'Meat Breath'!B11</f>
        <v>74</v>
      </c>
      <c r="G9" s="16">
        <f>'Meat Breath'!B8</f>
        <v>86</v>
      </c>
      <c r="H9" s="16">
        <f t="shared" si="0"/>
        <v>258</v>
      </c>
      <c r="I9" s="10">
        <f>'Meat Breath'!B3</f>
        <v>86</v>
      </c>
      <c r="J9" s="16" t="str">
        <f t="shared" ca="1" si="1"/>
        <v>Yes</v>
      </c>
      <c r="K9" s="10">
        <f>'Meat Breath'!B6</f>
        <v>44617</v>
      </c>
      <c r="L9" s="16" t="str">
        <f ca="1">IF(TODAY() - K9 &gt;= 28, "Yes", "No")</f>
        <v>Yes</v>
      </c>
      <c r="M9" s="10" t="str">
        <f>'Meat Breath'!B12</f>
        <v>09/21/2022</v>
      </c>
      <c r="N9" s="16" t="str">
        <f ca="1">IF(TODAY() - M9 &gt;= 28, "Yes", "No")</f>
        <v>No</v>
      </c>
      <c r="O9" s="10" t="str">
        <f>'Meat Breath'!B9</f>
        <v>09/21/2022</v>
      </c>
      <c r="P9" s="16" t="str">
        <f t="shared" ca="1" si="2"/>
        <v>No</v>
      </c>
    </row>
    <row r="10" spans="1:21" x14ac:dyDescent="0.3">
      <c r="C10" s="16" t="str">
        <f>'Wedding Pie'!B1</f>
        <v>Wedding Pie</v>
      </c>
      <c r="D10" s="16">
        <f>'Wedding Pie'!B2</f>
        <v>0</v>
      </c>
      <c r="E10" s="16"/>
      <c r="F10" s="16"/>
      <c r="G10" s="16">
        <f>'Wedding Pie'!B5</f>
        <v>169</v>
      </c>
      <c r="H10" s="16">
        <f t="shared" si="0"/>
        <v>169</v>
      </c>
      <c r="I10" s="10" t="e">
        <f>'Wedding Pie'!B3</f>
        <v>#N/A</v>
      </c>
      <c r="J10" s="16" t="e">
        <f t="shared" ca="1" si="1"/>
        <v>#N/A</v>
      </c>
      <c r="K10" s="16"/>
      <c r="L10" s="16"/>
      <c r="M10" s="16"/>
      <c r="N10" s="16"/>
      <c r="O10" s="10">
        <f>'Wedding Pie'!B6</f>
        <v>44750</v>
      </c>
      <c r="P10" s="16" t="str">
        <f t="shared" ca="1" si="2"/>
        <v>Yes</v>
      </c>
    </row>
    <row r="11" spans="1:21" x14ac:dyDescent="0.3">
      <c r="C11" s="16" t="str">
        <f>'Wedding Cake'!B1</f>
        <v>Wedding Cake</v>
      </c>
      <c r="D11" s="16">
        <f>'Wedding Cake'!B2</f>
        <v>0</v>
      </c>
      <c r="E11" s="16"/>
      <c r="F11" s="16"/>
      <c r="G11" s="16">
        <f>'Wedding Cake'!B5</f>
        <v>27</v>
      </c>
      <c r="H11" s="16">
        <f t="shared" si="0"/>
        <v>27</v>
      </c>
      <c r="I11" s="10" t="e">
        <f>'Wedding Cake'!B3</f>
        <v>#N/A</v>
      </c>
      <c r="J11" s="16" t="e">
        <f t="shared" ca="1" si="1"/>
        <v>#N/A</v>
      </c>
      <c r="K11" s="16"/>
      <c r="L11" s="16"/>
      <c r="M11" s="16"/>
      <c r="N11" s="16"/>
      <c r="O11" s="10">
        <f>'Wedding Cake'!B6</f>
        <v>44757</v>
      </c>
      <c r="P11" s="16" t="str">
        <f t="shared" ca="1" si="2"/>
        <v>Yes</v>
      </c>
    </row>
    <row r="12" spans="1:21" x14ac:dyDescent="0.3">
      <c r="C12" s="16" t="str">
        <f>'Silver Kush'!B1</f>
        <v>Silver Kush</v>
      </c>
      <c r="D12" s="16">
        <f>'Silver Kush'!B2</f>
        <v>0</v>
      </c>
      <c r="E12" s="16" t="str">
        <f>'Silver Kush'!B5</f>
        <v>N/A</v>
      </c>
      <c r="F12" s="16">
        <f>'Silver Kush'!B11</f>
        <v>138</v>
      </c>
      <c r="G12" s="16">
        <f>'Silver Kush'!B8</f>
        <v>257</v>
      </c>
      <c r="H12" s="16">
        <f t="shared" si="0"/>
        <v>395</v>
      </c>
      <c r="I12" s="10" t="e">
        <f>'Silver Kush'!B3</f>
        <v>#N/A</v>
      </c>
      <c r="J12" s="16" t="e">
        <f t="shared" ca="1" si="1"/>
        <v>#N/A</v>
      </c>
      <c r="K12" s="10" t="str">
        <f>'Silver Kush'!B6</f>
        <v>N/A</v>
      </c>
      <c r="L12" s="16" t="e">
        <f ca="1">IF(TODAY() - K12 &gt;= 28, "Yes", "No")</f>
        <v>#VALUE!</v>
      </c>
      <c r="M12" s="10">
        <f>'Silver Kush'!B12</f>
        <v>44678</v>
      </c>
      <c r="N12" s="16" t="str">
        <f t="shared" ref="N12:N28" ca="1" si="3">IF(TODAY() - M12 &gt;= 28, "Yes", "No")</f>
        <v>Yes</v>
      </c>
      <c r="O12" s="10">
        <f>'Silver Kush'!B9</f>
        <v>44750</v>
      </c>
      <c r="P12" s="16" t="str">
        <f t="shared" ca="1" si="2"/>
        <v>Yes</v>
      </c>
    </row>
    <row r="13" spans="1:21" x14ac:dyDescent="0.3">
      <c r="C13" s="16" t="str">
        <f>'Violet Vixen'!B1</f>
        <v>Violet Vixen</v>
      </c>
      <c r="D13" s="16">
        <f>'Violet Vixen'!B2</f>
        <v>0</v>
      </c>
      <c r="E13" s="16"/>
      <c r="F13" s="16">
        <f>'Violet Vixen'!B8</f>
        <v>110</v>
      </c>
      <c r="G13" s="16">
        <f>'Violet Vixen'!B5</f>
        <v>232</v>
      </c>
      <c r="H13" s="16">
        <f t="shared" si="0"/>
        <v>342</v>
      </c>
      <c r="I13" s="10" t="e">
        <f>'Violet Vixen'!B3</f>
        <v>#N/A</v>
      </c>
      <c r="J13" s="16" t="e">
        <f t="shared" ca="1" si="1"/>
        <v>#N/A</v>
      </c>
      <c r="K13" s="16"/>
      <c r="L13" s="16"/>
      <c r="M13" s="10">
        <f>'Violet Vixen'!B9</f>
        <v>44758</v>
      </c>
      <c r="N13" s="16" t="str">
        <f t="shared" ca="1" si="3"/>
        <v>Yes</v>
      </c>
      <c r="O13" s="10">
        <f>'Violet Vixen'!B6</f>
        <v>44758</v>
      </c>
      <c r="P13" s="16" t="str">
        <f t="shared" ca="1" si="2"/>
        <v>Yes</v>
      </c>
    </row>
    <row r="14" spans="1:21" x14ac:dyDescent="0.3">
      <c r="C14" s="16" t="str">
        <f>ICC!B1</f>
        <v>ICC</v>
      </c>
      <c r="D14" s="16">
        <f>ICC!B2</f>
        <v>0</v>
      </c>
      <c r="E14" s="16"/>
      <c r="F14" s="16">
        <f>ICC!B8</f>
        <v>46</v>
      </c>
      <c r="G14" s="16">
        <f>ICC!B5</f>
        <v>181</v>
      </c>
      <c r="H14" s="16">
        <f t="shared" si="0"/>
        <v>227</v>
      </c>
      <c r="I14" s="10" t="e">
        <f>ICC!B3</f>
        <v>#N/A</v>
      </c>
      <c r="J14" s="16" t="e">
        <f t="shared" ca="1" si="1"/>
        <v>#N/A</v>
      </c>
      <c r="K14" s="16"/>
      <c r="L14" s="16"/>
      <c r="M14" s="10">
        <f>ICC!B9</f>
        <v>44655</v>
      </c>
      <c r="N14" s="16" t="str">
        <f t="shared" ca="1" si="3"/>
        <v>Yes</v>
      </c>
      <c r="O14" s="10">
        <f>ICC!B6</f>
        <v>44655</v>
      </c>
      <c r="P14" s="16" t="str">
        <f t="shared" ca="1" si="2"/>
        <v>Yes</v>
      </c>
    </row>
    <row r="15" spans="1:21" x14ac:dyDescent="0.3">
      <c r="C15" s="16" t="str">
        <f>'Sour Sniffets'!B1</f>
        <v>Sour Sniffets</v>
      </c>
      <c r="D15" s="16" t="str">
        <f>'Sour Sniffets'!B2</f>
        <v>N/A</v>
      </c>
      <c r="E15" s="16" t="str">
        <f>'Sour Sniffets'!B5</f>
        <v>N/A</v>
      </c>
      <c r="F15" s="16">
        <f>'Sour Sniffets'!B11</f>
        <v>58</v>
      </c>
      <c r="G15" s="16">
        <f>'Sour Sniffets'!B8</f>
        <v>97</v>
      </c>
      <c r="H15" s="16">
        <f t="shared" si="0"/>
        <v>155</v>
      </c>
      <c r="I15" s="10" t="str">
        <f>'Sour Sniffets'!B3</f>
        <v>N/A</v>
      </c>
      <c r="J15" s="16" t="e">
        <f t="shared" ca="1" si="1"/>
        <v>#VALUE!</v>
      </c>
      <c r="K15" s="10" t="str">
        <f>'Sour Sniffets'!B6</f>
        <v>N/A</v>
      </c>
      <c r="L15" s="16" t="e">
        <f t="shared" ref="L15:L22" ca="1" si="4">IF(TODAY() - K15 &gt;= 28, "Yes", "No")</f>
        <v>#VALUE!</v>
      </c>
      <c r="M15" s="10">
        <f>'Sour Sniffets'!B12</f>
        <v>44762</v>
      </c>
      <c r="N15" s="16" t="str">
        <f t="shared" ca="1" si="3"/>
        <v>Yes</v>
      </c>
      <c r="O15" s="10">
        <f>'Sour Sniffets'!B9</f>
        <v>44762</v>
      </c>
      <c r="P15" s="16" t="str">
        <f t="shared" ca="1" si="2"/>
        <v>Yes</v>
      </c>
    </row>
    <row r="16" spans="1:21" x14ac:dyDescent="0.3">
      <c r="C16" s="16" t="str">
        <f>'Chem Diesel'!B1</f>
        <v>Chem Diesel</v>
      </c>
      <c r="D16" s="16" t="str">
        <f>'Chem Diesel'!B2</f>
        <v>N/A</v>
      </c>
      <c r="E16" s="16">
        <f>'Chem Diesel'!B5</f>
        <v>179</v>
      </c>
      <c r="F16" s="16">
        <f>'Chem Diesel'!B11</f>
        <v>25</v>
      </c>
      <c r="G16" s="16">
        <f>'Chem Diesel'!B8</f>
        <v>57</v>
      </c>
      <c r="H16" s="16">
        <f t="shared" si="0"/>
        <v>261</v>
      </c>
      <c r="I16" s="10" t="str">
        <f>'Chem Diesel'!B3</f>
        <v>N/A</v>
      </c>
      <c r="J16" s="16" t="e">
        <f t="shared" ca="1" si="1"/>
        <v>#VALUE!</v>
      </c>
      <c r="K16" s="10">
        <f>'Chem Diesel'!B6</f>
        <v>44601</v>
      </c>
      <c r="L16" s="16" t="str">
        <f t="shared" ca="1" si="4"/>
        <v>Yes</v>
      </c>
      <c r="M16" s="10">
        <f>'Chem Diesel'!B12</f>
        <v>44762</v>
      </c>
      <c r="N16" s="16" t="str">
        <f t="shared" ca="1" si="3"/>
        <v>Yes</v>
      </c>
      <c r="O16" s="10">
        <f>'Chem Diesel'!B9</f>
        <v>44762</v>
      </c>
      <c r="P16" s="16" t="str">
        <f t="shared" ca="1" si="2"/>
        <v>Yes</v>
      </c>
    </row>
    <row r="17" spans="2:16" x14ac:dyDescent="0.3">
      <c r="C17" s="16" t="str">
        <f>'Ethos Cookies'!B1</f>
        <v>Ethos Cookies</v>
      </c>
      <c r="D17" s="16" t="str">
        <f>'Ethos Cookies'!B2</f>
        <v>N/A</v>
      </c>
      <c r="E17" s="16" t="str">
        <f>'Ethos Cookies'!B5</f>
        <v>N/A</v>
      </c>
      <c r="F17" s="16">
        <f>'Ethos Cookies'!B11</f>
        <v>20</v>
      </c>
      <c r="G17" s="16">
        <f>'Ethos Cookies'!B8</f>
        <v>4</v>
      </c>
      <c r="H17" s="16">
        <f t="shared" si="0"/>
        <v>24</v>
      </c>
      <c r="I17" s="10" t="str">
        <f>'Ethos Cookies'!B3</f>
        <v>N/A</v>
      </c>
      <c r="J17" s="16" t="e">
        <f t="shared" ca="1" si="1"/>
        <v>#VALUE!</v>
      </c>
      <c r="K17" s="10" t="str">
        <f>'Ethos Cookies'!B6</f>
        <v>N/A</v>
      </c>
      <c r="L17" s="16" t="e">
        <f t="shared" ca="1" si="4"/>
        <v>#VALUE!</v>
      </c>
      <c r="M17" s="10">
        <f>'Ethos Cookies'!B12</f>
        <v>44754</v>
      </c>
      <c r="N17" s="16" t="str">
        <f t="shared" ca="1" si="3"/>
        <v>Yes</v>
      </c>
      <c r="O17" s="10">
        <f>'Ethos Cookies'!B9</f>
        <v>44754</v>
      </c>
      <c r="P17" s="16" t="str">
        <f t="shared" ca="1" si="2"/>
        <v>Yes</v>
      </c>
    </row>
    <row r="18" spans="2:16" x14ac:dyDescent="0.3">
      <c r="C18" s="16" t="str">
        <f>'Topanga Canyon'!B1</f>
        <v>Topanga Canyon</v>
      </c>
      <c r="D18" s="16" t="str">
        <f>'Topanga Canyon'!B2</f>
        <v>N/A</v>
      </c>
      <c r="E18" s="16" t="str">
        <f>'Topanga Canyon'!B5</f>
        <v>N/A</v>
      </c>
      <c r="F18" s="16">
        <f>'Topanga Canyon'!B11</f>
        <v>11</v>
      </c>
      <c r="G18" s="16">
        <f>'Topanga Canyon'!B8</f>
        <v>74</v>
      </c>
      <c r="H18" s="16">
        <f t="shared" si="0"/>
        <v>85</v>
      </c>
      <c r="I18" s="10" t="str">
        <f>'Topanga Canyon'!B3</f>
        <v>N/A</v>
      </c>
      <c r="J18" s="16" t="e">
        <f t="shared" ca="1" si="1"/>
        <v>#VALUE!</v>
      </c>
      <c r="K18" s="10" t="str">
        <f>'Topanga Canyon'!B6</f>
        <v>N/A</v>
      </c>
      <c r="L18" s="16" t="e">
        <f t="shared" ca="1" si="4"/>
        <v>#VALUE!</v>
      </c>
      <c r="M18" s="10">
        <f>'Topanga Canyon'!B12</f>
        <v>44756</v>
      </c>
      <c r="N18" s="16" t="str">
        <f t="shared" ca="1" si="3"/>
        <v>Yes</v>
      </c>
      <c r="O18" s="10">
        <f>'Topanga Canyon'!B9</f>
        <v>44756</v>
      </c>
      <c r="P18" s="16" t="str">
        <f t="shared" ca="1" si="2"/>
        <v>Yes</v>
      </c>
    </row>
    <row r="19" spans="2:16" x14ac:dyDescent="0.3">
      <c r="C19" s="16" t="str">
        <f>'Mandarin Cookies'!B1</f>
        <v>Mandarin Cookies</v>
      </c>
      <c r="D19" s="16" t="str">
        <f>'Mandarin Cookies'!B2</f>
        <v>N/A</v>
      </c>
      <c r="E19" s="16" t="str">
        <f>'Mandarin Cookies'!B5</f>
        <v>N/A</v>
      </c>
      <c r="F19" s="16">
        <f>'Mandarin Cookies'!B11</f>
        <v>52</v>
      </c>
      <c r="G19" s="16">
        <f>'Mandarin Cookies'!B8</f>
        <v>9</v>
      </c>
      <c r="H19" s="16">
        <f t="shared" si="0"/>
        <v>61</v>
      </c>
      <c r="I19" s="10" t="str">
        <f>'Mandarin Cookies'!B3</f>
        <v>N/A</v>
      </c>
      <c r="J19" s="16" t="e">
        <f t="shared" ca="1" si="1"/>
        <v>#VALUE!</v>
      </c>
      <c r="K19" s="10" t="str">
        <f>'Mandarin Cookies'!B6</f>
        <v>N/A</v>
      </c>
      <c r="L19" s="16" t="e">
        <f t="shared" ca="1" si="4"/>
        <v>#VALUE!</v>
      </c>
      <c r="M19" s="10">
        <f>'Mandarin Cookies'!B12</f>
        <v>44753</v>
      </c>
      <c r="N19" s="16" t="str">
        <f t="shared" ca="1" si="3"/>
        <v>Yes</v>
      </c>
      <c r="O19" s="10">
        <f>'Mandarin Cookies'!B9</f>
        <v>44753</v>
      </c>
      <c r="P19" s="16" t="str">
        <f t="shared" ca="1" si="2"/>
        <v>Yes</v>
      </c>
    </row>
    <row r="20" spans="2:16" x14ac:dyDescent="0.3">
      <c r="C20" s="16" t="str">
        <f>CG!B1</f>
        <v>CG</v>
      </c>
      <c r="D20" s="16" t="str">
        <f>CG!B2</f>
        <v>N/A</v>
      </c>
      <c r="E20" s="16" t="str">
        <f>CG!B5</f>
        <v>N/A</v>
      </c>
      <c r="F20" s="16">
        <f>CG!B11</f>
        <v>71</v>
      </c>
      <c r="G20" s="16">
        <f>CG!B8</f>
        <v>246</v>
      </c>
      <c r="H20" s="16">
        <f t="shared" si="0"/>
        <v>317</v>
      </c>
      <c r="I20" s="10" t="str">
        <f>CG!B3</f>
        <v>N/A</v>
      </c>
      <c r="J20" s="16" t="e">
        <f t="shared" ca="1" si="1"/>
        <v>#VALUE!</v>
      </c>
      <c r="K20" s="10" t="str">
        <f>CG!B6</f>
        <v>N/A</v>
      </c>
      <c r="L20" s="16" t="e">
        <f t="shared" ca="1" si="4"/>
        <v>#VALUE!</v>
      </c>
      <c r="M20" s="10">
        <f>CG!B12</f>
        <v>44761</v>
      </c>
      <c r="N20" s="16" t="str">
        <f t="shared" ca="1" si="3"/>
        <v>Yes</v>
      </c>
      <c r="O20" s="10">
        <f>CG!B9</f>
        <v>44761</v>
      </c>
      <c r="P20" s="16" t="str">
        <f t="shared" ca="1" si="2"/>
        <v>Yes</v>
      </c>
    </row>
    <row r="21" spans="2:16" x14ac:dyDescent="0.3">
      <c r="C21" s="16" t="str">
        <f>CRP!B1</f>
        <v>CRP</v>
      </c>
      <c r="D21" s="16" t="str">
        <f>CRP!B2</f>
        <v>N/A</v>
      </c>
      <c r="E21" s="16" t="str">
        <f>CRP!B5</f>
        <v>N/A</v>
      </c>
      <c r="F21" s="16">
        <f>CRP!B11</f>
        <v>113</v>
      </c>
      <c r="G21" s="16">
        <f>CRP!B8</f>
        <v>100</v>
      </c>
      <c r="H21" s="16">
        <f t="shared" si="0"/>
        <v>213</v>
      </c>
      <c r="I21" s="10" t="str">
        <f>CRP!B3</f>
        <v>N/A</v>
      </c>
      <c r="J21" s="16" t="e">
        <f t="shared" ca="1" si="1"/>
        <v>#VALUE!</v>
      </c>
      <c r="K21" s="10" t="str">
        <f>CRP!B6</f>
        <v>N/A</v>
      </c>
      <c r="L21" s="16" t="e">
        <f t="shared" ca="1" si="4"/>
        <v>#VALUE!</v>
      </c>
      <c r="M21" s="10">
        <f>CRP!B12</f>
        <v>44718</v>
      </c>
      <c r="N21" s="16" t="str">
        <f t="shared" ca="1" si="3"/>
        <v>Yes</v>
      </c>
      <c r="O21" s="10">
        <f>CRP!B9</f>
        <v>44718</v>
      </c>
      <c r="P21" s="16" t="str">
        <f t="shared" ca="1" si="2"/>
        <v>Yes</v>
      </c>
    </row>
    <row r="22" spans="2:16" x14ac:dyDescent="0.3">
      <c r="C22" s="16" t="str">
        <f>LL!B1</f>
        <v>LL</v>
      </c>
      <c r="D22" s="16" t="str">
        <f>LL!B2</f>
        <v>N/A</v>
      </c>
      <c r="E22" s="16" t="str">
        <f>LL!B5</f>
        <v>N/A</v>
      </c>
      <c r="F22" s="16">
        <f>LL!B11</f>
        <v>55</v>
      </c>
      <c r="G22" s="16">
        <f>LL!B8</f>
        <v>136</v>
      </c>
      <c r="H22" s="16">
        <f t="shared" si="0"/>
        <v>191</v>
      </c>
      <c r="I22" s="10" t="str">
        <f>LL!B3</f>
        <v>N/A</v>
      </c>
      <c r="J22" s="16" t="e">
        <f t="shared" ca="1" si="1"/>
        <v>#VALUE!</v>
      </c>
      <c r="K22" s="10" t="str">
        <f>LL!B6</f>
        <v>N/A</v>
      </c>
      <c r="L22" s="16" t="e">
        <f t="shared" ca="1" si="4"/>
        <v>#VALUE!</v>
      </c>
      <c r="M22" s="10">
        <f>LL!B12</f>
        <v>44753</v>
      </c>
      <c r="N22" s="16" t="str">
        <f t="shared" ca="1" si="3"/>
        <v>Yes</v>
      </c>
      <c r="O22" s="10">
        <f>LL!B9</f>
        <v>44753</v>
      </c>
      <c r="P22" s="16" t="str">
        <f t="shared" ca="1" si="2"/>
        <v>Yes</v>
      </c>
    </row>
    <row r="23" spans="2:16" x14ac:dyDescent="0.3">
      <c r="C23" s="17" t="str">
        <f>'ICC meristem'!B1</f>
        <v>ICC meristem</v>
      </c>
      <c r="D23" s="16">
        <f>'ICC meristem'!B2</f>
        <v>0</v>
      </c>
      <c r="E23" s="16"/>
      <c r="F23" s="16">
        <f>'ICC meristem'!B8</f>
        <v>28</v>
      </c>
      <c r="G23" s="16">
        <f>'ICC meristem'!B5</f>
        <v>306</v>
      </c>
      <c r="H23" s="16">
        <f t="shared" si="0"/>
        <v>334</v>
      </c>
      <c r="I23" s="10" t="e">
        <f>'ICC meristem'!B3</f>
        <v>#N/A</v>
      </c>
      <c r="J23" s="16" t="e">
        <f t="shared" ca="1" si="1"/>
        <v>#N/A</v>
      </c>
      <c r="K23" s="16"/>
      <c r="L23" s="16"/>
      <c r="M23" s="10">
        <f>'ICC meristem'!B9</f>
        <v>44757</v>
      </c>
      <c r="N23" s="16" t="str">
        <f t="shared" ca="1" si="3"/>
        <v>Yes</v>
      </c>
      <c r="O23" s="10">
        <f>'ICC meristem'!B6</f>
        <v>44757</v>
      </c>
      <c r="P23" s="16" t="str">
        <f t="shared" ca="1" si="2"/>
        <v>Yes</v>
      </c>
    </row>
    <row r="24" spans="2:16" x14ac:dyDescent="0.3">
      <c r="C24" s="17" t="str">
        <f>'GMO meristem'!B1</f>
        <v>GMO meristem</v>
      </c>
      <c r="D24" s="16">
        <f>'GMO meristem'!B2</f>
        <v>0</v>
      </c>
      <c r="E24" s="16">
        <f>'GMO meristem'!B5</f>
        <v>0</v>
      </c>
      <c r="F24" s="16">
        <f>'GMO meristem'!B11</f>
        <v>22</v>
      </c>
      <c r="G24" s="16">
        <f>'GMO meristem'!B8</f>
        <v>41</v>
      </c>
      <c r="H24" s="16">
        <f t="shared" si="0"/>
        <v>63</v>
      </c>
      <c r="I24" s="10" t="e">
        <f>'GMO meristem'!B3</f>
        <v>#N/A</v>
      </c>
      <c r="J24" s="16" t="e">
        <f t="shared" ca="1" si="1"/>
        <v>#N/A</v>
      </c>
      <c r="K24" s="10" t="e">
        <f>'GMO meristem'!B6</f>
        <v>#N/A</v>
      </c>
      <c r="L24" s="16" t="e">
        <f ca="1">IF(TODAY() - K24 &gt;= 28, "Yes", "No")</f>
        <v>#N/A</v>
      </c>
      <c r="M24" s="10">
        <f>'GMO meristem'!B12</f>
        <v>44629</v>
      </c>
      <c r="N24" s="16" t="str">
        <f t="shared" ca="1" si="3"/>
        <v>Yes</v>
      </c>
      <c r="O24" s="10">
        <f>'GMO meristem'!B9</f>
        <v>44629</v>
      </c>
      <c r="P24" s="16" t="str">
        <f t="shared" ca="1" si="2"/>
        <v>Yes</v>
      </c>
    </row>
    <row r="25" spans="2:16" x14ac:dyDescent="0.3">
      <c r="C25" s="17" t="str">
        <f>'Runtz meristem'!B1</f>
        <v>Runtz meristem</v>
      </c>
      <c r="D25" s="16">
        <f>'Runtz meristem'!B2</f>
        <v>0</v>
      </c>
      <c r="E25" s="16" t="str">
        <f>'Runtz meristem'!B5</f>
        <v>N/A</v>
      </c>
      <c r="F25" s="16">
        <f>'Runtz meristem'!B11</f>
        <v>11</v>
      </c>
      <c r="G25" s="16">
        <f>'Runtz meristem'!B8</f>
        <v>18</v>
      </c>
      <c r="H25" s="16">
        <f t="shared" si="0"/>
        <v>29</v>
      </c>
      <c r="I25" s="10" t="e">
        <f>'Runtz meristem'!B3</f>
        <v>#N/A</v>
      </c>
      <c r="J25" s="16" t="e">
        <f t="shared" ca="1" si="1"/>
        <v>#N/A</v>
      </c>
      <c r="K25" s="10" t="str">
        <f>'Runtz meristem'!B6</f>
        <v>N/A</v>
      </c>
      <c r="L25" s="16" t="e">
        <f ca="1">IF(TODAY() - K25 &gt;= 28, "Yes", "No")</f>
        <v>#VALUE!</v>
      </c>
      <c r="M25" s="10">
        <f>'Runtz meristem'!B12</f>
        <v>44762</v>
      </c>
      <c r="N25" s="16" t="str">
        <f t="shared" ca="1" si="3"/>
        <v>Yes</v>
      </c>
      <c r="O25" s="10">
        <f>'Runtz meristem'!B9</f>
        <v>44762</v>
      </c>
      <c r="P25" s="16" t="str">
        <f t="shared" ca="1" si="2"/>
        <v>Yes</v>
      </c>
    </row>
    <row r="26" spans="2:16" x14ac:dyDescent="0.3">
      <c r="C26" s="17" t="str">
        <f>'MB15 meristem'!B1</f>
        <v>MB15 meristem</v>
      </c>
      <c r="D26" s="16">
        <f>'MB15 meristem'!B2</f>
        <v>0</v>
      </c>
      <c r="E26" s="16">
        <f>'MB15 meristem'!B5</f>
        <v>0</v>
      </c>
      <c r="F26" s="16">
        <f>'MB15 meristem'!B11</f>
        <v>15</v>
      </c>
      <c r="G26" s="16">
        <f>'MB15 meristem'!B8</f>
        <v>64</v>
      </c>
      <c r="H26" s="16">
        <f t="shared" si="0"/>
        <v>79</v>
      </c>
      <c r="I26" s="10" t="e">
        <f>'MB15 meristem'!B3</f>
        <v>#N/A</v>
      </c>
      <c r="J26" s="16" t="e">
        <f t="shared" ca="1" si="1"/>
        <v>#N/A</v>
      </c>
      <c r="K26" s="10">
        <f>'MB15 meristem'!B6</f>
        <v>44592</v>
      </c>
      <c r="L26" s="16" t="str">
        <f ca="1">IF(TODAY() - K26 &gt;= 28, "Yes", "No")</f>
        <v>Yes</v>
      </c>
      <c r="M26" s="10">
        <f>'MB15 meristem'!B12</f>
        <v>44754</v>
      </c>
      <c r="N26" s="16" t="str">
        <f t="shared" ca="1" si="3"/>
        <v>Yes</v>
      </c>
      <c r="O26" s="10">
        <f>'MB15 meristem'!B9</f>
        <v>44754</v>
      </c>
      <c r="P26" s="16" t="str">
        <f t="shared" ca="1" si="2"/>
        <v>Yes</v>
      </c>
    </row>
    <row r="27" spans="2:16" x14ac:dyDescent="0.3">
      <c r="C27" s="17" t="str">
        <f>'SD meristem'!B1</f>
        <v>SD meristem</v>
      </c>
      <c r="D27" s="16">
        <f>'SD meristem'!B2</f>
        <v>0</v>
      </c>
      <c r="E27" s="16"/>
      <c r="F27" s="16">
        <f>'SD meristem'!B11</f>
        <v>20</v>
      </c>
      <c r="G27" s="16">
        <f>'SD meristem'!B5</f>
        <v>70</v>
      </c>
      <c r="H27" s="16">
        <f t="shared" si="0"/>
        <v>90</v>
      </c>
      <c r="I27" s="10" t="e">
        <f>'SD meristem'!B3</f>
        <v>#N/A</v>
      </c>
      <c r="J27" s="16" t="e">
        <f t="shared" ca="1" si="1"/>
        <v>#N/A</v>
      </c>
      <c r="K27" s="16"/>
      <c r="L27" s="16"/>
      <c r="M27" s="10">
        <f>'SD meristem'!B12</f>
        <v>44761</v>
      </c>
      <c r="N27" s="16" t="str">
        <f t="shared" ca="1" si="3"/>
        <v>Yes</v>
      </c>
      <c r="O27" s="10">
        <f>'SD meristem'!B6</f>
        <v>44761</v>
      </c>
      <c r="P27" s="16" t="str">
        <f t="shared" ca="1" si="2"/>
        <v>Yes</v>
      </c>
    </row>
    <row r="28" spans="2:16" x14ac:dyDescent="0.3">
      <c r="C28" s="17" t="str">
        <f>'WP meristem'!B1</f>
        <v>WP meristem</v>
      </c>
      <c r="D28" s="16">
        <f>'WP meristem'!B2</f>
        <v>0</v>
      </c>
      <c r="E28" s="16">
        <f>'WP meristem'!B5</f>
        <v>1</v>
      </c>
      <c r="F28" s="16">
        <f>'WP meristem'!B11</f>
        <v>12</v>
      </c>
      <c r="G28" s="16">
        <f>'WP meristem'!B8</f>
        <v>14</v>
      </c>
      <c r="H28" s="16">
        <f t="shared" si="0"/>
        <v>27</v>
      </c>
      <c r="I28" s="10" t="e">
        <f>'WP meristem'!B3</f>
        <v>#N/A</v>
      </c>
      <c r="J28" s="16" t="e">
        <f t="shared" ca="1" si="1"/>
        <v>#N/A</v>
      </c>
      <c r="K28" s="10">
        <f>'WP meristem'!B6</f>
        <v>44588</v>
      </c>
      <c r="L28" s="16" t="str">
        <f ca="1">IF(TODAY() - K28 &gt;= 28, "Yes", "No")</f>
        <v>Yes</v>
      </c>
      <c r="M28" s="10">
        <f>'WP meristem'!B12</f>
        <v>44758</v>
      </c>
      <c r="N28" s="16" t="str">
        <f t="shared" ca="1" si="3"/>
        <v>Yes</v>
      </c>
      <c r="O28" s="10">
        <f>'WP meristem'!B9</f>
        <v>44758</v>
      </c>
      <c r="P28" s="16" t="str">
        <f t="shared" ca="1" si="2"/>
        <v>Yes</v>
      </c>
    </row>
    <row r="29" spans="2:16" x14ac:dyDescent="0.3">
      <c r="B29" t="s">
        <v>19</v>
      </c>
      <c r="C29" s="17" t="str">
        <f>'WTC meristem'!B1</f>
        <v>WTC meristem</v>
      </c>
      <c r="D29" s="16">
        <f>'WTC meristem'!B2</f>
        <v>0</v>
      </c>
      <c r="E29" s="16"/>
      <c r="F29" s="16"/>
      <c r="G29" s="16">
        <f>'WTC meristem'!B8</f>
        <v>35</v>
      </c>
      <c r="H29" s="16">
        <f t="shared" si="0"/>
        <v>35</v>
      </c>
      <c r="I29" s="10" t="e">
        <f>'WTC meristem'!B3</f>
        <v>#N/A</v>
      </c>
      <c r="J29" s="16" t="e">
        <f t="shared" ca="1" si="1"/>
        <v>#N/A</v>
      </c>
      <c r="K29" s="16"/>
      <c r="L29" s="16"/>
      <c r="M29" s="16"/>
      <c r="N29" s="16"/>
      <c r="O29" s="10">
        <f>'WTC meristem'!B9</f>
        <v>44719</v>
      </c>
      <c r="P29" s="16" t="str">
        <f t="shared" ca="1" si="2"/>
        <v>Yes</v>
      </c>
    </row>
    <row r="30" spans="2:16" x14ac:dyDescent="0.3">
      <c r="C30" s="17" t="str">
        <f>'LC meristem'!B1</f>
        <v>LC meristem</v>
      </c>
      <c r="D30" s="16">
        <f>'LC meristem'!B2</f>
        <v>0</v>
      </c>
      <c r="E30" s="16">
        <f>'LC meristem'!B5</f>
        <v>4</v>
      </c>
      <c r="F30" s="16">
        <f>'LC meristem'!B11</f>
        <v>62</v>
      </c>
      <c r="G30" s="16">
        <f>'LC meristem'!B8</f>
        <v>53</v>
      </c>
      <c r="H30" s="16">
        <f t="shared" si="0"/>
        <v>119</v>
      </c>
      <c r="I30" s="10" t="e">
        <f>'LC meristem'!B3</f>
        <v>#N/A</v>
      </c>
      <c r="J30" s="16" t="e">
        <f t="shared" ca="1" si="1"/>
        <v>#N/A</v>
      </c>
      <c r="K30" s="10">
        <f>'LC meristem'!B6</f>
        <v>44587</v>
      </c>
      <c r="L30" s="16" t="str">
        <f ca="1">IF(TODAY() - K30 &gt;= 28, "Yes", "No")</f>
        <v>Yes</v>
      </c>
      <c r="M30" s="10">
        <f>'LC meristem'!B12</f>
        <v>44761</v>
      </c>
      <c r="N30" s="16" t="str">
        <f t="shared" ref="N30:N35" ca="1" si="5">IF(TODAY() - M30 &gt;= 28, "Yes", "No")</f>
        <v>Yes</v>
      </c>
      <c r="O30" s="10">
        <f>'LC meristem'!B9</f>
        <v>44761</v>
      </c>
      <c r="P30" s="16" t="str">
        <f t="shared" ca="1" si="2"/>
        <v>Yes</v>
      </c>
    </row>
    <row r="31" spans="2:16" x14ac:dyDescent="0.3">
      <c r="C31" s="17" t="str">
        <f>'Banana OG meristem'!B1</f>
        <v>Banana OG meristem</v>
      </c>
      <c r="D31" s="16">
        <f>'Banana OG meristem'!B2</f>
        <v>0</v>
      </c>
      <c r="E31" s="16" t="str">
        <f>'Banana OG meristem'!B5</f>
        <v>N/A</v>
      </c>
      <c r="F31" s="16">
        <f>'Banana OG meristem'!B11</f>
        <v>14</v>
      </c>
      <c r="G31" s="16">
        <f>'Banana OG meristem'!B8</f>
        <v>6</v>
      </c>
      <c r="H31" s="16">
        <f t="shared" si="0"/>
        <v>20</v>
      </c>
      <c r="I31" s="10" t="e">
        <f>'Banana OG meristem'!B3</f>
        <v>#N/A</v>
      </c>
      <c r="J31" s="16" t="e">
        <f t="shared" ca="1" si="1"/>
        <v>#N/A</v>
      </c>
      <c r="K31" s="10" t="str">
        <f>'Banana OG meristem'!B6</f>
        <v>N/A</v>
      </c>
      <c r="L31" s="16" t="e">
        <f ca="1">IF(TODAY() - K31 &gt;= 28, "Yes", "No")</f>
        <v>#VALUE!</v>
      </c>
      <c r="M31" s="10">
        <f>'Banana OG meristem'!B12</f>
        <v>44762</v>
      </c>
      <c r="N31" s="16" t="str">
        <f t="shared" ca="1" si="5"/>
        <v>Yes</v>
      </c>
      <c r="O31" s="10">
        <f>'Banana OG meristem'!B9</f>
        <v>44762</v>
      </c>
      <c r="P31" s="16" t="str">
        <f t="shared" ca="1" si="2"/>
        <v>Yes</v>
      </c>
    </row>
    <row r="32" spans="2:16" x14ac:dyDescent="0.3">
      <c r="C32" s="17" t="str">
        <f>'Violet Vixen meristem'!B1</f>
        <v>Violet Vixen meristem</v>
      </c>
      <c r="D32" s="16">
        <f>'Violet Vixen meristem'!B2</f>
        <v>0</v>
      </c>
      <c r="E32" s="16">
        <f>'Violet Vixen meristem'!B5</f>
        <v>16</v>
      </c>
      <c r="F32" s="16">
        <f>'Violet Vixen meristem'!B11</f>
        <v>55</v>
      </c>
      <c r="G32" s="16">
        <f>'Violet Vixen meristem'!B8</f>
        <v>103</v>
      </c>
      <c r="H32" s="16">
        <f t="shared" si="0"/>
        <v>174</v>
      </c>
      <c r="I32" s="10" t="e">
        <f>'Violet Vixen meristem'!B3</f>
        <v>#N/A</v>
      </c>
      <c r="J32" s="16" t="e">
        <f t="shared" ca="1" si="1"/>
        <v>#N/A</v>
      </c>
      <c r="K32" s="10">
        <f>'Violet Vixen meristem'!B6</f>
        <v>44617</v>
      </c>
      <c r="L32" s="16" t="str">
        <f ca="1">IF(TODAY() - K32 &gt;= 28, "Yes", "No")</f>
        <v>Yes</v>
      </c>
      <c r="M32" s="10">
        <f>'Violet Vixen meristem'!B12</f>
        <v>44687</v>
      </c>
      <c r="N32" s="16" t="str">
        <f t="shared" ca="1" si="5"/>
        <v>Yes</v>
      </c>
      <c r="O32" s="10">
        <f>'Violet Vixen meristem'!B9</f>
        <v>44687</v>
      </c>
      <c r="P32" s="16" t="str">
        <f t="shared" ca="1" si="2"/>
        <v>Yes</v>
      </c>
    </row>
    <row r="33" spans="2:16" x14ac:dyDescent="0.3">
      <c r="C33" s="17" t="str">
        <f>'JC meristem'!B1</f>
        <v>JC meristem</v>
      </c>
      <c r="D33" s="16">
        <f>'JC meristem'!B2</f>
        <v>0</v>
      </c>
      <c r="E33" s="16">
        <f>'JC meristem'!B5</f>
        <v>1</v>
      </c>
      <c r="F33" s="16">
        <f>'JC meristem'!B11</f>
        <v>18</v>
      </c>
      <c r="G33" s="16">
        <f>'JC meristem'!B8</f>
        <v>106</v>
      </c>
      <c r="H33" s="16">
        <f t="shared" si="0"/>
        <v>125</v>
      </c>
      <c r="I33" s="10" t="e">
        <f>'JC meristem'!B3</f>
        <v>#N/A</v>
      </c>
      <c r="J33" s="16" t="e">
        <f t="shared" ca="1" si="1"/>
        <v>#N/A</v>
      </c>
      <c r="K33" s="10">
        <f>'JC meristem'!B6</f>
        <v>44587</v>
      </c>
      <c r="L33" s="16" t="str">
        <f ca="1">IF(TODAY() - K33 &gt;= 28, "Yes", "No")</f>
        <v>Yes</v>
      </c>
      <c r="M33" s="10">
        <f>'JC meristem'!B12</f>
        <v>44762</v>
      </c>
      <c r="N33" s="16" t="str">
        <f t="shared" ca="1" si="5"/>
        <v>Yes</v>
      </c>
      <c r="O33" s="10">
        <f>'JC meristem'!B9</f>
        <v>44762</v>
      </c>
      <c r="P33" s="16" t="str">
        <f t="shared" ca="1" si="2"/>
        <v>Yes</v>
      </c>
    </row>
    <row r="34" spans="2:16" x14ac:dyDescent="0.3">
      <c r="C34" s="17" t="str">
        <f>'Sun Cake meristem'!B1</f>
        <v>Sun Cake meristem</v>
      </c>
      <c r="D34" s="16"/>
      <c r="E34" s="16"/>
      <c r="F34" s="16">
        <f>'Sun Cake meristem'!B11</f>
        <v>10</v>
      </c>
      <c r="G34" s="16">
        <f>'Sun Cake meristem'!B8</f>
        <v>16</v>
      </c>
      <c r="H34" s="16"/>
      <c r="I34" s="16"/>
      <c r="J34" s="16"/>
      <c r="K34" s="16"/>
      <c r="L34" s="16"/>
      <c r="M34" s="10">
        <f>'Sun Cake meristem'!B12</f>
        <v>44754</v>
      </c>
      <c r="N34" s="16" t="str">
        <f t="shared" ca="1" si="5"/>
        <v>Yes</v>
      </c>
      <c r="O34" s="10">
        <f>'Sun Cake meristem'!B9</f>
        <v>44754</v>
      </c>
      <c r="P34" s="16" t="str">
        <f t="shared" ca="1" si="2"/>
        <v>Yes</v>
      </c>
    </row>
    <row r="35" spans="2:16" x14ac:dyDescent="0.3">
      <c r="B35" t="s">
        <v>19</v>
      </c>
      <c r="C35" s="17" t="str">
        <f>'WC meristem'!B1</f>
        <v>WC meristem</v>
      </c>
      <c r="D35" s="16">
        <f>'WC meristem'!B2</f>
        <v>0</v>
      </c>
      <c r="E35" s="16" t="str">
        <f>'WC meristem'!B5</f>
        <v>N/A</v>
      </c>
      <c r="F35" s="16">
        <f>'WC meristem'!B11</f>
        <v>10</v>
      </c>
      <c r="G35" s="16">
        <f>'WC meristem'!B8</f>
        <v>6</v>
      </c>
      <c r="H35" s="16">
        <f t="shared" ref="H35:H41" si="6">SUM(D35:G35)</f>
        <v>16</v>
      </c>
      <c r="I35" s="10" t="e">
        <f>'WC meristem'!B3</f>
        <v>#N/A</v>
      </c>
      <c r="J35" s="16" t="e">
        <f t="shared" ref="J35:J41" ca="1" si="7">IF(TODAY() - I35 &gt;= 21, "Yes", "No")</f>
        <v>#N/A</v>
      </c>
      <c r="K35" s="10" t="str">
        <f>'WC meristem'!B6</f>
        <v>N/A</v>
      </c>
      <c r="L35" s="16" t="e">
        <f ca="1">IF(TODAY() - K35 &gt;= 28, "Yes", "No")</f>
        <v>#VALUE!</v>
      </c>
      <c r="M35" s="10">
        <f>'WC meristem'!B12</f>
        <v>44754</v>
      </c>
      <c r="N35" s="16" t="str">
        <f t="shared" ca="1" si="5"/>
        <v>Yes</v>
      </c>
      <c r="O35" s="10">
        <f>'WC meristem'!B9</f>
        <v>44754</v>
      </c>
      <c r="P35" s="16" t="str">
        <f t="shared" ca="1" si="2"/>
        <v>Yes</v>
      </c>
    </row>
    <row r="36" spans="2:16" x14ac:dyDescent="0.3">
      <c r="B36" t="s">
        <v>19</v>
      </c>
      <c r="C36" s="17" t="str">
        <f>'MAC meristem'!B1</f>
        <v>MAC meristem</v>
      </c>
      <c r="D36" s="16">
        <f>'MAC meristem'!B2</f>
        <v>0</v>
      </c>
      <c r="E36" s="16"/>
      <c r="F36" s="16"/>
      <c r="G36" s="16">
        <f>'MAC meristem'!B5</f>
        <v>7</v>
      </c>
      <c r="H36" s="16">
        <f t="shared" si="6"/>
        <v>7</v>
      </c>
      <c r="I36" s="10" t="e">
        <f>'MAC meristem'!B3</f>
        <v>#N/A</v>
      </c>
      <c r="J36" s="16" t="e">
        <f t="shared" ca="1" si="7"/>
        <v>#N/A</v>
      </c>
      <c r="K36" s="16"/>
      <c r="L36" s="16"/>
      <c r="M36" s="16"/>
      <c r="N36" s="16"/>
      <c r="O36" s="10">
        <f>'MAC meristem'!B6</f>
        <v>44687</v>
      </c>
      <c r="P36" s="16" t="str">
        <f t="shared" ca="1" si="2"/>
        <v>Yes</v>
      </c>
    </row>
    <row r="37" spans="2:16" x14ac:dyDescent="0.3">
      <c r="C37" s="17" t="str">
        <f>'Silver Kush meristem'!B1</f>
        <v>Silver Kush meristem</v>
      </c>
      <c r="D37" s="16">
        <f>'Silver Kush meristem'!B2</f>
        <v>0</v>
      </c>
      <c r="E37">
        <f>'Silver Kush meristem'!B5</f>
        <v>0</v>
      </c>
      <c r="F37" s="16">
        <f>'Silver Kush meristem'!B11</f>
        <v>7</v>
      </c>
      <c r="G37" s="16">
        <f>'Silver Kush meristem'!B8</f>
        <v>73</v>
      </c>
      <c r="H37" s="16">
        <f t="shared" si="6"/>
        <v>80</v>
      </c>
      <c r="I37" s="10" t="e">
        <f>'Silver Kush meristem'!B3</f>
        <v>#N/A</v>
      </c>
      <c r="J37" s="16" t="e">
        <f t="shared" ca="1" si="7"/>
        <v>#N/A</v>
      </c>
      <c r="K37" s="10" t="e">
        <f>'Silver Kush meristem'!B6</f>
        <v>#N/A</v>
      </c>
      <c r="L37" s="16" t="e">
        <f ca="1">IF(TODAY() - K37 &gt;= 28, "Yes", "No")</f>
        <v>#N/A</v>
      </c>
      <c r="M37" s="10">
        <f>'Silver Kush meristem'!B12</f>
        <v>44678</v>
      </c>
      <c r="N37" s="16" t="str">
        <f ca="1">IF(TODAY() - M37 &gt;= 28, "Yes", "No")</f>
        <v>Yes</v>
      </c>
      <c r="O37" s="10">
        <f>'Silver Kush meristem'!B9</f>
        <v>44678</v>
      </c>
      <c r="P37" s="16" t="str">
        <f t="shared" ca="1" si="2"/>
        <v>Yes</v>
      </c>
    </row>
    <row r="38" spans="2:16" x14ac:dyDescent="0.3">
      <c r="C38" s="17" t="str">
        <f>'WG meristem'!B1</f>
        <v>WG meristem</v>
      </c>
      <c r="D38" s="16">
        <f>'WG meristem'!B2</f>
        <v>0</v>
      </c>
      <c r="E38" s="16"/>
      <c r="F38" s="16">
        <f>'WG meristem'!B8</f>
        <v>25</v>
      </c>
      <c r="G38" s="16">
        <f>'WG meristem'!B5</f>
        <v>81</v>
      </c>
      <c r="H38" s="16">
        <f t="shared" si="6"/>
        <v>106</v>
      </c>
      <c r="I38" s="10" t="e">
        <f>'WG meristem'!B3</f>
        <v>#N/A</v>
      </c>
      <c r="J38" s="16" t="e">
        <f t="shared" ca="1" si="7"/>
        <v>#N/A</v>
      </c>
      <c r="K38" s="16"/>
      <c r="L38" s="16"/>
      <c r="M38" s="10">
        <f>'WG meristem'!B9</f>
        <v>44764</v>
      </c>
      <c r="N38" s="16" t="str">
        <f ca="1">IF(TODAY() - M38 &gt;= 28, "Yes", "No")</f>
        <v>Yes</v>
      </c>
      <c r="O38" s="10">
        <f>'WG meristem'!B6</f>
        <v>44764</v>
      </c>
      <c r="P38" s="16" t="str">
        <f t="shared" ca="1" si="2"/>
        <v>Yes</v>
      </c>
    </row>
    <row r="39" spans="2:16" x14ac:dyDescent="0.3">
      <c r="C39" s="17" t="str">
        <f>'Meat Breath meristem'!B1</f>
        <v>Meat Breath meristem</v>
      </c>
      <c r="D39" s="16">
        <f>'Meat Breath meristem'!B2</f>
        <v>0</v>
      </c>
      <c r="E39" s="16"/>
      <c r="F39" s="16">
        <f>'Meat Breath meristem'!B8</f>
        <v>3</v>
      </c>
      <c r="G39" s="16">
        <f>'Meat Breath meristem'!B5</f>
        <v>10</v>
      </c>
      <c r="H39" s="16">
        <f t="shared" si="6"/>
        <v>13</v>
      </c>
      <c r="I39" s="10" t="e">
        <f>'Meat Breath meristem'!B3</f>
        <v>#N/A</v>
      </c>
      <c r="J39" s="16" t="e">
        <f t="shared" ca="1" si="7"/>
        <v>#N/A</v>
      </c>
      <c r="K39" s="16"/>
      <c r="L39" s="16"/>
      <c r="M39" s="10">
        <f>'Meat Breath meristem'!B9</f>
        <v>44663</v>
      </c>
      <c r="N39" s="16" t="str">
        <f ca="1">IF(TODAY() - M39 &gt;= 28, "Yes", "No")</f>
        <v>Yes</v>
      </c>
      <c r="O39" s="10">
        <f>'Meat Breath meristem'!B6</f>
        <v>44663</v>
      </c>
      <c r="P39" s="16" t="str">
        <f t="shared" ca="1" si="2"/>
        <v>Yes</v>
      </c>
    </row>
    <row r="40" spans="2:16" x14ac:dyDescent="0.3">
      <c r="C40" s="17" t="str">
        <f>'CL4 meristem'!B1</f>
        <v>CL4 meristem</v>
      </c>
      <c r="D40" s="16">
        <f>'CL4 meristem'!B2</f>
        <v>0</v>
      </c>
      <c r="E40" s="16" t="str">
        <f>'CL4 meristem'!B5</f>
        <v>N/A</v>
      </c>
      <c r="F40" s="16">
        <f>'CL4 meristem'!B11</f>
        <v>3</v>
      </c>
      <c r="G40" s="16">
        <f>'CL4 meristem'!B8</f>
        <v>10</v>
      </c>
      <c r="H40" s="16">
        <f t="shared" si="6"/>
        <v>13</v>
      </c>
      <c r="I40" s="10" t="e">
        <f>'CL4 meristem'!B3</f>
        <v>#N/A</v>
      </c>
      <c r="J40" s="16" t="e">
        <f t="shared" ca="1" si="7"/>
        <v>#N/A</v>
      </c>
      <c r="K40" s="10" t="str">
        <f>'CL4 meristem'!B6</f>
        <v>N/A</v>
      </c>
      <c r="L40" s="16" t="e">
        <f ca="1">IF(TODAY() - K40 &gt;= 28, "Yes", "No")</f>
        <v>#VALUE!</v>
      </c>
      <c r="M40" s="10">
        <f>'CL4 meristem'!B12</f>
        <v>44761</v>
      </c>
      <c r="N40" s="16" t="str">
        <f ca="1">IF(TODAY() - M40 &gt;= 28, "Yes", "No")</f>
        <v>Yes</v>
      </c>
      <c r="O40" s="10">
        <f>'CL4 meristem'!B9</f>
        <v>44761</v>
      </c>
      <c r="P40" s="16" t="str">
        <f t="shared" ca="1" si="2"/>
        <v>Yes</v>
      </c>
    </row>
    <row r="41" spans="2:16" x14ac:dyDescent="0.3">
      <c r="C41" s="17" t="str">
        <f>'PBxZ meristem'!B1</f>
        <v>PBxZ meristem</v>
      </c>
      <c r="D41" s="16">
        <f>'PBxZ meristem'!B2</f>
        <v>0</v>
      </c>
      <c r="E41" s="16">
        <f>'PBxZ meristem'!B5</f>
        <v>0</v>
      </c>
      <c r="F41" s="16">
        <f>'PBxZ meristem'!B11</f>
        <v>2</v>
      </c>
      <c r="G41" s="16">
        <f>'PBxZ meristem'!B8</f>
        <v>88</v>
      </c>
      <c r="H41" s="16">
        <f t="shared" si="6"/>
        <v>90</v>
      </c>
      <c r="I41" s="10" t="e">
        <f>'PBxZ meristem'!B3</f>
        <v>#N/A</v>
      </c>
      <c r="J41" s="16" t="e">
        <f t="shared" ca="1" si="7"/>
        <v>#N/A</v>
      </c>
      <c r="K41" s="10" t="e">
        <f>'PBxZ meristem'!B6</f>
        <v>#N/A</v>
      </c>
      <c r="L41" s="16" t="e">
        <f ca="1">IF(TODAY() - K41 &gt;= 28, "Yes", "No")</f>
        <v>#N/A</v>
      </c>
      <c r="M41" s="10">
        <f>'PBxZ meristem'!B12</f>
        <v>44768</v>
      </c>
      <c r="N41" s="16" t="str">
        <f ca="1">IF(TODAY() - M41 &gt;= 28, "Yes", "No")</f>
        <v>Yes</v>
      </c>
      <c r="O41" s="10">
        <f>'PBxZ meristem'!B9</f>
        <v>44768</v>
      </c>
      <c r="P41" s="16" t="str">
        <f t="shared" ca="1" si="2"/>
        <v>Yes</v>
      </c>
    </row>
    <row r="42" spans="2:16" x14ac:dyDescent="0.3">
      <c r="C42" s="16"/>
      <c r="D42" s="16"/>
      <c r="E42" s="16"/>
      <c r="F42" s="16"/>
      <c r="G42" s="16"/>
      <c r="H42" s="16">
        <f t="shared" ref="H42:H49" si="8">SUM(D42,F42,G42)</f>
        <v>0</v>
      </c>
      <c r="I42" s="10"/>
      <c r="J42" s="16"/>
      <c r="K42" s="16"/>
      <c r="L42" s="16"/>
      <c r="M42" s="16"/>
      <c r="N42" s="16"/>
      <c r="O42" s="16"/>
      <c r="P42" s="16"/>
    </row>
    <row r="43" spans="2:16" x14ac:dyDescent="0.3">
      <c r="B43" t="s">
        <v>19</v>
      </c>
      <c r="C43" s="16"/>
      <c r="D43" s="16"/>
      <c r="E43" s="16"/>
      <c r="F43" s="16"/>
      <c r="G43" s="16"/>
      <c r="H43" s="16">
        <f t="shared" si="8"/>
        <v>0</v>
      </c>
      <c r="I43" s="10"/>
      <c r="J43" s="16"/>
      <c r="K43" s="16"/>
      <c r="L43" s="16"/>
      <c r="M43" s="16"/>
      <c r="N43" s="16"/>
      <c r="O43" s="16"/>
      <c r="P43" s="16"/>
    </row>
    <row r="44" spans="2:16" x14ac:dyDescent="0.3">
      <c r="C44" s="16"/>
      <c r="D44" s="16"/>
      <c r="E44" s="16"/>
      <c r="F44" s="16"/>
      <c r="G44" s="16"/>
      <c r="H44" s="16">
        <f t="shared" si="8"/>
        <v>0</v>
      </c>
      <c r="I44" s="10"/>
      <c r="J44" s="16"/>
      <c r="K44" s="16"/>
      <c r="L44" s="16"/>
      <c r="M44" s="16"/>
      <c r="N44" s="16"/>
      <c r="O44" s="16"/>
      <c r="P44" s="16"/>
    </row>
    <row r="45" spans="2:16" x14ac:dyDescent="0.3">
      <c r="C45" s="16"/>
      <c r="D45" s="16"/>
      <c r="E45" s="16"/>
      <c r="F45" s="16"/>
      <c r="G45" s="16"/>
      <c r="H45" s="16">
        <f t="shared" si="8"/>
        <v>0</v>
      </c>
      <c r="I45" s="10"/>
      <c r="J45" s="16"/>
      <c r="K45" s="16"/>
      <c r="L45" s="16"/>
      <c r="M45" s="16"/>
      <c r="N45" s="16"/>
      <c r="O45" s="16"/>
      <c r="P45" s="16"/>
    </row>
    <row r="46" spans="2:16" x14ac:dyDescent="0.3">
      <c r="C46" s="16"/>
      <c r="D46" s="16"/>
      <c r="E46" s="16"/>
      <c r="F46" s="16"/>
      <c r="G46" s="16"/>
      <c r="H46" s="16">
        <f t="shared" si="8"/>
        <v>0</v>
      </c>
      <c r="I46" s="10"/>
      <c r="J46" s="16"/>
      <c r="K46" s="16"/>
      <c r="L46" s="16"/>
      <c r="M46" s="16"/>
      <c r="N46" s="16"/>
      <c r="O46" s="16"/>
      <c r="P46" s="16"/>
    </row>
    <row r="47" spans="2:16" x14ac:dyDescent="0.3">
      <c r="C47" s="16"/>
      <c r="D47" s="16"/>
      <c r="E47" s="16"/>
      <c r="F47" s="16"/>
      <c r="G47" s="16"/>
      <c r="H47" s="16">
        <f t="shared" si="8"/>
        <v>0</v>
      </c>
      <c r="I47" s="10"/>
      <c r="J47" s="16"/>
      <c r="K47" s="16"/>
      <c r="L47" s="16"/>
      <c r="M47" s="16"/>
      <c r="N47" s="16"/>
      <c r="O47" s="16"/>
      <c r="P47" s="16"/>
    </row>
    <row r="48" spans="2:16" x14ac:dyDescent="0.3">
      <c r="C48" s="16"/>
      <c r="D48" s="16"/>
      <c r="E48" s="16"/>
      <c r="F48" s="16"/>
      <c r="G48" s="16"/>
      <c r="H48" s="16">
        <f t="shared" si="8"/>
        <v>0</v>
      </c>
      <c r="I48" s="10"/>
      <c r="J48" s="16"/>
      <c r="K48" s="16"/>
      <c r="L48" s="16"/>
      <c r="M48" s="16"/>
      <c r="N48" s="16"/>
      <c r="O48" s="16"/>
      <c r="P48" s="16"/>
    </row>
    <row r="49" spans="3:16" x14ac:dyDescent="0.3">
      <c r="C49" s="16"/>
      <c r="D49" s="16"/>
      <c r="E49" s="16"/>
      <c r="F49" s="16"/>
      <c r="G49" s="16"/>
      <c r="H49" s="16">
        <f t="shared" si="8"/>
        <v>0</v>
      </c>
      <c r="I49" s="10"/>
      <c r="J49" s="16"/>
      <c r="K49" s="16"/>
      <c r="L49" s="16"/>
      <c r="M49" s="16"/>
      <c r="N49" s="16"/>
      <c r="O49" s="16"/>
      <c r="P49" s="16"/>
    </row>
  </sheetData>
  <conditionalFormatting sqref="J2:J33 J35:J49 P2:P41">
    <cfRule type="containsText" dxfId="81" priority="182" operator="containsText" text="Yes">
      <formula>NOT(ISERROR(SEARCH("Yes",J2)))</formula>
    </cfRule>
    <cfRule type="containsText" dxfId="80" priority="183" operator="containsText" text="No">
      <formula>NOT(ISERROR(SEARCH("No",J2)))</formula>
    </cfRule>
  </conditionalFormatting>
  <conditionalFormatting sqref="N12:N13">
    <cfRule type="containsText" dxfId="79" priority="83" operator="containsText" text="Yes">
      <formula>NOT(ISERROR(SEARCH("Yes",N12)))</formula>
    </cfRule>
    <cfRule type="containsText" dxfId="78" priority="84" operator="containsText" text="No">
      <formula>NOT(ISERROR(SEARCH("No",N12)))</formula>
    </cfRule>
  </conditionalFormatting>
  <conditionalFormatting sqref="N25:N27">
    <cfRule type="containsText" dxfId="77" priority="81" operator="containsText" text="Yes">
      <formula>NOT(ISERROR(SEARCH("Yes",N25)))</formula>
    </cfRule>
    <cfRule type="containsText" dxfId="76" priority="82" operator="containsText" text="No">
      <formula>NOT(ISERROR(SEARCH("No",N25)))</formula>
    </cfRule>
  </conditionalFormatting>
  <conditionalFormatting sqref="L25:L26">
    <cfRule type="containsText" dxfId="75" priority="79" operator="containsText" text="Yes">
      <formula>NOT(ISERROR(SEARCH("Yes",L25)))</formula>
    </cfRule>
    <cfRule type="containsText" dxfId="74" priority="80" operator="containsText" text="No">
      <formula>NOT(ISERROR(SEARCH("No",L25)))</formula>
    </cfRule>
  </conditionalFormatting>
  <conditionalFormatting sqref="L33">
    <cfRule type="containsText" dxfId="73" priority="77" operator="containsText" text="Yes">
      <formula>NOT(ISERROR(SEARCH("Yes",L33)))</formula>
    </cfRule>
    <cfRule type="containsText" dxfId="72" priority="78" operator="containsText" text="No">
      <formula>NOT(ISERROR(SEARCH("No",L33)))</formula>
    </cfRule>
  </conditionalFormatting>
  <conditionalFormatting sqref="N33:N34">
    <cfRule type="containsText" dxfId="71" priority="75" operator="containsText" text="Yes">
      <formula>NOT(ISERROR(SEARCH("Yes",N33)))</formula>
    </cfRule>
    <cfRule type="containsText" dxfId="70" priority="76" operator="containsText" text="No">
      <formula>NOT(ISERROR(SEARCH("No",N33)))</formula>
    </cfRule>
  </conditionalFormatting>
  <conditionalFormatting sqref="L30:L32">
    <cfRule type="containsText" dxfId="69" priority="73" operator="containsText" text="Yes">
      <formula>NOT(ISERROR(SEARCH("Yes",L30)))</formula>
    </cfRule>
    <cfRule type="containsText" dxfId="68" priority="74" operator="containsText" text="No">
      <formula>NOT(ISERROR(SEARCH("No",L30)))</formula>
    </cfRule>
  </conditionalFormatting>
  <conditionalFormatting sqref="N30:N32">
    <cfRule type="containsText" dxfId="67" priority="71" operator="containsText" text="Yes">
      <formula>NOT(ISERROR(SEARCH("Yes",N30)))</formula>
    </cfRule>
    <cfRule type="containsText" dxfId="66" priority="72" operator="containsText" text="No">
      <formula>NOT(ISERROR(SEARCH("No",N30)))</formula>
    </cfRule>
  </conditionalFormatting>
  <conditionalFormatting sqref="L28">
    <cfRule type="containsText" dxfId="65" priority="69" operator="containsText" text="Yes">
      <formula>NOT(ISERROR(SEARCH("Yes",L28)))</formula>
    </cfRule>
    <cfRule type="containsText" dxfId="64" priority="70" operator="containsText" text="No">
      <formula>NOT(ISERROR(SEARCH("No",L28)))</formula>
    </cfRule>
  </conditionalFormatting>
  <conditionalFormatting sqref="N28">
    <cfRule type="containsText" dxfId="63" priority="67" operator="containsText" text="Yes">
      <formula>NOT(ISERROR(SEARCH("Yes",N28)))</formula>
    </cfRule>
    <cfRule type="containsText" dxfId="62" priority="68" operator="containsText" text="No">
      <formula>NOT(ISERROR(SEARCH("No",N28)))</formula>
    </cfRule>
  </conditionalFormatting>
  <conditionalFormatting sqref="L24">
    <cfRule type="containsText" dxfId="61" priority="65" operator="containsText" text="Yes">
      <formula>NOT(ISERROR(SEARCH("Yes",L24)))</formula>
    </cfRule>
    <cfRule type="containsText" dxfId="60" priority="66" operator="containsText" text="No">
      <formula>NOT(ISERROR(SEARCH("No",L24)))</formula>
    </cfRule>
  </conditionalFormatting>
  <conditionalFormatting sqref="N24">
    <cfRule type="containsText" dxfId="59" priority="63" operator="containsText" text="Yes">
      <formula>NOT(ISERROR(SEARCH("Yes",N24)))</formula>
    </cfRule>
    <cfRule type="containsText" dxfId="58" priority="64" operator="containsText" text="No">
      <formula>NOT(ISERROR(SEARCH("No",N24)))</formula>
    </cfRule>
  </conditionalFormatting>
  <conditionalFormatting sqref="N37:N39">
    <cfRule type="containsText" dxfId="57" priority="61" operator="containsText" text="Yes">
      <formula>NOT(ISERROR(SEARCH("Yes",N37)))</formula>
    </cfRule>
    <cfRule type="containsText" dxfId="56" priority="62" operator="containsText" text="No">
      <formula>NOT(ISERROR(SEARCH("No",N37)))</formula>
    </cfRule>
  </conditionalFormatting>
  <conditionalFormatting sqref="N5">
    <cfRule type="containsText" dxfId="55" priority="59" operator="containsText" text="Yes">
      <formula>NOT(ISERROR(SEARCH("Yes",N5)))</formula>
    </cfRule>
    <cfRule type="containsText" dxfId="54" priority="60" operator="containsText" text="No">
      <formula>NOT(ISERROR(SEARCH("No",N5)))</formula>
    </cfRule>
  </conditionalFormatting>
  <conditionalFormatting sqref="L18">
    <cfRule type="containsText" dxfId="53" priority="57" operator="containsText" text="Yes">
      <formula>NOT(ISERROR(SEARCH("Yes",L18)))</formula>
    </cfRule>
    <cfRule type="containsText" dxfId="52" priority="58" operator="containsText" text="No">
      <formula>NOT(ISERROR(SEARCH("No",L18)))</formula>
    </cfRule>
  </conditionalFormatting>
  <conditionalFormatting sqref="N18">
    <cfRule type="containsText" dxfId="51" priority="55" operator="containsText" text="Yes">
      <formula>NOT(ISERROR(SEARCH("Yes",N18)))</formula>
    </cfRule>
    <cfRule type="containsText" dxfId="50" priority="56" operator="containsText" text="No">
      <formula>NOT(ISERROR(SEARCH("No",N18)))</formula>
    </cfRule>
  </conditionalFormatting>
  <conditionalFormatting sqref="L35">
    <cfRule type="containsText" dxfId="49" priority="53" operator="containsText" text="Yes">
      <formula>NOT(ISERROR(SEARCH("Yes",L35)))</formula>
    </cfRule>
    <cfRule type="containsText" dxfId="48" priority="54" operator="containsText" text="No">
      <formula>NOT(ISERROR(SEARCH("No",L35)))</formula>
    </cfRule>
  </conditionalFormatting>
  <conditionalFormatting sqref="N35">
    <cfRule type="containsText" dxfId="47" priority="51" operator="containsText" text="Yes">
      <formula>NOT(ISERROR(SEARCH("Yes",N35)))</formula>
    </cfRule>
    <cfRule type="containsText" dxfId="46" priority="52" operator="containsText" text="No">
      <formula>NOT(ISERROR(SEARCH("No",N35)))</formula>
    </cfRule>
  </conditionalFormatting>
  <conditionalFormatting sqref="L40">
    <cfRule type="containsText" dxfId="45" priority="49" operator="containsText" text="Yes">
      <formula>NOT(ISERROR(SEARCH("Yes",L40)))</formula>
    </cfRule>
    <cfRule type="containsText" dxfId="44" priority="50" operator="containsText" text="No">
      <formula>NOT(ISERROR(SEARCH("No",L40)))</formula>
    </cfRule>
  </conditionalFormatting>
  <conditionalFormatting sqref="N40">
    <cfRule type="containsText" dxfId="43" priority="47" operator="containsText" text="Yes">
      <formula>NOT(ISERROR(SEARCH("Yes",N40)))</formula>
    </cfRule>
    <cfRule type="containsText" dxfId="42" priority="48" operator="containsText" text="No">
      <formula>NOT(ISERROR(SEARCH("No",N40)))</formula>
    </cfRule>
  </conditionalFormatting>
  <conditionalFormatting sqref="L15">
    <cfRule type="containsText" dxfId="41" priority="45" operator="containsText" text="Yes">
      <formula>NOT(ISERROR(SEARCH("Yes",L15)))</formula>
    </cfRule>
    <cfRule type="containsText" dxfId="40" priority="46" operator="containsText" text="No">
      <formula>NOT(ISERROR(SEARCH("No",L15)))</formula>
    </cfRule>
  </conditionalFormatting>
  <conditionalFormatting sqref="N15">
    <cfRule type="containsText" dxfId="39" priority="43" operator="containsText" text="Yes">
      <formula>NOT(ISERROR(SEARCH("Yes",N15)))</formula>
    </cfRule>
    <cfRule type="containsText" dxfId="38" priority="44" operator="containsText" text="No">
      <formula>NOT(ISERROR(SEARCH("No",N15)))</formula>
    </cfRule>
  </conditionalFormatting>
  <conditionalFormatting sqref="L16">
    <cfRule type="containsText" dxfId="37" priority="41" operator="containsText" text="Yes">
      <formula>NOT(ISERROR(SEARCH("Yes",L16)))</formula>
    </cfRule>
    <cfRule type="containsText" dxfId="36" priority="42" operator="containsText" text="No">
      <formula>NOT(ISERROR(SEARCH("No",L16)))</formula>
    </cfRule>
  </conditionalFormatting>
  <conditionalFormatting sqref="N16">
    <cfRule type="containsText" dxfId="35" priority="39" operator="containsText" text="Yes">
      <formula>NOT(ISERROR(SEARCH("Yes",N16)))</formula>
    </cfRule>
    <cfRule type="containsText" dxfId="34" priority="40" operator="containsText" text="No">
      <formula>NOT(ISERROR(SEARCH("No",N16)))</formula>
    </cfRule>
  </conditionalFormatting>
  <conditionalFormatting sqref="L17">
    <cfRule type="containsText" dxfId="33" priority="37" operator="containsText" text="Yes">
      <formula>NOT(ISERROR(SEARCH("Yes",L17)))</formula>
    </cfRule>
    <cfRule type="containsText" dxfId="32" priority="38" operator="containsText" text="No">
      <formula>NOT(ISERROR(SEARCH("No",L17)))</formula>
    </cfRule>
  </conditionalFormatting>
  <conditionalFormatting sqref="N17">
    <cfRule type="containsText" dxfId="31" priority="35" operator="containsText" text="Yes">
      <formula>NOT(ISERROR(SEARCH("Yes",N17)))</formula>
    </cfRule>
    <cfRule type="containsText" dxfId="30" priority="36" operator="containsText" text="No">
      <formula>NOT(ISERROR(SEARCH("No",N17)))</formula>
    </cfRule>
  </conditionalFormatting>
  <conditionalFormatting sqref="N14">
    <cfRule type="containsText" dxfId="29" priority="33" operator="containsText" text="Yes">
      <formula>NOT(ISERROR(SEARCH("Yes",N14)))</formula>
    </cfRule>
    <cfRule type="containsText" dxfId="28" priority="34" operator="containsText" text="No">
      <formula>NOT(ISERROR(SEARCH("No",N14)))</formula>
    </cfRule>
  </conditionalFormatting>
  <conditionalFormatting sqref="N23">
    <cfRule type="containsText" dxfId="27" priority="31" operator="containsText" text="Yes">
      <formula>NOT(ISERROR(SEARCH("Yes",N23)))</formula>
    </cfRule>
    <cfRule type="containsText" dxfId="26" priority="32" operator="containsText" text="No">
      <formula>NOT(ISERROR(SEARCH("No",N23)))</formula>
    </cfRule>
  </conditionalFormatting>
  <conditionalFormatting sqref="L12">
    <cfRule type="containsText" dxfId="25" priority="29" operator="containsText" text="Yes">
      <formula>NOT(ISERROR(SEARCH("Yes",L12)))</formula>
    </cfRule>
    <cfRule type="containsText" dxfId="24" priority="30" operator="containsText" text="No">
      <formula>NOT(ISERROR(SEARCH("No",L12)))</formula>
    </cfRule>
  </conditionalFormatting>
  <conditionalFormatting sqref="L37">
    <cfRule type="containsText" dxfId="23" priority="27" operator="containsText" text="Yes">
      <formula>NOT(ISERROR(SEARCH("Yes",L37)))</formula>
    </cfRule>
    <cfRule type="containsText" dxfId="22" priority="28" operator="containsText" text="No">
      <formula>NOT(ISERROR(SEARCH("No",L37)))</formula>
    </cfRule>
  </conditionalFormatting>
  <conditionalFormatting sqref="L41">
    <cfRule type="containsText" dxfId="21" priority="25" operator="containsText" text="Yes">
      <formula>NOT(ISERROR(SEARCH("Yes",L41)))</formula>
    </cfRule>
    <cfRule type="containsText" dxfId="20" priority="26" operator="containsText" text="No">
      <formula>NOT(ISERROR(SEARCH("No",L41)))</formula>
    </cfRule>
  </conditionalFormatting>
  <conditionalFormatting sqref="N41">
    <cfRule type="containsText" dxfId="19" priority="23" operator="containsText" text="Yes">
      <formula>NOT(ISERROR(SEARCH("Yes",N41)))</formula>
    </cfRule>
    <cfRule type="containsText" dxfId="18" priority="24" operator="containsText" text="No">
      <formula>NOT(ISERROR(SEARCH("No",N41)))</formula>
    </cfRule>
  </conditionalFormatting>
  <conditionalFormatting sqref="L2 N2">
    <cfRule type="containsText" dxfId="17" priority="19" operator="containsText" text="Yes">
      <formula>NOT(ISERROR(SEARCH("Yes",L2)))</formula>
    </cfRule>
    <cfRule type="containsText" dxfId="16" priority="20" operator="containsText" text="No">
      <formula>NOT(ISERROR(SEARCH("No",L2)))</formula>
    </cfRule>
  </conditionalFormatting>
  <conditionalFormatting sqref="N9">
    <cfRule type="containsText" dxfId="15" priority="17" operator="containsText" text="Yes">
      <formula>NOT(ISERROR(SEARCH("Yes",N9)))</formula>
    </cfRule>
    <cfRule type="containsText" dxfId="14" priority="18" operator="containsText" text="No">
      <formula>NOT(ISERROR(SEARCH("No",N9)))</formula>
    </cfRule>
  </conditionalFormatting>
  <conditionalFormatting sqref="L9">
    <cfRule type="containsText" dxfId="13" priority="15" operator="containsText" text="Yes">
      <formula>NOT(ISERROR(SEARCH("Yes",L9)))</formula>
    </cfRule>
    <cfRule type="containsText" dxfId="12" priority="16" operator="containsText" text="No">
      <formula>NOT(ISERROR(SEARCH("No",L9)))</formula>
    </cfRule>
  </conditionalFormatting>
  <conditionalFormatting sqref="L19">
    <cfRule type="containsText" dxfId="11" priority="13" operator="containsText" text="Yes">
      <formula>NOT(ISERROR(SEARCH("Yes",L19)))</formula>
    </cfRule>
    <cfRule type="containsText" dxfId="10" priority="14" operator="containsText" text="No">
      <formula>NOT(ISERROR(SEARCH("No",L19)))</formula>
    </cfRule>
  </conditionalFormatting>
  <conditionalFormatting sqref="N19">
    <cfRule type="containsText" dxfId="9" priority="11" operator="containsText" text="Yes">
      <formula>NOT(ISERROR(SEARCH("Yes",N19)))</formula>
    </cfRule>
    <cfRule type="containsText" dxfId="8" priority="12" operator="containsText" text="No">
      <formula>NOT(ISERROR(SEARCH("No",N19)))</formula>
    </cfRule>
  </conditionalFormatting>
  <conditionalFormatting sqref="L20">
    <cfRule type="containsText" dxfId="7" priority="9" operator="containsText" text="Yes">
      <formula>NOT(ISERROR(SEARCH("Yes",L20)))</formula>
    </cfRule>
    <cfRule type="containsText" dxfId="6" priority="10" operator="containsText" text="No">
      <formula>NOT(ISERROR(SEARCH("No",L20)))</formula>
    </cfRule>
  </conditionalFormatting>
  <conditionalFormatting sqref="N20">
    <cfRule type="containsText" dxfId="5" priority="7" operator="containsText" text="Yes">
      <formula>NOT(ISERROR(SEARCH("Yes",N20)))</formula>
    </cfRule>
    <cfRule type="containsText" dxfId="4" priority="8" operator="containsText" text="No">
      <formula>NOT(ISERROR(SEARCH("No",N20)))</formula>
    </cfRule>
  </conditionalFormatting>
  <conditionalFormatting sqref="L21:L22 N21:N22">
    <cfRule type="containsText" dxfId="3" priority="3" operator="containsText" text="Yes">
      <formula>NOT(ISERROR(SEARCH("Yes",L21)))</formula>
    </cfRule>
    <cfRule type="containsText" dxfId="2" priority="4" operator="containsText" text="No">
      <formula>NOT(ISERROR(SEARCH("No",L21)))</formula>
    </cfRule>
  </conditionalFormatting>
  <conditionalFormatting sqref="N7">
    <cfRule type="containsText" dxfId="1" priority="1" operator="containsText" text="Yes">
      <formula>NOT(ISERROR(SEARCH("Yes",N7)))</formula>
    </cfRule>
    <cfRule type="containsText" dxfId="0" priority="2" operator="containsText" text="No">
      <formula>NOT(ISERROR(SEARCH("No",N7)))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8"/>
  <sheetViews>
    <sheetView zoomScale="104" zoomScaleNormal="110" workbookViewId="0">
      <selection activeCell="E15" sqref="E15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10" max="10" width="9" style="33" bestFit="1" customWidth="1"/>
    <col min="12" max="12" width="14.6640625" style="33" bestFit="1" customWidth="1"/>
    <col min="13" max="13" width="9.5546875" style="33" bestFit="1" customWidth="1"/>
    <col min="14" max="14" width="15.44140625" style="33" bestFit="1" customWidth="1"/>
    <col min="15" max="15" width="8.5546875" style="33" bestFit="1" customWidth="1"/>
    <col min="16" max="16" width="14.77734375" style="33" bestFit="1" customWidth="1"/>
    <col min="17" max="17" width="9.6640625" style="33" bestFit="1" customWidth="1"/>
    <col min="18" max="18" width="15.5546875" style="33" bestFit="1" customWidth="1"/>
    <col min="19" max="19" width="6.33203125" style="33" bestFit="1" customWidth="1"/>
    <col min="20" max="20" width="14.77734375" style="33" bestFit="1" customWidth="1"/>
    <col min="21" max="22" width="10.6640625" style="33" bestFit="1" customWidth="1"/>
    <col min="26" max="26" width="11" style="33" bestFit="1" customWidth="1"/>
    <col min="30" max="30" width="11" style="33" bestFit="1" customWidth="1"/>
  </cols>
  <sheetData>
    <row r="1" spans="1:34" ht="18" customHeight="1" x14ac:dyDescent="0.35">
      <c r="A1" s="2" t="s">
        <v>21</v>
      </c>
      <c r="B1" s="28" t="s">
        <v>22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16"/>
      <c r="Y1" s="5" t="s">
        <v>24</v>
      </c>
      <c r="Z1" s="16"/>
      <c r="AA1" s="16"/>
      <c r="AB1" s="16"/>
      <c r="AE1" s="5" t="s">
        <v>25</v>
      </c>
      <c r="AF1" s="16"/>
      <c r="AG1" s="16"/>
      <c r="AH1" s="16"/>
    </row>
    <row r="2" spans="1:34" ht="18" customHeight="1" x14ac:dyDescent="0.35">
      <c r="A2" s="6" t="s">
        <v>26</v>
      </c>
      <c r="B2" s="28">
        <f>(IFERROR((LOOKUP(2,1/(E$3:E$100&lt;&gt;""),E$3:E$100)),0))</f>
        <v>80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32</v>
      </c>
      <c r="W2" s="19" t="s">
        <v>29</v>
      </c>
      <c r="X2" s="19" t="s">
        <v>30</v>
      </c>
      <c r="Y2" s="5" t="s">
        <v>27</v>
      </c>
      <c r="Z2" s="5" t="s">
        <v>28</v>
      </c>
      <c r="AA2" s="5" t="s">
        <v>29</v>
      </c>
      <c r="AB2" s="5" t="s">
        <v>30</v>
      </c>
      <c r="AD2" s="9" t="s">
        <v>33</v>
      </c>
      <c r="AE2" s="5" t="s">
        <v>15</v>
      </c>
      <c r="AF2" s="5" t="s">
        <v>16</v>
      </c>
      <c r="AG2" s="5" t="s">
        <v>17</v>
      </c>
      <c r="AH2" s="5" t="s">
        <v>24</v>
      </c>
    </row>
    <row r="3" spans="1:34" ht="18" customHeight="1" x14ac:dyDescent="0.35">
      <c r="A3" s="6" t="s">
        <v>34</v>
      </c>
      <c r="B3" s="8">
        <f>LOOKUP(2,1 / (D$3:D$100 &lt;&gt;""), D$3:D$100)</f>
        <v>44727</v>
      </c>
      <c r="D3" s="10">
        <v>44727</v>
      </c>
      <c r="E3" s="16">
        <v>80</v>
      </c>
      <c r="F3" s="16"/>
      <c r="G3" s="16"/>
      <c r="H3" s="10">
        <v>44614</v>
      </c>
      <c r="I3" s="16">
        <v>5</v>
      </c>
      <c r="J3" s="16">
        <f ca="1">TODAY()-H3</f>
        <v>233</v>
      </c>
      <c r="K3" s="16" t="str">
        <f ca="1">IF(J3&gt;21, "Yes", "No")</f>
        <v>Yes</v>
      </c>
      <c r="L3" s="10">
        <v>44349</v>
      </c>
      <c r="M3" s="16">
        <v>32</v>
      </c>
      <c r="N3" s="16">
        <f ca="1">TODAY()-L3</f>
        <v>498</v>
      </c>
      <c r="O3" s="16" t="str">
        <f ca="1">IF(N3&gt;21, "Yes", "No")</f>
        <v>Yes</v>
      </c>
      <c r="P3" s="10">
        <v>44614</v>
      </c>
      <c r="Q3" s="16">
        <f>34+7+3+3+3+5+5+2+2+2+2+3</f>
        <v>71</v>
      </c>
      <c r="R3" s="16">
        <f ca="1">TODAY()-P3</f>
        <v>233</v>
      </c>
      <c r="S3" s="16" t="str">
        <f ca="1">IF(R3&gt;21, "Yes", "No")</f>
        <v>Yes</v>
      </c>
      <c r="T3" s="10">
        <v>44496</v>
      </c>
      <c r="U3" s="16">
        <v>3</v>
      </c>
      <c r="V3" s="16">
        <v>7</v>
      </c>
      <c r="W3" s="16">
        <f ca="1">TODAY()-T3</f>
        <v>351</v>
      </c>
      <c r="X3" s="16" t="str">
        <f ca="1">IF(W3&gt;21, "Yes", "No")</f>
        <v>Yes</v>
      </c>
      <c r="Y3" s="16"/>
      <c r="Z3" s="16"/>
      <c r="AA3" s="16"/>
      <c r="AB3" s="16"/>
      <c r="AD3" s="11">
        <v>44487</v>
      </c>
      <c r="AE3" s="16"/>
      <c r="AF3" s="16"/>
      <c r="AG3" s="16">
        <v>2</v>
      </c>
      <c r="AH3" s="16"/>
    </row>
    <row r="4" spans="1:34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/>
      <c r="I4" s="13"/>
      <c r="J4" s="13"/>
      <c r="K4" s="13"/>
      <c r="L4" s="10">
        <v>44467</v>
      </c>
      <c r="M4" s="16">
        <v>86</v>
      </c>
      <c r="N4" s="16">
        <f ca="1">TODAY()-L4</f>
        <v>380</v>
      </c>
      <c r="O4" s="16" t="str">
        <f ca="1">IF(N4&gt;21, "Yes", "No")</f>
        <v>Yes</v>
      </c>
      <c r="P4" s="10">
        <v>44650</v>
      </c>
      <c r="Q4" s="16">
        <f>37+3+3+3+3+3+3+3+3+3+1</f>
        <v>65</v>
      </c>
      <c r="R4" s="16">
        <f ca="1">TODAY()-P4</f>
        <v>197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B4" s="16"/>
      <c r="AD4" s="11">
        <v>44558</v>
      </c>
      <c r="AE4" s="16"/>
      <c r="AF4" s="16"/>
      <c r="AG4" s="16">
        <v>12</v>
      </c>
      <c r="AH4" s="16"/>
    </row>
    <row r="5" spans="1:34" ht="18" customHeight="1" x14ac:dyDescent="0.35">
      <c r="A5" s="18" t="s">
        <v>36</v>
      </c>
      <c r="B5" s="28">
        <f t="array" ref="B5">(IFERROR((LOOKUP(2,1/(I$3:I$93&lt;&gt;""),I$3:I$93)),0))</f>
        <v>5</v>
      </c>
      <c r="D5" s="10"/>
      <c r="E5" s="16"/>
      <c r="F5" s="16"/>
      <c r="G5" s="16"/>
      <c r="H5" s="16"/>
      <c r="I5" s="16"/>
      <c r="J5" s="16"/>
      <c r="K5" s="16"/>
      <c r="L5" s="10"/>
      <c r="M5" s="16">
        <v>84</v>
      </c>
      <c r="N5" s="16"/>
      <c r="O5" s="16"/>
      <c r="P5" s="10">
        <v>44677</v>
      </c>
      <c r="Q5" s="16">
        <f>3+3+5+3+2+3+9</f>
        <v>28</v>
      </c>
      <c r="R5" s="16">
        <f ca="1">TODAY()-P5</f>
        <v>170</v>
      </c>
      <c r="S5" s="16" t="str">
        <f ca="1">IF(R5&gt;21, "Yes", "No")</f>
        <v>Yes</v>
      </c>
      <c r="T5" s="10"/>
      <c r="U5" s="16"/>
      <c r="V5" s="16"/>
      <c r="W5" s="16"/>
      <c r="X5" s="16"/>
      <c r="Y5" s="16"/>
      <c r="Z5" s="16"/>
      <c r="AA5" s="16"/>
      <c r="AB5" s="16"/>
      <c r="AD5" s="11">
        <v>44574</v>
      </c>
      <c r="AE5" s="16"/>
      <c r="AF5" s="16"/>
      <c r="AG5" s="16">
        <v>12</v>
      </c>
      <c r="AH5" s="16"/>
    </row>
    <row r="6" spans="1:34" ht="18" customHeight="1" x14ac:dyDescent="0.35">
      <c r="A6" s="18" t="s">
        <v>37</v>
      </c>
      <c r="B6" s="8">
        <f t="array" ref="B6">LOOKUP(2,1 / (H$3:H$93 &lt;&gt;""), H$3:H$93)</f>
        <v>44614</v>
      </c>
      <c r="D6" s="16"/>
      <c r="E6" s="16"/>
      <c r="F6" s="16"/>
      <c r="G6" s="16"/>
      <c r="H6" s="16"/>
      <c r="I6" s="16"/>
      <c r="J6" s="16"/>
      <c r="K6" s="16"/>
      <c r="L6" s="10">
        <v>44496</v>
      </c>
      <c r="M6" s="16">
        <f>19+52+18</f>
        <v>89</v>
      </c>
      <c r="N6" s="16">
        <f ca="1">TODAY()-L6</f>
        <v>351</v>
      </c>
      <c r="O6" s="16" t="str">
        <f ca="1">IF(N6&gt;21, "Yes", "No")</f>
        <v>Yes</v>
      </c>
      <c r="P6" s="10"/>
      <c r="Q6" s="16">
        <v>24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D6" s="11">
        <v>44575</v>
      </c>
      <c r="AE6" s="16"/>
      <c r="AF6" s="16"/>
      <c r="AG6" s="16">
        <f>3+2+1+4+2+3+2+2+4+1+1+3</f>
        <v>28</v>
      </c>
      <c r="AH6" s="16"/>
    </row>
    <row r="7" spans="1:34" ht="18" customHeight="1" x14ac:dyDescent="0.35">
      <c r="A7" s="18" t="s">
        <v>38</v>
      </c>
      <c r="B7" s="1" t="str">
        <f t="array" aca="1" ref="B7" ca="1">LOOKUP(2,1 / (K$3:K$1048569 &lt;&gt;""), K$3:K$1048569)</f>
        <v>Yes</v>
      </c>
      <c r="D7" s="16"/>
      <c r="E7" s="16"/>
      <c r="F7" s="16"/>
      <c r="G7" s="16"/>
      <c r="H7" s="16"/>
      <c r="I7" s="16"/>
      <c r="J7" s="16"/>
      <c r="K7" s="16"/>
      <c r="L7" s="16"/>
      <c r="M7" s="16">
        <v>93</v>
      </c>
      <c r="N7" s="16"/>
      <c r="O7" s="16"/>
      <c r="P7" s="10">
        <v>44767</v>
      </c>
      <c r="Q7" s="16">
        <f>7+6</f>
        <v>13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E7" s="16"/>
      <c r="AF7" s="16"/>
      <c r="AG7" s="16"/>
      <c r="AH7" s="16"/>
    </row>
    <row r="8" spans="1:34" ht="18" customHeight="1" x14ac:dyDescent="0.35">
      <c r="A8" s="7" t="s">
        <v>39</v>
      </c>
      <c r="B8" s="28">
        <f t="array" ref="B8">(IFERROR((LOOKUP(2,1/(M$16:M$100&lt;&gt;""),M$16:M$100)),0))</f>
        <v>144</v>
      </c>
      <c r="D8" s="16"/>
      <c r="E8" s="16"/>
      <c r="F8" s="16"/>
      <c r="G8" s="16"/>
      <c r="H8" s="16"/>
      <c r="I8" s="16"/>
      <c r="J8" s="16"/>
      <c r="K8" s="16"/>
      <c r="L8" s="16"/>
      <c r="M8" s="16">
        <f>M7+5</f>
        <v>98</v>
      </c>
      <c r="N8" s="16"/>
      <c r="O8" s="16"/>
      <c r="P8" s="16" t="s">
        <v>40</v>
      </c>
      <c r="Q8" s="16">
        <v>62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E8" s="16"/>
      <c r="AF8" s="16"/>
      <c r="AG8" s="16"/>
      <c r="AH8" s="16"/>
    </row>
    <row r="9" spans="1:34" ht="18" customHeight="1" x14ac:dyDescent="0.35">
      <c r="A9" s="7" t="s">
        <v>41</v>
      </c>
      <c r="B9" s="8" t="str">
        <f t="array" ref="B9">LOOKUP(2,1 / (L$16:L$100 &lt;&gt;""), L$16:L$100)</f>
        <v>09/20/2022</v>
      </c>
      <c r="D9" s="16"/>
      <c r="E9" s="16"/>
      <c r="F9" s="16"/>
      <c r="G9" s="16"/>
      <c r="H9" s="16"/>
      <c r="I9" s="16"/>
      <c r="J9" s="16"/>
      <c r="K9" s="16"/>
      <c r="L9" s="10">
        <v>44522</v>
      </c>
      <c r="M9" s="16">
        <f>6+4+7+6+5+8+4+12+2+13+4+4+5+3+3+10+6+4+16+7+5+3+5+4+7+11+9</f>
        <v>173</v>
      </c>
      <c r="N9" s="16">
        <f ca="1">TODAY()-L9</f>
        <v>325</v>
      </c>
      <c r="O9" s="16" t="str">
        <f ca="1">IF(N9&gt;21, "Yes", "No")</f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E9" s="16"/>
      <c r="AF9" s="16"/>
      <c r="AG9" s="16"/>
      <c r="AH9" s="16"/>
    </row>
    <row r="10" spans="1:34" ht="18" customHeight="1" x14ac:dyDescent="0.35">
      <c r="A10" s="7" t="s">
        <v>42</v>
      </c>
      <c r="B10" s="1" t="e">
        <f t="array" ref="B10">LOOKUP(2,1 / (O$16:O$100 &lt;&gt;""), O$16:O$100)</f>
        <v>#N/A</v>
      </c>
      <c r="M10">
        <f>M9-12</f>
        <v>161</v>
      </c>
    </row>
    <row r="11" spans="1:34" ht="18" customHeight="1" x14ac:dyDescent="0.35">
      <c r="A11" s="31" t="s">
        <v>43</v>
      </c>
      <c r="B11" s="28">
        <f t="array" ref="B11">(IFERROR((LOOKUP(2,1/(Q$3:Q$100&lt;&gt;""),Q$3:Q$100)),0))</f>
        <v>62</v>
      </c>
      <c r="M11">
        <f>M10-12-28</f>
        <v>121</v>
      </c>
    </row>
    <row r="12" spans="1:34" ht="18" customHeight="1" x14ac:dyDescent="0.35">
      <c r="A12" s="31" t="s">
        <v>44</v>
      </c>
      <c r="B12" s="8" t="str">
        <f t="array" ref="B12">LOOKUP(2,1 / (P$3:P$100 &lt;&gt;""), P$3:P$100)</f>
        <v>09/20/2022</v>
      </c>
      <c r="L12" s="11">
        <v>44574</v>
      </c>
      <c r="M12">
        <f>2+1+2+2+2+2+3+2+2+2+2+3+3+2+2+1+2+2+1+3+1+3+1+1+6+1+1+1+4+3+1+2+1+4+2+4+2+2+2+2+3+3+2+4+2+5+4+2</f>
        <v>110</v>
      </c>
      <c r="N12" s="16">
        <f ca="1">TODAY()-L12</f>
        <v>273</v>
      </c>
      <c r="O12" s="16" t="str">
        <f ca="1">IF(N12&gt;21, "Yes", "No")</f>
        <v>Yes</v>
      </c>
    </row>
    <row r="13" spans="1:34" ht="18" customHeight="1" x14ac:dyDescent="0.35">
      <c r="A13" s="31" t="s">
        <v>45</v>
      </c>
      <c r="B13" s="1" t="str">
        <f t="array" aca="1" ref="B13" ca="1">LOOKUP(2,1 / (S$3:S$100 &lt;&gt;""), S$3:S$100)</f>
        <v>Yes</v>
      </c>
      <c r="L13" s="11">
        <v>44614</v>
      </c>
      <c r="M13">
        <v>0</v>
      </c>
      <c r="N13" s="16">
        <f ca="1">TODAY()-L13</f>
        <v>233</v>
      </c>
      <c r="O13" s="16" t="str">
        <f ca="1">IF(N13&gt;21, "Yes", "No")</f>
        <v>Yes</v>
      </c>
    </row>
    <row r="14" spans="1:34" ht="18" customHeight="1" x14ac:dyDescent="0.35">
      <c r="A14" s="18" t="s">
        <v>46</v>
      </c>
      <c r="B14" s="28">
        <f t="array" ref="B14">(IFERROR((LOOKUP(2,1/(M$16:M$100&lt;&gt;""),M$16:M$100)),0))</f>
        <v>144</v>
      </c>
      <c r="L14" s="11">
        <v>44650</v>
      </c>
      <c r="M14">
        <f>4+8</f>
        <v>12</v>
      </c>
      <c r="N14" s="16">
        <f ca="1">TODAY()-L14</f>
        <v>197</v>
      </c>
      <c r="O14" s="16" t="str">
        <f ca="1">IF(N14&gt;21, "Yes", "No")</f>
        <v>Yes</v>
      </c>
    </row>
    <row r="15" spans="1:34" ht="18" customHeight="1" x14ac:dyDescent="0.35">
      <c r="A15" s="18" t="s">
        <v>47</v>
      </c>
      <c r="B15" s="8" t="str">
        <f t="array" ref="B15">LOOKUP(2,1 / (L$16:L$100 &lt;&gt;""), L$16:L$100)</f>
        <v>09/20/2022</v>
      </c>
      <c r="L15" s="11">
        <v>44677</v>
      </c>
      <c r="M15">
        <f>8+8+8+8+8+8+8+8+8+8+8+8+8+8+8+9+6+12+94</f>
        <v>241</v>
      </c>
      <c r="N15" s="16">
        <f ca="1">TODAY()-L15</f>
        <v>170</v>
      </c>
      <c r="O15" s="16" t="str">
        <f ca="1">IF(N15&gt;21, "Yes", "No")</f>
        <v>Yes</v>
      </c>
    </row>
    <row r="16" spans="1:34" ht="18" customHeight="1" x14ac:dyDescent="0.35">
      <c r="A16" s="18" t="s">
        <v>48</v>
      </c>
      <c r="B16" s="1" t="e">
        <f t="array" ref="B16">LOOKUP(2,1 / (O$16:O$100 &lt;&gt;""), O$16:O$100)</f>
        <v>#N/A</v>
      </c>
      <c r="M16">
        <v>100</v>
      </c>
    </row>
    <row r="17" spans="1:13" ht="18" customHeight="1" x14ac:dyDescent="0.35">
      <c r="A17" s="2" t="s">
        <v>49</v>
      </c>
      <c r="B17" s="28">
        <f t="array" ref="B17">(IFERROR((LOOKUP(2,1/(Q$3:Q$100&lt;&gt;""),Q$3:Q$100)),0))</f>
        <v>62</v>
      </c>
      <c r="L17" s="11">
        <v>44767</v>
      </c>
      <c r="M17">
        <f>13+28+36</f>
        <v>77</v>
      </c>
    </row>
    <row r="18" spans="1:13" ht="18" customHeight="1" x14ac:dyDescent="0.35">
      <c r="A18" s="2" t="s">
        <v>50</v>
      </c>
      <c r="B18" s="8" t="str">
        <f ca="1">LOOKUP(2,1 / (X$3:X$9 &lt;&gt;""), X$3:X$9)</f>
        <v>Yes</v>
      </c>
      <c r="L18" t="s">
        <v>40</v>
      </c>
      <c r="M18">
        <v>144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5"/>
  <sheetViews>
    <sheetView topLeftCell="D1" zoomScale="110" zoomScaleNormal="110" workbookViewId="0">
      <selection activeCell="L7" sqref="L7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3" max="13" width="5.44140625" style="33" bestFit="1" customWidth="1"/>
    <col min="14" max="14" width="15.44140625" style="33" bestFit="1" customWidth="1"/>
    <col min="15" max="15" width="6.21875" style="33" bestFit="1" customWidth="1"/>
    <col min="17" max="17" width="9.5546875" style="33" bestFit="1" customWidth="1"/>
    <col min="21" max="22" width="10.6640625" style="33" bestFit="1" customWidth="1"/>
  </cols>
  <sheetData>
    <row r="1" spans="1:30" ht="18" customHeight="1" x14ac:dyDescent="0.35">
      <c r="A1" s="2" t="s">
        <v>21</v>
      </c>
      <c r="B1" s="28" t="s">
        <v>51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16"/>
      <c r="U1" s="5" t="s">
        <v>24</v>
      </c>
      <c r="V1" s="16"/>
      <c r="W1" s="16"/>
      <c r="X1" s="16"/>
      <c r="AA1" s="5" t="s">
        <v>25</v>
      </c>
      <c r="AB1" s="16"/>
      <c r="AC1" s="16"/>
      <c r="AD1" s="16"/>
    </row>
    <row r="2" spans="1:30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32</v>
      </c>
      <c r="S2" s="19" t="s">
        <v>29</v>
      </c>
      <c r="T2" s="19" t="s">
        <v>30</v>
      </c>
      <c r="U2" s="5" t="s">
        <v>27</v>
      </c>
      <c r="V2" s="5" t="s">
        <v>28</v>
      </c>
      <c r="W2" s="5" t="s">
        <v>29</v>
      </c>
      <c r="X2" s="5" t="s">
        <v>30</v>
      </c>
      <c r="Z2" s="9" t="s">
        <v>33</v>
      </c>
      <c r="AA2" s="5" t="s">
        <v>15</v>
      </c>
      <c r="AB2" s="5" t="s">
        <v>16</v>
      </c>
      <c r="AC2" s="5" t="s">
        <v>17</v>
      </c>
      <c r="AD2" s="5" t="s">
        <v>23</v>
      </c>
    </row>
    <row r="3" spans="1:30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44354</v>
      </c>
      <c r="I3" s="16">
        <v>30</v>
      </c>
      <c r="J3" s="16">
        <f ca="1">TODAY()-H3</f>
        <v>493</v>
      </c>
      <c r="K3" s="16" t="str">
        <f ca="1">IF(J3&gt;28, "Yes", "No")</f>
        <v>Yes</v>
      </c>
      <c r="L3" s="10">
        <v>44599</v>
      </c>
      <c r="M3" s="16">
        <f>5+4+7+5+2+2+4+4+2+4+5+6+2+13+13+10+13+10+14+2+5+2+2+2+2+2+3+2+8+4+2+2+3+2+2+2+3+3+2</f>
        <v>180</v>
      </c>
      <c r="N3" s="16">
        <f ca="1">TODAY()-L3</f>
        <v>248</v>
      </c>
      <c r="O3" s="16" t="str">
        <f ca="1">IF(N3&gt;=28, "Yes", "No")</f>
        <v>Yes</v>
      </c>
      <c r="P3" s="10">
        <v>44469</v>
      </c>
      <c r="Q3" s="16">
        <v>3</v>
      </c>
      <c r="R3" s="16"/>
      <c r="S3" s="16">
        <f ca="1">TODAY()-P3</f>
        <v>378</v>
      </c>
      <c r="T3" s="16" t="str">
        <f ca="1">IF(S3&gt;21, "Yes", "No")</f>
        <v>Yes</v>
      </c>
      <c r="U3" s="16"/>
      <c r="V3" s="16"/>
      <c r="W3" s="16"/>
      <c r="X3" s="16"/>
      <c r="Z3" s="11">
        <v>44475</v>
      </c>
      <c r="AA3" s="16"/>
      <c r="AB3" s="16"/>
      <c r="AC3" s="16">
        <v>2</v>
      </c>
      <c r="AD3" s="16"/>
    </row>
    <row r="4" spans="1:30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44466</v>
      </c>
      <c r="I4" s="16">
        <v>72</v>
      </c>
      <c r="J4" s="16">
        <f ca="1">TODAY()-H4</f>
        <v>381</v>
      </c>
      <c r="K4" s="16" t="str">
        <f ca="1">IF(J4&gt;=28, "Yes", "No")</f>
        <v>Yes</v>
      </c>
      <c r="L4" s="10">
        <v>44672</v>
      </c>
      <c r="M4" s="16">
        <f>13+11+14</f>
        <v>38</v>
      </c>
      <c r="N4" s="16">
        <f ca="1">TODAY()-L4</f>
        <v>175</v>
      </c>
      <c r="O4" s="16" t="str">
        <f ca="1">IF(N4&gt;=28, "Yes", "No")</f>
        <v>Yes</v>
      </c>
      <c r="P4" s="16"/>
      <c r="Q4" s="16">
        <v>2</v>
      </c>
      <c r="R4" s="16"/>
      <c r="S4" s="16"/>
      <c r="T4" s="16"/>
      <c r="U4" s="16"/>
      <c r="V4" s="16"/>
      <c r="W4" s="16"/>
      <c r="X4" s="16"/>
      <c r="Z4" s="11">
        <v>44487</v>
      </c>
      <c r="AA4" s="16"/>
      <c r="AB4" s="16"/>
      <c r="AC4" s="16">
        <v>5</v>
      </c>
      <c r="AD4" s="16">
        <v>1</v>
      </c>
    </row>
    <row r="5" spans="1:30" ht="18" customHeight="1" x14ac:dyDescent="0.35">
      <c r="A5" s="7" t="s">
        <v>39</v>
      </c>
      <c r="B5" s="28">
        <f t="array" ref="B5">(IFERROR((LOOKUP(2,1/(I$3:I$100&lt;&gt;""),I$3:I$100)),0))</f>
        <v>183</v>
      </c>
      <c r="D5" s="16"/>
      <c r="E5" s="16"/>
      <c r="F5" s="16"/>
      <c r="G5" s="16"/>
      <c r="H5" s="10"/>
      <c r="I5" s="16">
        <v>144</v>
      </c>
      <c r="J5" s="16"/>
      <c r="K5" s="16"/>
      <c r="L5" s="10"/>
      <c r="M5" s="16">
        <f>38</f>
        <v>38</v>
      </c>
      <c r="N5" s="16"/>
      <c r="O5" s="16"/>
      <c r="P5" s="10">
        <v>44494</v>
      </c>
      <c r="Q5" s="16">
        <v>2</v>
      </c>
      <c r="R5" s="16"/>
      <c r="S5" s="16">
        <f ca="1">TODAY()-P5</f>
        <v>353</v>
      </c>
      <c r="T5" s="16" t="str">
        <f ca="1">IF(S5&gt;21, "Yes", "No")</f>
        <v>Yes</v>
      </c>
      <c r="U5" s="16"/>
      <c r="V5" s="16"/>
      <c r="W5" s="16"/>
      <c r="X5" s="16"/>
      <c r="Z5" s="11">
        <v>44505</v>
      </c>
      <c r="AA5" s="16"/>
      <c r="AB5" s="16"/>
      <c r="AC5" s="16"/>
      <c r="AD5" s="16">
        <v>14</v>
      </c>
    </row>
    <row r="6" spans="1:30" ht="18" customHeight="1" x14ac:dyDescent="0.35">
      <c r="A6" s="7" t="s">
        <v>41</v>
      </c>
      <c r="B6" s="8">
        <f t="array" ref="B6">LOOKUP(2,1 / (H$3:H$100 &lt;&gt;""), H$3:H$100)</f>
        <v>44749</v>
      </c>
      <c r="D6" s="16"/>
      <c r="E6" s="16"/>
      <c r="F6" s="16"/>
      <c r="G6" s="16"/>
      <c r="H6" s="10">
        <v>44495</v>
      </c>
      <c r="I6" s="16">
        <v>108</v>
      </c>
      <c r="J6" s="16">
        <f ca="1">TODAY()-H6</f>
        <v>352</v>
      </c>
      <c r="K6" s="16" t="str">
        <f ca="1">IF(J6&gt;=28, "Yes", "No")</f>
        <v>Yes</v>
      </c>
      <c r="L6" s="10">
        <v>44749</v>
      </c>
      <c r="M6" s="16">
        <f>7+11+64</f>
        <v>82</v>
      </c>
      <c r="N6" s="16"/>
      <c r="O6" s="16"/>
      <c r="P6" s="10">
        <v>44495</v>
      </c>
      <c r="Q6" s="16">
        <v>17</v>
      </c>
      <c r="R6" s="16">
        <f>3*17</f>
        <v>51</v>
      </c>
      <c r="S6" s="16">
        <f ca="1">TODAY()-P6</f>
        <v>352</v>
      </c>
      <c r="T6" s="16" t="str">
        <f ca="1">IF(S6&gt;21, "Yes", "No")</f>
        <v>Yes</v>
      </c>
      <c r="U6" s="16"/>
      <c r="V6" s="16"/>
      <c r="W6" s="16"/>
      <c r="X6" s="16"/>
      <c r="Z6" s="11">
        <v>44201</v>
      </c>
      <c r="AA6" s="16"/>
      <c r="AB6" s="16"/>
      <c r="AC6" s="16">
        <f>2+1+7+3+9+2+4+5+6+2+11+2+1+2+2</f>
        <v>59</v>
      </c>
      <c r="AD6" s="16"/>
    </row>
    <row r="7" spans="1:30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>
        <v>117</v>
      </c>
      <c r="J7" s="16"/>
      <c r="K7" s="16"/>
      <c r="L7" s="16"/>
      <c r="M7" s="16"/>
      <c r="N7" s="16"/>
      <c r="O7" s="16"/>
      <c r="P7" s="16"/>
      <c r="Q7" s="16">
        <v>3</v>
      </c>
      <c r="R7" s="16">
        <v>6</v>
      </c>
      <c r="S7" s="16"/>
      <c r="T7" s="16"/>
      <c r="U7" s="16"/>
      <c r="V7" s="16"/>
      <c r="W7" s="16"/>
      <c r="X7" s="16"/>
      <c r="AA7" s="16"/>
      <c r="AB7" s="16"/>
      <c r="AC7" s="16"/>
      <c r="AD7" s="16"/>
    </row>
    <row r="8" spans="1:30" ht="18" customHeight="1" x14ac:dyDescent="0.35">
      <c r="A8" s="31" t="s">
        <v>43</v>
      </c>
      <c r="B8" s="28">
        <f t="array" ref="B8">(IFERROR((LOOKUP(2,1/(M$3:M$100&lt;&gt;""),M$3:M$100)),0))</f>
        <v>82</v>
      </c>
      <c r="D8" s="16"/>
      <c r="E8" s="16"/>
      <c r="F8" s="16"/>
      <c r="G8" s="16"/>
      <c r="H8" s="10">
        <v>44522</v>
      </c>
      <c r="I8" s="16">
        <f>8+10+10+5+4+5+3+12+15+3+11+9+5+1+2+9+7+10+2+4+6+11+10+4+10</f>
        <v>176</v>
      </c>
      <c r="J8" s="16">
        <f ca="1">TODAY()-H8</f>
        <v>325</v>
      </c>
      <c r="K8" s="16" t="str">
        <f ca="1">IF(J8&gt;=28, "Yes", "No")</f>
        <v>Yes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A8" s="16"/>
      <c r="AB8" s="16"/>
      <c r="AC8" s="16"/>
      <c r="AD8" s="16"/>
    </row>
    <row r="9" spans="1:30" ht="18" customHeight="1" x14ac:dyDescent="0.35">
      <c r="A9" s="31" t="s">
        <v>44</v>
      </c>
      <c r="B9" s="8">
        <f t="array" ref="B9">LOOKUP(2,1 / (L$3:L$100 &lt;&gt;""), L$3:L$100)</f>
        <v>44749</v>
      </c>
      <c r="D9" s="16"/>
      <c r="E9" s="16"/>
      <c r="F9" s="16"/>
      <c r="G9" s="16"/>
      <c r="H9" s="16"/>
      <c r="I9" s="16">
        <f>I8-59</f>
        <v>117</v>
      </c>
      <c r="J9" s="16"/>
      <c r="K9" s="16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A9" s="16"/>
      <c r="AB9" s="16"/>
      <c r="AC9" s="16"/>
      <c r="AD9" s="16"/>
    </row>
    <row r="10" spans="1:30" ht="18" customHeight="1" x14ac:dyDescent="0.35">
      <c r="A10" s="31" t="s">
        <v>45</v>
      </c>
      <c r="B10" s="1" t="str">
        <f t="array" aca="1" ref="B10" ca="1">LOOKUP(2,1 / (O$3:O$100 &lt;&gt;""), O$3:O$100)</f>
        <v>Yes</v>
      </c>
      <c r="H10" s="11">
        <v>44565</v>
      </c>
      <c r="I10" s="32">
        <f>3+3+4+4+3+4+6+5+4+5+2+4+4+3+2+3+3+5+4+8+6+5+1+4+5+5+6+5+6+6+4+3+5+4+3+4+3+8+2+5+2+5+4+2+3+4+4</f>
        <v>193</v>
      </c>
      <c r="J10" s="16">
        <f ca="1">TODAY()-H10</f>
        <v>282</v>
      </c>
      <c r="K10" s="16" t="str">
        <f ca="1">IF(J10&gt;=28, "Yes", "No")</f>
        <v>Yes</v>
      </c>
    </row>
    <row r="11" spans="1:30" ht="18" customHeight="1" x14ac:dyDescent="0.35">
      <c r="A11" s="18" t="s">
        <v>46</v>
      </c>
      <c r="B11" s="28">
        <f t="array" ref="B11">(IFERROR((LOOKUP(2,1/(M$10:M$100&lt;&gt;""),M$10:M$100)),0))</f>
        <v>0</v>
      </c>
      <c r="H11" t="s">
        <v>52</v>
      </c>
      <c r="I11" t="s">
        <v>52</v>
      </c>
      <c r="J11" t="s">
        <v>52</v>
      </c>
      <c r="K11" t="s">
        <v>52</v>
      </c>
    </row>
    <row r="12" spans="1:30" ht="18" customHeight="1" x14ac:dyDescent="0.35">
      <c r="A12" s="18" t="s">
        <v>47</v>
      </c>
      <c r="B12" s="8" t="e">
        <f t="array" ref="B12">LOOKUP(2,1 / (L$10:L$100 &lt;&gt;""), L$10:L$100)</f>
        <v>#N/A</v>
      </c>
      <c r="H12" s="11">
        <v>44672</v>
      </c>
      <c r="I12">
        <f>40+48+31</f>
        <v>119</v>
      </c>
      <c r="J12" s="16">
        <f ca="1">TODAY()-H12</f>
        <v>175</v>
      </c>
      <c r="K12" s="16" t="str">
        <f ca="1">IF(J12&gt;=28, "Yes", "No")</f>
        <v>Yes</v>
      </c>
    </row>
    <row r="13" spans="1:30" ht="18" customHeight="1" x14ac:dyDescent="0.35">
      <c r="A13" s="18" t="s">
        <v>48</v>
      </c>
      <c r="B13" s="28" t="e">
        <f t="array" ref="B13">LOOKUP(2,1 / (O$10:O$100 &lt;&gt;""), O$10:O$100)</f>
        <v>#N/A</v>
      </c>
      <c r="I13">
        <f>113</f>
        <v>113</v>
      </c>
    </row>
    <row r="14" spans="1:30" ht="18" customHeight="1" x14ac:dyDescent="0.35">
      <c r="A14" s="2" t="s">
        <v>49</v>
      </c>
      <c r="B14" s="28">
        <f>(IFERROR((LOOKUP(2,1/(Q$3:Q$100&lt;&gt;""),Q$3:Q$100)),0))</f>
        <v>3</v>
      </c>
      <c r="H14" s="11">
        <v>44749</v>
      </c>
      <c r="I14">
        <f>16+28+11+128</f>
        <v>183</v>
      </c>
    </row>
    <row r="15" spans="1:30" ht="18" customHeight="1" x14ac:dyDescent="0.35">
      <c r="A15" s="2" t="s">
        <v>50</v>
      </c>
      <c r="B15" s="8" t="e">
        <f>LOOKUP(2,1 / (U$3:U$9 &lt;&gt;""), U$3:U$9)</f>
        <v>#N/A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5"/>
  <sheetViews>
    <sheetView zoomScale="110" zoomScaleNormal="110" workbookViewId="0">
      <selection activeCell="L7" sqref="L7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4" max="14" width="15.44140625" style="33" bestFit="1" customWidth="1"/>
  </cols>
  <sheetData>
    <row r="1" spans="1:29" ht="18" customHeight="1" x14ac:dyDescent="0.35">
      <c r="A1" s="2" t="s">
        <v>21</v>
      </c>
      <c r="B1" s="28" t="s">
        <v>53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24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44349</v>
      </c>
      <c r="I3" s="16">
        <v>3</v>
      </c>
      <c r="J3" s="16">
        <f ca="1">TODAY()-H3</f>
        <v>498</v>
      </c>
      <c r="K3" s="16" t="str">
        <f ca="1">IF(J3&gt;21, "Yes", "No")</f>
        <v>Yes</v>
      </c>
      <c r="L3" s="10">
        <v>44592</v>
      </c>
      <c r="M3" s="16">
        <f>5</f>
        <v>5</v>
      </c>
      <c r="N3" s="16">
        <f ca="1">TODAY()-L3</f>
        <v>255</v>
      </c>
      <c r="O3" s="16" t="str">
        <f ca="1">IF(N3&gt;21, "Yes", "No")</f>
        <v>Yes</v>
      </c>
      <c r="P3" s="10"/>
      <c r="Q3" s="16"/>
      <c r="R3" s="16"/>
      <c r="S3" s="16"/>
      <c r="T3" s="16"/>
      <c r="U3" s="16"/>
      <c r="V3" s="16"/>
      <c r="W3" s="16"/>
      <c r="Y3" s="11"/>
      <c r="Z3" s="16"/>
      <c r="AA3" s="16"/>
      <c r="AB3" s="16"/>
      <c r="AC3" s="16"/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44468</v>
      </c>
      <c r="I4" s="16">
        <v>8</v>
      </c>
      <c r="J4" s="16">
        <f ca="1">TODAY()-H4</f>
        <v>379</v>
      </c>
      <c r="K4" s="16" t="str">
        <f ca="1">IF(J4&gt;21, "Yes", "No")</f>
        <v>Yes</v>
      </c>
      <c r="L4" s="10">
        <v>44672</v>
      </c>
      <c r="M4" s="16">
        <v>9</v>
      </c>
      <c r="N4" s="16">
        <f ca="1">TODAY()-L4</f>
        <v>175</v>
      </c>
      <c r="O4" s="16" t="str">
        <f ca="1">IF(N4&gt;21, "Yes", "No")</f>
        <v>Yes</v>
      </c>
      <c r="P4" s="16"/>
      <c r="Q4" s="16"/>
      <c r="R4" s="16"/>
      <c r="S4" s="16"/>
      <c r="T4" s="16"/>
      <c r="U4" s="16"/>
      <c r="V4" s="16"/>
      <c r="W4" s="16"/>
      <c r="Y4" s="11"/>
      <c r="Z4" s="16"/>
      <c r="AA4" s="16"/>
      <c r="AB4" s="16"/>
      <c r="AC4" s="16"/>
    </row>
    <row r="5" spans="1:29" ht="18" customHeight="1" x14ac:dyDescent="0.35">
      <c r="A5" s="7" t="s">
        <v>39</v>
      </c>
      <c r="B5" s="28">
        <f t="array" ref="B5">(IFERROR((LOOKUP(2,1/(I$3:I$100&lt;&gt;""),I$3:I$100)),0))</f>
        <v>4</v>
      </c>
      <c r="D5" s="16"/>
      <c r="E5" s="16"/>
      <c r="F5" s="16"/>
      <c r="G5" s="16"/>
      <c r="H5" s="10">
        <v>44545</v>
      </c>
      <c r="I5" s="16">
        <v>6</v>
      </c>
      <c r="J5" s="16">
        <f ca="1">TODAY()-H5</f>
        <v>302</v>
      </c>
      <c r="K5" s="16" t="str">
        <f ca="1">IF(J5&gt;21, "Yes", "No")</f>
        <v>Yes</v>
      </c>
      <c r="L5" s="10"/>
      <c r="M5" s="16">
        <v>4</v>
      </c>
      <c r="N5" s="16"/>
      <c r="O5" s="16"/>
      <c r="P5" s="10"/>
      <c r="Q5" s="16"/>
      <c r="R5" s="16"/>
      <c r="S5" s="16"/>
      <c r="T5" s="16"/>
      <c r="U5" s="16"/>
      <c r="V5" s="16"/>
      <c r="W5" s="16"/>
      <c r="Y5" s="11"/>
      <c r="Z5" s="16"/>
      <c r="AA5" s="16"/>
      <c r="AB5" s="16"/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44761</v>
      </c>
      <c r="D6" s="16"/>
      <c r="E6" s="16"/>
      <c r="F6" s="16"/>
      <c r="G6" s="16"/>
      <c r="H6" s="10">
        <v>44592</v>
      </c>
      <c r="I6" s="16">
        <v>5</v>
      </c>
      <c r="J6" s="16">
        <f ca="1">TODAY()-H6</f>
        <v>255</v>
      </c>
      <c r="K6" s="16" t="str">
        <f ca="1">IF(J6&gt;21, "Yes", "No")</f>
        <v>Yes</v>
      </c>
      <c r="L6" s="10">
        <v>44761</v>
      </c>
      <c r="M6" s="16">
        <v>3</v>
      </c>
      <c r="N6" s="16"/>
      <c r="O6" s="16"/>
      <c r="P6" s="16"/>
      <c r="Q6" s="16"/>
      <c r="R6" s="16"/>
      <c r="S6" s="16"/>
      <c r="T6" s="16"/>
      <c r="U6" s="16"/>
      <c r="V6" s="16"/>
      <c r="W6" s="16"/>
      <c r="Y6" s="11"/>
      <c r="Z6" s="16"/>
      <c r="AA6" s="16"/>
      <c r="AB6" s="16"/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0">
        <v>44672</v>
      </c>
      <c r="I7" s="16">
        <v>2</v>
      </c>
      <c r="J7" s="16">
        <f ca="1">TODAY()-H7</f>
        <v>175</v>
      </c>
      <c r="K7" s="16" t="str">
        <f ca="1">IF(J7&gt;21, "Yes", "No")</f>
        <v>Yes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Z7" s="16"/>
      <c r="AA7" s="16"/>
      <c r="AB7" s="16"/>
      <c r="AC7" s="16"/>
    </row>
    <row r="8" spans="1:29" ht="18" customHeight="1" x14ac:dyDescent="0.35">
      <c r="A8" s="31" t="s">
        <v>43</v>
      </c>
      <c r="B8" s="28">
        <f t="array" ref="B8">(IFERROR((LOOKUP(2,1/(M$3:M$100&lt;&gt;""),M$3:M$100)),0))</f>
        <v>3</v>
      </c>
      <c r="D8" s="16"/>
      <c r="E8" s="16"/>
      <c r="F8" s="16"/>
      <c r="G8" s="16"/>
      <c r="H8" s="16"/>
      <c r="I8" s="16">
        <v>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(L$3:L$100 &lt;&gt;""), L$3:L$100)</f>
        <v>44761</v>
      </c>
      <c r="D9" s="16"/>
      <c r="E9" s="16"/>
      <c r="F9" s="16"/>
      <c r="G9" s="16"/>
      <c r="H9" s="10">
        <v>44761</v>
      </c>
      <c r="I9" s="16">
        <v>4</v>
      </c>
      <c r="J9" s="16"/>
      <c r="K9" s="16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18" t="s">
        <v>46</v>
      </c>
      <c r="B11" s="28">
        <f t="array" ref="B11">(IFERROR((LOOKUP(2,1/(M$10:M$100&lt;&gt;""),M$10:M$100)),0))</f>
        <v>0</v>
      </c>
    </row>
    <row r="12" spans="1:29" ht="18" customHeight="1" x14ac:dyDescent="0.35">
      <c r="A12" s="18" t="s">
        <v>47</v>
      </c>
      <c r="B12" s="8" t="e">
        <f t="array" ref="B12">LOOKUP(2,1 / (L$10:L$100 &lt;&gt;""), L$10:L$100)</f>
        <v>#N/A</v>
      </c>
    </row>
    <row r="13" spans="1:29" ht="18" customHeight="1" x14ac:dyDescent="0.35">
      <c r="A13" s="18" t="s">
        <v>48</v>
      </c>
      <c r="B13" s="1" t="e">
        <f t="array" ref="B13">LOOKUP(2,1 / (O$10:O$100 &lt;&gt;""), O$10:O$100)</f>
        <v>#N/A</v>
      </c>
    </row>
    <row r="14" spans="1:29" ht="18" customHeight="1" x14ac:dyDescent="0.35">
      <c r="A14" s="2" t="s">
        <v>49</v>
      </c>
      <c r="B14" s="28">
        <f>(IFERROR((LOOKUP(2,1/(Q$3:Q$100&lt;&gt;""),Q$3:Q$100)),0))</f>
        <v>0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6"/>
  <sheetViews>
    <sheetView zoomScale="110" zoomScaleNormal="110" workbookViewId="0">
      <selection activeCell="L8" sqref="L8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9.5546875" style="33" bestFit="1" customWidth="1"/>
    <col min="21" max="21" width="10.6640625" style="33" bestFit="1" customWidth="1"/>
  </cols>
  <sheetData>
    <row r="1" spans="1:29" ht="18" customHeight="1" x14ac:dyDescent="0.35">
      <c r="A1" s="2" t="s">
        <v>21</v>
      </c>
      <c r="B1" s="28" t="s">
        <v>54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24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44376</v>
      </c>
      <c r="I3" s="16">
        <v>8</v>
      </c>
      <c r="J3" s="16">
        <f ca="1">TODAY()-H3</f>
        <v>471</v>
      </c>
      <c r="K3" s="16" t="str">
        <f ca="1">IF(J3&gt;21, "Yes", "No")</f>
        <v>Yes</v>
      </c>
      <c r="L3" s="10">
        <v>44602</v>
      </c>
      <c r="M3" s="16">
        <v>7</v>
      </c>
      <c r="N3" s="16">
        <f ca="1">TODAY()-L3</f>
        <v>245</v>
      </c>
      <c r="O3" s="16" t="str">
        <f ca="1">IF(N3&gt;21, "Yes", "No")</f>
        <v>Yes</v>
      </c>
      <c r="P3" s="10"/>
      <c r="Q3" s="16"/>
      <c r="R3" s="16"/>
      <c r="S3" s="16"/>
      <c r="T3" s="16"/>
      <c r="U3" s="16"/>
      <c r="V3" s="16"/>
      <c r="W3" s="16"/>
      <c r="Y3" s="11">
        <v>44483</v>
      </c>
      <c r="Z3" s="16"/>
      <c r="AA3" s="16"/>
      <c r="AB3" s="16">
        <v>5</v>
      </c>
      <c r="AC3" s="16"/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44468</v>
      </c>
      <c r="I4" s="16">
        <v>26</v>
      </c>
      <c r="J4" s="16">
        <f ca="1">TODAY()-H4</f>
        <v>379</v>
      </c>
      <c r="K4" s="16" t="str">
        <f ca="1">IF(J4&gt;21, "Yes", "No")</f>
        <v>Yes</v>
      </c>
      <c r="L4" s="10">
        <v>44658</v>
      </c>
      <c r="M4" s="16">
        <v>21</v>
      </c>
      <c r="N4" s="16">
        <f ca="1">TODAY()-L4</f>
        <v>189</v>
      </c>
      <c r="O4" s="16" t="str">
        <f ca="1">IF(N4&gt;21, "Yes", "No")</f>
        <v>Yes</v>
      </c>
      <c r="P4" s="16"/>
      <c r="Q4" s="16"/>
      <c r="R4" s="16"/>
      <c r="S4" s="16"/>
      <c r="T4" s="16"/>
      <c r="U4" s="16"/>
      <c r="V4" s="16"/>
      <c r="W4" s="16"/>
      <c r="Y4" s="11">
        <v>44531</v>
      </c>
      <c r="Z4" s="16"/>
      <c r="AA4" s="16"/>
      <c r="AB4" s="16">
        <v>5</v>
      </c>
      <c r="AC4" s="16"/>
    </row>
    <row r="5" spans="1:29" ht="18" customHeight="1" x14ac:dyDescent="0.35">
      <c r="A5" s="7" t="s">
        <v>39</v>
      </c>
      <c r="B5" s="28">
        <f t="array" ref="B5">(IFERROR((LOOKUP(2,1/(I$3:I$100&lt;&gt;""),I$3:I$100)),0))</f>
        <v>27</v>
      </c>
      <c r="D5" s="16"/>
      <c r="E5" s="16"/>
      <c r="F5" s="16"/>
      <c r="G5" s="16"/>
      <c r="H5" s="10"/>
      <c r="I5" s="16">
        <f>I4-AB3</f>
        <v>21</v>
      </c>
      <c r="J5" s="16"/>
      <c r="K5" s="16"/>
      <c r="L5" s="10">
        <v>44672</v>
      </c>
      <c r="M5" s="16">
        <f>34</f>
        <v>34</v>
      </c>
      <c r="N5" s="16">
        <f ca="1">TODAY()-L5</f>
        <v>175</v>
      </c>
      <c r="O5" s="16" t="str">
        <f ca="1">IF(N5&gt;21, "Yes", "No")</f>
        <v>Yes</v>
      </c>
      <c r="P5" s="10"/>
      <c r="Q5" s="16"/>
      <c r="R5" s="16"/>
      <c r="S5" s="16"/>
      <c r="T5" s="16"/>
      <c r="U5" s="16"/>
      <c r="V5" s="16"/>
      <c r="W5" s="16"/>
      <c r="Y5" s="11">
        <v>44566</v>
      </c>
      <c r="Z5" s="16"/>
      <c r="AA5" s="16"/>
      <c r="AB5" s="16">
        <v>6</v>
      </c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44754</v>
      </c>
      <c r="D6" s="16"/>
      <c r="E6" s="16"/>
      <c r="F6" s="16"/>
      <c r="G6" s="16"/>
      <c r="H6" s="10">
        <v>44502</v>
      </c>
      <c r="I6" s="16">
        <f>2+3+4+1+6+1+7</f>
        <v>24</v>
      </c>
      <c r="J6" s="16">
        <f ca="1">TODAY()-H6</f>
        <v>345</v>
      </c>
      <c r="K6" s="16" t="str">
        <f ca="1">IF(J6&gt;21, "Yes", "No")</f>
        <v>Yes</v>
      </c>
      <c r="L6" s="10"/>
      <c r="M6" s="16">
        <v>14</v>
      </c>
      <c r="N6" s="16"/>
      <c r="O6" s="16"/>
      <c r="P6" s="16"/>
      <c r="Q6" s="16"/>
      <c r="R6" s="16"/>
      <c r="S6" s="16"/>
      <c r="T6" s="16"/>
      <c r="U6" s="16"/>
      <c r="V6" s="16"/>
      <c r="W6" s="16"/>
      <c r="Y6" s="11"/>
      <c r="Z6" s="16"/>
      <c r="AA6" s="16"/>
      <c r="AB6" s="16"/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>
        <v>19</v>
      </c>
      <c r="J7" s="16"/>
      <c r="K7" s="16"/>
      <c r="L7" s="10">
        <v>44754</v>
      </c>
      <c r="M7" s="16">
        <v>7</v>
      </c>
      <c r="N7" s="16"/>
      <c r="O7" s="16"/>
      <c r="P7" s="16"/>
      <c r="Q7" s="16"/>
      <c r="R7" s="16"/>
      <c r="S7" s="16"/>
      <c r="T7" s="16"/>
      <c r="U7" s="16"/>
      <c r="V7" s="16"/>
      <c r="W7" s="16"/>
      <c r="Z7" s="16"/>
      <c r="AA7" s="16"/>
      <c r="AB7" s="16"/>
      <c r="AC7" s="16"/>
    </row>
    <row r="8" spans="1:29" ht="18" customHeight="1" x14ac:dyDescent="0.35">
      <c r="A8" s="31" t="s">
        <v>43</v>
      </c>
      <c r="B8" s="28">
        <f t="array" ref="B8">(IFERROR((LOOKUP(2,1/(M$3:M$100&lt;&gt;""),M$3:M$100)),0))</f>
        <v>7</v>
      </c>
      <c r="D8" s="16"/>
      <c r="E8" s="16"/>
      <c r="F8" s="16"/>
      <c r="G8" s="16"/>
      <c r="H8" s="10">
        <v>44531</v>
      </c>
      <c r="I8" s="16">
        <f>2+6+5+2+5</f>
        <v>20</v>
      </c>
      <c r="J8" s="16">
        <f ca="1">TODAY()-H8</f>
        <v>316</v>
      </c>
      <c r="K8" s="16" t="str">
        <f ca="1">IF(J8&gt;21, "Yes", "No")</f>
        <v>Yes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(L$3:L$100 &lt;&gt;""), L$3:L$100)</f>
        <v>44754</v>
      </c>
      <c r="D9" s="16"/>
      <c r="E9" s="16"/>
      <c r="F9" s="16"/>
      <c r="G9" s="16"/>
      <c r="I9" s="16">
        <v>14</v>
      </c>
      <c r="J9" s="16"/>
      <c r="K9" s="16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(O$3:O$100 &lt;&gt;""), O$3:O$100)</f>
        <v>Yes</v>
      </c>
      <c r="H10" s="10">
        <v>44566</v>
      </c>
      <c r="I10">
        <f>7+5+4+7+6</f>
        <v>29</v>
      </c>
    </row>
    <row r="11" spans="1:29" ht="18" customHeight="1" x14ac:dyDescent="0.35">
      <c r="A11" s="18" t="s">
        <v>46</v>
      </c>
      <c r="B11" s="28">
        <f t="array" ref="B11">(IFERROR((LOOKUP(2,1/(M$11:M$100&lt;&gt;""),M$11:M$100)),0))</f>
        <v>0</v>
      </c>
      <c r="I11">
        <f>I10-5-4-3</f>
        <v>17</v>
      </c>
    </row>
    <row r="12" spans="1:29" ht="18" customHeight="1" x14ac:dyDescent="0.35">
      <c r="A12" s="18" t="s">
        <v>47</v>
      </c>
      <c r="B12" s="8" t="e">
        <f t="array" ref="B12">LOOKUP(2,1 / (L$11:L$100 &lt;&gt;""), L$11:L$100)</f>
        <v>#N/A</v>
      </c>
      <c r="H12" s="11">
        <v>44602</v>
      </c>
      <c r="I12">
        <f>33</f>
        <v>33</v>
      </c>
      <c r="J12" s="16">
        <f ca="1">TODAY()-H12</f>
        <v>245</v>
      </c>
      <c r="K12" s="16" t="str">
        <f ca="1">IF(J12&gt;21, "Yes", "No")</f>
        <v>Yes</v>
      </c>
    </row>
    <row r="13" spans="1:29" ht="18" customHeight="1" x14ac:dyDescent="0.35">
      <c r="A13" s="18" t="s">
        <v>48</v>
      </c>
      <c r="B13" s="1" t="e">
        <f t="array" ref="B13">LOOKUP(2,1 / (O$11:O$100 &lt;&gt;""), O$11:O$100)</f>
        <v>#N/A</v>
      </c>
      <c r="H13" s="11">
        <v>44658</v>
      </c>
      <c r="I13">
        <f>I12-13</f>
        <v>20</v>
      </c>
      <c r="J13" s="16">
        <f ca="1">TODAY()-H13</f>
        <v>189</v>
      </c>
      <c r="K13" s="16" t="str">
        <f ca="1">IF(J13&gt;21, "Yes", "No")</f>
        <v>Yes</v>
      </c>
    </row>
    <row r="14" spans="1:29" ht="18" customHeight="1" x14ac:dyDescent="0.35">
      <c r="A14" s="2" t="s">
        <v>49</v>
      </c>
      <c r="B14" s="28">
        <f>(IFERROR((LOOKUP(2,1/(Q$3:Q$100&lt;&gt;""),Q$3:Q$100)),0))</f>
        <v>0</v>
      </c>
      <c r="H14" s="11">
        <v>44672</v>
      </c>
      <c r="I14">
        <f>36</f>
        <v>36</v>
      </c>
      <c r="J14" s="16">
        <f ca="1">TODAY()-H14</f>
        <v>175</v>
      </c>
      <c r="K14" s="16" t="str">
        <f ca="1">IF(J14&gt;21, "Yes", "No")</f>
        <v>Yes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  <c r="I15">
        <v>11</v>
      </c>
    </row>
    <row r="16" spans="1:29" x14ac:dyDescent="0.3">
      <c r="H16" s="11">
        <v>44754</v>
      </c>
      <c r="I1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5"/>
  <sheetViews>
    <sheetView zoomScaleNormal="100" workbookViewId="0">
      <selection activeCell="I15" sqref="I15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3" max="13" width="5.44140625" style="33" bestFit="1" customWidth="1"/>
    <col min="14" max="14" width="13.44140625" style="33" bestFit="1" customWidth="1"/>
    <col min="15" max="15" width="6.21875" style="33" bestFit="1" customWidth="1"/>
    <col min="16" max="16" width="14.5546875" style="33" bestFit="1" customWidth="1"/>
    <col min="21" max="22" width="10.6640625" style="33" bestFit="1" customWidth="1"/>
  </cols>
  <sheetData>
    <row r="1" spans="1:30" ht="18" customHeight="1" x14ac:dyDescent="0.35">
      <c r="A1" s="2" t="s">
        <v>21</v>
      </c>
      <c r="B1" s="28" t="s">
        <v>55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16"/>
      <c r="U1" s="5" t="s">
        <v>24</v>
      </c>
      <c r="V1" s="16"/>
      <c r="W1" s="16"/>
      <c r="X1" s="16"/>
      <c r="AA1" s="5" t="s">
        <v>25</v>
      </c>
      <c r="AB1" s="16"/>
      <c r="AC1" s="16"/>
      <c r="AD1" s="16"/>
    </row>
    <row r="2" spans="1:30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32</v>
      </c>
      <c r="S2" s="19" t="s">
        <v>29</v>
      </c>
      <c r="T2" s="19" t="s">
        <v>30</v>
      </c>
      <c r="U2" s="5" t="s">
        <v>27</v>
      </c>
      <c r="V2" s="5" t="s">
        <v>28</v>
      </c>
      <c r="W2" s="5" t="s">
        <v>29</v>
      </c>
      <c r="X2" s="5" t="s">
        <v>30</v>
      </c>
      <c r="Z2" s="9" t="s">
        <v>33</v>
      </c>
      <c r="AA2" s="5" t="s">
        <v>15</v>
      </c>
      <c r="AB2" s="5" t="s">
        <v>16</v>
      </c>
      <c r="AC2" s="5" t="s">
        <v>17</v>
      </c>
      <c r="AD2" s="5" t="s">
        <v>24</v>
      </c>
    </row>
    <row r="3" spans="1:30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44307</v>
      </c>
      <c r="I3" s="16">
        <v>20</v>
      </c>
      <c r="J3" s="16">
        <f ca="1">TODAY()-H3</f>
        <v>540</v>
      </c>
      <c r="K3" s="16" t="str">
        <f ca="1">IF(J3&gt;21, "Yes", "No")</f>
        <v>Yes</v>
      </c>
      <c r="L3" s="10">
        <v>44602</v>
      </c>
      <c r="M3" s="16">
        <f>3+4+3+6+1+3+8+3+3+3+3+4+3+3</f>
        <v>50</v>
      </c>
      <c r="N3" s="16">
        <f ca="1">TODAY()-L3</f>
        <v>245</v>
      </c>
      <c r="O3" s="16" t="str">
        <f ca="1">IF(N3&gt;21, "Yes", "No")</f>
        <v>Yes</v>
      </c>
      <c r="P3" s="10">
        <v>44497</v>
      </c>
      <c r="Q3" s="16">
        <v>5</v>
      </c>
      <c r="R3" s="16">
        <v>14</v>
      </c>
      <c r="S3" s="16">
        <f ca="1">TODAY()-P3</f>
        <v>350</v>
      </c>
      <c r="T3" s="16" t="str">
        <f ca="1">IF(S3&gt;21, "Yes", "No")</f>
        <v>Yes</v>
      </c>
      <c r="U3" s="16"/>
      <c r="V3" s="16"/>
      <c r="W3" s="16"/>
      <c r="X3" s="16"/>
      <c r="Z3" s="11">
        <v>44483</v>
      </c>
      <c r="AA3" s="16"/>
      <c r="AB3" s="16"/>
      <c r="AC3" s="16">
        <v>4</v>
      </c>
      <c r="AD3" s="16"/>
    </row>
    <row r="4" spans="1:30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44467</v>
      </c>
      <c r="I4" s="16">
        <v>73</v>
      </c>
      <c r="J4" s="16">
        <f ca="1">TODAY()-H4</f>
        <v>380</v>
      </c>
      <c r="K4" s="16" t="str">
        <f ca="1">IF(J4&gt;21, "Yes", "No")</f>
        <v>Yes</v>
      </c>
      <c r="L4" s="10">
        <v>44648</v>
      </c>
      <c r="M4" s="16">
        <f>3+3+3+2</f>
        <v>11</v>
      </c>
      <c r="N4" s="16">
        <f ca="1">TODAY()-L4</f>
        <v>199</v>
      </c>
      <c r="O4" s="16" t="str">
        <f ca="1">IF(N4&gt;21, "Yes", "No")</f>
        <v>Yes</v>
      </c>
      <c r="P4" s="16"/>
      <c r="Q4" s="16"/>
      <c r="R4" s="16"/>
      <c r="S4" s="16"/>
      <c r="T4" s="16"/>
      <c r="U4" s="16"/>
      <c r="V4" s="16"/>
      <c r="W4" s="16"/>
      <c r="X4" s="16"/>
      <c r="Z4" s="11">
        <v>44487</v>
      </c>
      <c r="AA4" s="16"/>
      <c r="AB4" s="16"/>
      <c r="AC4" s="16">
        <v>1</v>
      </c>
      <c r="AD4" s="16"/>
    </row>
    <row r="5" spans="1:30" ht="18" customHeight="1" x14ac:dyDescent="0.35">
      <c r="A5" s="7" t="s">
        <v>39</v>
      </c>
      <c r="B5" s="28">
        <f t="array" ref="B5">(IFERROR((LOOKUP(2,1/(I$3:I$100&lt;&gt;""),I$3:I$100)),0))</f>
        <v>170</v>
      </c>
      <c r="D5" s="16"/>
      <c r="E5" s="16"/>
      <c r="F5" s="16"/>
      <c r="G5" s="16"/>
      <c r="H5" s="10"/>
      <c r="I5" s="16">
        <f>I4-AC3</f>
        <v>69</v>
      </c>
      <c r="J5" s="16"/>
      <c r="K5" s="16"/>
      <c r="L5" s="10">
        <v>44677</v>
      </c>
      <c r="M5" s="16">
        <f>24+35</f>
        <v>59</v>
      </c>
      <c r="N5" s="16">
        <f ca="1">TODAY()-L5</f>
        <v>170</v>
      </c>
      <c r="O5" s="16" t="str">
        <f ca="1">IF(N5&gt;21, "Yes", "No")</f>
        <v>Yes</v>
      </c>
      <c r="P5" s="10"/>
      <c r="Q5" s="16"/>
      <c r="R5" s="16"/>
      <c r="S5" s="16"/>
      <c r="T5" s="16"/>
      <c r="U5" s="16"/>
      <c r="V5" s="16"/>
      <c r="W5" s="16"/>
      <c r="X5" s="16"/>
      <c r="Z5" s="11">
        <v>44497</v>
      </c>
      <c r="AA5" s="16"/>
      <c r="AB5" s="16"/>
      <c r="AC5" s="16">
        <v>2</v>
      </c>
      <c r="AD5" s="16"/>
    </row>
    <row r="6" spans="1:30" ht="18" customHeight="1" x14ac:dyDescent="0.35">
      <c r="A6" s="7" t="s">
        <v>41</v>
      </c>
      <c r="B6" s="8">
        <f t="array" ref="B6">LOOKUP(2,1 / (H$3:H$100 &lt;&gt;""), H$3:H$100)</f>
        <v>44749</v>
      </c>
      <c r="D6" s="16"/>
      <c r="E6" s="16"/>
      <c r="F6" s="16"/>
      <c r="G6" s="16"/>
      <c r="H6" s="16"/>
      <c r="I6" s="16">
        <v>68</v>
      </c>
      <c r="J6" s="16"/>
      <c r="K6" s="16"/>
      <c r="L6" s="10">
        <v>44749</v>
      </c>
      <c r="M6" s="16">
        <f>6+3+4+12+12+1</f>
        <v>38</v>
      </c>
      <c r="N6" s="16">
        <f ca="1">TODAY()-L6</f>
        <v>98</v>
      </c>
      <c r="O6" s="16" t="str">
        <f ca="1">IF(N6&gt;21, "Yes", "No")</f>
        <v>Yes</v>
      </c>
      <c r="P6" s="16"/>
      <c r="Q6" s="16"/>
      <c r="R6" s="16"/>
      <c r="S6" s="16"/>
      <c r="T6" s="16"/>
      <c r="U6" s="16"/>
      <c r="V6" s="16"/>
      <c r="W6" s="16"/>
      <c r="X6" s="16"/>
      <c r="Z6" s="11">
        <v>44531</v>
      </c>
      <c r="AA6" s="16"/>
      <c r="AB6" s="16"/>
      <c r="AC6" s="16">
        <f>8+2+4+6+6+2</f>
        <v>28</v>
      </c>
      <c r="AD6" s="16"/>
    </row>
    <row r="7" spans="1:30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0">
        <v>44497</v>
      </c>
      <c r="I7" s="16">
        <v>64</v>
      </c>
      <c r="J7" s="16">
        <f ca="1">TODAY()-H7</f>
        <v>350</v>
      </c>
      <c r="K7" s="16" t="str">
        <f ca="1">IF(J7&gt;21, "Yes", "No")</f>
        <v>Yes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Z7" s="11">
        <v>44566</v>
      </c>
      <c r="AA7" s="16"/>
      <c r="AB7" s="16"/>
      <c r="AC7" s="16">
        <f>4+2+1+3+1+3+5+3+2+2</f>
        <v>26</v>
      </c>
      <c r="AD7" s="16"/>
    </row>
    <row r="8" spans="1:30" ht="18" customHeight="1" x14ac:dyDescent="0.35">
      <c r="A8" s="31" t="s">
        <v>43</v>
      </c>
      <c r="B8" s="28">
        <f t="array" ref="B8">(IFERROR((LOOKUP(2,1/(M$3:M$100&lt;&gt;""),M$3:M$100)),0))</f>
        <v>38</v>
      </c>
      <c r="D8" s="16"/>
      <c r="E8" s="16"/>
      <c r="F8" s="16"/>
      <c r="G8" s="16"/>
      <c r="H8" s="16"/>
      <c r="I8" s="16">
        <f>I7-28</f>
        <v>36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A8" s="16"/>
      <c r="AB8" s="16"/>
      <c r="AC8" s="16"/>
      <c r="AD8" s="16"/>
    </row>
    <row r="9" spans="1:30" ht="18" customHeight="1" x14ac:dyDescent="0.35">
      <c r="A9" s="31" t="s">
        <v>44</v>
      </c>
      <c r="B9" s="8">
        <f t="array" ref="B9">LOOKUP(2,1 / (L$3:L$100 &lt;&gt;""), L$3:L$100)</f>
        <v>44749</v>
      </c>
      <c r="D9" s="16"/>
      <c r="E9" s="16"/>
      <c r="F9" s="16"/>
      <c r="G9" s="16"/>
      <c r="H9" s="10">
        <v>44531</v>
      </c>
      <c r="I9" s="16">
        <f>3+5+7+6+4+9+4+4+4+2+4+4+4</f>
        <v>60</v>
      </c>
      <c r="J9" s="16">
        <f ca="1">TODAY()-H9</f>
        <v>316</v>
      </c>
      <c r="K9" s="16" t="str">
        <f ca="1">IF(J9&gt;21, "Yes", "No")</f>
        <v>Yes</v>
      </c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A9" s="16"/>
      <c r="AB9" s="16"/>
      <c r="AC9" s="16"/>
      <c r="AD9" s="16"/>
    </row>
    <row r="10" spans="1:30" ht="18" customHeight="1" x14ac:dyDescent="0.35">
      <c r="A10" s="31" t="s">
        <v>45</v>
      </c>
      <c r="B10" s="1" t="str">
        <f t="array" aca="1" ref="B10" ca="1">LOOKUP(2,1 / (O$3:O$100 &lt;&gt;""), O$3:O$100)</f>
        <v>Yes</v>
      </c>
      <c r="I10">
        <f>I9-26</f>
        <v>34</v>
      </c>
    </row>
    <row r="11" spans="1:30" ht="18" customHeight="1" x14ac:dyDescent="0.35">
      <c r="A11" s="18" t="s">
        <v>46</v>
      </c>
      <c r="B11" s="28">
        <f t="array" ref="B11">(IFERROR((LOOKUP(2,1/(M$10:M$100&lt;&gt;""),M$10:M$100)),0))</f>
        <v>0</v>
      </c>
      <c r="H11" s="11">
        <v>44566</v>
      </c>
      <c r="I11">
        <f>2+2+4+4+4+3+7+3+2+8+3+6+2+9+1+5+1+6+5+1</f>
        <v>78</v>
      </c>
      <c r="J11" s="16">
        <f ca="1">TODAY()-H11</f>
        <v>281</v>
      </c>
      <c r="K11" s="16" t="str">
        <f ca="1">IF(J11&gt;21, "Yes", "No")</f>
        <v>Yes</v>
      </c>
    </row>
    <row r="12" spans="1:30" ht="18" customHeight="1" x14ac:dyDescent="0.35">
      <c r="A12" s="18" t="s">
        <v>47</v>
      </c>
      <c r="B12" s="8" t="e">
        <f t="array" ref="B12">LOOKUP(2,1 / (L$10:L$100 &lt;&gt;""), L$10:L$100)</f>
        <v>#N/A</v>
      </c>
      <c r="H12" s="11">
        <v>44602</v>
      </c>
      <c r="I12">
        <f>8+12+8+8+8+4+8+8+4+8+8</f>
        <v>84</v>
      </c>
      <c r="J12" s="16">
        <f ca="1">TODAY()-H12</f>
        <v>245</v>
      </c>
      <c r="K12" s="16" t="str">
        <f ca="1">IF(J12&gt;21, "Yes", "No")</f>
        <v>Yes</v>
      </c>
    </row>
    <row r="13" spans="1:30" ht="18" customHeight="1" x14ac:dyDescent="0.35">
      <c r="A13" s="18" t="s">
        <v>48</v>
      </c>
      <c r="B13" s="1">
        <f t="array" ref="B13">LOOKUP(2,1 / (P$3:P$100 &lt;&gt;""), P$3:P$100)</f>
        <v>44497</v>
      </c>
      <c r="H13" s="11">
        <v>44677</v>
      </c>
      <c r="I13">
        <v>190</v>
      </c>
      <c r="J13" s="16">
        <f ca="1">TODAY()-H13</f>
        <v>170</v>
      </c>
      <c r="K13" s="16" t="str">
        <f ca="1">IF(J13&gt;21, "Yes", "No")</f>
        <v>Yes</v>
      </c>
    </row>
    <row r="14" spans="1:30" ht="18" customHeight="1" x14ac:dyDescent="0.35">
      <c r="A14" s="2" t="s">
        <v>49</v>
      </c>
      <c r="B14" s="28">
        <f>(IFERROR((LOOKUP(2,1/(Q$3:Q$100&lt;&gt;""),Q$3:Q$100)),0))</f>
        <v>5</v>
      </c>
      <c r="H14" s="11">
        <v>44749</v>
      </c>
      <c r="I14">
        <f>16+16+12+18+32+19+16+12+20+9</f>
        <v>170</v>
      </c>
      <c r="J14">
        <f ca="1">TODAY()-H14</f>
        <v>98</v>
      </c>
      <c r="K14" t="str">
        <f ca="1">IF(J14&gt;21, "Yes", "No")</f>
        <v>Yes</v>
      </c>
    </row>
    <row r="15" spans="1:30" ht="18" customHeight="1" x14ac:dyDescent="0.35">
      <c r="A15" s="2" t="s">
        <v>50</v>
      </c>
      <c r="B15" s="8" t="e">
        <f>LOOKUP(2,1 / (U$3:U$9 &lt;&gt;""), U$3:U$9)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1"/>
  <sheetViews>
    <sheetView zoomScale="110" zoomScaleNormal="110" workbookViewId="0">
      <selection activeCell="M5" sqref="M5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3" max="13" width="5.44140625" style="33" bestFit="1" customWidth="1"/>
    <col min="14" max="14" width="13.44140625" style="33" bestFit="1" customWidth="1"/>
    <col min="17" max="17" width="14.6640625" style="33" bestFit="1" customWidth="1"/>
    <col min="21" max="22" width="10.6640625" style="33" bestFit="1" customWidth="1"/>
  </cols>
  <sheetData>
    <row r="1" spans="1:30" ht="18" customHeight="1" x14ac:dyDescent="0.35">
      <c r="A1" s="2" t="s">
        <v>21</v>
      </c>
      <c r="B1" s="28" t="s">
        <v>56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16"/>
      <c r="U1" s="5" t="s">
        <v>24</v>
      </c>
      <c r="V1" s="16"/>
      <c r="W1" s="16"/>
      <c r="X1" s="16"/>
      <c r="AA1" s="5" t="s">
        <v>25</v>
      </c>
      <c r="AB1" s="16"/>
      <c r="AC1" s="16"/>
      <c r="AD1" s="16"/>
    </row>
    <row r="2" spans="1:30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32</v>
      </c>
      <c r="S2" s="19" t="s">
        <v>29</v>
      </c>
      <c r="T2" s="19" t="s">
        <v>30</v>
      </c>
      <c r="U2" s="5" t="s">
        <v>27</v>
      </c>
      <c r="V2" s="5" t="s">
        <v>28</v>
      </c>
      <c r="W2" s="5" t="s">
        <v>29</v>
      </c>
      <c r="X2" s="5" t="s">
        <v>30</v>
      </c>
      <c r="Z2" s="9" t="s">
        <v>33</v>
      </c>
      <c r="AA2" s="5" t="s">
        <v>15</v>
      </c>
      <c r="AB2" s="5" t="s">
        <v>16</v>
      </c>
      <c r="AC2" s="5" t="s">
        <v>17</v>
      </c>
      <c r="AD2" s="5" t="s">
        <v>23</v>
      </c>
    </row>
    <row r="3" spans="1:30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44326</v>
      </c>
      <c r="I3" s="16">
        <v>27</v>
      </c>
      <c r="J3" s="16">
        <f ca="1">TODAY()-H3</f>
        <v>521</v>
      </c>
      <c r="K3" s="16" t="str">
        <f ca="1">IF(J3&gt;21, "Yes", "No")</f>
        <v>Yes</v>
      </c>
      <c r="L3" s="10">
        <v>44634</v>
      </c>
      <c r="M3" s="16">
        <f>16+28+11</f>
        <v>55</v>
      </c>
      <c r="N3" s="16">
        <f ca="1">TODAY()-L3</f>
        <v>213</v>
      </c>
      <c r="O3" s="16" t="str">
        <f ca="1">IF(N3&gt;21, "Yes", "No")</f>
        <v>Yes</v>
      </c>
      <c r="P3" s="10">
        <v>44470</v>
      </c>
      <c r="Q3" s="16">
        <v>1</v>
      </c>
      <c r="R3" s="16"/>
      <c r="S3" s="16">
        <f ca="1">TODAY()-P3</f>
        <v>377</v>
      </c>
      <c r="T3" s="16"/>
      <c r="U3" s="11">
        <v>44522</v>
      </c>
      <c r="V3">
        <f>48+15</f>
        <v>63</v>
      </c>
      <c r="W3" s="16"/>
      <c r="X3" s="16"/>
      <c r="Z3" s="11">
        <v>44483</v>
      </c>
      <c r="AA3" s="16"/>
      <c r="AB3" s="16"/>
      <c r="AC3" s="16">
        <v>7</v>
      </c>
      <c r="AD3" s="16"/>
    </row>
    <row r="4" spans="1:30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44469</v>
      </c>
      <c r="I4" s="16">
        <v>138</v>
      </c>
      <c r="J4" s="16">
        <f ca="1">TODAY()-H4</f>
        <v>378</v>
      </c>
      <c r="K4" s="16" t="str">
        <f ca="1">IF(J4&gt;21, "Yes", "No")</f>
        <v>Yes</v>
      </c>
      <c r="L4" s="10">
        <v>44733</v>
      </c>
      <c r="M4" s="16">
        <v>1</v>
      </c>
      <c r="N4" s="16">
        <f ca="1">TODAY()-L4</f>
        <v>114</v>
      </c>
      <c r="O4" s="16" t="str">
        <f ca="1">IF(N4&gt;21, "Yes", "No")</f>
        <v>Yes</v>
      </c>
      <c r="P4" s="16"/>
      <c r="Q4" s="16">
        <v>0</v>
      </c>
      <c r="R4" s="16"/>
      <c r="S4" s="16"/>
      <c r="T4" s="16"/>
      <c r="U4" s="10">
        <v>44534</v>
      </c>
      <c r="V4" s="16">
        <f>48+48+14</f>
        <v>110</v>
      </c>
      <c r="W4" s="16"/>
      <c r="X4" s="16"/>
      <c r="Z4" s="11">
        <v>44487</v>
      </c>
      <c r="AA4" s="16"/>
      <c r="AB4" s="16"/>
      <c r="AC4" s="16">
        <v>3</v>
      </c>
      <c r="AD4" s="16">
        <v>1</v>
      </c>
    </row>
    <row r="5" spans="1:30" ht="18" customHeight="1" x14ac:dyDescent="0.35">
      <c r="A5" s="7" t="s">
        <v>39</v>
      </c>
      <c r="B5" s="28">
        <f t="array" ref="B5">(IFERROR((LOOKUP(2,1/(I$3:I$100&lt;&gt;""),I$3:I$100)),0))</f>
        <v>24</v>
      </c>
      <c r="D5" s="16"/>
      <c r="E5" s="16"/>
      <c r="F5" s="16"/>
      <c r="G5" s="16"/>
      <c r="H5" s="10"/>
      <c r="I5" s="16">
        <f>I4+112</f>
        <v>250</v>
      </c>
      <c r="J5" s="16"/>
      <c r="K5" s="16"/>
      <c r="L5" s="10"/>
      <c r="M5" s="16"/>
      <c r="N5" s="16"/>
      <c r="O5" s="16"/>
      <c r="P5" s="10">
        <v>44497</v>
      </c>
      <c r="Q5" s="16">
        <v>9</v>
      </c>
      <c r="R5" s="16">
        <f>14+4+2+4</f>
        <v>24</v>
      </c>
      <c r="S5" s="16">
        <f ca="1">TODAY()-P5</f>
        <v>350</v>
      </c>
      <c r="T5" s="16" t="str">
        <f ca="1">IF(S5&gt;21, "Yes", "No")</f>
        <v>Yes</v>
      </c>
      <c r="U5" s="16"/>
      <c r="V5" s="16"/>
      <c r="W5" s="16"/>
      <c r="X5" s="16"/>
      <c r="Z5" s="11">
        <v>44497</v>
      </c>
      <c r="AA5" s="16"/>
      <c r="AB5" s="16"/>
      <c r="AC5" s="16">
        <v>21</v>
      </c>
      <c r="AD5" s="16"/>
    </row>
    <row r="6" spans="1:30" ht="18" customHeight="1" x14ac:dyDescent="0.35">
      <c r="A6" s="7" t="s">
        <v>41</v>
      </c>
      <c r="B6" s="8">
        <f t="array" ref="B6">LOOKUP(2,1 / (H$3:H$100 &lt;&gt;""), H$3:H$100)</f>
        <v>44733</v>
      </c>
      <c r="D6" s="16"/>
      <c r="E6" s="16"/>
      <c r="F6" s="16"/>
      <c r="G6" s="16"/>
      <c r="H6" s="16"/>
      <c r="I6" s="16">
        <f>I5-AC3</f>
        <v>243</v>
      </c>
      <c r="J6" s="16"/>
      <c r="K6" s="16"/>
      <c r="L6" s="10"/>
      <c r="M6" s="16"/>
      <c r="N6" s="16"/>
      <c r="O6" s="16"/>
      <c r="P6" s="16"/>
      <c r="Q6" s="16">
        <v>15</v>
      </c>
      <c r="R6" s="16">
        <f>24+16</f>
        <v>40</v>
      </c>
      <c r="S6" s="16"/>
      <c r="T6" s="16"/>
      <c r="U6" s="16"/>
      <c r="V6" s="16"/>
      <c r="W6" s="16"/>
      <c r="X6" s="16"/>
      <c r="Z6" s="11">
        <v>44505</v>
      </c>
      <c r="AA6" s="16"/>
      <c r="AB6" s="16"/>
      <c r="AC6" s="16">
        <v>7</v>
      </c>
      <c r="AD6" s="16"/>
    </row>
    <row r="7" spans="1:30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>
        <v>240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Z7" s="11">
        <v>44558</v>
      </c>
      <c r="AA7" s="16"/>
      <c r="AB7" s="16"/>
      <c r="AC7" s="16">
        <v>4</v>
      </c>
      <c r="AD7" s="16"/>
    </row>
    <row r="8" spans="1:30" ht="18" customHeight="1" x14ac:dyDescent="0.35">
      <c r="A8" s="31" t="s">
        <v>43</v>
      </c>
      <c r="B8" s="28">
        <f t="array" ref="B8">(IFERROR((LOOKUP(2,1/(M$3:M$100&lt;&gt;""),M$3:M$100)),0))</f>
        <v>1</v>
      </c>
      <c r="D8" s="16"/>
      <c r="E8" s="16"/>
      <c r="F8" s="16"/>
      <c r="G8" s="16"/>
      <c r="H8" s="10">
        <v>44497</v>
      </c>
      <c r="I8" s="16">
        <v>192</v>
      </c>
      <c r="J8" s="16">
        <f ca="1">TODAY()-H8</f>
        <v>350</v>
      </c>
      <c r="K8" s="16" t="str">
        <f ca="1">IF(J8&gt;21, "Yes", "No")</f>
        <v>Yes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Z8" s="11">
        <v>44568</v>
      </c>
      <c r="AA8" s="16"/>
      <c r="AB8" s="16"/>
      <c r="AC8" s="16">
        <f>3</f>
        <v>3</v>
      </c>
      <c r="AD8" s="16"/>
    </row>
    <row r="9" spans="1:30" ht="18" customHeight="1" x14ac:dyDescent="0.35">
      <c r="A9" s="31" t="s">
        <v>44</v>
      </c>
      <c r="B9" s="8">
        <f t="array" ref="B9">LOOKUP(2,1 / (H$3:H$100 &lt;&gt;""), H$3:H$100)</f>
        <v>44733</v>
      </c>
      <c r="D9" s="16"/>
      <c r="E9" s="16"/>
      <c r="F9" s="16"/>
      <c r="G9" s="16"/>
      <c r="H9" s="16"/>
      <c r="I9" s="16">
        <f>192-7</f>
        <v>185</v>
      </c>
      <c r="J9" s="16"/>
      <c r="K9" s="16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Z9" s="11">
        <v>44572</v>
      </c>
      <c r="AA9" s="16"/>
      <c r="AB9" s="16"/>
      <c r="AC9" s="16">
        <f>6+2+2+2+6+4+3+7+3+4+3+4+4+2+15+4+3</f>
        <v>74</v>
      </c>
      <c r="AD9" s="16"/>
    </row>
    <row r="10" spans="1:30" ht="18" customHeight="1" x14ac:dyDescent="0.35">
      <c r="A10" s="31" t="s">
        <v>45</v>
      </c>
      <c r="B10" s="1" t="str">
        <f t="array" aca="1" ref="B10" ca="1">LOOKUP(2,1 / (K$3:K$100 &lt;&gt;""), K$3:K$100)</f>
        <v>Yes</v>
      </c>
      <c r="H10" s="11"/>
      <c r="I10">
        <f>3+3+10+5+4+4+3+3+4+5+4+4+3+4+2+2+9+5+3+2+1+1+5+3+2+2+6+4+185</f>
        <v>291</v>
      </c>
    </row>
    <row r="11" spans="1:30" ht="18" customHeight="1" x14ac:dyDescent="0.35">
      <c r="A11" s="18" t="s">
        <v>46</v>
      </c>
      <c r="B11" s="28">
        <f t="array" ref="B11">(IFERROR((LOOKUP(2,1/(M$10:M$100&lt;&gt;""),M$10:M$100)),0))</f>
        <v>0</v>
      </c>
      <c r="I11">
        <f>291+18</f>
        <v>309</v>
      </c>
    </row>
    <row r="12" spans="1:30" ht="18" customHeight="1" x14ac:dyDescent="0.35">
      <c r="A12" s="18" t="s">
        <v>47</v>
      </c>
      <c r="B12" s="8" t="e">
        <f t="array" ref="B12">LOOKUP(2,1 / (L$10:L$100 &lt;&gt;""), L$10:L$100)</f>
        <v>#N/A</v>
      </c>
      <c r="I12">
        <v>313</v>
      </c>
    </row>
    <row r="13" spans="1:30" ht="18" customHeight="1" x14ac:dyDescent="0.35">
      <c r="A13" s="18" t="s">
        <v>48</v>
      </c>
      <c r="B13" s="1">
        <f t="array" ref="B13">LOOKUP(2,1 / (P$3:P$100 &lt;&gt;""), P$3:P$100)</f>
        <v>44497</v>
      </c>
      <c r="I13">
        <f>I12+17</f>
        <v>330</v>
      </c>
    </row>
    <row r="14" spans="1:30" ht="18" customHeight="1" x14ac:dyDescent="0.35">
      <c r="A14" s="2" t="s">
        <v>49</v>
      </c>
      <c r="B14" s="28">
        <f>(IFERROR((LOOKUP(2,1/(Q$4:Q$100&lt;&gt;""),Q$4:Q$100)),0))</f>
        <v>15</v>
      </c>
      <c r="H14" s="11">
        <v>44534</v>
      </c>
      <c r="I14">
        <f>7+8+6+7+8+8+12+11+8+7+6+10+9+6+9+5+7+5+4+6+5+5+6+8+10+5+2+2+6+1+7+2+1+4+7+4+7+1+1+6+2+5+2+10+7+4+7+4+6+6+10+1+5+2+4</f>
        <v>314</v>
      </c>
    </row>
    <row r="15" spans="1:30" ht="18" customHeight="1" x14ac:dyDescent="0.35">
      <c r="A15" s="2" t="s">
        <v>50</v>
      </c>
      <c r="B15" s="8">
        <f>LOOKUP(2,1 / (U$4:U$9 &lt;&gt;""), U$4:U$9)</f>
        <v>44534</v>
      </c>
      <c r="I15">
        <f>I14+2+5+3+3+4+6+1+8+10+3+2+1</f>
        <v>362</v>
      </c>
    </row>
    <row r="16" spans="1:30" x14ac:dyDescent="0.3">
      <c r="I16">
        <f>I15-4</f>
        <v>358</v>
      </c>
    </row>
    <row r="17" spans="8:11" x14ac:dyDescent="0.3">
      <c r="I17">
        <f>I16-3</f>
        <v>355</v>
      </c>
    </row>
    <row r="18" spans="8:11" x14ac:dyDescent="0.3">
      <c r="I18">
        <f>I17-AC9</f>
        <v>281</v>
      </c>
    </row>
    <row r="19" spans="8:11" x14ac:dyDescent="0.3">
      <c r="H19" s="11">
        <v>44572</v>
      </c>
      <c r="I19">
        <f>9+12+8+4+5+3+9+15+13+9+10+6+6+10+13+12+5+3+9+7+7+14+9+11+8+5+6+6+5+4+10+12+8+5+12+6+14+11+16+14+11+16+8+7+9+4+17+5+7+13+4+4+5+6+6+9+8+12+13+15+7+7+15+2+11+9+17+17+13+7+15+13+6+15+11+5+4+5+6+15+6+5+1+12+4+11+2+6+9+7+5+10+8+9+13+7+13+3+9</f>
        <v>870</v>
      </c>
    </row>
    <row r="20" spans="8:11" x14ac:dyDescent="0.3">
      <c r="H20" s="11">
        <v>44634</v>
      </c>
      <c r="I20">
        <f>28+55+15</f>
        <v>98</v>
      </c>
      <c r="J20" s="16">
        <f ca="1">TODAY()-H20</f>
        <v>213</v>
      </c>
      <c r="K20" s="16" t="str">
        <f ca="1">IF(J20&gt;21, "Yes", "No")</f>
        <v>Yes</v>
      </c>
    </row>
    <row r="21" spans="8:11" x14ac:dyDescent="0.3">
      <c r="H21" s="11">
        <v>44733</v>
      </c>
      <c r="I21">
        <v>24</v>
      </c>
      <c r="J21" s="16">
        <f ca="1">TODAY()-H21</f>
        <v>114</v>
      </c>
      <c r="K21" s="16" t="str">
        <f ca="1">IF(J21&gt;21, "Yes", "No")</f>
        <v>Yes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5"/>
  <sheetViews>
    <sheetView zoomScale="110" zoomScaleNormal="110" workbookViewId="0">
      <selection activeCell="H23" sqref="H23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0.6640625" style="33" bestFit="1" customWidth="1"/>
    <col min="14" max="14" width="10.6640625" style="33" bestFit="1" customWidth="1"/>
    <col min="21" max="21" width="10.6640625" style="33" bestFit="1" customWidth="1"/>
  </cols>
  <sheetData>
    <row r="1" spans="1:29" ht="18" customHeight="1" x14ac:dyDescent="0.35">
      <c r="A1" s="2" t="s">
        <v>21</v>
      </c>
      <c r="B1" s="28" t="s">
        <v>57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24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44321</v>
      </c>
      <c r="I3" s="16">
        <v>32</v>
      </c>
      <c r="J3" s="16">
        <f ca="1">TODAY()-H3</f>
        <v>526</v>
      </c>
      <c r="K3" s="16" t="str">
        <f ca="1">IF(J3&gt;21, "Yes", "No")</f>
        <v>Yes</v>
      </c>
      <c r="L3" s="10">
        <v>44677</v>
      </c>
      <c r="M3" s="16">
        <v>43</v>
      </c>
      <c r="N3" s="16">
        <f ca="1">TODAY()-L3</f>
        <v>170</v>
      </c>
      <c r="O3" s="16" t="str">
        <f ca="1">IF(N3&gt;21, "Yes", "No")</f>
        <v>Yes</v>
      </c>
      <c r="P3" s="10">
        <v>44494</v>
      </c>
      <c r="Q3" s="16">
        <v>1</v>
      </c>
      <c r="R3" s="16">
        <f ca="1">TODAY()-P3</f>
        <v>353</v>
      </c>
      <c r="S3" s="16" t="str">
        <f ca="1">IF(R3&gt;21, "Yes", "No")</f>
        <v>Yes</v>
      </c>
      <c r="T3" s="16"/>
      <c r="U3" s="16"/>
      <c r="V3" s="16"/>
      <c r="W3" s="16"/>
      <c r="Y3" s="11">
        <v>44487</v>
      </c>
      <c r="Z3" s="16"/>
      <c r="AA3" s="16"/>
      <c r="AB3" s="16">
        <v>1</v>
      </c>
      <c r="AC3" s="16"/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44469</v>
      </c>
      <c r="I4" s="16">
        <v>141</v>
      </c>
      <c r="J4" s="16">
        <f ca="1">TODAY()-H4</f>
        <v>378</v>
      </c>
      <c r="K4" s="16" t="str">
        <f ca="1">IF(J4&gt;21, "Yes", "No")</f>
        <v>Yes</v>
      </c>
      <c r="L4" s="10"/>
      <c r="M4" s="16">
        <f>42</f>
        <v>42</v>
      </c>
      <c r="N4" s="16"/>
      <c r="O4" s="16"/>
      <c r="P4" s="16"/>
      <c r="Q4" s="16"/>
      <c r="R4" s="16"/>
      <c r="S4" s="16"/>
      <c r="T4" s="16"/>
      <c r="U4" s="16"/>
      <c r="V4" s="16"/>
      <c r="W4" s="16"/>
      <c r="Y4" s="11">
        <v>44498</v>
      </c>
      <c r="Z4" s="16"/>
      <c r="AA4" s="16"/>
      <c r="AB4" s="16">
        <v>19</v>
      </c>
      <c r="AC4" s="16"/>
    </row>
    <row r="5" spans="1:29" ht="18" customHeight="1" x14ac:dyDescent="0.35">
      <c r="A5" s="7" t="s">
        <v>39</v>
      </c>
      <c r="B5" s="28">
        <f t="array" ref="B5">(IFERROR((LOOKUP(2,1/(I$3:I$100&lt;&gt;""),I$3:I$100)),0))</f>
        <v>158</v>
      </c>
      <c r="D5" s="16"/>
      <c r="E5" s="16"/>
      <c r="F5" s="16"/>
      <c r="G5" s="16"/>
      <c r="H5" s="10">
        <v>44470</v>
      </c>
      <c r="I5" s="16">
        <f>I4+34</f>
        <v>175</v>
      </c>
      <c r="J5" s="16"/>
      <c r="K5" s="16"/>
      <c r="L5" s="10">
        <v>44753</v>
      </c>
      <c r="M5" s="16">
        <v>73</v>
      </c>
      <c r="N5" s="16"/>
      <c r="O5" s="16"/>
      <c r="P5" s="10"/>
      <c r="Q5" s="16"/>
      <c r="R5" s="16"/>
      <c r="S5" s="16"/>
      <c r="T5" s="16"/>
      <c r="U5" s="16"/>
      <c r="V5" s="16"/>
      <c r="W5" s="16"/>
      <c r="Y5" s="11">
        <v>44533</v>
      </c>
      <c r="Z5" s="16"/>
      <c r="AA5" s="16"/>
      <c r="AB5" s="16">
        <f>5+3+4+2+3+5+82+2</f>
        <v>106</v>
      </c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44753</v>
      </c>
      <c r="D6" s="16"/>
      <c r="E6" s="16"/>
      <c r="F6" s="16"/>
      <c r="G6" s="16"/>
      <c r="H6" s="16"/>
      <c r="I6" s="16">
        <v>181</v>
      </c>
      <c r="J6" s="16"/>
      <c r="K6" s="16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Y6" s="11">
        <v>44572</v>
      </c>
      <c r="Z6" s="16"/>
      <c r="AA6" s="16"/>
      <c r="AB6" s="16">
        <f>6+2+1+3+3+6+1+16</f>
        <v>38</v>
      </c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>
        <v>180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Z7" s="16"/>
      <c r="AA7" s="16"/>
      <c r="AB7" s="16"/>
      <c r="AC7" s="16"/>
    </row>
    <row r="8" spans="1:29" ht="18" customHeight="1" x14ac:dyDescent="0.35">
      <c r="A8" s="31" t="s">
        <v>43</v>
      </c>
      <c r="B8" s="28">
        <f t="array" ref="B8">(IFERROR((LOOKUP(2,1/(I$3:I$100&lt;&gt;""),I$3:I$100)),0))</f>
        <v>158</v>
      </c>
      <c r="D8" s="16"/>
      <c r="E8" s="16"/>
      <c r="F8" s="16"/>
      <c r="G8" s="16"/>
      <c r="H8" s="10">
        <v>44498</v>
      </c>
      <c r="I8" s="16">
        <v>172</v>
      </c>
      <c r="J8" s="16">
        <f ca="1">TODAY()-H8</f>
        <v>349</v>
      </c>
      <c r="K8" s="16" t="str">
        <f ca="1">IF(J8&gt;21, "Yes", "No")</f>
        <v>Yes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(H$3:H$100 &lt;&gt;""), H$3:H$100)</f>
        <v>44753</v>
      </c>
      <c r="D9" s="16"/>
      <c r="E9" s="16"/>
      <c r="F9" s="16"/>
      <c r="G9" s="16"/>
      <c r="H9" s="16"/>
      <c r="I9" s="16">
        <f>I8-AB5</f>
        <v>66</v>
      </c>
      <c r="J9" s="16"/>
      <c r="K9" s="16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(K$3:K$100 &lt;&gt;""), K$3:K$100)</f>
        <v>Yes</v>
      </c>
      <c r="H10" s="11">
        <v>44533</v>
      </c>
      <c r="I10">
        <f>3+7+4+3+1+5+6+3+4+3+2+4+1+3+5+3+7+6+8+7+5+5</f>
        <v>95</v>
      </c>
      <c r="J10" s="16">
        <f ca="1">TODAY()-H10</f>
        <v>314</v>
      </c>
      <c r="K10" s="16" t="str">
        <f ca="1">IF(J10&gt;21, "Yes", "No")</f>
        <v>Yes</v>
      </c>
    </row>
    <row r="11" spans="1:29" ht="18" customHeight="1" x14ac:dyDescent="0.35">
      <c r="A11" s="18" t="s">
        <v>46</v>
      </c>
      <c r="B11" s="28">
        <f t="array" ref="B11">(IFERROR((LOOKUP(2,1/(M$10:M$100&lt;&gt;""),M$10:M$100)),0))</f>
        <v>0</v>
      </c>
      <c r="I11">
        <f>I10-38</f>
        <v>57</v>
      </c>
    </row>
    <row r="12" spans="1:29" ht="18" customHeight="1" x14ac:dyDescent="0.35">
      <c r="A12" s="18" t="s">
        <v>47</v>
      </c>
      <c r="B12" s="8" t="e">
        <f t="array" ref="B12">LOOKUP(2,1 / (L$10:L$100 &lt;&gt;""), L$10:L$100)</f>
        <v>#N/A</v>
      </c>
      <c r="H12" s="11">
        <v>44572</v>
      </c>
      <c r="I12">
        <f>61+2+6+20+4+3+4+14+2+6+9+2+2+10+17</f>
        <v>162</v>
      </c>
      <c r="J12" s="16">
        <f ca="1">TODAY()-H12</f>
        <v>275</v>
      </c>
      <c r="K12" s="16" t="str">
        <f ca="1">IF(J12&gt;21, "Yes", "No")</f>
        <v>Yes</v>
      </c>
    </row>
    <row r="13" spans="1:29" ht="18" customHeight="1" x14ac:dyDescent="0.35">
      <c r="A13" s="18" t="s">
        <v>48</v>
      </c>
      <c r="B13" s="1" t="e">
        <f t="array" ref="B13">LOOKUP(2,1 / (O$10:O$100 &lt;&gt;""), O$10:O$100)</f>
        <v>#N/A</v>
      </c>
      <c r="H13" s="11">
        <v>44677</v>
      </c>
      <c r="I13">
        <v>96</v>
      </c>
      <c r="J13" s="16">
        <f ca="1">TODAY()-H13</f>
        <v>170</v>
      </c>
      <c r="K13" s="16" t="str">
        <f ca="1">IF(J13&gt;21, "Yes", "No")</f>
        <v>Yes</v>
      </c>
    </row>
    <row r="14" spans="1:29" ht="18" customHeight="1" x14ac:dyDescent="0.35">
      <c r="A14" s="2" t="s">
        <v>49</v>
      </c>
      <c r="B14" s="28">
        <f>(IFERROR((LOOKUP(2,1/(Q$3:Q$100&lt;&gt;""),Q$3:Q$100)),0))</f>
        <v>1</v>
      </c>
      <c r="I14">
        <f>93+4</f>
        <v>97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  <c r="H15" s="11">
        <v>44753</v>
      </c>
      <c r="I15">
        <f>126+16+16</f>
        <v>158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8"/>
  <sheetViews>
    <sheetView tabSelected="1" zoomScale="110" zoomScaleNormal="110" workbookViewId="0">
      <selection activeCell="D12" sqref="D12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3" max="13" width="5.44140625" style="33" bestFit="1" customWidth="1"/>
    <col min="16" max="16" width="9.5546875" style="33" bestFit="1" customWidth="1"/>
    <col min="20" max="20" width="14.6640625" style="33" bestFit="1" customWidth="1"/>
    <col min="21" max="22" width="10.6640625" style="33" bestFit="1" customWidth="1"/>
  </cols>
  <sheetData>
    <row r="1" spans="1:35" ht="18" customHeight="1" x14ac:dyDescent="0.35">
      <c r="A1" s="2" t="s">
        <v>21</v>
      </c>
      <c r="B1" s="28" t="s">
        <v>58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16"/>
      <c r="Y1" s="5" t="s">
        <v>24</v>
      </c>
      <c r="Z1" s="16"/>
      <c r="AA1" s="16"/>
      <c r="AB1" s="16"/>
      <c r="AE1" s="5" t="s">
        <v>25</v>
      </c>
      <c r="AF1" s="16"/>
      <c r="AG1" s="16"/>
      <c r="AH1" s="16"/>
    </row>
    <row r="2" spans="1:35" ht="18" customHeight="1" x14ac:dyDescent="0.35">
      <c r="A2" s="6" t="s">
        <v>26</v>
      </c>
      <c r="B2" s="28">
        <f>(IFERROR((LOOKUP(2,1/(E$3:E$100&lt;&gt;""),E$3:E$100)),0))</f>
        <v>88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32</v>
      </c>
      <c r="W2" s="19" t="s">
        <v>29</v>
      </c>
      <c r="X2" s="19" t="s">
        <v>30</v>
      </c>
      <c r="Y2" s="5" t="s">
        <v>27</v>
      </c>
      <c r="Z2" s="5" t="s">
        <v>28</v>
      </c>
      <c r="AA2" s="5" t="s">
        <v>29</v>
      </c>
      <c r="AB2" s="5" t="s">
        <v>30</v>
      </c>
      <c r="AD2" s="9" t="s">
        <v>33</v>
      </c>
      <c r="AE2" s="5" t="s">
        <v>15</v>
      </c>
      <c r="AF2" s="5" t="s">
        <v>16</v>
      </c>
      <c r="AG2" s="5" t="s">
        <v>17</v>
      </c>
      <c r="AH2" s="5" t="s">
        <v>23</v>
      </c>
      <c r="AI2" s="5" t="s">
        <v>24</v>
      </c>
    </row>
    <row r="3" spans="1:35" ht="18" customHeight="1" x14ac:dyDescent="0.35">
      <c r="A3" s="6" t="s">
        <v>34</v>
      </c>
      <c r="B3" s="8">
        <f>LOOKUP(2,1 / (D$3:D$100 &lt;&gt;""), D$3:D$100)</f>
        <v>86</v>
      </c>
      <c r="D3" s="10">
        <v>44727</v>
      </c>
      <c r="E3" s="16">
        <v>88</v>
      </c>
      <c r="F3" s="16">
        <f ca="1">TODAY()-D3</f>
        <v>120</v>
      </c>
      <c r="G3" s="16" t="str">
        <f ca="1">IF(F3&gt;21, "Yes", "No")</f>
        <v>Yes</v>
      </c>
      <c r="H3" s="10">
        <v>44617</v>
      </c>
      <c r="I3" s="16">
        <v>10</v>
      </c>
      <c r="J3" s="16">
        <f ca="1">TODAY()-H3</f>
        <v>230</v>
      </c>
      <c r="K3" s="16" t="str">
        <f ca="1">IF(J3&gt;21, "Yes", "No")</f>
        <v>Yes</v>
      </c>
      <c r="L3" s="10">
        <v>44347</v>
      </c>
      <c r="M3" s="16">
        <v>16</v>
      </c>
      <c r="N3" s="16">
        <f ca="1">TODAY()-L3</f>
        <v>500</v>
      </c>
      <c r="O3" s="16" t="str">
        <f ca="1">IF(N3&gt;21, "Yes", "No")</f>
        <v>Yes</v>
      </c>
      <c r="P3" s="10">
        <v>44614</v>
      </c>
      <c r="Q3" s="16">
        <f>14+4+10+9+10+3+3+3+3+3+3+3+3+3+3+3+3+3+3+3+3+3+3+4+3+3+4+3+3+4+4+2+3</f>
        <v>134</v>
      </c>
      <c r="R3" s="16">
        <f ca="1">TODAY()-P3</f>
        <v>233</v>
      </c>
      <c r="S3" s="16" t="str">
        <f ca="1">IF(R3&gt;21, "Yes", "No")</f>
        <v>Yes</v>
      </c>
      <c r="T3" s="10"/>
      <c r="U3" s="16">
        <v>1</v>
      </c>
      <c r="V3" s="16"/>
      <c r="W3" s="16"/>
      <c r="X3" s="16"/>
      <c r="Y3" s="16"/>
      <c r="Z3" s="16"/>
      <c r="AA3" s="16"/>
      <c r="AB3" s="16"/>
      <c r="AD3" s="11">
        <v>44483</v>
      </c>
      <c r="AE3" s="16"/>
      <c r="AF3" s="16"/>
      <c r="AG3" s="16">
        <v>4</v>
      </c>
      <c r="AH3" s="16">
        <v>1</v>
      </c>
      <c r="AI3" s="16"/>
    </row>
    <row r="4" spans="1:35" ht="18" customHeight="1" x14ac:dyDescent="0.35">
      <c r="A4" s="6" t="s">
        <v>35</v>
      </c>
      <c r="B4" s="1" t="str">
        <f ca="1">LOOKUP(2,1 / (G$3:G$1048576 &lt;&gt;""), G$3:G$1048576)</f>
        <v>Yes</v>
      </c>
      <c r="D4" s="12">
        <v>86</v>
      </c>
      <c r="E4" s="13"/>
      <c r="F4" s="13"/>
      <c r="G4" s="13"/>
      <c r="H4" s="12"/>
      <c r="I4" s="13"/>
      <c r="J4" s="13"/>
      <c r="K4" s="13"/>
      <c r="L4" s="10">
        <v>44473</v>
      </c>
      <c r="M4" s="16">
        <v>107</v>
      </c>
      <c r="N4" s="16">
        <f ca="1">TODAY()-L4</f>
        <v>374</v>
      </c>
      <c r="O4" s="16" t="str">
        <f ca="1">IF(N4&gt;21, "Yes", "No")</f>
        <v>Yes</v>
      </c>
      <c r="P4" s="10">
        <v>44656</v>
      </c>
      <c r="Q4" s="16">
        <f>4+3+3+3+3+3+3+3+3+3+3+3+3+3+3+3+3+3+3+3+3+3+3+3+3+3+3+3+3+3+3+3+3+3+3+2</f>
        <v>108</v>
      </c>
      <c r="R4" s="16">
        <f ca="1">TODAY()-P4</f>
        <v>191</v>
      </c>
      <c r="S4" s="16" t="str">
        <f ca="1">IF(R4&gt;21, "Yes", "No")</f>
        <v>Yes</v>
      </c>
      <c r="T4" s="16"/>
      <c r="U4" s="16">
        <v>0</v>
      </c>
      <c r="V4" s="16"/>
      <c r="W4" s="16"/>
      <c r="X4" s="16"/>
      <c r="Y4" s="16"/>
      <c r="Z4" s="16"/>
      <c r="AA4" s="16"/>
      <c r="AB4" s="16"/>
      <c r="AD4" s="11">
        <v>44501</v>
      </c>
      <c r="AE4" s="16"/>
      <c r="AF4" s="16"/>
      <c r="AG4" s="16">
        <v>1</v>
      </c>
      <c r="AH4" s="16"/>
      <c r="AI4" s="16"/>
    </row>
    <row r="5" spans="1:35" ht="18" customHeight="1" x14ac:dyDescent="0.35">
      <c r="A5" s="18" t="s">
        <v>36</v>
      </c>
      <c r="B5" s="28">
        <f t="array" ref="B5">(IFERROR((LOOKUP(2,1/(I$3:I$100&lt;&gt;""),I$3:I$100)),0))</f>
        <v>10</v>
      </c>
      <c r="D5" s="16"/>
      <c r="E5" s="16"/>
      <c r="F5" s="16"/>
      <c r="G5" s="16"/>
      <c r="H5" s="16"/>
      <c r="I5" s="16"/>
      <c r="J5" s="16"/>
      <c r="K5" s="16"/>
      <c r="L5" s="10"/>
      <c r="M5" s="16">
        <f>M4-AG3</f>
        <v>103</v>
      </c>
      <c r="N5" s="16"/>
      <c r="O5" s="16"/>
      <c r="P5" s="10">
        <v>44690</v>
      </c>
      <c r="Q5" s="16">
        <f>36+20+8</f>
        <v>64</v>
      </c>
      <c r="R5" s="16">
        <f ca="1">TODAY()-P5</f>
        <v>157</v>
      </c>
      <c r="S5" s="16" t="str">
        <f ca="1">IF(R5&gt;21, "Yes", "No")</f>
        <v>Yes</v>
      </c>
      <c r="T5" s="10">
        <v>44501</v>
      </c>
      <c r="U5" s="16">
        <v>2</v>
      </c>
      <c r="V5" s="16">
        <v>8</v>
      </c>
      <c r="W5" s="16">
        <f ca="1">TODAY()-T5</f>
        <v>346</v>
      </c>
      <c r="X5" s="16" t="str">
        <f ca="1">IF(W5&gt;21, "Yes", "No")</f>
        <v>Yes</v>
      </c>
      <c r="Y5" s="16"/>
      <c r="Z5" s="16"/>
      <c r="AA5" s="16"/>
      <c r="AB5" s="16"/>
      <c r="AD5" s="11">
        <v>44578</v>
      </c>
      <c r="AE5" s="16"/>
      <c r="AF5" s="16"/>
      <c r="AG5" s="16">
        <f>3+2+3+2+1+1+2+2+1+2+3</f>
        <v>22</v>
      </c>
      <c r="AH5" s="16"/>
      <c r="AI5" s="16"/>
    </row>
    <row r="6" spans="1:35" ht="18" customHeight="1" x14ac:dyDescent="0.35">
      <c r="A6" s="18" t="s">
        <v>37</v>
      </c>
      <c r="B6" s="8">
        <f t="array" ref="B6">LOOKUP(2,1 / (H$3:H$100 &lt;&gt;""), H$3:H$100)</f>
        <v>44617</v>
      </c>
      <c r="D6" s="16"/>
      <c r="E6" s="16"/>
      <c r="F6" s="16"/>
      <c r="G6" s="16"/>
      <c r="H6" s="16"/>
      <c r="I6" s="16"/>
      <c r="J6" s="16"/>
      <c r="K6" s="16"/>
      <c r="L6" s="10">
        <v>44501</v>
      </c>
      <c r="M6" s="16">
        <v>114</v>
      </c>
      <c r="N6" s="16">
        <f ca="1">TODAY()-L6</f>
        <v>346</v>
      </c>
      <c r="O6" s="16" t="str">
        <f ca="1">IF(N6&gt;21, "Yes", "No")</f>
        <v>Yes</v>
      </c>
      <c r="P6" s="10"/>
      <c r="Q6" s="16">
        <v>82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D6" s="11"/>
      <c r="AE6" s="16"/>
      <c r="AF6" s="16"/>
      <c r="AG6" s="16"/>
      <c r="AH6" s="16"/>
      <c r="AI6" s="16"/>
    </row>
    <row r="7" spans="1:35" ht="18" customHeight="1" x14ac:dyDescent="0.35">
      <c r="A7" s="18" t="s">
        <v>38</v>
      </c>
      <c r="B7" s="1" t="str">
        <f t="array" aca="1" ref="B7" ca="1">LOOKUP(2,1 / (K$3:K$1048576 &lt;&gt;""), K$3:K$1048576)</f>
        <v>Yes</v>
      </c>
      <c r="D7" s="16"/>
      <c r="E7" s="16"/>
      <c r="F7" s="16"/>
      <c r="G7" s="16"/>
      <c r="H7" s="16"/>
      <c r="I7" s="16"/>
      <c r="J7" s="16"/>
      <c r="K7" s="16"/>
      <c r="L7" s="16"/>
      <c r="M7" s="16">
        <v>117</v>
      </c>
      <c r="N7" s="16"/>
      <c r="O7" s="16"/>
      <c r="P7" s="10">
        <v>44726</v>
      </c>
      <c r="Q7" s="16">
        <f>27+4+12+8+11+4</f>
        <v>66</v>
      </c>
      <c r="R7" s="16">
        <f ca="1">TODAY()-P7</f>
        <v>121</v>
      </c>
      <c r="S7" s="16" t="str">
        <f ca="1">IF(R7&gt;21, "Yes", "No")</f>
        <v>Yes</v>
      </c>
      <c r="T7" s="16"/>
      <c r="U7" s="16"/>
      <c r="V7" s="16"/>
      <c r="W7" s="16"/>
      <c r="X7" s="16"/>
      <c r="Y7" s="16"/>
      <c r="Z7" s="16"/>
      <c r="AA7" s="16"/>
      <c r="AB7" s="16"/>
      <c r="AE7" s="16"/>
      <c r="AF7" s="16"/>
      <c r="AG7" s="16"/>
      <c r="AH7" s="16"/>
      <c r="AI7" s="16"/>
    </row>
    <row r="8" spans="1:35" ht="18" customHeight="1" x14ac:dyDescent="0.35">
      <c r="A8" s="7" t="s">
        <v>39</v>
      </c>
      <c r="B8" s="28">
        <f t="array" ref="B8">(IFERROR((LOOKUP(2,1/(M$3:M$100&lt;&gt;""),M$3:M$100)),0))</f>
        <v>86</v>
      </c>
      <c r="D8" s="16"/>
      <c r="E8" s="16"/>
      <c r="F8" s="16"/>
      <c r="G8" s="16"/>
      <c r="H8" s="16"/>
      <c r="I8" s="16"/>
      <c r="J8" s="16"/>
      <c r="K8" s="16"/>
      <c r="L8" s="10">
        <v>44523</v>
      </c>
      <c r="M8" s="16">
        <f>3+9+8+3+5+10+7+8+6+8+7+11+2+11+8+10+6+6+5+2+7+2+3+5+4+1+3+6+6+5</f>
        <v>177</v>
      </c>
      <c r="N8" s="16">
        <f ca="1">TODAY()-L8</f>
        <v>324</v>
      </c>
      <c r="O8" s="16" t="str">
        <f ca="1">IF(N8&gt;21, "Yes", "No")</f>
        <v>Yes</v>
      </c>
      <c r="P8" s="10">
        <v>44768</v>
      </c>
      <c r="Q8" s="16">
        <f>8+20+17+9+2</f>
        <v>56</v>
      </c>
      <c r="R8" s="16">
        <f ca="1">TODAY()-P8</f>
        <v>79</v>
      </c>
      <c r="S8" s="16" t="str">
        <f ca="1">IF(R8&gt;21, "Yes", "No")</f>
        <v>Yes</v>
      </c>
      <c r="T8" s="16"/>
      <c r="U8" s="16"/>
      <c r="V8" s="16"/>
      <c r="W8" s="16"/>
      <c r="X8" s="16"/>
      <c r="Y8" s="16"/>
      <c r="Z8" s="16"/>
      <c r="AA8" s="16"/>
      <c r="AB8" s="16"/>
      <c r="AE8" s="16"/>
      <c r="AF8" s="16"/>
      <c r="AG8" s="16"/>
      <c r="AH8" s="16"/>
      <c r="AI8" s="16"/>
    </row>
    <row r="9" spans="1:35" ht="18" customHeight="1" x14ac:dyDescent="0.35">
      <c r="A9" s="7" t="s">
        <v>41</v>
      </c>
      <c r="B9" s="8" t="str">
        <f t="array" ref="B9">LOOKUP(2,1 / (L$3:L$100 &lt;&gt;""), L$3:L$100)</f>
        <v>09/21/2022</v>
      </c>
      <c r="D9" s="16"/>
      <c r="E9" s="16"/>
      <c r="F9" s="16"/>
      <c r="G9" s="16"/>
      <c r="H9" s="16"/>
      <c r="I9" s="16"/>
      <c r="J9" s="16"/>
      <c r="K9" s="16"/>
      <c r="L9" s="16"/>
      <c r="M9" s="16">
        <f>M8-22</f>
        <v>155</v>
      </c>
      <c r="N9" s="16"/>
      <c r="O9" s="16"/>
      <c r="P9" s="10" t="s">
        <v>59</v>
      </c>
      <c r="Q9" s="16">
        <v>74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E9" s="16"/>
      <c r="AF9" s="16"/>
      <c r="AG9" s="16"/>
      <c r="AH9" s="16"/>
      <c r="AI9" s="16"/>
    </row>
    <row r="10" spans="1:35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L10" s="11">
        <v>44578</v>
      </c>
      <c r="M10">
        <f>2+2+2+2+2+1+2+2+1+2+1+2+2+2+5+5+4+2+2+2+2+2+3+1+1+2+4+2+1+1+4+2+2+2+2+1+2+1+3+3+4+3+2+1+1+3+1+1+1+4+1+1+3+1+2+1+1+1+1+2+3+1+2+1+2+2+3+2+52</f>
        <v>189</v>
      </c>
      <c r="N10" s="16">
        <f ca="1">TODAY()-L10</f>
        <v>269</v>
      </c>
      <c r="O10" s="16" t="str">
        <f ca="1">IF(N10&gt;21, "Yes", "No")</f>
        <v>Yes</v>
      </c>
    </row>
    <row r="11" spans="1:35" ht="18" customHeight="1" x14ac:dyDescent="0.35">
      <c r="A11" s="31" t="s">
        <v>43</v>
      </c>
      <c r="B11" s="28">
        <f t="array" ref="B11">(IFERROR((LOOKUP(2,1/(Q$3:Q$100&lt;&gt;""),Q$3:Q$100)),0))</f>
        <v>74</v>
      </c>
      <c r="L11" s="11">
        <v>44614</v>
      </c>
      <c r="M11">
        <v>0</v>
      </c>
      <c r="N11" s="16">
        <f ca="1">TODAY()-L11</f>
        <v>233</v>
      </c>
      <c r="O11" s="16" t="str">
        <f ca="1">IF(N11&gt;21, "Yes", "No")</f>
        <v>Yes</v>
      </c>
    </row>
    <row r="12" spans="1:35" ht="18" customHeight="1" x14ac:dyDescent="0.35">
      <c r="A12" s="31" t="s">
        <v>44</v>
      </c>
      <c r="B12" s="8" t="str">
        <f t="array" ref="B12">LOOKUP(2,1 / (P$3:P$100 &lt;&gt;""), P$3:P$100)</f>
        <v>09/21/2022</v>
      </c>
      <c r="L12" s="11">
        <v>44690</v>
      </c>
      <c r="M12">
        <f>44+48+112+70</f>
        <v>274</v>
      </c>
      <c r="N12" s="16">
        <f ca="1">TODAY()-L12</f>
        <v>157</v>
      </c>
      <c r="O12" s="16" t="str">
        <f ca="1">IF(N12&gt;21, "Yes", "No")</f>
        <v>Yes</v>
      </c>
    </row>
    <row r="13" spans="1:35" ht="18" customHeight="1" x14ac:dyDescent="0.35">
      <c r="A13" s="31" t="s">
        <v>45</v>
      </c>
      <c r="B13" s="1" t="str">
        <f t="array" aca="1" ref="B13" ca="1">LOOKUP(2,1 / (S$3:S$100 &lt;&gt;""), S$3:S$100)</f>
        <v>Yes</v>
      </c>
      <c r="M13">
        <v>236</v>
      </c>
    </row>
    <row r="14" spans="1:35" ht="18" customHeight="1" x14ac:dyDescent="0.35">
      <c r="A14" s="18" t="s">
        <v>46</v>
      </c>
      <c r="B14" s="28">
        <f t="array" ref="B14">(IFERROR((LOOKUP(2,1/(M$10:M$100&lt;&gt;""),M$10:M$100)),0))</f>
        <v>86</v>
      </c>
      <c r="L14" s="11">
        <v>44726</v>
      </c>
      <c r="M14">
        <f>4+28+24+32+36+12+18+15+10+20+3</f>
        <v>202</v>
      </c>
      <c r="N14" s="16">
        <f ca="1">TODAY()-L14</f>
        <v>121</v>
      </c>
      <c r="O14" s="16" t="str">
        <f ca="1">IF(N14&gt;21, "Yes", "No")</f>
        <v>Yes</v>
      </c>
    </row>
    <row r="15" spans="1:35" ht="18" customHeight="1" x14ac:dyDescent="0.35">
      <c r="A15" s="18" t="s">
        <v>47</v>
      </c>
      <c r="B15" s="8" t="str">
        <f t="array" ref="B15">LOOKUP(2,1 / (L$10:L$100 &lt;&gt;""), L$10:L$100)</f>
        <v>09/21/2022</v>
      </c>
      <c r="L15" s="11">
        <v>44768</v>
      </c>
      <c r="M15">
        <f>36+16+12+16+12+18+14</f>
        <v>124</v>
      </c>
      <c r="N15">
        <f ca="1">TODAY()-L15</f>
        <v>79</v>
      </c>
      <c r="O15" t="str">
        <f ca="1">IF(N15&gt;21, "Yes", "No")</f>
        <v>Yes</v>
      </c>
    </row>
    <row r="16" spans="1:35" ht="18" customHeight="1" x14ac:dyDescent="0.35">
      <c r="A16" s="18" t="s">
        <v>48</v>
      </c>
      <c r="B16" s="1" t="str">
        <f t="array" aca="1" ref="B16" ca="1">LOOKUP(2,1 / (O$10:O$100 &lt;&gt;""), O$10:O$100)</f>
        <v>Yes</v>
      </c>
      <c r="L16" t="s">
        <v>59</v>
      </c>
      <c r="M16">
        <v>86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74</v>
      </c>
    </row>
    <row r="18" spans="1:2" ht="18" customHeight="1" x14ac:dyDescent="0.35">
      <c r="A18" s="2" t="s">
        <v>50</v>
      </c>
      <c r="B18" s="8" t="str">
        <f ca="1">LOOKUP(2,1 / (X$3:X$9 &lt;&gt;""), X$3:X$9)</f>
        <v>Yes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5"/>
  <sheetViews>
    <sheetView zoomScale="85" zoomScaleNormal="85" workbookViewId="0">
      <selection activeCell="M6" sqref="M6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21" max="21" width="10.6640625" style="33" bestFit="1" customWidth="1"/>
  </cols>
  <sheetData>
    <row r="1" spans="1:29" ht="18" customHeight="1" x14ac:dyDescent="0.35">
      <c r="A1" s="2" t="s">
        <v>21</v>
      </c>
      <c r="B1" s="28" t="s">
        <v>60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24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44355</v>
      </c>
      <c r="I3" s="16">
        <v>14</v>
      </c>
      <c r="J3" s="16">
        <f ca="1">TODAY()-H3</f>
        <v>492</v>
      </c>
      <c r="K3" s="16" t="str">
        <f ca="1">IF(J3&gt;21, "Yes", "No")</f>
        <v>Yes</v>
      </c>
      <c r="L3" s="10">
        <v>44659</v>
      </c>
      <c r="M3" s="16">
        <f>2+16+15+10</f>
        <v>43</v>
      </c>
      <c r="N3" s="16">
        <f ca="1">TODAY()-L3</f>
        <v>188</v>
      </c>
      <c r="O3" s="16" t="str">
        <f ca="1">IF(N3&gt;21, "Yes", "No")</f>
        <v>Yes</v>
      </c>
      <c r="P3" s="10"/>
      <c r="Q3" s="16"/>
      <c r="R3" s="16"/>
      <c r="S3" s="16"/>
      <c r="T3" s="16"/>
      <c r="U3" s="16"/>
      <c r="V3" s="16"/>
      <c r="W3" s="16"/>
      <c r="Y3" s="11">
        <v>44487</v>
      </c>
      <c r="Z3" s="16"/>
      <c r="AA3" s="16"/>
      <c r="AB3" s="16">
        <v>1</v>
      </c>
      <c r="AC3" s="16"/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44473</v>
      </c>
      <c r="I4" s="16">
        <v>58</v>
      </c>
      <c r="J4" s="16">
        <f ca="1">TODAY()-H4</f>
        <v>374</v>
      </c>
      <c r="K4" s="16" t="str">
        <f ca="1">IF(J4&gt;21, "Yes", "No")</f>
        <v>Yes</v>
      </c>
      <c r="L4" s="10"/>
      <c r="M4" s="16">
        <f>40</f>
        <v>40</v>
      </c>
      <c r="N4" s="16"/>
      <c r="O4" s="16"/>
      <c r="P4" s="16"/>
      <c r="Q4" s="16"/>
      <c r="R4" s="16"/>
      <c r="S4" s="16"/>
      <c r="T4" s="16"/>
      <c r="U4" s="16"/>
      <c r="V4" s="16"/>
      <c r="W4" s="16"/>
      <c r="Y4" s="11">
        <v>44502</v>
      </c>
      <c r="Z4" s="16"/>
      <c r="AA4" s="16"/>
      <c r="AB4" s="16">
        <v>6</v>
      </c>
      <c r="AC4" s="16"/>
    </row>
    <row r="5" spans="1:29" ht="18" customHeight="1" x14ac:dyDescent="0.35">
      <c r="A5" s="7" t="s">
        <v>39</v>
      </c>
      <c r="B5" s="28">
        <f t="array" ref="B5">(IFERROR((LOOKUP(2,1/(I$3:I$100&lt;&gt;""),I$3:I$100)),0))</f>
        <v>169</v>
      </c>
      <c r="D5" s="16"/>
      <c r="E5" s="16"/>
      <c r="F5" s="16"/>
      <c r="G5" s="16"/>
      <c r="H5" s="10"/>
      <c r="I5" s="16">
        <v>57</v>
      </c>
      <c r="J5" s="16"/>
      <c r="K5" s="16"/>
      <c r="L5" s="10">
        <v>44750</v>
      </c>
      <c r="M5" s="16">
        <f>3+1+11+1+3</f>
        <v>19</v>
      </c>
      <c r="N5" s="16"/>
      <c r="O5" s="16"/>
      <c r="P5" s="10"/>
      <c r="Q5" s="16"/>
      <c r="R5" s="16"/>
      <c r="S5" s="16"/>
      <c r="T5" s="16"/>
      <c r="U5" s="16"/>
      <c r="V5" s="16"/>
      <c r="W5" s="16"/>
      <c r="Y5" s="11">
        <v>44531</v>
      </c>
      <c r="Z5" s="16"/>
      <c r="AA5" s="16"/>
      <c r="AB5" s="16">
        <f>3+5+37</f>
        <v>45</v>
      </c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44750</v>
      </c>
      <c r="D6" s="16"/>
      <c r="E6" s="16"/>
      <c r="F6" s="16"/>
      <c r="G6" s="16"/>
      <c r="H6" s="10">
        <v>44502</v>
      </c>
      <c r="I6" s="16">
        <f>2+3+5+5+3+4+4+4+7+1+4+1+5+4+6+5+6+8+6+6</f>
        <v>89</v>
      </c>
      <c r="J6" s="16">
        <f ca="1">TODAY()-H6</f>
        <v>345</v>
      </c>
      <c r="K6" s="16" t="str">
        <f ca="1">IF(J6&gt;21, "Yes", "No")</f>
        <v>Yes</v>
      </c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Y6" s="11">
        <v>44567</v>
      </c>
      <c r="Z6" s="16"/>
      <c r="AA6" s="16"/>
      <c r="AB6" s="16">
        <f>21+10+3+5</f>
        <v>39</v>
      </c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>
        <f>I6+9</f>
        <v>98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Z7" s="16"/>
      <c r="AA7" s="16"/>
      <c r="AB7" s="16"/>
      <c r="AC7" s="16"/>
    </row>
    <row r="8" spans="1:29" ht="18" customHeight="1" x14ac:dyDescent="0.35">
      <c r="A8" s="31" t="s">
        <v>43</v>
      </c>
      <c r="B8" s="28">
        <f t="array" ref="B8">(IFERROR((LOOKUP(2,1/(I$3:I$100&lt;&gt;""),I$3:I$100)),0))</f>
        <v>169</v>
      </c>
      <c r="D8" s="16"/>
      <c r="E8" s="16"/>
      <c r="F8" s="16"/>
      <c r="G8" s="16"/>
      <c r="H8" s="10">
        <v>44531</v>
      </c>
      <c r="I8" s="16">
        <f>7+2+6+5+4+5+7+11+2+3+9</f>
        <v>61</v>
      </c>
      <c r="J8" s="16">
        <f ca="1">TODAY()-H8</f>
        <v>316</v>
      </c>
      <c r="K8" s="16" t="str">
        <f ca="1">IF(J8&gt;21, "Yes", "No")</f>
        <v>Yes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(H$3:H$100 &lt;&gt;""), H$3:H$100)</f>
        <v>44750</v>
      </c>
      <c r="D9" s="16"/>
      <c r="E9" s="16"/>
      <c r="F9" s="16"/>
      <c r="G9" s="16"/>
      <c r="H9" s="16"/>
      <c r="I9" s="16">
        <f>I8-39</f>
        <v>22</v>
      </c>
      <c r="J9" s="16"/>
      <c r="K9" s="16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(K$3:K$100 &lt;&gt;""), K$3:K$100)</f>
        <v>Yes</v>
      </c>
      <c r="H10" s="11">
        <v>44567</v>
      </c>
      <c r="I10">
        <f>1+4+3+7+8+6+3+7+2+3+1+7+3+13</f>
        <v>68</v>
      </c>
      <c r="J10" s="16">
        <f ca="1">TODAY()-H10</f>
        <v>280</v>
      </c>
      <c r="K10" s="16" t="str">
        <f ca="1">IF(J10&gt;21, "Yes", "No")</f>
        <v>Yes</v>
      </c>
    </row>
    <row r="11" spans="1:29" ht="18" customHeight="1" x14ac:dyDescent="0.35">
      <c r="A11" s="18" t="s">
        <v>46</v>
      </c>
      <c r="B11" s="28">
        <f t="array" ref="B11">(IFERROR((LOOKUP(2,1/(M$10:M$100&lt;&gt;""),M$10:M$100)),0))</f>
        <v>0</v>
      </c>
      <c r="H11" s="11">
        <v>44659</v>
      </c>
      <c r="I11">
        <f>20+39+18+13</f>
        <v>90</v>
      </c>
      <c r="J11" s="16">
        <f ca="1">TODAY()-H11</f>
        <v>188</v>
      </c>
      <c r="K11" s="16" t="str">
        <f ca="1">IF(J11&gt;21, "Yes", "No")</f>
        <v>Yes</v>
      </c>
    </row>
    <row r="12" spans="1:29" ht="18" customHeight="1" x14ac:dyDescent="0.35">
      <c r="A12" s="18" t="s">
        <v>47</v>
      </c>
      <c r="B12" s="8" t="e">
        <f t="array" ref="B12">LOOKUP(2,1 / (L$10:L$100 &lt;&gt;""), L$10:L$100)</f>
        <v>#N/A</v>
      </c>
      <c r="I12">
        <v>20</v>
      </c>
    </row>
    <row r="13" spans="1:29" ht="18" customHeight="1" x14ac:dyDescent="0.35">
      <c r="A13" s="18" t="s">
        <v>48</v>
      </c>
      <c r="B13" s="1" t="e">
        <f t="array" ref="B13">LOOKUP(2,1 / (O$10:O$100 &lt;&gt;""), O$10:O$100)</f>
        <v>#N/A</v>
      </c>
      <c r="H13" s="11">
        <v>44750</v>
      </c>
      <c r="I13">
        <f>20+21+16+12+16+16+16+11+20+21</f>
        <v>169</v>
      </c>
    </row>
    <row r="14" spans="1:29" ht="18" customHeight="1" x14ac:dyDescent="0.35">
      <c r="A14" s="2" t="s">
        <v>49</v>
      </c>
      <c r="B14" s="28">
        <f>(IFERROR((LOOKUP(2,1/(Q$3:Q$100&lt;&gt;""),Q$3:Q$100)),0))</f>
        <v>0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5"/>
  <sheetViews>
    <sheetView zoomScale="110" zoomScaleNormal="110" workbookViewId="0">
      <selection activeCell="L8" sqref="L8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9.5546875" style="33" bestFit="1" customWidth="1"/>
  </cols>
  <sheetData>
    <row r="1" spans="1:29" ht="18" customHeight="1" x14ac:dyDescent="0.35">
      <c r="A1" s="2" t="s">
        <v>21</v>
      </c>
      <c r="B1" s="28" t="s">
        <v>61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24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44470</v>
      </c>
      <c r="I3" s="16">
        <v>15</v>
      </c>
      <c r="J3" s="16">
        <f ca="1">TODAY()-H3</f>
        <v>377</v>
      </c>
      <c r="K3" s="16" t="str">
        <f ca="1">IF(J3&gt;21, "Yes", "No")</f>
        <v>Yes</v>
      </c>
      <c r="L3" s="10">
        <v>44599</v>
      </c>
      <c r="M3" s="16">
        <f>2+8+8+3+5+2+4+3</f>
        <v>35</v>
      </c>
      <c r="N3" s="16">
        <f ca="1">TODAY()-L3</f>
        <v>248</v>
      </c>
      <c r="O3" s="16" t="str">
        <f ca="1">IF(N3&gt;21, "Yes", "No")</f>
        <v>Yes</v>
      </c>
      <c r="P3" s="10"/>
      <c r="Q3" s="16"/>
      <c r="R3" s="16"/>
      <c r="S3" s="16"/>
      <c r="T3" s="16"/>
      <c r="U3" s="16"/>
      <c r="V3" s="16"/>
      <c r="W3" s="16"/>
      <c r="Y3" s="11"/>
      <c r="Z3" s="16"/>
      <c r="AA3" s="16"/>
      <c r="AB3" s="16"/>
      <c r="AC3" s="16"/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44517</v>
      </c>
      <c r="I4" s="16">
        <f>4+4+8+12</f>
        <v>28</v>
      </c>
      <c r="J4" s="16">
        <f ca="1">TODAY()-H4</f>
        <v>330</v>
      </c>
      <c r="K4" s="16" t="str">
        <f ca="1">IF(J4&gt;21, "Yes", "No")</f>
        <v>Yes</v>
      </c>
      <c r="L4" s="10">
        <v>44657</v>
      </c>
      <c r="M4" s="16">
        <v>12</v>
      </c>
      <c r="N4" s="16">
        <f ca="1">TODAY()-L4</f>
        <v>190</v>
      </c>
      <c r="O4" s="16" t="str">
        <f ca="1">IF(N4&gt;21, "Yes", "No")</f>
        <v>Yes</v>
      </c>
      <c r="P4" s="16"/>
      <c r="Q4" s="16"/>
      <c r="R4" s="16"/>
      <c r="S4" s="16"/>
      <c r="T4" s="16"/>
      <c r="U4" s="16"/>
      <c r="V4" s="16"/>
      <c r="W4" s="16"/>
      <c r="Y4" s="11"/>
      <c r="Z4" s="16"/>
      <c r="AA4" s="16"/>
      <c r="AB4" s="16"/>
      <c r="AC4" s="16"/>
    </row>
    <row r="5" spans="1:29" ht="18" customHeight="1" x14ac:dyDescent="0.35">
      <c r="A5" s="7" t="s">
        <v>39</v>
      </c>
      <c r="B5" s="28">
        <f t="array" ref="B5">(IFERROR((LOOKUP(2,1/(I$3:I$100&lt;&gt;""),I$3:I$100)),0))</f>
        <v>27</v>
      </c>
      <c r="D5" s="16"/>
      <c r="E5" s="16"/>
      <c r="F5" s="16"/>
      <c r="G5" s="16"/>
      <c r="H5" s="10">
        <v>44545</v>
      </c>
      <c r="I5" s="16">
        <f>1+6+8+1+9+8+4+7</f>
        <v>44</v>
      </c>
      <c r="J5" s="16">
        <f ca="1">TODAY()-H5</f>
        <v>302</v>
      </c>
      <c r="K5" s="16" t="str">
        <f ca="1">IF(J5&gt;21, "Yes", "No")</f>
        <v>Yes</v>
      </c>
      <c r="L5" s="10"/>
      <c r="M5" s="16">
        <v>17</v>
      </c>
      <c r="N5" s="16"/>
      <c r="O5" s="16"/>
      <c r="P5" s="10"/>
      <c r="Q5" s="16"/>
      <c r="R5" s="16"/>
      <c r="S5" s="16"/>
      <c r="T5" s="16"/>
      <c r="U5" s="16"/>
      <c r="V5" s="16"/>
      <c r="W5" s="16"/>
      <c r="Y5" s="11"/>
      <c r="Z5" s="16"/>
      <c r="AA5" s="16"/>
      <c r="AB5" s="16"/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44757</v>
      </c>
      <c r="D6" s="16"/>
      <c r="E6" s="16"/>
      <c r="F6" s="16"/>
      <c r="G6" s="16"/>
      <c r="H6" s="16" t="s">
        <v>52</v>
      </c>
      <c r="I6" s="16" t="s">
        <v>52</v>
      </c>
      <c r="J6" s="16" t="s">
        <v>52</v>
      </c>
      <c r="K6" s="16" t="s">
        <v>52</v>
      </c>
      <c r="L6" s="10">
        <v>44757</v>
      </c>
      <c r="M6" s="16">
        <v>3</v>
      </c>
      <c r="N6" s="16"/>
      <c r="O6" s="16"/>
      <c r="P6" s="16"/>
      <c r="Q6" s="16"/>
      <c r="R6" s="16"/>
      <c r="S6" s="16"/>
      <c r="T6" s="16"/>
      <c r="U6" s="16"/>
      <c r="V6" s="16"/>
      <c r="W6" s="16"/>
      <c r="Y6" s="11"/>
      <c r="Z6" s="16"/>
      <c r="AA6" s="16"/>
      <c r="AB6" s="16"/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0">
        <v>44657</v>
      </c>
      <c r="I7" s="16">
        <v>4</v>
      </c>
      <c r="J7" s="16">
        <f ca="1">TODAY()-H7</f>
        <v>190</v>
      </c>
      <c r="K7" s="16" t="str">
        <f ca="1">IF(J7&gt;21, "Yes", "No")</f>
        <v>Yes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Z7" s="16"/>
      <c r="AA7" s="16"/>
      <c r="AB7" s="16"/>
      <c r="AC7" s="16"/>
    </row>
    <row r="8" spans="1:29" ht="18" customHeight="1" x14ac:dyDescent="0.35">
      <c r="A8" s="31" t="s">
        <v>43</v>
      </c>
      <c r="B8" s="28">
        <f t="array" ref="B8">(IFERROR((LOOKUP(2,1/(M$3:M$100&lt;&gt;""),M$3:M$100)),0))</f>
        <v>3</v>
      </c>
      <c r="D8" s="16"/>
      <c r="E8" s="16"/>
      <c r="F8" s="16"/>
      <c r="G8" s="16"/>
      <c r="H8" s="16"/>
      <c r="I8" s="16">
        <v>14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(L$3:L$100 &lt;&gt;""), L$3:L$100)</f>
        <v>44757</v>
      </c>
      <c r="D9" s="16"/>
      <c r="E9" s="16"/>
      <c r="F9" s="16"/>
      <c r="G9" s="16"/>
      <c r="H9" s="10">
        <v>44757</v>
      </c>
      <c r="I9" s="16">
        <f>16+11</f>
        <v>27</v>
      </c>
      <c r="J9" s="16"/>
      <c r="K9" s="16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18" t="s">
        <v>46</v>
      </c>
      <c r="B11" s="28">
        <f t="array" ref="B11">(IFERROR((LOOKUP(2,1/(M$10:M$100&lt;&gt;""),M$10:M$100)),0))</f>
        <v>0</v>
      </c>
    </row>
    <row r="12" spans="1:29" ht="18" customHeight="1" x14ac:dyDescent="0.35">
      <c r="A12" s="18" t="s">
        <v>47</v>
      </c>
      <c r="B12" s="8" t="e">
        <f t="array" ref="B12">LOOKUP(2,1 / (L$10:L$100 &lt;&gt;""), L$10:L$100)</f>
        <v>#N/A</v>
      </c>
    </row>
    <row r="13" spans="1:29" ht="18" customHeight="1" x14ac:dyDescent="0.35">
      <c r="A13" s="18" t="s">
        <v>48</v>
      </c>
      <c r="B13" s="1" t="e">
        <f t="array" ref="B13">LOOKUP(2,1 / (O$10:O$100 &lt;&gt;""), O$10:O$100)</f>
        <v>#N/A</v>
      </c>
    </row>
    <row r="14" spans="1:29" ht="18" customHeight="1" x14ac:dyDescent="0.35">
      <c r="A14" s="2" t="s">
        <v>49</v>
      </c>
      <c r="B14" s="28">
        <f>(IFERROR((LOOKUP(2,1/(Q$3:Q$100&lt;&gt;""),Q$3:Q$100)),0))</f>
        <v>0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18"/>
  <sheetViews>
    <sheetView topLeftCell="D1" zoomScale="85" zoomScaleNormal="85" workbookViewId="0">
      <selection activeCell="Q8" sqref="Q8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15.5546875" style="33" bestFit="1" customWidth="1"/>
    <col min="22" max="22" width="9.5546875" style="33" bestFit="1" customWidth="1"/>
  </cols>
  <sheetData>
    <row r="1" spans="1:34" ht="18" customHeight="1" x14ac:dyDescent="0.35">
      <c r="A1" s="2" t="s">
        <v>21</v>
      </c>
      <c r="B1" s="28" t="s">
        <v>62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16"/>
      <c r="Y1" s="5" t="s">
        <v>24</v>
      </c>
      <c r="Z1" s="16"/>
      <c r="AA1" s="16"/>
      <c r="AB1" s="16"/>
      <c r="AE1" s="5" t="s">
        <v>25</v>
      </c>
      <c r="AF1" s="16"/>
      <c r="AG1" s="16"/>
      <c r="AH1" s="16"/>
    </row>
    <row r="2" spans="1:34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32</v>
      </c>
      <c r="W2" s="19" t="s">
        <v>29</v>
      </c>
      <c r="X2" s="19" t="s">
        <v>30</v>
      </c>
      <c r="Y2" s="5" t="s">
        <v>27</v>
      </c>
      <c r="Z2" s="5" t="s">
        <v>28</v>
      </c>
      <c r="AA2" s="5" t="s">
        <v>29</v>
      </c>
      <c r="AB2" s="5" t="s">
        <v>30</v>
      </c>
      <c r="AD2" s="9" t="s">
        <v>33</v>
      </c>
      <c r="AE2" s="5" t="s">
        <v>15</v>
      </c>
      <c r="AF2" s="5" t="s">
        <v>16</v>
      </c>
      <c r="AG2" s="5" t="s">
        <v>17</v>
      </c>
      <c r="AH2" s="5" t="s">
        <v>24</v>
      </c>
    </row>
    <row r="3" spans="1:34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44609</v>
      </c>
      <c r="I3" s="16">
        <v>10</v>
      </c>
      <c r="J3" s="16">
        <f ca="1">TODAY()-H3</f>
        <v>238</v>
      </c>
      <c r="K3" s="16" t="str">
        <f ca="1">IF(J3&gt;21, "Yes", "No")</f>
        <v>Yes</v>
      </c>
      <c r="L3" s="10">
        <v>44470</v>
      </c>
      <c r="M3" s="16">
        <v>23</v>
      </c>
      <c r="N3" s="16">
        <f ca="1">TODAY()-L3</f>
        <v>377</v>
      </c>
      <c r="O3" s="16" t="str">
        <f ca="1">IF(N3&gt;21, "Yes", "No")</f>
        <v>Yes</v>
      </c>
      <c r="P3" s="10">
        <v>44586</v>
      </c>
      <c r="Q3" s="16">
        <f>2+5+4+4+4+4+4+4+2+2+2+2+2+2+6+4+4+5+5+5+5</f>
        <v>77</v>
      </c>
      <c r="R3" s="16">
        <f ca="1">TODAY()-P3</f>
        <v>261</v>
      </c>
      <c r="S3" s="16" t="str">
        <f ca="1">IF(R3&gt;21, "Yes", "No")</f>
        <v>Yes</v>
      </c>
      <c r="T3" s="10">
        <v>44470</v>
      </c>
      <c r="U3" s="16">
        <v>1</v>
      </c>
      <c r="V3" s="16"/>
      <c r="W3" s="16">
        <f ca="1">TODAY()-T3</f>
        <v>377</v>
      </c>
      <c r="X3" s="16" t="str">
        <f ca="1">IF(W3&gt;21, "Yes", "No")</f>
        <v>Yes</v>
      </c>
      <c r="Y3" s="16"/>
      <c r="Z3" s="16"/>
      <c r="AA3" s="16"/>
      <c r="AB3" s="16"/>
      <c r="AD3" s="11">
        <v>44531</v>
      </c>
      <c r="AE3" s="16"/>
      <c r="AF3" s="16"/>
      <c r="AG3" s="16">
        <v>1</v>
      </c>
      <c r="AH3" s="16"/>
    </row>
    <row r="4" spans="1:34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 t="s">
        <v>52</v>
      </c>
      <c r="I4" s="13" t="s">
        <v>52</v>
      </c>
      <c r="J4" s="13" t="s">
        <v>52</v>
      </c>
      <c r="K4" s="13" t="s">
        <v>52</v>
      </c>
      <c r="L4" s="10">
        <v>44502</v>
      </c>
      <c r="M4" s="16">
        <f>3+2+1+1+13+4+2+7</f>
        <v>33</v>
      </c>
      <c r="N4" s="16">
        <f ca="1">TODAY()-L4</f>
        <v>345</v>
      </c>
      <c r="O4" s="16" t="str">
        <f ca="1">IF(N4&gt;21, "Yes", "No")</f>
        <v>Yes</v>
      </c>
      <c r="P4" s="10">
        <v>44609</v>
      </c>
      <c r="Q4" s="16">
        <f>2+3+3+2+2+4+2+2+2+2+4+2+3+3+3+6+3+6+2+27+20</f>
        <v>103</v>
      </c>
      <c r="R4" s="16">
        <f ca="1">TODAY()-P4</f>
        <v>238</v>
      </c>
      <c r="S4" s="16" t="str">
        <f ca="1">IF(R4&gt;21, "Yes", "No")</f>
        <v>Yes</v>
      </c>
      <c r="T4" s="10">
        <v>44494</v>
      </c>
      <c r="U4" s="16">
        <v>1</v>
      </c>
      <c r="V4" s="16"/>
      <c r="W4" s="16">
        <f ca="1">TODAY()-T4</f>
        <v>353</v>
      </c>
      <c r="X4" s="16" t="str">
        <f ca="1">IF(W4&gt;21, "Yes", "No")</f>
        <v>Yes</v>
      </c>
      <c r="Y4" s="16"/>
      <c r="Z4" s="16"/>
      <c r="AA4" s="16"/>
      <c r="AB4" s="16"/>
      <c r="AD4" s="11"/>
      <c r="AE4" s="16"/>
      <c r="AF4" s="16"/>
      <c r="AG4" s="16"/>
      <c r="AH4" s="16"/>
    </row>
    <row r="5" spans="1:34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/>
      <c r="F5" s="16"/>
      <c r="G5" s="16"/>
      <c r="H5" s="16"/>
      <c r="I5" s="16"/>
      <c r="J5" s="16"/>
      <c r="K5" s="16"/>
      <c r="L5" s="10"/>
      <c r="M5" s="16">
        <v>32</v>
      </c>
      <c r="N5" s="16"/>
      <c r="O5" s="16"/>
      <c r="P5" s="10">
        <v>44651</v>
      </c>
      <c r="Q5" s="16">
        <f>3+3+3+3+3+3+3+3+4+2+3+3</f>
        <v>36</v>
      </c>
      <c r="R5" s="16">
        <f ca="1">TODAY()-P5</f>
        <v>196</v>
      </c>
      <c r="S5" s="16" t="str">
        <f ca="1">IF(R5&gt;21, "Yes", "No")</f>
        <v>Yes</v>
      </c>
      <c r="T5" s="10"/>
      <c r="U5" s="16">
        <v>0</v>
      </c>
      <c r="V5" s="16"/>
      <c r="W5" s="16"/>
      <c r="X5" s="16"/>
      <c r="Y5" s="16"/>
      <c r="Z5" s="16"/>
      <c r="AA5" s="16"/>
      <c r="AB5" s="16"/>
      <c r="AD5" s="11"/>
      <c r="AE5" s="16"/>
      <c r="AF5" s="16"/>
      <c r="AG5" s="16"/>
      <c r="AH5" s="16"/>
    </row>
    <row r="6" spans="1:34" ht="18" customHeight="1" x14ac:dyDescent="0.35">
      <c r="A6" s="18" t="s">
        <v>37</v>
      </c>
      <c r="B6" s="8" t="str">
        <f t="array" ref="B6">LOOKUP(2,1 / (H$3:H$100 &lt;&gt;""), H$3:H$100)</f>
        <v>N/A</v>
      </c>
      <c r="D6" s="16"/>
      <c r="E6" s="16"/>
      <c r="F6" s="16"/>
      <c r="G6" s="16"/>
      <c r="H6" s="16"/>
      <c r="I6" s="16"/>
      <c r="J6" s="16"/>
      <c r="K6" s="16"/>
      <c r="L6" s="10">
        <v>44531</v>
      </c>
      <c r="M6" s="16">
        <f>10+4+3+6+2+8+8+12+8+8+5+8</f>
        <v>82</v>
      </c>
      <c r="N6" s="16">
        <f ca="1">TODAY()-L6</f>
        <v>316</v>
      </c>
      <c r="O6" s="16" t="str">
        <f ca="1">IF(N6&gt;21, "Yes", "No")</f>
        <v>Yes</v>
      </c>
      <c r="P6" s="10">
        <v>44678</v>
      </c>
      <c r="Q6" s="16">
        <f>11+9+4</f>
        <v>24</v>
      </c>
      <c r="R6" s="16">
        <f ca="1">TODAY()-P6</f>
        <v>169</v>
      </c>
      <c r="S6" s="16" t="str">
        <f ca="1">IF(R6&gt;21, "Yes", "No")</f>
        <v>Yes</v>
      </c>
      <c r="T6" s="10">
        <v>44502</v>
      </c>
      <c r="U6" s="16">
        <v>1</v>
      </c>
      <c r="V6" s="16">
        <v>4</v>
      </c>
      <c r="W6" s="16">
        <f ca="1">TODAY()-T6</f>
        <v>345</v>
      </c>
      <c r="X6" s="16" t="str">
        <f ca="1">IF(W6&gt;21, "Yes", "No")</f>
        <v>Yes</v>
      </c>
      <c r="Y6" s="16"/>
      <c r="Z6" s="16"/>
      <c r="AA6" s="16"/>
      <c r="AB6" s="16"/>
      <c r="AD6" s="11"/>
      <c r="AE6" s="16"/>
      <c r="AF6" s="16"/>
      <c r="AG6" s="16"/>
      <c r="AH6" s="16"/>
    </row>
    <row r="7" spans="1:34" ht="18" customHeight="1" x14ac:dyDescent="0.35">
      <c r="A7" s="18" t="s">
        <v>38</v>
      </c>
      <c r="B7" s="1" t="str">
        <f t="array" aca="1" ref="B7" ca="1">LOOKUP(2,1 / (K$3:K$1048576 &lt;&gt;""), K$3:K$1048576)</f>
        <v>N/A</v>
      </c>
      <c r="D7" s="16"/>
      <c r="E7" s="16"/>
      <c r="F7" s="16"/>
      <c r="G7" s="16"/>
      <c r="H7" s="16"/>
      <c r="I7" s="16"/>
      <c r="J7" s="16"/>
      <c r="K7" s="16"/>
      <c r="L7" s="10">
        <v>44586</v>
      </c>
      <c r="M7" s="16">
        <f>4+4+4+4+4+4+4+4+4+4+4+4+4+8+8+4+6</f>
        <v>78</v>
      </c>
      <c r="N7" s="16"/>
      <c r="O7" s="16"/>
      <c r="P7" s="16"/>
      <c r="Q7" s="16">
        <f>38+22+2+11+3+8+8+12+10+9+11+4</f>
        <v>138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E7" s="16"/>
      <c r="AF7" s="16"/>
      <c r="AG7" s="16"/>
      <c r="AH7" s="16"/>
    </row>
    <row r="8" spans="1:34" ht="18" customHeight="1" x14ac:dyDescent="0.35">
      <c r="A8" s="7" t="s">
        <v>39</v>
      </c>
      <c r="B8" s="28">
        <f t="array" ref="B8">(IFERROR((LOOKUP(2,1/(M$3:M$100&lt;&gt;""),M$3:M$100)),0))</f>
        <v>257</v>
      </c>
      <c r="D8" s="16"/>
      <c r="E8" s="16"/>
      <c r="F8" s="16"/>
      <c r="G8" s="16"/>
      <c r="H8" s="16"/>
      <c r="I8" s="16"/>
      <c r="J8" s="16"/>
      <c r="K8" s="16"/>
      <c r="L8" s="10">
        <v>44609</v>
      </c>
      <c r="M8" s="16">
        <v>0</v>
      </c>
      <c r="N8" s="16">
        <f ca="1">TODAY()-L8</f>
        <v>238</v>
      </c>
      <c r="O8" s="16" t="str">
        <f ca="1">IF(N8&gt;21, "Yes", "No")</f>
        <v>Yes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E8" s="16"/>
      <c r="AF8" s="16"/>
      <c r="AG8" s="16"/>
      <c r="AH8" s="16"/>
    </row>
    <row r="9" spans="1:34" ht="18" customHeight="1" x14ac:dyDescent="0.35">
      <c r="A9" s="7" t="s">
        <v>41</v>
      </c>
      <c r="B9" s="8">
        <f t="array" ref="B9">LOOKUP(2,1 / (L$3:L$100 &lt;&gt;""), L$3:L$100)</f>
        <v>44750</v>
      </c>
      <c r="D9" s="16"/>
      <c r="E9" s="16"/>
      <c r="F9" s="16"/>
      <c r="G9" s="16"/>
      <c r="H9" s="16"/>
      <c r="I9" s="16"/>
      <c r="J9" s="16"/>
      <c r="K9" s="16"/>
      <c r="L9" s="10">
        <v>44678</v>
      </c>
      <c r="M9" s="16">
        <f>72+40+18+40+20+11</f>
        <v>201</v>
      </c>
      <c r="N9" s="16">
        <f ca="1">TODAY()-L9</f>
        <v>169</v>
      </c>
      <c r="O9" s="16" t="str">
        <f ca="1">IF(N9&gt;21, "Yes", "No")</f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E9" s="16"/>
      <c r="AF9" s="16"/>
      <c r="AG9" s="16"/>
      <c r="AH9" s="16"/>
    </row>
    <row r="10" spans="1:34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M10">
        <f>188</f>
        <v>188</v>
      </c>
    </row>
    <row r="11" spans="1:34" ht="18" customHeight="1" x14ac:dyDescent="0.35">
      <c r="A11" s="31" t="s">
        <v>43</v>
      </c>
      <c r="B11" s="28">
        <f t="array" ref="B11">(IFERROR((LOOKUP(2,1/(Q$3:Q$100&lt;&gt;""),Q$3:Q$100)),0))</f>
        <v>138</v>
      </c>
      <c r="L11" s="11">
        <v>44750</v>
      </c>
      <c r="M11">
        <f>48+36+16+16+12+12+8+16+24+16+24+14+15</f>
        <v>257</v>
      </c>
    </row>
    <row r="12" spans="1:34" ht="18" customHeight="1" x14ac:dyDescent="0.35">
      <c r="A12" s="31" t="s">
        <v>44</v>
      </c>
      <c r="B12" s="8">
        <f t="array" ref="B12">LOOKUP(2,1 / (P$3:P$100 &lt;&gt;""), P$3:P$100)</f>
        <v>44678</v>
      </c>
    </row>
    <row r="13" spans="1:34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4" ht="18" customHeight="1" x14ac:dyDescent="0.35">
      <c r="A14" s="18" t="s">
        <v>46</v>
      </c>
      <c r="B14" s="28">
        <f t="array" ref="B14">(IFERROR((LOOKUP(2,1/(M$10:M$100&lt;&gt;""),M$10:M$100)),0))</f>
        <v>257</v>
      </c>
    </row>
    <row r="15" spans="1:34" ht="18" customHeight="1" x14ac:dyDescent="0.35">
      <c r="A15" s="18" t="s">
        <v>47</v>
      </c>
      <c r="B15" s="8">
        <f t="array" ref="B15">LOOKUP(2,1 / (L$10:L$100 &lt;&gt;""), L$10:L$100)</f>
        <v>44750</v>
      </c>
    </row>
    <row r="16" spans="1:34" ht="18" customHeight="1" x14ac:dyDescent="0.35">
      <c r="A16" s="18" t="s">
        <v>48</v>
      </c>
      <c r="B16" s="1" t="e">
        <f t="array" ref="B16">LOOKUP(2,1 / (O$10:O$100 &lt;&gt;""), O$10:O$100)</f>
        <v>#N/A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138</v>
      </c>
    </row>
    <row r="18" spans="1:2" ht="18" customHeight="1" x14ac:dyDescent="0.35">
      <c r="A18" s="2" t="s">
        <v>50</v>
      </c>
      <c r="B18" s="8" t="str">
        <f ca="1">LOOKUP(2,1 / (X$3:X$9 &lt;&gt;""), X$3:X$9)</f>
        <v>Yes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6"/>
  <sheetViews>
    <sheetView zoomScale="110" zoomScaleNormal="110" workbookViewId="0">
      <selection activeCell="I17" sqref="I17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9.5546875" style="33" bestFit="1" customWidth="1"/>
    <col min="21" max="21" width="10.6640625" style="33" bestFit="1" customWidth="1"/>
    <col min="25" max="25" width="10.6640625" style="33" bestFit="1" customWidth="1"/>
  </cols>
  <sheetData>
    <row r="1" spans="1:29" ht="18" customHeight="1" x14ac:dyDescent="0.35">
      <c r="A1" s="2" t="s">
        <v>21</v>
      </c>
      <c r="B1" s="28" t="s">
        <v>63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24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44470</v>
      </c>
      <c r="I3" s="16">
        <v>60</v>
      </c>
      <c r="J3" s="16">
        <f ca="1">TODAY()-H3</f>
        <v>377</v>
      </c>
      <c r="K3" s="16" t="str">
        <f ca="1">IF(J3&gt;21, "Yes", "No")</f>
        <v>Yes</v>
      </c>
      <c r="L3" s="10">
        <v>44630</v>
      </c>
      <c r="M3" s="16">
        <f>26+11+19+28</f>
        <v>84</v>
      </c>
      <c r="N3" s="16">
        <f ca="1">TODAY()-L3</f>
        <v>217</v>
      </c>
      <c r="O3" s="16" t="str">
        <f ca="1">IF(N3&gt;21, "Yes", "No")</f>
        <v>Yes</v>
      </c>
      <c r="P3" s="10"/>
      <c r="Q3" s="16"/>
      <c r="R3" s="16"/>
      <c r="S3" s="16"/>
      <c r="T3" s="16"/>
      <c r="U3" s="16"/>
      <c r="V3" s="16"/>
      <c r="W3" s="16"/>
      <c r="Y3" s="11">
        <v>44483</v>
      </c>
      <c r="Z3" s="16"/>
      <c r="AA3" s="16"/>
      <c r="AB3" s="16">
        <v>4</v>
      </c>
      <c r="AC3" s="16"/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/>
      <c r="I4" s="16">
        <f>I3+10</f>
        <v>70</v>
      </c>
      <c r="J4" s="16"/>
      <c r="K4" s="16"/>
      <c r="L4" s="10">
        <v>44651</v>
      </c>
      <c r="M4" s="16">
        <f>36+42</f>
        <v>78</v>
      </c>
      <c r="N4" s="16">
        <f ca="1">TODAY()-L4</f>
        <v>196</v>
      </c>
      <c r="O4" s="16" t="str">
        <f ca="1">IF(N4&gt;21, "Yes", "No")</f>
        <v>Yes</v>
      </c>
      <c r="P4" s="16"/>
      <c r="Q4" s="16"/>
      <c r="R4" s="16"/>
      <c r="S4" s="16"/>
      <c r="T4" s="16"/>
      <c r="U4" s="16"/>
      <c r="V4" s="16"/>
      <c r="W4" s="16"/>
      <c r="Y4" s="11">
        <v>44487</v>
      </c>
      <c r="Z4" s="16"/>
      <c r="AA4" s="16"/>
      <c r="AB4" s="16">
        <v>3</v>
      </c>
      <c r="AC4" s="16"/>
    </row>
    <row r="5" spans="1:29" ht="18" customHeight="1" x14ac:dyDescent="0.35">
      <c r="A5" s="7" t="s">
        <v>39</v>
      </c>
      <c r="B5" s="28">
        <f t="array" ref="B5">(IFERROR((LOOKUP(2,1/(I$3:I$100&lt;&gt;""),I$3:I$100)),0))</f>
        <v>232</v>
      </c>
      <c r="D5" s="16"/>
      <c r="E5" s="16"/>
      <c r="F5" s="16"/>
      <c r="G5" s="16"/>
      <c r="H5" s="10"/>
      <c r="I5" s="16">
        <f>I4-AB3</f>
        <v>66</v>
      </c>
      <c r="J5" s="16"/>
      <c r="K5" s="16"/>
      <c r="L5" s="10"/>
      <c r="M5" s="16">
        <f>58+34</f>
        <v>92</v>
      </c>
      <c r="N5" s="16"/>
      <c r="O5" s="16"/>
      <c r="P5" s="10"/>
      <c r="Q5" s="16"/>
      <c r="R5" s="16"/>
      <c r="S5" s="16"/>
      <c r="T5" s="16"/>
      <c r="U5" s="16"/>
      <c r="V5" s="16"/>
      <c r="W5" s="16"/>
      <c r="Y5" s="11">
        <v>44502</v>
      </c>
      <c r="Z5" s="16"/>
      <c r="AA5" s="16"/>
      <c r="AB5" s="16">
        <f>1+3+1+5</f>
        <v>10</v>
      </c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44758</v>
      </c>
      <c r="D6" s="16"/>
      <c r="E6" s="16"/>
      <c r="F6" s="16"/>
      <c r="G6" s="16"/>
      <c r="H6" s="16"/>
      <c r="I6" s="16">
        <v>63</v>
      </c>
      <c r="J6" s="16"/>
      <c r="K6" s="16"/>
      <c r="L6" s="10">
        <v>44758</v>
      </c>
      <c r="M6" s="16">
        <f>57+23+12+18</f>
        <v>110</v>
      </c>
      <c r="N6" s="16"/>
      <c r="O6" s="16"/>
      <c r="P6" s="16"/>
      <c r="Q6" s="16"/>
      <c r="R6" s="16"/>
      <c r="S6" s="16"/>
      <c r="T6" s="16"/>
      <c r="U6" s="16"/>
      <c r="V6" s="16"/>
      <c r="W6" s="16"/>
      <c r="Y6" s="11">
        <v>44531</v>
      </c>
      <c r="Z6" s="16"/>
      <c r="AA6" s="16"/>
      <c r="AB6" s="16">
        <v>7</v>
      </c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0">
        <v>44502</v>
      </c>
      <c r="I7" s="16">
        <v>47</v>
      </c>
      <c r="J7" s="16">
        <f ca="1">TODAY()-H7</f>
        <v>345</v>
      </c>
      <c r="K7" s="16" t="str">
        <f ca="1">IF(J7&gt;21, "Yes", "No")</f>
        <v>Yes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Y7" s="11">
        <v>44567</v>
      </c>
      <c r="Z7" s="16"/>
      <c r="AA7" s="16"/>
      <c r="AB7" s="16">
        <f>2+1+1+1+1+3+2+2</f>
        <v>13</v>
      </c>
      <c r="AC7" s="16"/>
    </row>
    <row r="8" spans="1:29" ht="18" customHeight="1" x14ac:dyDescent="0.35">
      <c r="A8" s="31" t="s">
        <v>43</v>
      </c>
      <c r="B8" s="28">
        <f t="array" ref="B8">(IFERROR((LOOKUP(2,1/(M$3:M$100&lt;&gt;""),M$3:M$100)),0))</f>
        <v>110</v>
      </c>
      <c r="D8" s="16"/>
      <c r="E8" s="16"/>
      <c r="F8" s="16"/>
      <c r="G8" s="16"/>
      <c r="H8" s="16"/>
      <c r="I8" s="16">
        <f>I7+16</f>
        <v>63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(H$3:H$100 &lt;&gt;""), H$3:H$100)</f>
        <v>44758</v>
      </c>
      <c r="D9" s="16"/>
      <c r="E9" s="16"/>
      <c r="F9" s="16"/>
      <c r="G9" s="16"/>
      <c r="H9" s="16"/>
      <c r="I9" s="16">
        <f>I8-7</f>
        <v>56</v>
      </c>
      <c r="J9" s="16"/>
      <c r="K9" s="16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(K$3:K$100 &lt;&gt;""), K$3:K$100)</f>
        <v>Yes</v>
      </c>
      <c r="H10" s="11">
        <v>44531</v>
      </c>
      <c r="I10">
        <f>9+2+2+2+4+1+3+6+2+7+5+3+3+1+6</f>
        <v>56</v>
      </c>
      <c r="J10" s="16">
        <f ca="1">TODAY()-H10</f>
        <v>316</v>
      </c>
      <c r="K10" s="16" t="str">
        <f ca="1">IF(J10&gt;21, "Yes", "No")</f>
        <v>Yes</v>
      </c>
    </row>
    <row r="11" spans="1:29" ht="18" customHeight="1" x14ac:dyDescent="0.35">
      <c r="A11" s="18" t="s">
        <v>46</v>
      </c>
      <c r="B11" s="28">
        <f t="array" ref="B11">(IFERROR((LOOKUP(2,1/(M$10:M$100&lt;&gt;""),M$10:M$100)),0))</f>
        <v>0</v>
      </c>
      <c r="I11">
        <f>I10-13</f>
        <v>43</v>
      </c>
    </row>
    <row r="12" spans="1:29" ht="18" customHeight="1" x14ac:dyDescent="0.35">
      <c r="A12" s="18" t="s">
        <v>47</v>
      </c>
      <c r="B12" s="8" t="e">
        <f t="array" ref="B12">LOOKUP(2,1 / (L$10:L$100 &lt;&gt;""), L$10:L$100)</f>
        <v>#N/A</v>
      </c>
      <c r="H12" s="11">
        <v>44567</v>
      </c>
      <c r="I12">
        <f>1+13+9+5+2+3+1+4+8+2+6+6+6+31+13+6+10+6+2+4+7+1+6+9+6</f>
        <v>167</v>
      </c>
      <c r="J12" s="16">
        <f ca="1">TODAY()-H12</f>
        <v>280</v>
      </c>
      <c r="K12" s="16" t="str">
        <f ca="1">IF(J12&gt;21, "Yes", "No")</f>
        <v>Yes</v>
      </c>
    </row>
    <row r="13" spans="1:29" ht="18" customHeight="1" x14ac:dyDescent="0.35">
      <c r="A13" s="18" t="s">
        <v>48</v>
      </c>
      <c r="B13" s="1" t="e">
        <f t="array" ref="B13">LOOKUP(2,1 / (O$10:O$100 &lt;&gt;""), O$10:O$100)</f>
        <v>#N/A</v>
      </c>
      <c r="H13" s="11">
        <v>44630</v>
      </c>
      <c r="I13">
        <f>32+28+32+14+32+36+24+22</f>
        <v>220</v>
      </c>
      <c r="J13" s="16">
        <f ca="1">TODAY()-H13</f>
        <v>217</v>
      </c>
      <c r="K13" s="16" t="str">
        <f ca="1">IF(J13&gt;21, "Yes", "No")</f>
        <v>Yes</v>
      </c>
    </row>
    <row r="14" spans="1:29" ht="18" customHeight="1" x14ac:dyDescent="0.35">
      <c r="A14" s="2" t="s">
        <v>49</v>
      </c>
      <c r="B14" s="28">
        <f>(IFERROR((LOOKUP(2,1/(Q$3:Q$100&lt;&gt;""),Q$3:Q$100)),0))</f>
        <v>0</v>
      </c>
      <c r="I14">
        <f>27+18</f>
        <v>45</v>
      </c>
      <c r="J14" s="16">
        <f ca="1">TODAY()-H14</f>
        <v>44847</v>
      </c>
      <c r="K14" s="16" t="str">
        <f ca="1">IF(J14&gt;21, "Yes", "No")</f>
        <v>Yes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  <c r="I15">
        <f>32+184</f>
        <v>216</v>
      </c>
    </row>
    <row r="16" spans="1:29" x14ac:dyDescent="0.3">
      <c r="H16" s="11">
        <v>44758</v>
      </c>
      <c r="I16">
        <f>36+196</f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5"/>
  <sheetViews>
    <sheetView zoomScale="87" zoomScaleNormal="110" workbookViewId="0">
      <selection activeCell="J12" sqref="J12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15.21875" style="33" bestFit="1" customWidth="1"/>
    <col min="21" max="21" width="10.6640625" style="33" bestFit="1" customWidth="1"/>
  </cols>
  <sheetData>
    <row r="1" spans="1:29" ht="18" customHeight="1" x14ac:dyDescent="0.35">
      <c r="A1" s="2" t="s">
        <v>21</v>
      </c>
      <c r="B1" s="28" t="s">
        <v>64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23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44482</v>
      </c>
      <c r="I3" s="16">
        <v>149</v>
      </c>
      <c r="J3" s="16">
        <f ca="1">TODAY()-H3</f>
        <v>365</v>
      </c>
      <c r="K3" s="16" t="str">
        <f ca="1">IF(J3&gt;21, "Yes", "No")</f>
        <v>Yes</v>
      </c>
      <c r="L3" s="10">
        <v>44609</v>
      </c>
      <c r="M3" s="16">
        <f>2+2+1+2+2+4+2+2+4+3+1+2+2+3+3+13+17+15</f>
        <v>80</v>
      </c>
      <c r="N3" s="16">
        <f ca="1">TODAY()-L3</f>
        <v>238</v>
      </c>
      <c r="O3" s="16" t="str">
        <f ca="1">IF(N3&gt;21, "Yes", "No")</f>
        <v>Yes</v>
      </c>
      <c r="P3" s="10">
        <v>44482</v>
      </c>
      <c r="Q3" s="16">
        <v>7</v>
      </c>
      <c r="R3" s="16">
        <f ca="1">TODAY()-P3</f>
        <v>365</v>
      </c>
      <c r="S3" s="16" t="str">
        <f ca="1">IF(R3&gt;21, "Yes", "No")</f>
        <v>Yes</v>
      </c>
      <c r="T3" s="16"/>
      <c r="U3" s="16"/>
      <c r="V3" s="16"/>
      <c r="W3" s="16"/>
      <c r="Y3" s="11">
        <v>44487</v>
      </c>
      <c r="Z3" s="16"/>
      <c r="AA3" s="16"/>
      <c r="AB3" s="16"/>
      <c r="AC3" s="16">
        <v>2</v>
      </c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44519</v>
      </c>
      <c r="I4" s="16">
        <f>7+6+6+8+8+2+13+5+6+8+10+8+8+4+5+6+6+10+8+7+6+9+7</f>
        <v>163</v>
      </c>
      <c r="J4" s="16">
        <f ca="1">TODAY()-H4</f>
        <v>328</v>
      </c>
      <c r="K4" s="16" t="str">
        <f ca="1">IF(J4&gt;21, "Yes", "No")</f>
        <v>Yes</v>
      </c>
      <c r="L4" s="10">
        <v>44655</v>
      </c>
      <c r="M4" s="16">
        <f>14+7+25</f>
        <v>46</v>
      </c>
      <c r="N4" s="16">
        <f ca="1">TODAY()-L4</f>
        <v>192</v>
      </c>
      <c r="O4" s="16" t="str">
        <f ca="1">IF(N4&gt;21, "Yes", "No")</f>
        <v>Yes</v>
      </c>
      <c r="P4" s="16"/>
      <c r="Q4" s="16">
        <v>5</v>
      </c>
      <c r="R4" s="16"/>
      <c r="S4" s="16"/>
      <c r="T4" s="16"/>
      <c r="U4" s="16"/>
      <c r="V4" s="16"/>
      <c r="W4" s="16"/>
      <c r="Y4" s="11">
        <v>44494</v>
      </c>
      <c r="Z4" s="16"/>
      <c r="AA4" s="16"/>
      <c r="AB4" s="16"/>
      <c r="AC4" s="16">
        <v>3</v>
      </c>
    </row>
    <row r="5" spans="1:29" ht="18" customHeight="1" x14ac:dyDescent="0.35">
      <c r="A5" s="7" t="s">
        <v>39</v>
      </c>
      <c r="B5" s="28">
        <f t="array" ref="B5">(IFERROR((LOOKUP(2,1/(I$3:I$100&lt;&gt;""),I$3:I$100)),0))</f>
        <v>181</v>
      </c>
      <c r="D5" s="16"/>
      <c r="E5" s="16"/>
      <c r="F5" s="16"/>
      <c r="G5" s="16"/>
      <c r="H5" s="10"/>
      <c r="I5" s="16">
        <f>I4+11+11+11+27+8+12+8+9+5+12+7+11</f>
        <v>295</v>
      </c>
      <c r="J5" s="16"/>
      <c r="K5" s="16"/>
      <c r="L5" s="10"/>
      <c r="M5" s="16"/>
      <c r="N5" s="16"/>
      <c r="O5" s="16"/>
      <c r="P5" s="10">
        <v>44494</v>
      </c>
      <c r="Q5" s="16">
        <v>4</v>
      </c>
      <c r="R5" s="16">
        <f ca="1">TODAY()-P5</f>
        <v>353</v>
      </c>
      <c r="S5" s="16" t="str">
        <f ca="1">IF(R5&gt;21, "Yes", "No")</f>
        <v>Yes</v>
      </c>
      <c r="T5" s="16"/>
      <c r="U5" s="16"/>
      <c r="V5" s="16"/>
      <c r="W5" s="16"/>
      <c r="Y5" s="11">
        <v>44561</v>
      </c>
      <c r="Z5" s="16"/>
      <c r="AA5" s="16"/>
      <c r="AB5" s="16">
        <f>1+4+3+4+3+5+4</f>
        <v>24</v>
      </c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44655</v>
      </c>
      <c r="D6" s="16"/>
      <c r="E6" s="16"/>
      <c r="F6" s="16"/>
      <c r="G6" s="16"/>
      <c r="H6" s="16"/>
      <c r="I6" s="16">
        <f>I5-24</f>
        <v>271</v>
      </c>
      <c r="J6" s="16"/>
      <c r="K6" s="16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Y6" s="11"/>
      <c r="Z6" s="16"/>
      <c r="AA6" s="16"/>
      <c r="AB6" s="16"/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0">
        <v>44561</v>
      </c>
      <c r="I7" s="16">
        <f>8+8+2+6+6+6+5+7+7+4+2+7+5+4+7+5+5+4+6+8+9+7+6+4+4+6+6+6+5+6+7+6+6+4+5+5+9+10+6+8+3+6+7+5+6+7+10+9+8+6+5+6</f>
        <v>315</v>
      </c>
      <c r="J7" s="16">
        <f ca="1">TODAY()-H7</f>
        <v>286</v>
      </c>
      <c r="K7" s="16" t="str">
        <f ca="1">IF(J7&gt;21, "Yes", "No")</f>
        <v>Yes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Z7" s="16"/>
      <c r="AA7" s="16"/>
      <c r="AB7" s="16"/>
      <c r="AC7" s="16"/>
    </row>
    <row r="8" spans="1:29" ht="18" customHeight="1" x14ac:dyDescent="0.35">
      <c r="A8" s="31" t="s">
        <v>43</v>
      </c>
      <c r="B8" s="28">
        <f t="array" ref="B8">(IFERROR((LOOKUP(2,1/(M$3:M$100&lt;&gt;""),M$3:M$100)),0))</f>
        <v>46</v>
      </c>
      <c r="D8" s="16"/>
      <c r="E8" s="16"/>
      <c r="F8" s="16"/>
      <c r="G8" s="16"/>
      <c r="H8" s="16"/>
      <c r="I8" s="16">
        <f>I7+11+9+9+7+3+9+4+7+4+7+5+10+4+4+2+1+6+6+5+1+8+4+4+8+3+7+2+8+2+7+4+4+4+9</f>
        <v>503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(L$3:L$100 &lt;&gt;""), L$3:L$100)</f>
        <v>44655</v>
      </c>
      <c r="D9" s="16"/>
      <c r="E9" s="16"/>
      <c r="F9" s="16"/>
      <c r="G9" s="16"/>
      <c r="H9" s="16" t="s">
        <v>52</v>
      </c>
      <c r="I9" s="16" t="s">
        <v>52</v>
      </c>
      <c r="J9" s="16" t="s">
        <v>52</v>
      </c>
      <c r="K9" s="16" t="s">
        <v>52</v>
      </c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(O$3:O$100 &lt;&gt;""), O$3:O$100)</f>
        <v>Yes</v>
      </c>
      <c r="H10" s="11">
        <v>44655</v>
      </c>
      <c r="I10">
        <f>27+28+33+23+24+17+29</f>
        <v>181</v>
      </c>
      <c r="J10" s="16">
        <f ca="1">TODAY()-H10</f>
        <v>192</v>
      </c>
      <c r="K10" s="16" t="str">
        <f ca="1">IF(J10&gt;21, "Yes", "No")</f>
        <v>Yes</v>
      </c>
    </row>
    <row r="11" spans="1:29" ht="18" customHeight="1" x14ac:dyDescent="0.35">
      <c r="A11" s="18" t="s">
        <v>46</v>
      </c>
      <c r="B11" s="28">
        <f t="array" ref="B11">(IFERROR((LOOKUP(2,1/(M$10:M$100&lt;&gt;""),M$10:M$100)),0))</f>
        <v>0</v>
      </c>
    </row>
    <row r="12" spans="1:29" ht="18" customHeight="1" x14ac:dyDescent="0.35">
      <c r="A12" s="18" t="s">
        <v>47</v>
      </c>
      <c r="B12" s="8" t="e">
        <f t="array" ref="B12">LOOKUP(2,1 / (L$10:L$100 &lt;&gt;""), L$10:L$100)</f>
        <v>#N/A</v>
      </c>
    </row>
    <row r="13" spans="1:29" ht="18" customHeight="1" x14ac:dyDescent="0.35">
      <c r="A13" s="18" t="s">
        <v>48</v>
      </c>
      <c r="B13" s="1" t="e">
        <f t="array" ref="B13">LOOKUP(2,1 / (O$10:O$100 &lt;&gt;""), O$10:O$100)</f>
        <v>#N/A</v>
      </c>
    </row>
    <row r="14" spans="1:29" ht="18" customHeight="1" x14ac:dyDescent="0.35">
      <c r="A14" s="2" t="s">
        <v>49</v>
      </c>
      <c r="B14" s="28">
        <f>(IFERROR((LOOKUP(2,1/(Q$3:Q$100&lt;&gt;""),Q$3:Q$100)),0))</f>
        <v>4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18"/>
  <sheetViews>
    <sheetView topLeftCell="D1" zoomScale="110" zoomScaleNormal="110" workbookViewId="0">
      <selection activeCell="P6" sqref="P6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5546875" style="33" bestFit="1" customWidth="1"/>
    <col min="21" max="21" width="10.6640625" style="33" bestFit="1" customWidth="1"/>
    <col min="25" max="25" width="9.5546875" style="33" bestFit="1" customWidth="1"/>
  </cols>
  <sheetData>
    <row r="1" spans="1:33" ht="18" customHeight="1" x14ac:dyDescent="0.35">
      <c r="A1" s="2" t="s">
        <v>21</v>
      </c>
      <c r="B1" s="28" t="s">
        <v>65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 t="str">
        <f>(IFERROR((LOOKUP(2,1/(E$3:E$100&lt;&gt;""),E$3:E$100)),0))</f>
        <v>N/A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23</v>
      </c>
    </row>
    <row r="3" spans="1:33" ht="18" customHeight="1" x14ac:dyDescent="0.35">
      <c r="A3" s="6" t="s">
        <v>34</v>
      </c>
      <c r="B3" s="8" t="str">
        <f>LOOKUP(2,1 / (D$3:D$100 &lt;&gt;""), D$3:D$100)</f>
        <v>N/A</v>
      </c>
      <c r="D3" s="10">
        <v>44568</v>
      </c>
      <c r="E3" s="16">
        <v>201</v>
      </c>
      <c r="F3" s="16">
        <f ca="1">TODAY()-D3</f>
        <v>279</v>
      </c>
      <c r="G3" s="16" t="str">
        <f ca="1">IF(F3&gt;21, "Yes", "No")</f>
        <v>Yes</v>
      </c>
      <c r="H3" s="10">
        <v>44601</v>
      </c>
      <c r="I3" s="16">
        <f>105+30+45+14+20+30+22</f>
        <v>266</v>
      </c>
      <c r="J3" s="16">
        <f ca="1">TODAY()-H3</f>
        <v>246</v>
      </c>
      <c r="K3" s="16" t="str">
        <f ca="1">IF(J3&gt;21, "Yes", "No")</f>
        <v>Yes</v>
      </c>
      <c r="L3" s="10">
        <v>44601</v>
      </c>
      <c r="M3" s="16">
        <f>6+16+24+6+3</f>
        <v>55</v>
      </c>
      <c r="N3" s="16">
        <f ca="1">TODAY()-L3</f>
        <v>246</v>
      </c>
      <c r="O3" s="16" t="str">
        <f ca="1">IF(N3&gt;21, "Yes", "No")</f>
        <v>Yes</v>
      </c>
      <c r="P3" s="10">
        <v>44671</v>
      </c>
      <c r="Q3" s="16">
        <v>3</v>
      </c>
      <c r="R3" s="16">
        <f ca="1">TODAY()-P3</f>
        <v>176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44582</v>
      </c>
      <c r="AD3" s="16">
        <v>11</v>
      </c>
      <c r="AE3" s="16"/>
      <c r="AF3" s="16"/>
      <c r="AG3" s="16"/>
    </row>
    <row r="4" spans="1:33" ht="18" customHeight="1" x14ac:dyDescent="0.35">
      <c r="A4" s="6" t="s">
        <v>35</v>
      </c>
      <c r="B4" s="1" t="str">
        <f>LOOKUP(2,1 / (G$3:G$1048576 &lt;&gt;""), G$3:G$1048576)</f>
        <v>N/A</v>
      </c>
      <c r="D4" s="12"/>
      <c r="E4" s="13">
        <f>E3-11</f>
        <v>190</v>
      </c>
      <c r="F4" s="13"/>
      <c r="G4" s="13"/>
      <c r="H4" s="16" t="s">
        <v>52</v>
      </c>
      <c r="I4" s="16" t="s">
        <v>52</v>
      </c>
      <c r="J4" s="16" t="s">
        <v>52</v>
      </c>
      <c r="K4" s="16" t="s">
        <v>52</v>
      </c>
      <c r="L4" s="10">
        <v>44671</v>
      </c>
      <c r="M4" s="16">
        <f>31+32+34</f>
        <v>97</v>
      </c>
      <c r="N4" s="16">
        <f ca="1">TODAY()-L4</f>
        <v>176</v>
      </c>
      <c r="O4" s="16" t="str">
        <f ca="1">IF(N4&gt;21, "Yes", "No")</f>
        <v>Yes</v>
      </c>
      <c r="P4" s="10"/>
      <c r="Q4" s="16">
        <v>12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C4" s="11">
        <v>44592</v>
      </c>
      <c r="AD4" s="16">
        <v>5</v>
      </c>
      <c r="AE4" s="16"/>
      <c r="AF4" s="16"/>
      <c r="AG4" s="16"/>
    </row>
    <row r="5" spans="1:33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>
        <f>E4-5</f>
        <v>185</v>
      </c>
      <c r="F5" s="16"/>
      <c r="G5" s="16"/>
      <c r="H5" s="16"/>
      <c r="I5" s="16"/>
      <c r="J5" s="16"/>
      <c r="K5" s="16"/>
      <c r="L5" s="10"/>
      <c r="M5" s="16">
        <f>209</f>
        <v>209</v>
      </c>
      <c r="N5" s="16"/>
      <c r="O5" s="16"/>
      <c r="P5" s="10">
        <v>44762</v>
      </c>
      <c r="Q5" s="16">
        <f>27+20+11</f>
        <v>58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str">
        <f t="array" ref="B6">LOOKUP(2,1 / (H$3:H$100 &lt;&gt;""), H$3:H$100)</f>
        <v>N/A</v>
      </c>
      <c r="D6" s="16" t="s">
        <v>52</v>
      </c>
      <c r="E6" s="16" t="s">
        <v>52</v>
      </c>
      <c r="F6" s="16" t="s">
        <v>52</v>
      </c>
      <c r="G6" s="16" t="s">
        <v>52</v>
      </c>
      <c r="H6" s="16"/>
      <c r="I6" s="16"/>
      <c r="J6" s="16"/>
      <c r="K6" s="16"/>
      <c r="L6" s="10">
        <v>44762</v>
      </c>
      <c r="M6" s="16">
        <f>20+44+33</f>
        <v>97</v>
      </c>
      <c r="N6" s="16"/>
      <c r="O6" s="16"/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(K$3:K$1048576 &lt;&gt;""), K$3:K$1048576)</f>
        <v>N/A</v>
      </c>
      <c r="D7" s="16"/>
      <c r="E7" s="16"/>
      <c r="F7" s="16"/>
      <c r="G7" s="16"/>
      <c r="H7" s="16"/>
      <c r="I7" s="16"/>
      <c r="J7" s="16"/>
      <c r="K7" s="16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97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44762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58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44762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(IFERROR((LOOKUP(2,1/(M$10:M$100&lt;&gt;""),M$10:M$100)),0))</f>
        <v>0</v>
      </c>
    </row>
    <row r="15" spans="1:33" ht="18" customHeight="1" x14ac:dyDescent="0.35">
      <c r="A15" s="18" t="s">
        <v>47</v>
      </c>
      <c r="B15" s="8" t="e">
        <f t="array" ref="B15">LOOKUP(2,1 / (L$10:L$100 &lt;&gt;""), L$10:L$100)</f>
        <v>#N/A</v>
      </c>
    </row>
    <row r="16" spans="1:33" ht="18" customHeight="1" x14ac:dyDescent="0.35">
      <c r="A16" s="18" t="s">
        <v>48</v>
      </c>
      <c r="B16" s="1" t="e">
        <f t="array" ref="B16">LOOKUP(2,1 / (O$10:O$100 &lt;&gt;""), O$10:O$100)</f>
        <v>#N/A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58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18"/>
  <sheetViews>
    <sheetView topLeftCell="J1" zoomScale="110" zoomScaleNormal="110" workbookViewId="0">
      <selection activeCell="P8" sqref="P8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5546875" style="33" bestFit="1" customWidth="1"/>
    <col min="21" max="21" width="10.6640625" style="33" bestFit="1" customWidth="1"/>
    <col min="25" max="25" width="9.5546875" style="33" bestFit="1" customWidth="1"/>
  </cols>
  <sheetData>
    <row r="1" spans="1:33" ht="18" customHeight="1" x14ac:dyDescent="0.35">
      <c r="A1" s="2" t="s">
        <v>21</v>
      </c>
      <c r="B1" s="28" t="s">
        <v>66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 t="str">
        <f>(IFERROR((LOOKUP(2,1/(E$3:E$100&lt;&gt;""),E$3:E$100)),0))</f>
        <v>N/A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23</v>
      </c>
    </row>
    <row r="3" spans="1:33" ht="18" customHeight="1" x14ac:dyDescent="0.35">
      <c r="A3" s="6" t="s">
        <v>34</v>
      </c>
      <c r="B3" s="8" t="str">
        <f>LOOKUP(2,1 / (D$3:D$100 &lt;&gt;""), D$3:D$100)</f>
        <v>N/A</v>
      </c>
      <c r="D3" s="10">
        <v>44568</v>
      </c>
      <c r="E3" s="16">
        <v>231</v>
      </c>
      <c r="F3" s="16">
        <f ca="1">TODAY()-D3</f>
        <v>279</v>
      </c>
      <c r="G3" s="16" t="str">
        <f ca="1">IF(F3&gt;21, "Yes", "No")</f>
        <v>Yes</v>
      </c>
      <c r="H3" s="10">
        <v>44601</v>
      </c>
      <c r="I3" s="16">
        <f>24+48+8+10+5+9+30+19+21+16+39</f>
        <v>229</v>
      </c>
      <c r="J3" s="16">
        <f ca="1">TODAY()-H3</f>
        <v>246</v>
      </c>
      <c r="K3" s="16" t="str">
        <f ca="1">IF(J3&gt;21, "Yes", "No")</f>
        <v>Yes</v>
      </c>
      <c r="L3" s="10">
        <v>44601</v>
      </c>
      <c r="M3" s="16">
        <f>18+8+4+12+4+8+3+4+1</f>
        <v>62</v>
      </c>
      <c r="N3" s="16">
        <f ca="1">TODAY()-L3</f>
        <v>246</v>
      </c>
      <c r="O3" s="16" t="str">
        <f ca="1">IF(N3&gt;21, "Yes", "No")</f>
        <v>Yes</v>
      </c>
      <c r="P3" s="10">
        <v>44601</v>
      </c>
      <c r="Q3" s="16">
        <f>3+1</f>
        <v>4</v>
      </c>
      <c r="R3" s="16">
        <f ca="1">TODAY()-P3</f>
        <v>246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44582</v>
      </c>
      <c r="AD3" s="16">
        <v>6</v>
      </c>
      <c r="AE3" s="16"/>
      <c r="AF3" s="16"/>
      <c r="AG3" s="16"/>
    </row>
    <row r="4" spans="1:33" ht="18" customHeight="1" x14ac:dyDescent="0.35">
      <c r="A4" s="6" t="s">
        <v>35</v>
      </c>
      <c r="B4" s="1" t="str">
        <f>LOOKUP(2,1 / (G$3:G$1048576 &lt;&gt;""), G$3:G$1048576)</f>
        <v>N/A</v>
      </c>
      <c r="D4" s="12"/>
      <c r="E4" s="13">
        <f>E3-6</f>
        <v>225</v>
      </c>
      <c r="F4" s="13"/>
      <c r="G4" s="13"/>
      <c r="H4" s="12"/>
      <c r="I4" s="13">
        <f>I3-17-17-16</f>
        <v>179</v>
      </c>
      <c r="J4" s="13"/>
      <c r="K4" s="13"/>
      <c r="L4" s="10">
        <v>44676</v>
      </c>
      <c r="M4" s="16">
        <f>32+10+86</f>
        <v>128</v>
      </c>
      <c r="N4" s="16">
        <f ca="1">TODAY()-L4</f>
        <v>171</v>
      </c>
      <c r="O4" s="16" t="str">
        <f ca="1">IF(N4&gt;21, "Yes", "No")</f>
        <v>Yes</v>
      </c>
      <c r="P4" s="10">
        <v>44676</v>
      </c>
      <c r="Q4" s="16">
        <f>14+6</f>
        <v>20</v>
      </c>
      <c r="R4" s="16">
        <f ca="1">TODAY()-P4</f>
        <v>171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C4" s="11">
        <v>44592</v>
      </c>
      <c r="AD4" s="16">
        <v>1</v>
      </c>
      <c r="AE4" s="16"/>
      <c r="AF4" s="16"/>
      <c r="AG4" s="16"/>
    </row>
    <row r="5" spans="1:33" ht="18" customHeight="1" x14ac:dyDescent="0.35">
      <c r="A5" s="18" t="s">
        <v>36</v>
      </c>
      <c r="B5" s="28">
        <f t="array" ref="B5">(IFERROR((LOOKUP(2,1/(I$3:I$100&lt;&gt;""),I$3:I$100)),0))</f>
        <v>179</v>
      </c>
      <c r="D5" s="16"/>
      <c r="E5" s="16">
        <f>E4-1</f>
        <v>224</v>
      </c>
      <c r="F5" s="16"/>
      <c r="G5" s="16"/>
      <c r="H5" s="16"/>
      <c r="I5" s="16"/>
      <c r="J5" s="16"/>
      <c r="K5" s="16"/>
      <c r="L5" s="10"/>
      <c r="M5" s="16">
        <v>130</v>
      </c>
      <c r="N5" s="16"/>
      <c r="O5" s="16"/>
      <c r="P5" s="10">
        <v>44719</v>
      </c>
      <c r="Q5" s="16">
        <f>9+31</f>
        <v>40</v>
      </c>
      <c r="R5" s="16">
        <f ca="1">TODAY()-P5</f>
        <v>128</v>
      </c>
      <c r="S5" s="16" t="str">
        <f ca="1">IF(R5&gt;21, "Yes", "No")</f>
        <v>Yes</v>
      </c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>
        <f t="array" ref="B6">LOOKUP(2,1 / (H$3:H$100 &lt;&gt;""), H$3:H$100)</f>
        <v>44601</v>
      </c>
      <c r="D6" s="16" t="s">
        <v>52</v>
      </c>
      <c r="E6" s="16" t="s">
        <v>52</v>
      </c>
      <c r="F6" s="16" t="s">
        <v>52</v>
      </c>
      <c r="G6" s="16" t="s">
        <v>52</v>
      </c>
      <c r="H6" s="16"/>
      <c r="I6" s="16"/>
      <c r="J6" s="16"/>
      <c r="K6" s="16"/>
      <c r="L6" s="10">
        <v>44719</v>
      </c>
      <c r="M6" s="16">
        <f>32+70</f>
        <v>102</v>
      </c>
      <c r="N6" s="16">
        <f ca="1">TODAY()-L6</f>
        <v>128</v>
      </c>
      <c r="O6" s="16" t="str">
        <f ca="1">IF(N6&gt;21, "Yes", "No")</f>
        <v>Yes</v>
      </c>
      <c r="P6" s="10">
        <v>44762</v>
      </c>
      <c r="Q6" s="16">
        <f>10+8+7</f>
        <v>25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(K$3:K$1048576 &lt;&gt;""), K$3:K$1048576)</f>
        <v>Yes</v>
      </c>
      <c r="D7" s="16"/>
      <c r="E7" s="16"/>
      <c r="F7" s="16"/>
      <c r="G7" s="16"/>
      <c r="H7" s="16"/>
      <c r="I7" s="16"/>
      <c r="J7" s="16"/>
      <c r="K7" s="16"/>
      <c r="L7" s="10">
        <v>44762</v>
      </c>
      <c r="M7" s="16">
        <f>22+28+7</f>
        <v>57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57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44762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25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44762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(IFERROR((LOOKUP(2,1/(M$10:M$100&lt;&gt;""),M$10:M$100)),0))</f>
        <v>0</v>
      </c>
    </row>
    <row r="15" spans="1:33" ht="18" customHeight="1" x14ac:dyDescent="0.35">
      <c r="A15" s="18" t="s">
        <v>47</v>
      </c>
      <c r="B15" s="8" t="e">
        <f t="array" ref="B15">LOOKUP(2,1 / (L$10:L$100 &lt;&gt;""), L$10:L$100)</f>
        <v>#N/A</v>
      </c>
    </row>
    <row r="16" spans="1:33" ht="18" customHeight="1" x14ac:dyDescent="0.35">
      <c r="A16" s="18" t="s">
        <v>48</v>
      </c>
      <c r="B16" s="1" t="e">
        <f t="array" ref="B16">LOOKUP(2,1 / (O$10:O$100 &lt;&gt;""), O$10:O$100)</f>
        <v>#N/A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25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8"/>
  <sheetViews>
    <sheetView topLeftCell="D1" zoomScale="110" zoomScaleNormal="110" workbookViewId="0">
      <selection activeCell="M7" sqref="M7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5546875" style="33" bestFit="1" customWidth="1"/>
    <col min="21" max="21" width="10.6640625" style="33" bestFit="1" customWidth="1"/>
    <col min="25" max="25" width="9.5546875" style="33" bestFit="1" customWidth="1"/>
  </cols>
  <sheetData>
    <row r="1" spans="1:33" ht="18" customHeight="1" x14ac:dyDescent="0.35">
      <c r="A1" s="2" t="s">
        <v>21</v>
      </c>
      <c r="B1" s="28" t="s">
        <v>67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 t="str">
        <f>(IFERROR((LOOKUP(2,1/(E$3:E$100&lt;&gt;""),E$3:E$100)),0))</f>
        <v>N/A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23</v>
      </c>
    </row>
    <row r="3" spans="1:33" ht="18" customHeight="1" x14ac:dyDescent="0.35">
      <c r="A3" s="6" t="s">
        <v>34</v>
      </c>
      <c r="B3" s="8" t="str">
        <f>LOOKUP(2,1 / (D$3:D$100 &lt;&gt;""), D$3:D$100)</f>
        <v>N/A</v>
      </c>
      <c r="D3" s="10">
        <v>44568</v>
      </c>
      <c r="E3" s="16">
        <v>157</v>
      </c>
      <c r="F3" s="16">
        <f ca="1">TODAY()-D3</f>
        <v>279</v>
      </c>
      <c r="G3" s="16" t="str">
        <f ca="1">IF(F3&gt;21, "Yes", "No")</f>
        <v>Yes</v>
      </c>
      <c r="H3" s="10">
        <v>44602</v>
      </c>
      <c r="I3" s="16">
        <f>15+24+26</f>
        <v>65</v>
      </c>
      <c r="J3" s="16">
        <f ca="1">TODAY()-H3</f>
        <v>245</v>
      </c>
      <c r="K3" s="16" t="str">
        <f ca="1">IF(J3&gt;21, "Yes", "No")</f>
        <v>Yes</v>
      </c>
      <c r="L3" s="10">
        <v>44610</v>
      </c>
      <c r="M3" s="16">
        <v>2</v>
      </c>
      <c r="N3" s="16">
        <f ca="1">TODAY()-L3</f>
        <v>237</v>
      </c>
      <c r="O3" s="16" t="str">
        <f ca="1">IF(N3&gt;21, "Yes", "No")</f>
        <v>Yes</v>
      </c>
      <c r="P3" s="10">
        <v>44672</v>
      </c>
      <c r="Q3" s="16">
        <v>3</v>
      </c>
      <c r="R3" s="16">
        <f ca="1">TODAY()-P3</f>
        <v>175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44582</v>
      </c>
      <c r="AD3" s="16">
        <v>12</v>
      </c>
      <c r="AE3" s="16"/>
      <c r="AF3" s="16"/>
      <c r="AG3" s="16"/>
    </row>
    <row r="4" spans="1:33" ht="18" customHeight="1" x14ac:dyDescent="0.35">
      <c r="A4" s="6" t="s">
        <v>35</v>
      </c>
      <c r="B4" s="1" t="str">
        <f>LOOKUP(2,1 / (G$3:G$1048576 &lt;&gt;""), G$3:G$1048576)</f>
        <v>N/A</v>
      </c>
      <c r="D4" s="12"/>
      <c r="E4" s="13">
        <f>E3-12</f>
        <v>145</v>
      </c>
      <c r="F4" s="13"/>
      <c r="G4" s="13"/>
      <c r="H4" s="12"/>
      <c r="I4" s="13">
        <f>I3+86+34</f>
        <v>185</v>
      </c>
      <c r="J4" s="13"/>
      <c r="K4" s="13"/>
      <c r="L4" s="10">
        <v>44672</v>
      </c>
      <c r="M4" s="16">
        <v>42</v>
      </c>
      <c r="N4" s="16">
        <f ca="1">TODAY()-L4</f>
        <v>175</v>
      </c>
      <c r="O4" s="16" t="str">
        <f ca="1">IF(N4&gt;21, "Yes", "No")</f>
        <v>Yes</v>
      </c>
      <c r="P4" s="10">
        <v>44754</v>
      </c>
      <c r="Q4" s="16">
        <v>20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C4" s="11">
        <v>44593</v>
      </c>
      <c r="AD4" s="16">
        <v>8</v>
      </c>
      <c r="AE4" s="16"/>
      <c r="AF4" s="16"/>
      <c r="AG4" s="16"/>
    </row>
    <row r="5" spans="1:33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>
        <f>E4-8</f>
        <v>137</v>
      </c>
      <c r="F5" s="16"/>
      <c r="G5" s="16"/>
      <c r="H5" s="16" t="s">
        <v>52</v>
      </c>
      <c r="I5" s="16" t="s">
        <v>52</v>
      </c>
      <c r="J5" s="16" t="s">
        <v>52</v>
      </c>
      <c r="K5" s="16" t="s">
        <v>52</v>
      </c>
      <c r="L5" s="10">
        <v>44754</v>
      </c>
      <c r="M5" s="16">
        <v>4</v>
      </c>
      <c r="N5" s="16"/>
      <c r="O5" s="16"/>
      <c r="P5" s="10"/>
      <c r="Q5" s="16"/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str">
        <f t="array" ref="B6">LOOKUP(2,1 / (H$3:H$100 &lt;&gt;""), H$3:H$100)</f>
        <v>N/A</v>
      </c>
      <c r="D6" s="16" t="s">
        <v>52</v>
      </c>
      <c r="E6" s="16" t="s">
        <v>52</v>
      </c>
      <c r="F6" s="16" t="s">
        <v>52</v>
      </c>
      <c r="G6" s="16" t="s">
        <v>52</v>
      </c>
      <c r="H6" s="16"/>
      <c r="I6" s="16"/>
      <c r="J6" s="16"/>
      <c r="K6" s="16"/>
      <c r="L6" s="16"/>
      <c r="M6" s="16"/>
      <c r="N6" s="16"/>
      <c r="O6" s="16"/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ref="B7">LOOKUP(2,1 / (K$3:K$1048576 &lt;&gt;""), K$3:K$1048576)</f>
        <v>N/A</v>
      </c>
      <c r="D7" s="16"/>
      <c r="E7" s="16"/>
      <c r="F7" s="16"/>
      <c r="G7" s="16"/>
      <c r="H7" s="16"/>
      <c r="I7" s="16"/>
      <c r="J7" s="16"/>
      <c r="K7" s="16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44754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20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44754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(IFERROR((LOOKUP(2,1/(M$10:M$100&lt;&gt;""),M$10:M$100)),0))</f>
        <v>0</v>
      </c>
    </row>
    <row r="15" spans="1:33" ht="18" customHeight="1" x14ac:dyDescent="0.35">
      <c r="A15" s="18" t="s">
        <v>47</v>
      </c>
      <c r="B15" s="8" t="e">
        <f t="array" ref="B15">LOOKUP(2,1 / (L$10:L$100 &lt;&gt;""), L$10:L$100)</f>
        <v>#N/A</v>
      </c>
    </row>
    <row r="16" spans="1:33" ht="18" customHeight="1" x14ac:dyDescent="0.35">
      <c r="A16" s="18" t="s">
        <v>48</v>
      </c>
      <c r="B16" s="1" t="e">
        <f t="array" ref="B16">LOOKUP(2,1 / (O$10:O$100 &lt;&gt;""), O$10:O$100)</f>
        <v>#N/A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20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18"/>
  <sheetViews>
    <sheetView zoomScale="85" zoomScaleNormal="85" workbookViewId="0">
      <selection activeCell="Q8" sqref="Q8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77734375" style="33" bestFit="1" customWidth="1"/>
    <col min="21" max="21" width="10.6640625" style="33" bestFit="1" customWidth="1"/>
    <col min="25" max="25" width="9.5546875" style="33" bestFit="1" customWidth="1"/>
  </cols>
  <sheetData>
    <row r="1" spans="1:33" ht="18" customHeight="1" x14ac:dyDescent="0.35">
      <c r="A1" s="2" t="s">
        <v>21</v>
      </c>
      <c r="B1" s="28" t="s">
        <v>68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 t="str">
        <f>(IFERROR((LOOKUP(2,1/(E$3:E$100&lt;&gt;""),E$3:E$100)),0))</f>
        <v>N/A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23</v>
      </c>
    </row>
    <row r="3" spans="1:33" ht="18" customHeight="1" x14ac:dyDescent="0.35">
      <c r="A3" s="6" t="s">
        <v>34</v>
      </c>
      <c r="B3" s="8" t="str">
        <f>LOOKUP(2,1 / (D$3:D$100 &lt;&gt;""), D$3:D$100)</f>
        <v>N/A</v>
      </c>
      <c r="D3" s="10">
        <v>44568</v>
      </c>
      <c r="E3" s="16">
        <v>142</v>
      </c>
      <c r="F3" s="16">
        <f ca="1">TODAY()-D3</f>
        <v>279</v>
      </c>
      <c r="G3" s="16" t="str">
        <f ca="1">IF(F3&gt;21, "Yes", "No")</f>
        <v>Yes</v>
      </c>
      <c r="H3" s="10">
        <v>44594</v>
      </c>
      <c r="I3" s="16">
        <f>41+27+37</f>
        <v>105</v>
      </c>
      <c r="J3" s="16">
        <f ca="1">TODAY()-H3</f>
        <v>253</v>
      </c>
      <c r="K3" s="16" t="str">
        <f ca="1">IF(J3&gt;21, "Yes", "No")</f>
        <v>Yes</v>
      </c>
      <c r="L3" s="10">
        <v>44595</v>
      </c>
      <c r="M3" s="16">
        <f>4+4</f>
        <v>8</v>
      </c>
      <c r="N3" s="16">
        <f ca="1">TODAY()-L3</f>
        <v>252</v>
      </c>
      <c r="O3" s="16" t="str">
        <f ca="1">IF(N3&gt;21, "Yes", "No")</f>
        <v>Yes</v>
      </c>
      <c r="P3" s="10">
        <v>44644</v>
      </c>
      <c r="Q3" s="16">
        <v>2</v>
      </c>
      <c r="R3" s="16">
        <f ca="1">TODAY()-P3</f>
        <v>203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44582</v>
      </c>
      <c r="AD3" s="16">
        <v>34</v>
      </c>
      <c r="AE3" s="16"/>
      <c r="AF3" s="16"/>
      <c r="AG3" s="16"/>
    </row>
    <row r="4" spans="1:33" ht="18" customHeight="1" x14ac:dyDescent="0.35">
      <c r="A4" s="6" t="s">
        <v>35</v>
      </c>
      <c r="B4" s="1" t="str">
        <f>LOOKUP(2,1 / (G$3:G$1048576 &lt;&gt;""), G$3:G$1048576)</f>
        <v>N/A</v>
      </c>
      <c r="D4" s="12"/>
      <c r="E4" s="13">
        <f>E3-34</f>
        <v>108</v>
      </c>
      <c r="F4" s="13"/>
      <c r="G4" s="13"/>
      <c r="H4" s="12">
        <v>44644</v>
      </c>
      <c r="I4" s="13">
        <f>40+18</f>
        <v>58</v>
      </c>
      <c r="J4" s="16">
        <f ca="1">TODAY()-H4</f>
        <v>203</v>
      </c>
      <c r="K4" s="16" t="str">
        <f ca="1">IF(J4&gt;21, "Yes", "No")</f>
        <v>Yes</v>
      </c>
      <c r="L4" s="10">
        <v>44644</v>
      </c>
      <c r="M4" s="16">
        <f>28+12+109</f>
        <v>149</v>
      </c>
      <c r="N4" s="16">
        <f ca="1">TODAY()-L4</f>
        <v>203</v>
      </c>
      <c r="O4" s="16" t="str">
        <f ca="1">IF(N4&gt;21, "Yes", "No")</f>
        <v>Yes</v>
      </c>
      <c r="P4" s="10"/>
      <c r="Q4" s="16">
        <v>2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C4" s="11">
        <v>44592</v>
      </c>
      <c r="AD4" s="16">
        <v>30</v>
      </c>
      <c r="AE4" s="16"/>
      <c r="AF4" s="16"/>
      <c r="AG4" s="16"/>
    </row>
    <row r="5" spans="1:33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>
        <f>E4-30</f>
        <v>78</v>
      </c>
      <c r="F5" s="16"/>
      <c r="G5" s="16"/>
      <c r="H5" s="16" t="s">
        <v>52</v>
      </c>
      <c r="I5" s="16" t="s">
        <v>52</v>
      </c>
      <c r="J5" s="16" t="s">
        <v>52</v>
      </c>
      <c r="K5" s="16" t="s">
        <v>52</v>
      </c>
      <c r="L5" s="10"/>
      <c r="M5" s="16">
        <f>16+14+137</f>
        <v>167</v>
      </c>
      <c r="N5" s="16"/>
      <c r="O5" s="16"/>
      <c r="P5" s="10">
        <v>44756</v>
      </c>
      <c r="Q5" s="16">
        <v>11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str">
        <f t="array" ref="B6">LOOKUP(2,1 / (H$3:H$100 &lt;&gt;""), H$3:H$100)</f>
        <v>N/A</v>
      </c>
      <c r="D6" s="16" t="s">
        <v>52</v>
      </c>
      <c r="E6" s="16" t="s">
        <v>52</v>
      </c>
      <c r="F6" s="16" t="s">
        <v>52</v>
      </c>
      <c r="G6" s="16" t="s">
        <v>52</v>
      </c>
      <c r="H6" s="16"/>
      <c r="I6" s="16"/>
      <c r="J6" s="16"/>
      <c r="K6" s="16"/>
      <c r="L6" s="10">
        <v>44756</v>
      </c>
      <c r="M6" s="16">
        <v>74</v>
      </c>
      <c r="N6" s="16"/>
      <c r="O6" s="16"/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ref="B7">LOOKUP(2,1 / (K$3:K$1048576 &lt;&gt;""), K$3:K$1048576)</f>
        <v>N/A</v>
      </c>
      <c r="D7" s="16"/>
      <c r="E7" s="16"/>
      <c r="F7" s="16"/>
      <c r="G7" s="16"/>
      <c r="H7" s="16"/>
      <c r="I7" s="16"/>
      <c r="J7" s="16"/>
      <c r="K7" s="16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74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44756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11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44756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(IFERROR((LOOKUP(2,1/(M$10:M$100&lt;&gt;""),M$10:M$100)),0))</f>
        <v>0</v>
      </c>
    </row>
    <row r="15" spans="1:33" ht="18" customHeight="1" x14ac:dyDescent="0.35">
      <c r="A15" s="18" t="s">
        <v>47</v>
      </c>
      <c r="B15" s="8" t="e">
        <f t="array" ref="B15">LOOKUP(2,1 / (L$10:L$100 &lt;&gt;""), L$10:L$100)</f>
        <v>#N/A</v>
      </c>
    </row>
    <row r="16" spans="1:33" ht="18" customHeight="1" x14ac:dyDescent="0.35">
      <c r="A16" s="18" t="s">
        <v>48</v>
      </c>
      <c r="B16" s="1" t="e">
        <f t="array" ref="B16">LOOKUP(2,1 / (O$10:O$100 &lt;&gt;""), O$10:O$100)</f>
        <v>#N/A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11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8"/>
  <sheetViews>
    <sheetView topLeftCell="G1" zoomScale="110" zoomScaleNormal="110" workbookViewId="0">
      <selection activeCell="P7" sqref="P7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5546875" style="33" bestFit="1" customWidth="1"/>
    <col min="21" max="21" width="10.6640625" style="33" bestFit="1" customWidth="1"/>
    <col min="25" max="25" width="9.5546875" style="33" bestFit="1" customWidth="1"/>
  </cols>
  <sheetData>
    <row r="1" spans="1:33" ht="18" customHeight="1" x14ac:dyDescent="0.35">
      <c r="A1" s="2" t="s">
        <v>21</v>
      </c>
      <c r="B1" s="28" t="s">
        <v>69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 t="str">
        <f>(IFERROR((LOOKUP(2,1/(E$3:E$100&lt;&gt;""),E$3:E$100)),0))</f>
        <v>N/A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23</v>
      </c>
    </row>
    <row r="3" spans="1:33" ht="18" customHeight="1" x14ac:dyDescent="0.35">
      <c r="A3" s="6" t="s">
        <v>34</v>
      </c>
      <c r="B3" s="8" t="str">
        <f>LOOKUP(2,1 / (D$3:D$100 &lt;&gt;""), D$3:D$100)</f>
        <v>N/A</v>
      </c>
      <c r="D3" s="10">
        <v>44573</v>
      </c>
      <c r="E3" s="16">
        <v>213</v>
      </c>
      <c r="F3" s="16">
        <f ca="1">TODAY()-D3</f>
        <v>274</v>
      </c>
      <c r="G3" s="16" t="str">
        <f ca="1">IF(F3&gt;21, "Yes", "No")</f>
        <v>Yes</v>
      </c>
      <c r="H3" s="10">
        <v>44613</v>
      </c>
      <c r="I3" s="16">
        <f>117+85</f>
        <v>202</v>
      </c>
      <c r="J3" s="16">
        <f ca="1">TODAY()-H3</f>
        <v>234</v>
      </c>
      <c r="K3" s="16" t="str">
        <f ca="1">IF(J3&gt;21, "Yes", "No")</f>
        <v>Yes</v>
      </c>
      <c r="L3" s="10">
        <v>44613</v>
      </c>
      <c r="M3" s="16">
        <f>17</f>
        <v>17</v>
      </c>
      <c r="N3" s="16">
        <f ca="1">TODAY()-L3</f>
        <v>234</v>
      </c>
      <c r="O3" s="16" t="str">
        <f ca="1">IF(N3&gt;21, "Yes", "No")</f>
        <v>Yes</v>
      </c>
      <c r="P3" s="10">
        <v>44671</v>
      </c>
      <c r="Q3" s="16">
        <v>9</v>
      </c>
      <c r="R3" s="16">
        <f ca="1">TODAY()-P3</f>
        <v>176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44582</v>
      </c>
      <c r="AD3" s="16">
        <v>32</v>
      </c>
      <c r="AE3" s="16"/>
      <c r="AF3" s="16"/>
      <c r="AG3" s="16"/>
    </row>
    <row r="4" spans="1:33" ht="18" customHeight="1" x14ac:dyDescent="0.35">
      <c r="A4" s="6" t="s">
        <v>35</v>
      </c>
      <c r="B4" s="1" t="str">
        <f>LOOKUP(2,1 / (G$3:G$1048576 &lt;&gt;""), G$3:G$1048576)</f>
        <v>N/A</v>
      </c>
      <c r="D4" s="12"/>
      <c r="E4" s="13">
        <f>E3-32</f>
        <v>181</v>
      </c>
      <c r="F4" s="13"/>
      <c r="G4" s="13"/>
      <c r="H4" s="16" t="s">
        <v>52</v>
      </c>
      <c r="I4" s="16" t="s">
        <v>52</v>
      </c>
      <c r="J4" s="16" t="s">
        <v>52</v>
      </c>
      <c r="K4" s="16" t="s">
        <v>52</v>
      </c>
      <c r="L4" s="10">
        <v>44671</v>
      </c>
      <c r="M4" s="16">
        <f>19+42</f>
        <v>61</v>
      </c>
      <c r="N4" s="16">
        <f ca="1">TODAY()-L4</f>
        <v>176</v>
      </c>
      <c r="O4" s="16" t="str">
        <f ca="1">IF(N4&gt;21, "Yes", "No")</f>
        <v>Yes</v>
      </c>
      <c r="P4" s="10">
        <v>44753</v>
      </c>
      <c r="Q4" s="16">
        <v>52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C4" s="11">
        <v>44593</v>
      </c>
      <c r="AD4" s="16">
        <v>9</v>
      </c>
      <c r="AE4" s="16"/>
      <c r="AF4" s="16"/>
      <c r="AG4" s="16"/>
    </row>
    <row r="5" spans="1:33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>
        <f>E4-9</f>
        <v>172</v>
      </c>
      <c r="F5" s="16"/>
      <c r="G5" s="16"/>
      <c r="H5" s="16"/>
      <c r="I5" s="16"/>
      <c r="J5" s="16"/>
      <c r="K5" s="16"/>
      <c r="L5" s="10"/>
      <c r="M5" s="16">
        <v>63</v>
      </c>
      <c r="N5" s="16"/>
      <c r="O5" s="16"/>
      <c r="P5" s="10"/>
      <c r="Q5" s="16"/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str">
        <f t="array" ref="B6">LOOKUP(2,1 / (H$3:H$100 &lt;&gt;""), H$3:H$100)</f>
        <v>N/A</v>
      </c>
      <c r="D6" s="16" t="s">
        <v>52</v>
      </c>
      <c r="E6" s="16" t="s">
        <v>52</v>
      </c>
      <c r="F6" s="16" t="s">
        <v>52</v>
      </c>
      <c r="G6" s="16" t="s">
        <v>52</v>
      </c>
      <c r="H6" s="16"/>
      <c r="I6" s="16"/>
      <c r="J6" s="16"/>
      <c r="K6" s="16"/>
      <c r="L6" s="10">
        <v>44753</v>
      </c>
      <c r="M6" s="16">
        <f>9</f>
        <v>9</v>
      </c>
      <c r="N6" s="16"/>
      <c r="O6" s="16"/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(K$3:K$1048576 &lt;&gt;""), K$3:K$1048576)</f>
        <v>N/A</v>
      </c>
      <c r="D7" s="16"/>
      <c r="E7" s="16"/>
      <c r="F7" s="16"/>
      <c r="G7" s="16"/>
      <c r="H7" s="16"/>
      <c r="I7" s="16"/>
      <c r="J7" s="16"/>
      <c r="K7" s="16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44753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52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44753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(IFERROR((LOOKUP(2,1/(M$10:M$100&lt;&gt;""),M$10:M$100)),0))</f>
        <v>0</v>
      </c>
    </row>
    <row r="15" spans="1:33" ht="18" customHeight="1" x14ac:dyDescent="0.35">
      <c r="A15" s="18" t="s">
        <v>47</v>
      </c>
      <c r="B15" s="8" t="e">
        <f t="array" ref="B15">LOOKUP(2,1 / (L$10:L$100 &lt;&gt;""), L$10:L$100)</f>
        <v>#N/A</v>
      </c>
    </row>
    <row r="16" spans="1:33" ht="18" customHeight="1" x14ac:dyDescent="0.35">
      <c r="A16" s="18" t="s">
        <v>48</v>
      </c>
      <c r="B16" s="1" t="e">
        <f t="array" ref="B16">LOOKUP(2,1 / (O$10:O$100 &lt;&gt;""), O$10:O$100)</f>
        <v>#N/A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52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18"/>
  <sheetViews>
    <sheetView topLeftCell="D1" zoomScale="110" zoomScaleNormal="110" workbookViewId="0">
      <selection activeCell="P8" sqref="P8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5546875" style="33" bestFit="1" customWidth="1"/>
    <col min="21" max="21" width="10.6640625" style="33" bestFit="1" customWidth="1"/>
    <col min="25" max="25" width="9.5546875" style="33" bestFit="1" customWidth="1"/>
    <col min="29" max="29" width="9.5546875" style="33" bestFit="1" customWidth="1"/>
  </cols>
  <sheetData>
    <row r="1" spans="1:33" ht="18" customHeight="1" x14ac:dyDescent="0.35">
      <c r="A1" s="2" t="s">
        <v>21</v>
      </c>
      <c r="B1" s="28" t="s">
        <v>70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 t="str">
        <f>(IFERROR((LOOKUP(2,1/(E$3:E$100&lt;&gt;""),E$3:E$100)),0))</f>
        <v>N/A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23</v>
      </c>
    </row>
    <row r="3" spans="1:33" ht="18" customHeight="1" x14ac:dyDescent="0.35">
      <c r="A3" s="6" t="s">
        <v>34</v>
      </c>
      <c r="B3" s="8" t="str">
        <f>LOOKUP(2,1 / (D$3:D$100 &lt;&gt;""), D$3:D$100)</f>
        <v>N/A</v>
      </c>
      <c r="D3" s="10">
        <v>44573</v>
      </c>
      <c r="E3" s="16">
        <v>240</v>
      </c>
      <c r="F3" s="16">
        <f ca="1">TODAY()-D3</f>
        <v>274</v>
      </c>
      <c r="G3" s="16" t="str">
        <f ca="1">IF(F3&gt;21, "Yes", "No")</f>
        <v>Yes</v>
      </c>
      <c r="H3" s="10">
        <v>44613</v>
      </c>
      <c r="I3" s="16">
        <f>43+29+25+13+15</f>
        <v>125</v>
      </c>
      <c r="J3" s="16">
        <f ca="1">TODAY()-H3</f>
        <v>234</v>
      </c>
      <c r="K3" s="16" t="str">
        <f ca="1">IF(J3&gt;21, "Yes", "No")</f>
        <v>Yes</v>
      </c>
      <c r="L3" s="10">
        <v>44613</v>
      </c>
      <c r="M3" s="16">
        <f>42+10+14+36+12</f>
        <v>114</v>
      </c>
      <c r="N3" s="16">
        <f ca="1">TODAY()-L3</f>
        <v>234</v>
      </c>
      <c r="O3" s="16" t="str">
        <f ca="1">IF(N3&gt;21, "Yes", "No")</f>
        <v>Yes</v>
      </c>
      <c r="P3" s="10">
        <v>44613</v>
      </c>
      <c r="Q3" s="16">
        <f>2+3</f>
        <v>5</v>
      </c>
      <c r="R3" s="16">
        <f ca="1">TODAY()-P3</f>
        <v>234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44582</v>
      </c>
      <c r="AD3" s="16">
        <v>13</v>
      </c>
      <c r="AE3" s="16"/>
      <c r="AF3" s="16"/>
      <c r="AG3" s="16"/>
    </row>
    <row r="4" spans="1:33" ht="18" customHeight="1" x14ac:dyDescent="0.35">
      <c r="A4" s="6" t="s">
        <v>35</v>
      </c>
      <c r="B4" s="1" t="str">
        <f>LOOKUP(2,1 / (G$3:G$1048576 &lt;&gt;""), G$3:G$1048576)</f>
        <v>N/A</v>
      </c>
      <c r="D4" s="12"/>
      <c r="E4" s="13">
        <f>E3-13</f>
        <v>227</v>
      </c>
      <c r="F4" s="13"/>
      <c r="G4" s="13"/>
      <c r="H4" s="16" t="s">
        <v>52</v>
      </c>
      <c r="I4" s="16" t="s">
        <v>52</v>
      </c>
      <c r="J4" s="16" t="s">
        <v>52</v>
      </c>
      <c r="K4" s="16" t="s">
        <v>52</v>
      </c>
      <c r="L4" s="10">
        <v>44656</v>
      </c>
      <c r="M4" s="16">
        <f>49+40</f>
        <v>89</v>
      </c>
      <c r="N4" s="16">
        <f ca="1">TODAY()-L4</f>
        <v>191</v>
      </c>
      <c r="O4" s="16" t="str">
        <f ca="1">IF(N4&gt;21, "Yes", "No")</f>
        <v>Yes</v>
      </c>
      <c r="P4" s="10">
        <v>44656</v>
      </c>
      <c r="Q4" s="16">
        <v>37</v>
      </c>
      <c r="R4" s="16">
        <f ca="1">TODAY()-P4</f>
        <v>191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C4" s="11">
        <v>44593</v>
      </c>
      <c r="AD4" s="16">
        <v>8</v>
      </c>
      <c r="AE4" s="16"/>
      <c r="AF4" s="16"/>
      <c r="AG4" s="16"/>
    </row>
    <row r="5" spans="1:33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>
        <f>E4-8</f>
        <v>219</v>
      </c>
      <c r="F5" s="16"/>
      <c r="G5" s="16"/>
      <c r="H5" s="16"/>
      <c r="I5" s="16"/>
      <c r="J5" s="16"/>
      <c r="K5" s="16"/>
      <c r="L5" s="10"/>
      <c r="M5" s="16">
        <f>44+39</f>
        <v>83</v>
      </c>
      <c r="N5" s="16"/>
      <c r="O5" s="16"/>
      <c r="P5" s="10"/>
      <c r="Q5" s="16">
        <f>27+27</f>
        <v>54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>
        <v>44613</v>
      </c>
      <c r="AD5" s="16">
        <v>5</v>
      </c>
      <c r="AE5" s="16"/>
      <c r="AF5" s="16"/>
      <c r="AG5" s="16"/>
    </row>
    <row r="6" spans="1:33" ht="18" customHeight="1" x14ac:dyDescent="0.35">
      <c r="A6" s="18" t="s">
        <v>37</v>
      </c>
      <c r="B6" s="8" t="str">
        <f t="array" ref="B6">LOOKUP(2,1 / (H$3:H$100 &lt;&gt;""), H$3:H$100)</f>
        <v>N/A</v>
      </c>
      <c r="D6" s="16"/>
      <c r="E6" s="16">
        <f>E5-5</f>
        <v>214</v>
      </c>
      <c r="F6" s="16"/>
      <c r="G6" s="16"/>
      <c r="H6" s="16"/>
      <c r="I6" s="16"/>
      <c r="J6" s="16"/>
      <c r="K6" s="16"/>
      <c r="L6" s="10">
        <v>44714</v>
      </c>
      <c r="M6" s="16">
        <f>5+5+8+8+8+18+8+8+9+12+18+6+5+11+48</f>
        <v>177</v>
      </c>
      <c r="N6" s="16"/>
      <c r="O6" s="16"/>
      <c r="P6" s="10">
        <v>44714</v>
      </c>
      <c r="Q6" s="16">
        <f>3+3+3+3+3+3+3+3+3+3+3+3+3+3+3+39</f>
        <v>84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(K$3:K$1048576 &lt;&gt;""), K$3:K$1048576)</f>
        <v>N/A</v>
      </c>
      <c r="D7" s="16" t="s">
        <v>52</v>
      </c>
      <c r="E7" s="16" t="s">
        <v>52</v>
      </c>
      <c r="F7" s="16" t="s">
        <v>52</v>
      </c>
      <c r="G7" s="16" t="s">
        <v>52</v>
      </c>
      <c r="H7" s="16"/>
      <c r="I7" s="16"/>
      <c r="J7" s="16"/>
      <c r="K7" s="16"/>
      <c r="L7" s="10">
        <v>44761</v>
      </c>
      <c r="M7" s="16">
        <f>56+58+72+60</f>
        <v>246</v>
      </c>
      <c r="N7" s="16"/>
      <c r="O7" s="16"/>
      <c r="P7" s="10">
        <v>44761</v>
      </c>
      <c r="Q7" s="16">
        <f>24+23+12+12</f>
        <v>71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246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44761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71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44761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(IFERROR((LOOKUP(2,1/(M$10:M$100&lt;&gt;""),M$10:M$100)),0))</f>
        <v>0</v>
      </c>
    </row>
    <row r="15" spans="1:33" ht="18" customHeight="1" x14ac:dyDescent="0.35">
      <c r="A15" s="18" t="s">
        <v>47</v>
      </c>
      <c r="B15" s="8" t="e">
        <f t="array" ref="B15">LOOKUP(2,1 / (L$10:L$100 &lt;&gt;""), L$10:L$100)</f>
        <v>#N/A</v>
      </c>
    </row>
    <row r="16" spans="1:33" ht="18" customHeight="1" x14ac:dyDescent="0.35">
      <c r="A16" s="18" t="s">
        <v>48</v>
      </c>
      <c r="B16" s="1" t="e">
        <f t="array" ref="B16">LOOKUP(2,1 / (O$10:O$100 &lt;&gt;""), O$10:O$100)</f>
        <v>#N/A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71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18"/>
  <sheetViews>
    <sheetView topLeftCell="J1" zoomScale="99" zoomScaleNormal="110" workbookViewId="0">
      <selection activeCell="M7" sqref="M7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6640625" style="33" bestFit="1" customWidth="1"/>
    <col min="21" max="21" width="10.6640625" style="33" bestFit="1" customWidth="1"/>
    <col min="25" max="25" width="9.6640625" style="33" bestFit="1" customWidth="1"/>
  </cols>
  <sheetData>
    <row r="1" spans="1:33" ht="18" customHeight="1" x14ac:dyDescent="0.35">
      <c r="A1" s="2" t="s">
        <v>21</v>
      </c>
      <c r="B1" s="28" t="s">
        <v>71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 t="str">
        <f>(IFERROR((LOOKUP(2,1/(E$3:E$100&lt;&gt;""),E$3:E$100)),0))</f>
        <v>N/A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23</v>
      </c>
    </row>
    <row r="3" spans="1:33" ht="18" customHeight="1" x14ac:dyDescent="0.35">
      <c r="A3" s="6" t="s">
        <v>34</v>
      </c>
      <c r="B3" s="8" t="str">
        <f>LOOKUP(2,1 / (D$3:D$100 &lt;&gt;""), D$3:D$100)</f>
        <v>N/A</v>
      </c>
      <c r="D3" s="10">
        <v>44573</v>
      </c>
      <c r="E3" s="16">
        <v>189</v>
      </c>
      <c r="F3" s="16">
        <f ca="1">TODAY()-D3</f>
        <v>274</v>
      </c>
      <c r="G3" s="16" t="str">
        <f ca="1">IF(F3&gt;21, "Yes", "No")</f>
        <v>Yes</v>
      </c>
      <c r="H3" s="10">
        <v>44615</v>
      </c>
      <c r="I3" s="16">
        <f>8+8+8+8+2+29+36+44</f>
        <v>143</v>
      </c>
      <c r="J3" s="16">
        <f ca="1">TODAY()-H3</f>
        <v>232</v>
      </c>
      <c r="K3" s="16" t="str">
        <f ca="1">IF(J3&gt;21, "Yes", "No")</f>
        <v>Yes</v>
      </c>
      <c r="L3" s="10">
        <v>44615</v>
      </c>
      <c r="M3" s="16">
        <f>9+8+4+1+5+16</f>
        <v>43</v>
      </c>
      <c r="N3" s="16">
        <f ca="1">TODAY()-L3</f>
        <v>232</v>
      </c>
      <c r="O3" s="16" t="str">
        <f ca="1">IF(N3&gt;21, "Yes", "No")</f>
        <v>Yes</v>
      </c>
      <c r="P3" s="10">
        <v>44615</v>
      </c>
      <c r="Q3" s="16">
        <f>1+5</f>
        <v>6</v>
      </c>
      <c r="R3" s="16">
        <f ca="1">TODAY()-P3</f>
        <v>232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44582</v>
      </c>
      <c r="AD3" s="16">
        <v>18</v>
      </c>
      <c r="AE3" s="16"/>
      <c r="AF3" s="16"/>
      <c r="AG3" s="16"/>
    </row>
    <row r="4" spans="1:33" ht="18" customHeight="1" x14ac:dyDescent="0.35">
      <c r="A4" s="6" t="s">
        <v>35</v>
      </c>
      <c r="B4" s="1" t="str">
        <f>LOOKUP(2,1 / (G$3:G$1048576 &lt;&gt;""), G$3:G$1048576)</f>
        <v>N/A</v>
      </c>
      <c r="D4" s="12"/>
      <c r="E4" s="13">
        <f>E3-18</f>
        <v>171</v>
      </c>
      <c r="F4" s="13"/>
      <c r="G4" s="13"/>
      <c r="H4" s="16" t="s">
        <v>52</v>
      </c>
      <c r="I4" s="16" t="s">
        <v>52</v>
      </c>
      <c r="J4" s="16" t="s">
        <v>52</v>
      </c>
      <c r="K4" s="16" t="s">
        <v>52</v>
      </c>
      <c r="L4" s="10">
        <v>44659</v>
      </c>
      <c r="M4" s="16">
        <f>27</f>
        <v>27</v>
      </c>
      <c r="N4" s="16">
        <f ca="1">TODAY()-L4</f>
        <v>188</v>
      </c>
      <c r="O4" s="16" t="str">
        <f ca="1">IF(N4&gt;21, "Yes", "No")</f>
        <v>Yes</v>
      </c>
      <c r="P4" s="10">
        <v>44659</v>
      </c>
      <c r="Q4" s="16">
        <f>26</f>
        <v>26</v>
      </c>
      <c r="R4" s="16">
        <f ca="1">TODAY()-P4</f>
        <v>188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C4" s="11">
        <v>44593</v>
      </c>
      <c r="AD4" s="16">
        <v>2</v>
      </c>
      <c r="AE4" s="16"/>
      <c r="AF4" s="16"/>
      <c r="AG4" s="16"/>
    </row>
    <row r="5" spans="1:33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>
        <v>169</v>
      </c>
      <c r="F5" s="16"/>
      <c r="G5" s="16"/>
      <c r="H5" s="16"/>
      <c r="I5" s="16"/>
      <c r="J5" s="16"/>
      <c r="K5" s="16"/>
      <c r="L5" s="10"/>
      <c r="M5" s="16">
        <f>105+29</f>
        <v>134</v>
      </c>
      <c r="N5" s="16"/>
      <c r="O5" s="16"/>
      <c r="P5" s="10"/>
      <c r="Q5" s="16">
        <f>6+21</f>
        <v>27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str">
        <f t="array" ref="B6">LOOKUP(2,1 / (H$3:H$100 &lt;&gt;""), H$3:H$100)</f>
        <v>N/A</v>
      </c>
      <c r="D6" s="16" t="s">
        <v>52</v>
      </c>
      <c r="E6" s="16" t="s">
        <v>52</v>
      </c>
      <c r="F6" s="16" t="s">
        <v>52</v>
      </c>
      <c r="G6" s="16" t="s">
        <v>52</v>
      </c>
      <c r="H6" s="16"/>
      <c r="I6" s="16"/>
      <c r="J6" s="16"/>
      <c r="K6" s="16"/>
      <c r="L6" s="10">
        <v>44718</v>
      </c>
      <c r="M6" s="16">
        <f>56+44</f>
        <v>100</v>
      </c>
      <c r="N6" s="16">
        <f ca="1">TODAY()-L6</f>
        <v>129</v>
      </c>
      <c r="O6" s="16" t="str">
        <f ca="1">IF(N6&gt;21, "Yes", "No")</f>
        <v>Yes</v>
      </c>
      <c r="P6" s="10">
        <v>44718</v>
      </c>
      <c r="Q6" s="16">
        <f>43+70</f>
        <v>113</v>
      </c>
      <c r="R6" s="16">
        <f ca="1">TODAY()-P6</f>
        <v>129</v>
      </c>
      <c r="S6" s="16" t="str">
        <f ca="1">IF(R6&gt;21, "Yes", "No")</f>
        <v>Yes</v>
      </c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(K$3:K$1048576 &lt;&gt;""), K$3:K$1048576)</f>
        <v>N/A</v>
      </c>
      <c r="D7" s="16"/>
      <c r="E7" s="16"/>
      <c r="F7" s="16"/>
      <c r="G7" s="16"/>
      <c r="H7" s="16"/>
      <c r="I7" s="16"/>
      <c r="J7" s="16"/>
      <c r="K7" s="16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100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44718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113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44718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(IFERROR((LOOKUP(2,1/(M$10:M$100&lt;&gt;""),M$10:M$100)),0))</f>
        <v>0</v>
      </c>
    </row>
    <row r="15" spans="1:33" ht="18" customHeight="1" x14ac:dyDescent="0.35">
      <c r="A15" s="18" t="s">
        <v>47</v>
      </c>
      <c r="B15" s="8" t="e">
        <f t="array" ref="B15">LOOKUP(2,1 / (L$10:L$100 &lt;&gt;""), L$10:L$100)</f>
        <v>#N/A</v>
      </c>
    </row>
    <row r="16" spans="1:33" ht="18" customHeight="1" x14ac:dyDescent="0.35">
      <c r="A16" s="18" t="s">
        <v>48</v>
      </c>
      <c r="B16" s="1" t="e">
        <f t="array" ref="B16">LOOKUP(2,1 / (O$10:O$100 &lt;&gt;""), O$10:O$100)</f>
        <v>#N/A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113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18"/>
  <sheetViews>
    <sheetView topLeftCell="D1" zoomScale="110" zoomScaleNormal="110" workbookViewId="0">
      <selection activeCell="P6" sqref="P6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5546875" style="33" bestFit="1" customWidth="1"/>
    <col min="21" max="21" width="10.6640625" style="33" bestFit="1" customWidth="1"/>
    <col min="25" max="25" width="9.5546875" style="33" bestFit="1" customWidth="1"/>
  </cols>
  <sheetData>
    <row r="1" spans="1:33" ht="18" customHeight="1" x14ac:dyDescent="0.35">
      <c r="A1" s="2" t="s">
        <v>21</v>
      </c>
      <c r="B1" s="28" t="s">
        <v>72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 t="str">
        <f>(IFERROR((LOOKUP(2,1/(E$3:E$100&lt;&gt;""),E$3:E$100)),0))</f>
        <v>N/A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23</v>
      </c>
    </row>
    <row r="3" spans="1:33" ht="18" customHeight="1" x14ac:dyDescent="0.35">
      <c r="A3" s="6" t="s">
        <v>34</v>
      </c>
      <c r="B3" s="8" t="str">
        <f>LOOKUP(2,1 / (D$3:D$100 &lt;&gt;""), D$3:D$100)</f>
        <v>N/A</v>
      </c>
      <c r="D3" s="10">
        <v>44573</v>
      </c>
      <c r="E3" s="16">
        <v>196</v>
      </c>
      <c r="F3" s="16">
        <f ca="1">TODAY()-D3</f>
        <v>274</v>
      </c>
      <c r="G3" s="16" t="str">
        <f ca="1">IF(F3&gt;21, "Yes", "No")</f>
        <v>Yes</v>
      </c>
      <c r="H3" s="10">
        <v>44617</v>
      </c>
      <c r="I3" s="16">
        <f>91+54</f>
        <v>145</v>
      </c>
      <c r="J3" s="16">
        <f ca="1">TODAY()-H3</f>
        <v>230</v>
      </c>
      <c r="K3" s="16" t="str">
        <f ca="1">IF(J3&gt;21, "Yes", "No")</f>
        <v>Yes</v>
      </c>
      <c r="L3" s="10">
        <v>44617</v>
      </c>
      <c r="M3" s="16">
        <f>16+36</f>
        <v>52</v>
      </c>
      <c r="N3" s="16">
        <f ca="1">TODAY()-L3</f>
        <v>230</v>
      </c>
      <c r="O3" s="16" t="str">
        <f ca="1">IF(N3&gt;21, "Yes", "No")</f>
        <v>Yes</v>
      </c>
      <c r="P3" s="10">
        <v>44617</v>
      </c>
      <c r="Q3" s="16">
        <f>7+3</f>
        <v>10</v>
      </c>
      <c r="R3" s="16">
        <f ca="1">TODAY()-P3</f>
        <v>230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44582</v>
      </c>
      <c r="AD3" s="16">
        <v>7</v>
      </c>
      <c r="AE3" s="16"/>
      <c r="AF3" s="16"/>
      <c r="AG3" s="16"/>
    </row>
    <row r="4" spans="1:33" ht="18" customHeight="1" x14ac:dyDescent="0.35">
      <c r="A4" s="6" t="s">
        <v>35</v>
      </c>
      <c r="B4" s="1" t="str">
        <f>LOOKUP(2,1 / (G$3:G$1048576 &lt;&gt;""), G$3:G$1048576)</f>
        <v>N/A</v>
      </c>
      <c r="D4" s="12"/>
      <c r="E4" s="13">
        <f>E3-7</f>
        <v>189</v>
      </c>
      <c r="F4" s="13"/>
      <c r="G4" s="13"/>
      <c r="H4" s="16" t="s">
        <v>52</v>
      </c>
      <c r="I4" s="16" t="s">
        <v>52</v>
      </c>
      <c r="J4" s="16" t="s">
        <v>52</v>
      </c>
      <c r="K4" s="16" t="s">
        <v>52</v>
      </c>
      <c r="L4" s="10">
        <v>44656</v>
      </c>
      <c r="M4" s="16">
        <f>48</f>
        <v>48</v>
      </c>
      <c r="N4" s="16">
        <f ca="1">TODAY()-L4</f>
        <v>191</v>
      </c>
      <c r="O4" s="16" t="str">
        <f ca="1">IF(N4&gt;21, "Yes", "No")</f>
        <v>Yes</v>
      </c>
      <c r="P4" s="10">
        <v>44656</v>
      </c>
      <c r="Q4" s="16">
        <v>45</v>
      </c>
      <c r="R4" s="16">
        <f ca="1">TODAY()-P4</f>
        <v>191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C4" s="11">
        <v>44593</v>
      </c>
      <c r="AD4" s="16">
        <v>6</v>
      </c>
      <c r="AE4" s="16"/>
      <c r="AF4" s="16"/>
      <c r="AG4" s="16"/>
    </row>
    <row r="5" spans="1:33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>
        <f>E4-6</f>
        <v>183</v>
      </c>
      <c r="F5" s="16"/>
      <c r="G5" s="16"/>
      <c r="H5" s="16"/>
      <c r="I5" s="16"/>
      <c r="J5" s="16"/>
      <c r="K5" s="16"/>
      <c r="L5" s="10">
        <v>44753</v>
      </c>
      <c r="M5" s="16">
        <f>60+76</f>
        <v>136</v>
      </c>
      <c r="N5" s="16"/>
      <c r="O5" s="16"/>
      <c r="P5" s="10">
        <v>44753</v>
      </c>
      <c r="Q5" s="16">
        <f>21+34</f>
        <v>55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str">
        <f t="array" ref="B6">LOOKUP(2,1 / (H$3:H$100 &lt;&gt;""), H$3:H$100)</f>
        <v>N/A</v>
      </c>
      <c r="D6" s="16" t="s">
        <v>52</v>
      </c>
      <c r="E6" s="16" t="s">
        <v>52</v>
      </c>
      <c r="F6" s="16" t="s">
        <v>52</v>
      </c>
      <c r="G6" s="16" t="s">
        <v>52</v>
      </c>
      <c r="H6" s="16"/>
      <c r="I6" s="16"/>
      <c r="J6" s="16"/>
      <c r="K6" s="16"/>
      <c r="L6" s="16"/>
      <c r="M6" s="16"/>
      <c r="N6" s="16"/>
      <c r="O6" s="16"/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(K$3:K$1048576 &lt;&gt;""), K$3:K$1048576)</f>
        <v>N/A</v>
      </c>
      <c r="D7" s="16"/>
      <c r="E7" s="16"/>
      <c r="F7" s="16"/>
      <c r="G7" s="16"/>
      <c r="H7" s="16"/>
      <c r="I7" s="16"/>
      <c r="J7" s="16"/>
      <c r="K7" s="16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136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44753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55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44753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(IFERROR((LOOKUP(2,1/(M$10:M$100&lt;&gt;""),M$10:M$100)),0))</f>
        <v>0</v>
      </c>
    </row>
    <row r="15" spans="1:33" ht="18" customHeight="1" x14ac:dyDescent="0.35">
      <c r="A15" s="18" t="s">
        <v>47</v>
      </c>
      <c r="B15" s="8" t="e">
        <f t="array" ref="B15">LOOKUP(2,1 / (L$10:L$100 &lt;&gt;""), L$10:L$100)</f>
        <v>#N/A</v>
      </c>
    </row>
    <row r="16" spans="1:33" ht="18" customHeight="1" x14ac:dyDescent="0.35">
      <c r="A16" s="18" t="s">
        <v>48</v>
      </c>
      <c r="B16" s="1" t="e">
        <f t="array" ref="B16">LOOKUP(2,1 / (O$10:O$100 &lt;&gt;""), O$10:O$100)</f>
        <v>#N/A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55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15"/>
  <sheetViews>
    <sheetView topLeftCell="D1" zoomScale="110" zoomScaleNormal="110" workbookViewId="0">
      <selection activeCell="M6" sqref="M6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9.5546875" style="33" bestFit="1" customWidth="1"/>
    <col min="21" max="21" width="10.6640625" style="33" bestFit="1" customWidth="1"/>
    <col min="25" max="25" width="10.6640625" style="33" bestFit="1" customWidth="1"/>
  </cols>
  <sheetData>
    <row r="1" spans="1:29" ht="18" customHeight="1" x14ac:dyDescent="0.35">
      <c r="A1" s="2" t="s">
        <v>21</v>
      </c>
      <c r="B1" s="28" t="s">
        <v>73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24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44482</v>
      </c>
      <c r="I3" s="16">
        <v>22</v>
      </c>
      <c r="J3" s="16">
        <f ca="1">TODAY()-H3</f>
        <v>365</v>
      </c>
      <c r="K3" s="16" t="str">
        <f ca="1">IF(J3&gt;21, "Yes", "No")</f>
        <v>Yes</v>
      </c>
      <c r="L3" s="10">
        <v>44609</v>
      </c>
      <c r="M3" s="16">
        <f>5+4+5+3+2+1+3+2+4+1+2+2+2+3+3+5+3+4+2+2+3+3</f>
        <v>64</v>
      </c>
      <c r="N3" s="16">
        <f ca="1">TODAY()-L3</f>
        <v>238</v>
      </c>
      <c r="O3" s="16" t="str">
        <f ca="1">IF(N3&gt;21, "Yes", "No")</f>
        <v>Yes</v>
      </c>
      <c r="P3" s="10"/>
      <c r="Q3" s="16"/>
      <c r="R3" s="16"/>
      <c r="S3" s="16"/>
      <c r="T3" s="16"/>
      <c r="U3" s="16"/>
      <c r="V3" s="16"/>
      <c r="W3" s="16"/>
      <c r="Y3" s="11">
        <v>44560</v>
      </c>
      <c r="Z3" s="16"/>
      <c r="AA3" s="16"/>
      <c r="AB3" s="16">
        <f>4+3</f>
        <v>7</v>
      </c>
      <c r="AC3" s="16"/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44518</v>
      </c>
      <c r="I4" s="16">
        <f>9+7+6+6+1+5+5+2+6</f>
        <v>47</v>
      </c>
      <c r="J4" s="16">
        <f ca="1">TODAY()-H4</f>
        <v>329</v>
      </c>
      <c r="K4" s="16" t="str">
        <f ca="1">IF(J4&gt;21, "Yes", "No")</f>
        <v>Yes</v>
      </c>
      <c r="L4" s="10">
        <v>44657</v>
      </c>
      <c r="M4" s="16">
        <v>69</v>
      </c>
      <c r="N4" s="16">
        <f ca="1">TODAY()-L4</f>
        <v>190</v>
      </c>
      <c r="O4" s="16" t="str">
        <f ca="1">IF(N4&gt;21, "Yes", "No")</f>
        <v>Yes</v>
      </c>
      <c r="P4" s="16"/>
      <c r="Q4" s="16"/>
      <c r="R4" s="16"/>
      <c r="S4" s="16"/>
      <c r="T4" s="16"/>
      <c r="U4" s="16"/>
      <c r="V4" s="16"/>
      <c r="W4" s="16"/>
      <c r="Y4" s="11">
        <v>44592</v>
      </c>
      <c r="Z4" s="16"/>
      <c r="AA4" s="16"/>
      <c r="AB4" s="16">
        <v>1</v>
      </c>
      <c r="AC4" s="16"/>
    </row>
    <row r="5" spans="1:29" ht="18" customHeight="1" x14ac:dyDescent="0.35">
      <c r="A5" s="7" t="s">
        <v>39</v>
      </c>
      <c r="B5" s="28">
        <f t="array" ref="B5">(IFERROR((LOOKUP(2,1/(I$3:I$100&lt;&gt;""),I$3:I$100)),0))</f>
        <v>306</v>
      </c>
      <c r="D5" s="16"/>
      <c r="E5" s="16"/>
      <c r="F5" s="16"/>
      <c r="G5" s="16"/>
      <c r="I5">
        <v>40</v>
      </c>
      <c r="L5" s="10">
        <v>44757</v>
      </c>
      <c r="M5" s="16">
        <f>6+7+12+3</f>
        <v>28</v>
      </c>
      <c r="N5" s="16"/>
      <c r="O5" s="16"/>
      <c r="P5" s="10"/>
      <c r="Q5" s="16"/>
      <c r="R5" s="16"/>
      <c r="S5" s="16"/>
      <c r="T5" s="16"/>
      <c r="U5" s="16"/>
      <c r="V5" s="16"/>
      <c r="W5" s="16"/>
      <c r="Y5" s="11"/>
      <c r="Z5" s="16"/>
      <c r="AA5" s="16"/>
      <c r="AB5" s="16"/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44757</v>
      </c>
      <c r="D6" s="16"/>
      <c r="E6" s="16"/>
      <c r="F6" s="16"/>
      <c r="G6" s="16"/>
      <c r="H6" s="10">
        <v>44560</v>
      </c>
      <c r="I6" s="16">
        <f>30+6+5+4+6+7+5+5+5+5+5+4+5+3+2+2+4+5</f>
        <v>108</v>
      </c>
      <c r="J6" s="16">
        <f ca="1">TODAY()-H6</f>
        <v>287</v>
      </c>
      <c r="K6" s="16" t="str">
        <f ca="1">IF(J6&gt;21, "Yes", "No")</f>
        <v>Yes</v>
      </c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Y6" s="11"/>
      <c r="Z6" s="16"/>
      <c r="AA6" s="16"/>
      <c r="AB6" s="16"/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>
        <v>107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Z7" s="16"/>
      <c r="AA7" s="16"/>
      <c r="AB7" s="16"/>
      <c r="AC7" s="16"/>
    </row>
    <row r="8" spans="1:29" ht="18" customHeight="1" x14ac:dyDescent="0.35">
      <c r="A8" s="31" t="s">
        <v>43</v>
      </c>
      <c r="B8" s="28">
        <f t="array" ref="B8">(IFERROR((LOOKUP(2,1/(M$3:M$100&lt;&gt;""),M$3:M$100)),0))</f>
        <v>28</v>
      </c>
      <c r="D8" s="16"/>
      <c r="E8" s="16"/>
      <c r="F8" s="16"/>
      <c r="G8" s="16"/>
      <c r="H8" s="10" t="s">
        <v>52</v>
      </c>
      <c r="I8" s="16" t="s">
        <v>52</v>
      </c>
      <c r="J8" s="16" t="s">
        <v>52</v>
      </c>
      <c r="K8" s="16" t="s">
        <v>52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(L$3:L$100 &lt;&gt;""), L$3:L$100)</f>
        <v>44757</v>
      </c>
      <c r="D9" s="16"/>
      <c r="E9" s="16"/>
      <c r="F9" s="16"/>
      <c r="G9" s="16"/>
      <c r="H9" s="10">
        <v>44657</v>
      </c>
      <c r="I9" s="16">
        <v>34</v>
      </c>
      <c r="J9" s="16">
        <f ca="1">TODAY()-H9</f>
        <v>190</v>
      </c>
      <c r="K9" s="16" t="str">
        <f ca="1">IF(J9&gt;21, "Yes", "No")</f>
        <v>Yes</v>
      </c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(O$3:O$100 &lt;&gt;""), O$3:O$100)</f>
        <v>Yes</v>
      </c>
      <c r="H10" s="11">
        <v>44757</v>
      </c>
      <c r="I10">
        <f>22+24+16+16+16+16+29+15+28+12+19+12+16+12+17+8+12+16</f>
        <v>306</v>
      </c>
    </row>
    <row r="11" spans="1:29" ht="18" customHeight="1" x14ac:dyDescent="0.35">
      <c r="A11" s="18" t="s">
        <v>46</v>
      </c>
      <c r="B11" s="28">
        <f t="array" ref="B11">(IFERROR((LOOKUP(2,1/(M$3:M$100&lt;&gt;""),M$3:M$100)),0))</f>
        <v>28</v>
      </c>
    </row>
    <row r="12" spans="1:29" ht="18" customHeight="1" x14ac:dyDescent="0.35">
      <c r="A12" s="18" t="s">
        <v>47</v>
      </c>
      <c r="B12" s="8">
        <f t="array" ref="B12">LOOKUP(2,1 / (L$3:L$100 &lt;&gt;""), L$3:L$100)</f>
        <v>44757</v>
      </c>
    </row>
    <row r="13" spans="1:29" ht="18" customHeight="1" x14ac:dyDescent="0.35">
      <c r="A13" s="18" t="s">
        <v>48</v>
      </c>
      <c r="B13" s="1" t="str">
        <f t="array" aca="1" ref="B13" ca="1">LOOKUP(2,1 / (O$3:O$100 &lt;&gt;""), O$3:O$100)</f>
        <v>Yes</v>
      </c>
    </row>
    <row r="14" spans="1:29" ht="18" customHeight="1" x14ac:dyDescent="0.35">
      <c r="A14" s="2" t="s">
        <v>49</v>
      </c>
      <c r="B14" s="28">
        <f>(IFERROR((LOOKUP(2,1/(Q$3:Q$100&lt;&gt;""),Q$3:Q$100)),0))</f>
        <v>0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18"/>
  <sheetViews>
    <sheetView topLeftCell="J1" zoomScale="110" zoomScaleNormal="110" workbookViewId="0">
      <selection activeCell="P7" sqref="P7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0.6640625" style="33" bestFit="1" customWidth="1"/>
    <col min="16" max="16" width="14.6640625" style="33" bestFit="1" customWidth="1"/>
    <col min="17" max="17" width="9.5546875" style="33" bestFit="1" customWidth="1"/>
    <col min="20" max="20" width="14.6640625" style="33" bestFit="1" customWidth="1"/>
    <col min="21" max="21" width="10.6640625" style="33" bestFit="1" customWidth="1"/>
    <col min="29" max="29" width="10.6640625" style="33" bestFit="1" customWidth="1"/>
  </cols>
  <sheetData>
    <row r="1" spans="1:33" ht="18" customHeight="1" x14ac:dyDescent="0.35">
      <c r="A1" s="2" t="s">
        <v>21</v>
      </c>
      <c r="B1" s="28" t="s">
        <v>74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44587</v>
      </c>
      <c r="I3" s="16">
        <f>4+5+5+4</f>
        <v>18</v>
      </c>
      <c r="J3" s="16">
        <f ca="1">TODAY()-H3</f>
        <v>260</v>
      </c>
      <c r="K3" s="16" t="str">
        <f ca="1">IF(J3&gt;21, "Yes", "No")</f>
        <v>Yes</v>
      </c>
      <c r="L3" s="10">
        <v>44474</v>
      </c>
      <c r="M3" s="16">
        <v>35</v>
      </c>
      <c r="N3" s="16">
        <f ca="1">TODAY()-L3</f>
        <v>373</v>
      </c>
      <c r="O3" s="16" t="str">
        <f ca="1">IF(N3&gt;21, "Yes", "No")</f>
        <v>Yes</v>
      </c>
      <c r="P3" s="10">
        <v>44587</v>
      </c>
      <c r="Q3" s="16">
        <f>1+3+2+2+2+2+4</f>
        <v>16</v>
      </c>
      <c r="R3" s="16">
        <f ca="1">TODAY()-P3</f>
        <v>260</v>
      </c>
      <c r="S3" s="16" t="str">
        <f ca="1">IF(R3&gt;21, "Yes", "No")</f>
        <v>Yes</v>
      </c>
      <c r="T3" s="10">
        <v>44474</v>
      </c>
      <c r="U3" s="16">
        <v>1</v>
      </c>
      <c r="V3" s="16">
        <f ca="1">TODAY()-T3</f>
        <v>373</v>
      </c>
      <c r="W3" s="16" t="str">
        <f ca="1">IF(V3&gt;21, "Yes", "No")</f>
        <v>Yes</v>
      </c>
      <c r="X3" s="16"/>
      <c r="Y3" s="16"/>
      <c r="Z3" s="16"/>
      <c r="AA3" s="16"/>
      <c r="AC3" s="11">
        <v>44504</v>
      </c>
      <c r="AD3" s="16"/>
      <c r="AE3" s="16"/>
      <c r="AF3" s="16">
        <v>4</v>
      </c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 t="s">
        <v>52</v>
      </c>
      <c r="I4" s="13" t="s">
        <v>52</v>
      </c>
      <c r="J4" s="13" t="s">
        <v>52</v>
      </c>
      <c r="K4" s="13" t="s">
        <v>52</v>
      </c>
      <c r="L4" s="10"/>
      <c r="M4" s="16">
        <v>39</v>
      </c>
      <c r="N4" s="16"/>
      <c r="O4" s="16"/>
      <c r="P4" s="10">
        <v>44677</v>
      </c>
      <c r="Q4" s="16">
        <v>25</v>
      </c>
      <c r="R4" s="16">
        <f ca="1">TODAY()-P4</f>
        <v>170</v>
      </c>
      <c r="S4" s="16" t="str">
        <f ca="1">IF(R4&gt;21, "Yes", "No")</f>
        <v>Yes</v>
      </c>
      <c r="T4" s="10">
        <v>44494</v>
      </c>
      <c r="U4" s="16">
        <v>1</v>
      </c>
      <c r="V4" s="16">
        <f ca="1">TODAY()-T4</f>
        <v>353</v>
      </c>
      <c r="W4" s="16" t="str">
        <f ca="1">IF(V4&gt;21, "Yes", "No")</f>
        <v>Yes</v>
      </c>
      <c r="X4" s="16"/>
      <c r="Y4" s="16"/>
      <c r="Z4" s="16"/>
      <c r="AA4" s="16"/>
      <c r="AC4" s="11">
        <v>44536</v>
      </c>
      <c r="AD4" s="16"/>
      <c r="AE4" s="16"/>
      <c r="AF4" s="16">
        <f>2+3+3+1+4+1+4</f>
        <v>18</v>
      </c>
      <c r="AG4" s="16"/>
    </row>
    <row r="5" spans="1:33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/>
      <c r="F5" s="16"/>
      <c r="G5" s="16"/>
      <c r="H5" s="16"/>
      <c r="I5" s="16"/>
      <c r="J5" s="16"/>
      <c r="K5" s="16"/>
      <c r="L5" s="10"/>
      <c r="M5" s="16">
        <v>35</v>
      </c>
      <c r="N5" s="16"/>
      <c r="O5" s="16"/>
      <c r="P5" s="10"/>
      <c r="Q5" s="16">
        <v>20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>
        <v>44558</v>
      </c>
      <c r="AD5" s="16"/>
      <c r="AE5" s="16"/>
      <c r="AF5" s="16">
        <v>9</v>
      </c>
      <c r="AG5" s="16"/>
    </row>
    <row r="6" spans="1:33" ht="18" customHeight="1" x14ac:dyDescent="0.35">
      <c r="A6" s="18" t="s">
        <v>37</v>
      </c>
      <c r="B6" s="8" t="str">
        <f t="array" ref="B6">LOOKUP(2,1 / (H$3:H$100 &lt;&gt;""), H$3:H$100)</f>
        <v>N/A</v>
      </c>
      <c r="D6" s="16"/>
      <c r="E6" s="16"/>
      <c r="F6" s="16"/>
      <c r="G6" s="16"/>
      <c r="H6" s="16"/>
      <c r="I6" s="16"/>
      <c r="J6" s="16"/>
      <c r="K6" s="16"/>
      <c r="L6" s="10">
        <v>44504</v>
      </c>
      <c r="M6" s="16">
        <f>4+4+4+6+5+8+9</f>
        <v>40</v>
      </c>
      <c r="N6" s="16">
        <f ca="1">TODAY()-L6</f>
        <v>343</v>
      </c>
      <c r="O6" s="16" t="str">
        <f ca="1">IF(N6&gt;21, "Yes", "No")</f>
        <v>Yes</v>
      </c>
      <c r="P6" s="10">
        <v>44762</v>
      </c>
      <c r="Q6" s="16">
        <f>8+3</f>
        <v>11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C6" s="11">
        <v>44587</v>
      </c>
      <c r="AD6" s="16"/>
      <c r="AE6" s="16"/>
      <c r="AF6" s="16">
        <f>3+2+2+3</f>
        <v>10</v>
      </c>
      <c r="AG6" s="16"/>
    </row>
    <row r="7" spans="1:33" ht="18" customHeight="1" x14ac:dyDescent="0.35">
      <c r="A7" s="18" t="s">
        <v>38</v>
      </c>
      <c r="B7" s="1" t="str">
        <f t="array" aca="1" ref="B7" ca="1">LOOKUP(2,1 / (K$3:K$1048576 &lt;&gt;""), K$3:K$1048576)</f>
        <v>N/A</v>
      </c>
      <c r="D7" s="16"/>
      <c r="E7" s="16"/>
      <c r="F7" s="16"/>
      <c r="G7" s="16"/>
      <c r="H7" s="16"/>
      <c r="I7" s="16"/>
      <c r="J7" s="16"/>
      <c r="K7" s="16"/>
      <c r="L7" s="16"/>
      <c r="M7" s="16">
        <v>54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18</v>
      </c>
      <c r="D8" s="16"/>
      <c r="E8" s="16"/>
      <c r="F8" s="16"/>
      <c r="G8" s="16"/>
      <c r="H8" s="16"/>
      <c r="I8" s="16"/>
      <c r="J8" s="16"/>
      <c r="K8" s="16"/>
      <c r="L8" s="16"/>
      <c r="M8" s="16">
        <f>M7-18</f>
        <v>36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44762</v>
      </c>
      <c r="D9" s="16"/>
      <c r="E9" s="16"/>
      <c r="F9" s="16"/>
      <c r="G9" s="16"/>
      <c r="H9" s="16"/>
      <c r="I9" s="16"/>
      <c r="J9" s="16"/>
      <c r="K9" s="16"/>
      <c r="L9" s="10">
        <v>44536</v>
      </c>
      <c r="M9" s="16">
        <f>5+4+3+8+2+5+4+5+8+3+5+4</f>
        <v>56</v>
      </c>
      <c r="N9" s="16">
        <f ca="1">TODAY()-L9</f>
        <v>311</v>
      </c>
      <c r="O9" s="16" t="str">
        <f ca="1">IF(N9&gt;21, "Yes", "No")</f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M10">
        <f>M9-9</f>
        <v>47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11</v>
      </c>
      <c r="M11">
        <v>37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44762</v>
      </c>
      <c r="L12" s="11">
        <v>44587</v>
      </c>
      <c r="M12">
        <f>3+4+4+4+3</f>
        <v>18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  <c r="L13" s="11">
        <v>44677</v>
      </c>
      <c r="M13">
        <f>31+112</f>
        <v>143</v>
      </c>
      <c r="N13" s="16">
        <f ca="1">TODAY()-L13</f>
        <v>170</v>
      </c>
      <c r="O13" s="16" t="str">
        <f ca="1">IF(N13&gt;21, "Yes", "No")</f>
        <v>Yes</v>
      </c>
    </row>
    <row r="14" spans="1:33" ht="18" customHeight="1" x14ac:dyDescent="0.35">
      <c r="A14" s="18" t="s">
        <v>46</v>
      </c>
      <c r="B14" s="28">
        <f t="array" ref="B14">(IFERROR((LOOKUP(2,1/(M$3:M$100&lt;&gt;""),M$3:M$100)),0))</f>
        <v>18</v>
      </c>
      <c r="M14">
        <v>31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44762</v>
      </c>
      <c r="L15" s="11">
        <v>44762</v>
      </c>
      <c r="M15">
        <f>12+6</f>
        <v>18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>(IFERROR((LOOKUP(2,1/(Q$3:Q$100&lt;&gt;""),Q$3:Q$100)),0))</f>
        <v>11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18"/>
  <sheetViews>
    <sheetView zoomScale="85" zoomScaleNormal="85" workbookViewId="0">
      <selection activeCell="Q6" sqref="Q6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5.21875" style="33" bestFit="1" customWidth="1"/>
    <col min="16" max="16" width="9.77734375" style="33" bestFit="1" customWidth="1"/>
    <col min="29" max="29" width="9.77734375" style="33" bestFit="1" customWidth="1"/>
  </cols>
  <sheetData>
    <row r="1" spans="1:33" ht="18" customHeight="1" x14ac:dyDescent="0.35">
      <c r="A1" s="2" t="s">
        <v>21</v>
      </c>
      <c r="B1" s="28" t="s">
        <v>75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/>
      <c r="I3" s="16"/>
      <c r="J3" s="16"/>
      <c r="K3" s="16"/>
      <c r="L3" s="10">
        <v>44475</v>
      </c>
      <c r="M3" s="16">
        <v>35</v>
      </c>
      <c r="N3" s="16">
        <f ca="1">TODAY()-L3</f>
        <v>372</v>
      </c>
      <c r="O3" s="16" t="str">
        <f ca="1">IF(N3&gt;21, "Yes", "No")</f>
        <v>Yes</v>
      </c>
      <c r="P3" s="10">
        <v>44588</v>
      </c>
      <c r="Q3" s="16">
        <f>2+3+3+2+3+1+4+4+2+2+2+2+1+5</f>
        <v>36</v>
      </c>
      <c r="R3" s="16">
        <f ca="1">TODAY()-P3</f>
        <v>259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44588</v>
      </c>
      <c r="AD3" s="16"/>
      <c r="AE3" s="16"/>
      <c r="AF3" s="16">
        <f>40+3+3</f>
        <v>46</v>
      </c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/>
      <c r="I4" s="13"/>
      <c r="J4" s="13"/>
      <c r="K4" s="13"/>
      <c r="L4" s="10">
        <v>44506</v>
      </c>
      <c r="M4" s="16">
        <f>11+4+6+2+7+7+6+6</f>
        <v>49</v>
      </c>
      <c r="N4" s="16">
        <f ca="1">TODAY()-L4</f>
        <v>341</v>
      </c>
      <c r="O4" s="16" t="str">
        <f ca="1">IF(N4&gt;21, "Yes", "No")</f>
        <v>Yes</v>
      </c>
      <c r="P4" s="10">
        <v>44629</v>
      </c>
      <c r="Q4" s="16">
        <f>35+16+7+24</f>
        <v>82</v>
      </c>
      <c r="R4" s="16">
        <f ca="1">TODAY()-P4</f>
        <v>218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C4" s="11"/>
      <c r="AD4" s="16"/>
      <c r="AE4" s="16"/>
      <c r="AF4" s="16"/>
      <c r="AG4" s="16"/>
    </row>
    <row r="5" spans="1:33" ht="18" customHeight="1" x14ac:dyDescent="0.35">
      <c r="A5" s="18" t="s">
        <v>36</v>
      </c>
      <c r="B5" s="28">
        <f t="array" ref="B5">(IFERROR((LOOKUP(2,1/(I$3:I$100&lt;&gt;""),I$3:I$100)),0))</f>
        <v>0</v>
      </c>
      <c r="D5" s="16"/>
      <c r="E5" s="16"/>
      <c r="F5" s="16"/>
      <c r="G5" s="16"/>
      <c r="H5" s="16"/>
      <c r="I5" s="16"/>
      <c r="J5" s="16"/>
      <c r="K5" s="16"/>
      <c r="L5" s="10"/>
      <c r="M5" s="16">
        <f>M4+18</f>
        <v>67</v>
      </c>
      <c r="N5" s="16"/>
      <c r="O5" s="16"/>
      <c r="P5" s="10"/>
      <c r="Q5" s="16">
        <v>22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e">
        <f t="array" ref="B6">LOOKUP(2,1 / (H$3:H$100 &lt;&gt;""), H$3:H$100)</f>
        <v>#N/A</v>
      </c>
      <c r="D6" s="16"/>
      <c r="E6" s="16"/>
      <c r="F6" s="16"/>
      <c r="G6" s="16"/>
      <c r="H6" s="16"/>
      <c r="I6" s="16"/>
      <c r="J6" s="16"/>
      <c r="K6" s="16"/>
      <c r="L6" s="10">
        <v>44545</v>
      </c>
      <c r="M6" s="16">
        <f>6+10+9+8+4+3+18</f>
        <v>58</v>
      </c>
      <c r="N6" s="16">
        <f ca="1">TODAY()-L6</f>
        <v>302</v>
      </c>
      <c r="O6" s="16" t="str">
        <f ca="1">IF(N6&gt;21, "Yes", "No")</f>
        <v>Yes</v>
      </c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e">
        <f t="array" ref="B7">LOOKUP(2,1 / (K$3:K$100 &lt;&gt;""), K$3:K$100)</f>
        <v>#N/A</v>
      </c>
      <c r="D7" s="16"/>
      <c r="E7" s="16"/>
      <c r="F7" s="16"/>
      <c r="G7" s="16"/>
      <c r="H7" s="16"/>
      <c r="I7" s="16"/>
      <c r="J7" s="16"/>
      <c r="K7" s="16"/>
      <c r="L7" s="16"/>
      <c r="M7" s="16">
        <f>M6-46</f>
        <v>12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41</v>
      </c>
      <c r="D8" s="16"/>
      <c r="E8" s="16"/>
      <c r="F8" s="16"/>
      <c r="G8" s="16"/>
      <c r="H8" s="16"/>
      <c r="I8" s="16"/>
      <c r="J8" s="16"/>
      <c r="K8" s="16"/>
      <c r="L8" s="10">
        <v>44588</v>
      </c>
      <c r="M8" s="16">
        <f>3+3+4+2+4+18+7+3+2+7+7+3+11+2</f>
        <v>76</v>
      </c>
      <c r="N8" s="16">
        <f ca="1">TODAY()-L8</f>
        <v>259</v>
      </c>
      <c r="O8" s="16" t="str">
        <f ca="1">IF(N8&gt;21, "Yes", "No")</f>
        <v>Yes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44629</v>
      </c>
      <c r="D9" s="16"/>
      <c r="E9" s="16"/>
      <c r="F9" s="16"/>
      <c r="G9" s="16"/>
      <c r="H9" s="16"/>
      <c r="I9" s="16"/>
      <c r="J9" s="16"/>
      <c r="K9" s="16"/>
      <c r="L9" s="10">
        <v>44629</v>
      </c>
      <c r="M9" s="16">
        <f>38+8</f>
        <v>46</v>
      </c>
      <c r="N9" s="16">
        <f ca="1">TODAY()-L9</f>
        <v>218</v>
      </c>
      <c r="O9" s="16" t="str">
        <f ca="1">IF(N9&gt;21, "Yes", "No")</f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M10">
        <v>41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22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44629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/>
    </row>
    <row r="15" spans="1:33" ht="18" customHeight="1" x14ac:dyDescent="0.35">
      <c r="A15" s="18" t="s">
        <v>47</v>
      </c>
      <c r="B15" s="8"/>
    </row>
    <row r="16" spans="1:33" ht="18" customHeight="1" x14ac:dyDescent="0.35">
      <c r="A16" s="18" t="s">
        <v>48</v>
      </c>
      <c r="B16" s="1"/>
    </row>
    <row r="17" spans="1:2" ht="18" customHeight="1" x14ac:dyDescent="0.35">
      <c r="A17" s="2" t="s">
        <v>49</v>
      </c>
      <c r="B17" s="28">
        <f>(IFERROR((LOOKUP(2,1/(Q$3:Q$100&lt;&gt;""),Q$3:Q$100)),0))</f>
        <v>22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18"/>
  <sheetViews>
    <sheetView zoomScale="82" zoomScaleNormal="70" workbookViewId="0">
      <selection activeCell="I5" sqref="I5"/>
    </sheetView>
  </sheetViews>
  <sheetFormatPr defaultRowHeight="14.4" x14ac:dyDescent="0.3"/>
  <cols>
    <col min="1" max="1" width="21.88671875" style="33" bestFit="1" customWidth="1"/>
    <col min="2" max="2" width="22.218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77734375" style="33" bestFit="1" customWidth="1"/>
    <col min="9" max="9" width="9.6640625" style="33" bestFit="1" customWidth="1"/>
    <col min="10" max="10" width="15.5546875" style="33" bestFit="1" customWidth="1"/>
    <col min="12" max="12" width="14.5546875" style="33" bestFit="1" customWidth="1"/>
    <col min="16" max="16" width="10" style="33" bestFit="1" customWidth="1"/>
    <col min="17" max="18" width="9" style="33" bestFit="1" customWidth="1"/>
    <col min="21" max="21" width="10.6640625" style="33" bestFit="1" customWidth="1"/>
    <col min="25" max="25" width="11.109375" style="33" bestFit="1" customWidth="1"/>
    <col min="28" max="28" width="9" style="33" bestFit="1" customWidth="1"/>
    <col min="29" max="29" width="10.5546875" style="33" bestFit="1" customWidth="1"/>
  </cols>
  <sheetData>
    <row r="1" spans="1:33" ht="18" customHeight="1" x14ac:dyDescent="0.35">
      <c r="A1" s="2" t="s">
        <v>21</v>
      </c>
      <c r="B1" s="28" t="s">
        <v>76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23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44592</v>
      </c>
      <c r="I3" s="16">
        <f>11+4</f>
        <v>15</v>
      </c>
      <c r="J3" s="16">
        <f ca="1">TODAY()-H3</f>
        <v>255</v>
      </c>
      <c r="K3" s="16" t="str">
        <f ca="1">IF(J3&gt;21, "Yes", "No")</f>
        <v>Yes</v>
      </c>
      <c r="L3" s="10">
        <v>44475</v>
      </c>
      <c r="M3" s="16">
        <v>22</v>
      </c>
      <c r="N3" s="16">
        <f ca="1">TODAY()-L3</f>
        <v>372</v>
      </c>
      <c r="O3" s="16" t="str">
        <f ca="1">IF(N3&gt;21, "Yes", "No")</f>
        <v>Yes</v>
      </c>
      <c r="P3" s="10">
        <v>44592</v>
      </c>
      <c r="Q3" s="16">
        <f>10+7+3+2</f>
        <v>22</v>
      </c>
      <c r="R3" s="16">
        <f ca="1">TODAY()-P3</f>
        <v>255</v>
      </c>
      <c r="S3" s="16" t="str">
        <f ca="1">IF(R3&gt;21, "Yes", "No")</f>
        <v>Yes</v>
      </c>
      <c r="T3" s="10">
        <v>44475</v>
      </c>
      <c r="U3" s="16">
        <v>2</v>
      </c>
      <c r="V3" s="16">
        <f ca="1">TODAY()-T3</f>
        <v>372</v>
      </c>
      <c r="W3" s="16" t="str">
        <f ca="1">IF(V3&gt;21, "Yes", "No")</f>
        <v>Yes</v>
      </c>
      <c r="X3" s="16"/>
      <c r="Y3" s="16"/>
      <c r="Z3" s="16"/>
      <c r="AA3" s="16"/>
      <c r="AC3" s="11">
        <v>44487</v>
      </c>
      <c r="AD3" s="16"/>
      <c r="AE3" s="16"/>
      <c r="AF3" s="16">
        <v>1</v>
      </c>
      <c r="AG3" s="16">
        <v>1</v>
      </c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6"/>
      <c r="I4" s="16">
        <v>0</v>
      </c>
      <c r="J4" s="16"/>
      <c r="K4" s="16"/>
      <c r="L4" s="10"/>
      <c r="M4" s="16">
        <v>21</v>
      </c>
      <c r="N4" s="16"/>
      <c r="O4" s="16"/>
      <c r="P4" s="10">
        <v>44658</v>
      </c>
      <c r="Q4" s="16">
        <v>19</v>
      </c>
      <c r="R4" s="16">
        <f ca="1">TODAY()-P4</f>
        <v>189</v>
      </c>
      <c r="S4" s="16" t="str">
        <f ca="1">IF(R4&gt;21, "Yes", "No")</f>
        <v>Yes</v>
      </c>
      <c r="T4" s="16"/>
      <c r="U4" s="16">
        <v>1</v>
      </c>
      <c r="V4" s="16"/>
      <c r="W4" s="16"/>
      <c r="X4" s="16"/>
      <c r="Y4" s="16"/>
      <c r="Z4" s="16"/>
      <c r="AA4" s="16"/>
      <c r="AC4" s="11">
        <v>44494</v>
      </c>
      <c r="AD4" s="16"/>
      <c r="AE4" s="16"/>
      <c r="AF4" s="16"/>
      <c r="AG4" s="16">
        <v>1</v>
      </c>
    </row>
    <row r="5" spans="1:33" ht="18" customHeight="1" x14ac:dyDescent="0.35">
      <c r="A5" s="18" t="s">
        <v>36</v>
      </c>
      <c r="B5" s="28">
        <f t="array" ref="B5">(IFERROR((LOOKUP(2,1/(I$3:I$100&lt;&gt;""),I$3:I$100)),0))</f>
        <v>0</v>
      </c>
      <c r="D5" s="16"/>
      <c r="E5" s="16"/>
      <c r="F5" s="16"/>
      <c r="G5" s="16"/>
      <c r="H5" s="16"/>
      <c r="I5" s="16"/>
      <c r="J5" s="16"/>
      <c r="K5" s="16"/>
      <c r="L5" s="10">
        <v>44517</v>
      </c>
      <c r="M5" s="16">
        <f>7+6+3+7+6+3+8+12</f>
        <v>52</v>
      </c>
      <c r="N5" s="16">
        <f ca="1">TODAY()-L5</f>
        <v>330</v>
      </c>
      <c r="O5" s="16" t="str">
        <f ca="1">IF(N5&gt;21, "Yes", "No")</f>
        <v>Yes</v>
      </c>
      <c r="P5" s="10"/>
      <c r="Q5" s="16">
        <v>18</v>
      </c>
      <c r="R5" s="16"/>
      <c r="S5" s="16"/>
      <c r="T5" s="10" t="s">
        <v>52</v>
      </c>
      <c r="U5" s="16">
        <v>0</v>
      </c>
      <c r="V5" s="16" t="s">
        <v>52</v>
      </c>
      <c r="W5" s="16" t="s">
        <v>52</v>
      </c>
      <c r="X5" s="16"/>
      <c r="Y5" s="16"/>
      <c r="Z5" s="16"/>
      <c r="AA5" s="16"/>
      <c r="AC5" s="11">
        <v>44592</v>
      </c>
      <c r="AD5" s="16"/>
      <c r="AE5" s="16"/>
      <c r="AF5" s="16">
        <v>5</v>
      </c>
      <c r="AG5" s="16"/>
    </row>
    <row r="6" spans="1:33" ht="18" customHeight="1" x14ac:dyDescent="0.35">
      <c r="A6" s="18" t="s">
        <v>37</v>
      </c>
      <c r="B6" s="8">
        <f t="array" ref="B6">LOOKUP(2,1 / (H$3:H$100 &lt;&gt;""), H$3:H$100)</f>
        <v>44592</v>
      </c>
      <c r="D6" s="16"/>
      <c r="E6" s="16"/>
      <c r="F6" s="16"/>
      <c r="G6" s="16"/>
      <c r="H6" s="16"/>
      <c r="I6" s="16"/>
      <c r="J6" s="16"/>
      <c r="K6" s="16"/>
      <c r="L6" s="10">
        <v>44547</v>
      </c>
      <c r="M6" s="16">
        <f>1+12+4+4+3</f>
        <v>24</v>
      </c>
      <c r="N6" s="16">
        <f ca="1">TODAY()-L6</f>
        <v>300</v>
      </c>
      <c r="O6" s="16" t="str">
        <f ca="1">IF(N6&gt;21, "Yes", "No")</f>
        <v>Yes</v>
      </c>
      <c r="P6" s="10">
        <v>44754</v>
      </c>
      <c r="Q6" s="16">
        <v>15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/>
      <c r="J7" s="16"/>
      <c r="K7" s="16"/>
      <c r="L7" s="16"/>
      <c r="M7" s="16">
        <f>M6+4+1+4+4</f>
        <v>37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64</v>
      </c>
      <c r="D8" s="16"/>
      <c r="E8" s="16"/>
      <c r="F8" s="16"/>
      <c r="G8" s="16"/>
      <c r="H8" s="16"/>
      <c r="I8" s="16"/>
      <c r="J8" s="16"/>
      <c r="K8" s="16"/>
      <c r="L8" s="16"/>
      <c r="M8" s="16">
        <v>32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44754</v>
      </c>
      <c r="D9" s="16"/>
      <c r="E9" s="16"/>
      <c r="F9" s="16"/>
      <c r="G9" s="16"/>
      <c r="H9" s="16"/>
      <c r="I9" s="16"/>
      <c r="J9" s="16"/>
      <c r="K9" s="16"/>
      <c r="L9" s="10">
        <v>44592</v>
      </c>
      <c r="M9" s="16">
        <f>20+4+7+1</f>
        <v>32</v>
      </c>
      <c r="N9" s="16">
        <f ca="1">TODAY()-L9</f>
        <v>255</v>
      </c>
      <c r="O9" s="16" t="str">
        <f ca="1">IF(N9&gt;21, "Yes", "No")</f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M10">
        <v>0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15</v>
      </c>
      <c r="L11" s="11">
        <v>44754</v>
      </c>
      <c r="M11">
        <v>64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44754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(IFERROR((LOOKUP(2,1/(M$3:M$100&lt;&gt;""),M$3:M$100)),0))</f>
        <v>64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44754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>(IFERROR((LOOKUP(2,1/(Q$3:Q$100&lt;&gt;""),Q$3:Q$100)),0))</f>
        <v>15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16"/>
  <sheetViews>
    <sheetView topLeftCell="D1" zoomScale="110" zoomScaleNormal="110" workbookViewId="0">
      <selection activeCell="L8" sqref="L8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9.5546875" style="33" bestFit="1" customWidth="1"/>
    <col min="16" max="16" width="14.6640625" style="33" bestFit="1" customWidth="1"/>
    <col min="21" max="21" width="10.6640625" style="33" bestFit="1" customWidth="1"/>
    <col min="25" max="25" width="10.6640625" style="33" bestFit="1" customWidth="1"/>
  </cols>
  <sheetData>
    <row r="1" spans="1:29" ht="18" customHeight="1" x14ac:dyDescent="0.35">
      <c r="A1" s="2" t="s">
        <v>21</v>
      </c>
      <c r="B1" s="28" t="s">
        <v>77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23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44475</v>
      </c>
      <c r="I3" s="16">
        <v>93</v>
      </c>
      <c r="J3" s="16">
        <f ca="1">TODAY()-H3</f>
        <v>372</v>
      </c>
      <c r="K3" s="16" t="str">
        <f ca="1">IF(J3&gt;21, "Yes", "No")</f>
        <v>Yes</v>
      </c>
      <c r="L3" s="10">
        <v>44620</v>
      </c>
      <c r="M3" s="16">
        <f>35+8+3+3+8+8+3+3+3+3+3+2+3+4+18+12+3+3+3+3+3+3+3+2</f>
        <v>142</v>
      </c>
      <c r="N3" s="16">
        <f ca="1">TODAY()-L3</f>
        <v>227</v>
      </c>
      <c r="O3" s="16" t="str">
        <f ca="1">IF(N3&gt;21, "Yes", "No")</f>
        <v>Yes</v>
      </c>
      <c r="P3" s="10">
        <v>44475</v>
      </c>
      <c r="Q3" s="16">
        <v>2</v>
      </c>
      <c r="R3" s="16">
        <f ca="1">TODAY()-P3</f>
        <v>372</v>
      </c>
      <c r="S3" s="16" t="str">
        <f ca="1">IF(R3&gt;21, "Yes", "No")</f>
        <v>Yes</v>
      </c>
      <c r="T3" s="16"/>
      <c r="U3" s="16"/>
      <c r="V3" s="16"/>
      <c r="W3" s="16"/>
      <c r="Y3" s="11">
        <v>44487</v>
      </c>
      <c r="Z3" s="16"/>
      <c r="AA3" s="16"/>
      <c r="AB3" s="16">
        <v>1</v>
      </c>
      <c r="AC3" s="16">
        <v>1</v>
      </c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/>
      <c r="I4" s="16">
        <v>92</v>
      </c>
      <c r="J4" s="16"/>
      <c r="K4" s="16"/>
      <c r="L4" s="10">
        <v>44645</v>
      </c>
      <c r="M4" s="16">
        <f>23+23</f>
        <v>46</v>
      </c>
      <c r="N4" s="16">
        <f ca="1">TODAY()-L4</f>
        <v>202</v>
      </c>
      <c r="O4" s="16" t="str">
        <f ca="1">IF(N4&gt;21, "Yes", "No")</f>
        <v>Yes</v>
      </c>
      <c r="P4" s="16"/>
      <c r="Q4" s="16">
        <v>1</v>
      </c>
      <c r="R4" s="16"/>
      <c r="S4" s="16"/>
      <c r="T4" s="16"/>
      <c r="U4" s="16"/>
      <c r="V4" s="16"/>
      <c r="W4" s="16"/>
      <c r="Y4" s="11">
        <v>44494</v>
      </c>
      <c r="Z4" s="16"/>
      <c r="AA4" s="16"/>
      <c r="AB4" s="16"/>
      <c r="AC4" s="16">
        <v>1</v>
      </c>
    </row>
    <row r="5" spans="1:29" ht="18" customHeight="1" x14ac:dyDescent="0.35">
      <c r="A5" s="7" t="s">
        <v>39</v>
      </c>
      <c r="B5" s="28">
        <f t="array" ref="B5">(IFERROR((LOOKUP(2,1/(I$3:I$100&lt;&gt;""),I$3:I$100)),0))</f>
        <v>70</v>
      </c>
      <c r="D5" s="16"/>
      <c r="E5" s="16"/>
      <c r="F5" s="16"/>
      <c r="G5" s="16"/>
      <c r="H5" s="10"/>
      <c r="I5" s="16">
        <v>95</v>
      </c>
      <c r="J5" s="16"/>
      <c r="K5" s="16"/>
      <c r="L5" s="10"/>
      <c r="M5" s="16">
        <v>88</v>
      </c>
      <c r="N5" s="16"/>
      <c r="O5" s="16"/>
      <c r="P5" s="10">
        <v>44505</v>
      </c>
      <c r="Q5" s="16">
        <v>1</v>
      </c>
      <c r="R5" s="16">
        <f ca="1">TODAY()-P5</f>
        <v>342</v>
      </c>
      <c r="S5" s="16" t="str">
        <f ca="1">IF(R5&gt;21, "Yes", "No")</f>
        <v>Yes</v>
      </c>
      <c r="T5" s="16"/>
      <c r="U5" s="16"/>
      <c r="V5" s="16"/>
      <c r="W5" s="16"/>
      <c r="Y5" s="11">
        <v>44505</v>
      </c>
      <c r="Z5" s="16"/>
      <c r="AA5" s="16"/>
      <c r="AB5" s="16">
        <v>12</v>
      </c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44761</v>
      </c>
      <c r="D6" s="16"/>
      <c r="E6" s="16"/>
      <c r="F6" s="16"/>
      <c r="G6" s="16"/>
      <c r="H6" s="10"/>
      <c r="I6" s="16">
        <f>I5-12</f>
        <v>83</v>
      </c>
      <c r="J6" s="16"/>
      <c r="K6" s="16"/>
      <c r="L6" s="10">
        <v>44704</v>
      </c>
      <c r="M6" s="16">
        <f>8+1</f>
        <v>9</v>
      </c>
      <c r="N6" s="16">
        <f ca="1">TODAY()-L6</f>
        <v>143</v>
      </c>
      <c r="O6" s="16" t="str">
        <f ca="1">IF(N6&gt;21, "Yes", "No")</f>
        <v>Yes</v>
      </c>
      <c r="P6" s="16"/>
      <c r="Q6" s="16"/>
      <c r="R6" s="16"/>
      <c r="S6" s="16"/>
      <c r="T6" s="16"/>
      <c r="U6" s="16"/>
      <c r="V6" s="16"/>
      <c r="W6" s="16"/>
      <c r="Y6" s="11">
        <v>44560</v>
      </c>
      <c r="Z6" s="16"/>
      <c r="AA6" s="16"/>
      <c r="AB6" s="16">
        <f>12+2+2+2+6+9+4+6+4</f>
        <v>47</v>
      </c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0">
        <v>44505</v>
      </c>
      <c r="I7" s="16">
        <f>12+9+2+4+3+4+9+2+4+1+10+8+5+11+8+5+3+8+8+6+1+6+12+12</f>
        <v>153</v>
      </c>
      <c r="J7" s="16">
        <f ca="1">TODAY()-H7</f>
        <v>342</v>
      </c>
      <c r="K7" s="16" t="str">
        <f ca="1">IF(J7&gt;21, "Yes", "No")</f>
        <v>Yes</v>
      </c>
      <c r="L7" s="10">
        <v>44761</v>
      </c>
      <c r="M7" s="16">
        <v>20</v>
      </c>
      <c r="N7" s="16"/>
      <c r="O7" s="16"/>
      <c r="P7" s="16"/>
      <c r="Q7" s="16"/>
      <c r="R7" s="16"/>
      <c r="S7" s="16"/>
      <c r="T7" s="16"/>
      <c r="U7" s="16"/>
      <c r="V7" s="16"/>
      <c r="W7" s="16"/>
      <c r="Y7" s="11">
        <v>44592</v>
      </c>
      <c r="Z7" s="16"/>
      <c r="AA7" s="16"/>
      <c r="AB7" s="16">
        <f>1</f>
        <v>1</v>
      </c>
      <c r="AC7" s="16"/>
    </row>
    <row r="8" spans="1:29" ht="18" customHeight="1" x14ac:dyDescent="0.35">
      <c r="A8" s="31" t="s">
        <v>43</v>
      </c>
      <c r="B8" s="28">
        <f t="array" ref="B8">(IFERROR((LOOKUP(2,1/(I$3:I$100&lt;&gt;""),I$3:I$100)),0))</f>
        <v>70</v>
      </c>
      <c r="D8" s="16"/>
      <c r="E8" s="16"/>
      <c r="F8" s="16"/>
      <c r="G8" s="16"/>
      <c r="H8" s="16"/>
      <c r="I8" s="16">
        <f>I7+16</f>
        <v>169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(H$3:H$100 &lt;&gt;""), H$3:H$100)</f>
        <v>44761</v>
      </c>
      <c r="D9" s="16"/>
      <c r="E9" s="16"/>
      <c r="F9" s="16"/>
      <c r="G9" s="16"/>
      <c r="I9">
        <f>I8-47</f>
        <v>122</v>
      </c>
      <c r="J9" s="16"/>
      <c r="K9" s="16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(K$3:K$100 &lt;&gt;""), K$3:K$100)</f>
        <v>Yes</v>
      </c>
      <c r="H10" s="10">
        <v>44558</v>
      </c>
      <c r="I10" s="16">
        <f>10+16+12+7+8+6+5+7+7+4+5+5+6+5+6+2+6+4+4+11+7+5+5+7+4+7+6+7+9+3+5+10</f>
        <v>211</v>
      </c>
      <c r="J10" s="16">
        <f ca="1">TODAY()-H10</f>
        <v>289</v>
      </c>
      <c r="K10" s="16" t="str">
        <f ca="1">IF(J10&gt;21, "Yes", "No")</f>
        <v>Yes</v>
      </c>
    </row>
    <row r="11" spans="1:29" ht="18" customHeight="1" x14ac:dyDescent="0.35">
      <c r="A11" s="18" t="s">
        <v>46</v>
      </c>
      <c r="B11" s="28">
        <f t="array" ref="B11">(IFERROR((LOOKUP(2,1/(M$3:M$100&lt;&gt;""),M$3:M$100)),0))</f>
        <v>20</v>
      </c>
      <c r="I11">
        <v>210</v>
      </c>
    </row>
    <row r="12" spans="1:29" ht="18" customHeight="1" x14ac:dyDescent="0.35">
      <c r="A12" s="18" t="s">
        <v>47</v>
      </c>
      <c r="B12" s="8">
        <f t="array" ref="B12">LOOKUP(2,1 / (L$3:L$100 &lt;&gt;""), L$3:L$100)</f>
        <v>44761</v>
      </c>
      <c r="H12" s="11">
        <v>44620</v>
      </c>
      <c r="I12">
        <v>0</v>
      </c>
      <c r="J12" s="16">
        <f ca="1">TODAY()-H12</f>
        <v>227</v>
      </c>
      <c r="K12" s="16" t="str">
        <f ca="1">IF(J12&gt;21, "Yes", "No")</f>
        <v>Yes</v>
      </c>
    </row>
    <row r="13" spans="1:29" ht="18" customHeight="1" x14ac:dyDescent="0.35">
      <c r="A13" s="18" t="s">
        <v>48</v>
      </c>
      <c r="B13" s="1" t="str">
        <f t="array" aca="1" ref="B13" ca="1">LOOKUP(2,1 / (O$3:O$100 &lt;&gt;""), O$3:O$100)</f>
        <v>Yes</v>
      </c>
      <c r="H13" s="11">
        <v>44645</v>
      </c>
      <c r="I13">
        <f>43+27</f>
        <v>70</v>
      </c>
      <c r="J13" s="16">
        <f ca="1">TODAY()-H13</f>
        <v>202</v>
      </c>
      <c r="K13" s="16" t="str">
        <f ca="1">IF(J13&gt;21, "Yes", "No")</f>
        <v>Yes</v>
      </c>
    </row>
    <row r="14" spans="1:29" ht="18" customHeight="1" x14ac:dyDescent="0.35">
      <c r="A14" s="2" t="s">
        <v>49</v>
      </c>
      <c r="B14" s="28">
        <f>(IFERROR((LOOKUP(2,1/(Q$3:Q$100&lt;&gt;""),Q$3:Q$100)),0))</f>
        <v>1</v>
      </c>
      <c r="I14">
        <v>26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  <c r="H15" s="11">
        <v>44704</v>
      </c>
      <c r="I15">
        <f>46+48+46+42+37+27+34</f>
        <v>280</v>
      </c>
      <c r="J15" s="16">
        <f ca="1">TODAY()-H15</f>
        <v>143</v>
      </c>
      <c r="K15" s="16" t="str">
        <f ca="1">IF(J15&gt;21, "Yes", "No")</f>
        <v>Yes</v>
      </c>
    </row>
    <row r="16" spans="1:29" x14ac:dyDescent="0.3">
      <c r="H16" s="11">
        <v>44761</v>
      </c>
      <c r="I16">
        <f>70</f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G18"/>
  <sheetViews>
    <sheetView zoomScale="77" zoomScaleNormal="110" workbookViewId="0">
      <selection activeCell="P6" sqref="P6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5" style="33" bestFit="1" customWidth="1"/>
    <col min="16" max="16" width="9.5546875" style="33" bestFit="1" customWidth="1"/>
    <col min="21" max="21" width="10.6640625" style="33" bestFit="1" customWidth="1"/>
  </cols>
  <sheetData>
    <row r="1" spans="1:33" ht="18" customHeight="1" x14ac:dyDescent="0.35">
      <c r="A1" s="2" t="s">
        <v>21</v>
      </c>
      <c r="B1" s="28" t="s">
        <v>78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44588</v>
      </c>
      <c r="I3" s="16">
        <v>1</v>
      </c>
      <c r="J3" s="16">
        <f ca="1">TODAY()-H3</f>
        <v>259</v>
      </c>
      <c r="K3" s="16" t="str">
        <f ca="1">IF(J3&gt;21, "Yes", "No")</f>
        <v>Yes</v>
      </c>
      <c r="L3" s="10">
        <v>44475</v>
      </c>
      <c r="M3" s="16">
        <v>5</v>
      </c>
      <c r="N3" s="16">
        <f ca="1">TODAY()-L3</f>
        <v>372</v>
      </c>
      <c r="O3" s="16" t="str">
        <f ca="1">IF(N3&gt;21, "Yes", "No")</f>
        <v>Yes</v>
      </c>
      <c r="P3" s="10">
        <v>44588</v>
      </c>
      <c r="Q3" s="16">
        <v>1</v>
      </c>
      <c r="R3" s="16">
        <f ca="1">TODAY()-P3</f>
        <v>259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44558</v>
      </c>
      <c r="AD3" s="16"/>
      <c r="AE3" s="16"/>
      <c r="AF3" s="16">
        <v>6</v>
      </c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/>
      <c r="I4" s="13"/>
      <c r="J4" s="13"/>
      <c r="K4" s="13"/>
      <c r="L4" s="10"/>
      <c r="M4" s="16">
        <f>22+5</f>
        <v>27</v>
      </c>
      <c r="N4" s="16"/>
      <c r="O4" s="16"/>
      <c r="P4" s="10"/>
      <c r="Q4" s="16">
        <v>2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C4" s="11"/>
      <c r="AD4" s="16"/>
      <c r="AE4" s="16"/>
      <c r="AF4" s="16"/>
      <c r="AG4" s="16"/>
    </row>
    <row r="5" spans="1:33" ht="18" customHeight="1" x14ac:dyDescent="0.35">
      <c r="A5" s="18" t="s">
        <v>36</v>
      </c>
      <c r="B5" s="28">
        <f t="array" ref="B5">(IFERROR((LOOKUP(2,1/(I$3:I$100&lt;&gt;""),I$3:I$100)),0))</f>
        <v>1</v>
      </c>
      <c r="D5" s="16"/>
      <c r="E5" s="16"/>
      <c r="F5" s="16"/>
      <c r="G5" s="16"/>
      <c r="H5" s="16"/>
      <c r="I5" s="16"/>
      <c r="J5" s="16"/>
      <c r="K5" s="16"/>
      <c r="L5" s="10">
        <v>44504</v>
      </c>
      <c r="M5" s="16">
        <f>3+2+6+1</f>
        <v>12</v>
      </c>
      <c r="N5" s="16">
        <f ca="1">TODAY()-L5</f>
        <v>343</v>
      </c>
      <c r="O5" s="16" t="str">
        <f ca="1">IF(N5&gt;21, "Yes", "No")</f>
        <v>Yes</v>
      </c>
      <c r="P5" s="10">
        <v>44758</v>
      </c>
      <c r="Q5" s="16">
        <v>12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>
        <f t="array" ref="B6">LOOKUP(2,1 / (H$3:H$100 &lt;&gt;""), H$3:H$100)</f>
        <v>44588</v>
      </c>
      <c r="D6" s="16"/>
      <c r="E6" s="16"/>
      <c r="F6" s="16"/>
      <c r="G6" s="16"/>
      <c r="H6" s="16"/>
      <c r="I6" s="16"/>
      <c r="J6" s="16"/>
      <c r="K6" s="16"/>
      <c r="L6" s="10">
        <v>44537</v>
      </c>
      <c r="M6" s="16">
        <f>6+2+3+1</f>
        <v>12</v>
      </c>
      <c r="N6" s="16">
        <f ca="1">TODAY()-L6</f>
        <v>310</v>
      </c>
      <c r="O6" s="16" t="str">
        <f ca="1">IF(N6&gt;21, "Yes", "No")</f>
        <v>Yes</v>
      </c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/>
      <c r="J7" s="16"/>
      <c r="K7" s="16"/>
      <c r="L7" s="16"/>
      <c r="M7" s="16">
        <v>6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14</v>
      </c>
      <c r="D8" s="16"/>
      <c r="E8" s="16"/>
      <c r="F8" s="16"/>
      <c r="G8" s="16"/>
      <c r="H8" s="16"/>
      <c r="I8" s="16"/>
      <c r="J8" s="16"/>
      <c r="K8" s="16"/>
      <c r="L8" s="10">
        <v>44588</v>
      </c>
      <c r="M8" s="16">
        <v>12</v>
      </c>
      <c r="N8" s="16">
        <f ca="1">TODAY()-L8</f>
        <v>259</v>
      </c>
      <c r="O8" s="16" t="str">
        <f ca="1">IF(N8&gt;21, "Yes", "No")</f>
        <v>Yes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44758</v>
      </c>
      <c r="D9" s="16"/>
      <c r="E9" s="16"/>
      <c r="F9" s="16"/>
      <c r="G9" s="16"/>
      <c r="H9" s="16"/>
      <c r="I9" s="16"/>
      <c r="J9" s="16"/>
      <c r="K9" s="16"/>
      <c r="L9" s="16"/>
      <c r="M9" s="16">
        <v>20</v>
      </c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L10" s="11">
        <v>44758</v>
      </c>
      <c r="M10">
        <f>14</f>
        <v>14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12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44758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(IFERROR((LOOKUP(2,1/(M$3:M$100&lt;&gt;""),M$3:M$100)),0))</f>
        <v>14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44758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>(IFERROR((LOOKUP(2,1/(Q$3:Q$100&lt;&gt;""),Q$3:Q$100)),0))</f>
        <v>12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G18"/>
  <sheetViews>
    <sheetView zoomScale="85" zoomScaleNormal="85" workbookViewId="0">
      <selection activeCell="L14" sqref="L14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0.6640625" style="33" bestFit="1" customWidth="1"/>
    <col min="16" max="16" width="9.77734375" style="33" bestFit="1" customWidth="1"/>
    <col min="21" max="21" width="9.5546875" style="33" bestFit="1" customWidth="1"/>
    <col min="25" max="25" width="9.5546875" style="33" bestFit="1" customWidth="1"/>
  </cols>
  <sheetData>
    <row r="1" spans="1:33" ht="18" customHeight="1" x14ac:dyDescent="0.35">
      <c r="A1" s="2" t="s">
        <v>21</v>
      </c>
      <c r="B1" s="28" t="s">
        <v>79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44588</v>
      </c>
      <c r="I3" s="16">
        <v>2</v>
      </c>
      <c r="J3" s="16">
        <f ca="1">TODAY()-H3</f>
        <v>259</v>
      </c>
      <c r="K3" s="16" t="str">
        <f ca="1">IF(J3&gt;21, "Yes", "No")</f>
        <v>Yes</v>
      </c>
      <c r="L3" s="10">
        <v>44475</v>
      </c>
      <c r="M3" s="16">
        <v>18</v>
      </c>
      <c r="N3" s="16">
        <f ca="1">TODAY()-L3</f>
        <v>372</v>
      </c>
      <c r="O3" s="16" t="str">
        <f ca="1">IF(N3&gt;21, "Yes", "No")</f>
        <v>Yes</v>
      </c>
      <c r="P3" s="10">
        <v>44588</v>
      </c>
      <c r="Q3" s="16">
        <f>2+2</f>
        <v>4</v>
      </c>
      <c r="R3" s="16">
        <f ca="1">TODAY()-P3</f>
        <v>259</v>
      </c>
      <c r="S3" s="16" t="str">
        <f ca="1">IF(R3&gt;21, "Yes", "No")</f>
        <v>Yes</v>
      </c>
      <c r="T3" s="10">
        <v>44475</v>
      </c>
      <c r="U3" s="16">
        <v>1</v>
      </c>
      <c r="V3" s="16">
        <f ca="1">TODAY()-T3</f>
        <v>372</v>
      </c>
      <c r="W3" s="16" t="str">
        <f ca="1">IF(V3&gt;21, "Yes", "No")</f>
        <v>Yes</v>
      </c>
      <c r="X3" s="16"/>
      <c r="Y3" s="16"/>
      <c r="Z3" s="16"/>
      <c r="AA3" s="16"/>
      <c r="AC3" s="11">
        <v>44537</v>
      </c>
      <c r="AD3" s="16"/>
      <c r="AE3" s="16"/>
      <c r="AF3" s="16">
        <v>6</v>
      </c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/>
      <c r="I4" s="13"/>
      <c r="J4" s="13"/>
      <c r="K4" s="13"/>
      <c r="L4" s="10">
        <v>44505</v>
      </c>
      <c r="M4" s="16">
        <f>3+1+3+2+5+1+2+4+2+6</f>
        <v>29</v>
      </c>
      <c r="N4" s="16">
        <f ca="1">TODAY()-L4</f>
        <v>342</v>
      </c>
      <c r="O4" s="16" t="str">
        <f ca="1">IF(N4&gt;21, "Yes", "No")</f>
        <v>Yes</v>
      </c>
      <c r="P4" s="10">
        <v>44657</v>
      </c>
      <c r="Q4" s="16">
        <v>12</v>
      </c>
      <c r="R4" s="16">
        <f ca="1">TODAY()-P4</f>
        <v>190</v>
      </c>
      <c r="S4" s="16" t="str">
        <f ca="1">IF(R4&gt;21, "Yes", "No")</f>
        <v>Yes</v>
      </c>
      <c r="T4" s="10">
        <v>44494</v>
      </c>
      <c r="U4" s="16">
        <v>1</v>
      </c>
      <c r="V4" s="16">
        <f ca="1">TODAY()-T4</f>
        <v>353</v>
      </c>
      <c r="W4" s="16" t="str">
        <f ca="1">IF(V4&gt;21, "Yes", "No")</f>
        <v>Yes</v>
      </c>
      <c r="X4" s="16"/>
      <c r="Y4" s="16"/>
      <c r="Z4" s="16"/>
      <c r="AA4" s="16"/>
      <c r="AC4" s="11">
        <v>44568</v>
      </c>
      <c r="AD4" s="16"/>
      <c r="AE4" s="16"/>
      <c r="AF4" s="16">
        <v>1</v>
      </c>
      <c r="AG4" s="16"/>
    </row>
    <row r="5" spans="1:33" ht="18" customHeight="1" x14ac:dyDescent="0.35">
      <c r="A5" s="18" t="s">
        <v>36</v>
      </c>
      <c r="B5" s="28">
        <f t="array" ref="B5">(IFERROR((LOOKUP(2,1/(I$3:I$100&lt;&gt;""),I$3:I$100)),0))</f>
        <v>2</v>
      </c>
      <c r="D5" s="16"/>
      <c r="E5" s="16"/>
      <c r="F5" s="16"/>
      <c r="G5" s="16"/>
      <c r="H5" s="16"/>
      <c r="I5" s="16"/>
      <c r="J5" s="16"/>
      <c r="K5" s="16"/>
      <c r="M5" s="16">
        <v>23</v>
      </c>
      <c r="N5" s="16"/>
      <c r="O5" s="16"/>
      <c r="P5" s="10"/>
      <c r="Q5" s="16">
        <v>10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>
        <v>44588</v>
      </c>
      <c r="AD5" s="16"/>
      <c r="AE5" s="16"/>
      <c r="AF5" s="16">
        <f>4+5+6+1</f>
        <v>16</v>
      </c>
      <c r="AG5" s="16"/>
    </row>
    <row r="6" spans="1:33" ht="18" customHeight="1" x14ac:dyDescent="0.35">
      <c r="A6" s="18" t="s">
        <v>37</v>
      </c>
      <c r="B6" s="8">
        <f t="array" ref="B6">LOOKUP(2,1 / (H$3:H$100 &lt;&gt;""), H$3:H$100)</f>
        <v>44588</v>
      </c>
      <c r="D6" s="16"/>
      <c r="E6" s="16"/>
      <c r="F6" s="16"/>
      <c r="G6" s="16"/>
      <c r="H6" s="16"/>
      <c r="I6" s="16"/>
      <c r="J6" s="16"/>
      <c r="K6" s="16"/>
      <c r="L6" s="10">
        <v>44537</v>
      </c>
      <c r="M6" s="16">
        <f>3+1+1+4+2+2+3+4+5</f>
        <v>25</v>
      </c>
      <c r="N6" s="16">
        <f ca="1">TODAY()-L6</f>
        <v>310</v>
      </c>
      <c r="O6" s="16" t="str">
        <f ca="1">IF(N6&gt;21, "Yes", "No")</f>
        <v>Yes</v>
      </c>
      <c r="P6" s="10">
        <v>44719</v>
      </c>
      <c r="Q6" s="16">
        <f>7</f>
        <v>7</v>
      </c>
      <c r="R6" s="16">
        <f ca="1">TODAY()-P6</f>
        <v>128</v>
      </c>
      <c r="S6" s="16" t="str">
        <f ca="1">IF(R6&gt;21, "Yes", "No")</f>
        <v>Yes</v>
      </c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/>
      <c r="J7" s="16"/>
      <c r="K7" s="16"/>
      <c r="L7" s="16"/>
      <c r="M7" s="16">
        <v>24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35</v>
      </c>
      <c r="D8" s="16"/>
      <c r="E8" s="16"/>
      <c r="F8" s="16"/>
      <c r="G8" s="16"/>
      <c r="H8" s="16"/>
      <c r="I8" s="16"/>
      <c r="J8" s="16"/>
      <c r="K8" s="16"/>
      <c r="L8" s="16"/>
      <c r="M8" s="16">
        <f>M7-16</f>
        <v>8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44719</v>
      </c>
      <c r="D9" s="16"/>
      <c r="E9" s="16"/>
      <c r="F9" s="16"/>
      <c r="G9" s="16"/>
      <c r="H9" s="16"/>
      <c r="I9" s="16"/>
      <c r="J9" s="16"/>
      <c r="K9" s="16"/>
      <c r="L9" s="10">
        <v>44588</v>
      </c>
      <c r="M9" s="16">
        <f>6+6+4+2+7</f>
        <v>25</v>
      </c>
      <c r="N9" s="16">
        <f ca="1">TODAY()-L9</f>
        <v>259</v>
      </c>
      <c r="O9" s="16" t="str">
        <f ca="1">IF(N9&gt;21, "Yes", "No")</f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L10" s="11">
        <v>44657</v>
      </c>
      <c r="M10">
        <v>23</v>
      </c>
      <c r="N10" s="16">
        <f ca="1">TODAY()-L10</f>
        <v>190</v>
      </c>
      <c r="O10" s="16" t="str">
        <f ca="1">IF(N10&gt;21, "Yes", "No")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7</v>
      </c>
      <c r="M11">
        <v>2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44719</v>
      </c>
      <c r="L12" s="11">
        <v>44719</v>
      </c>
      <c r="M12">
        <f>17+18</f>
        <v>35</v>
      </c>
      <c r="N12" s="16">
        <f ca="1">TODAY()-L12</f>
        <v>128</v>
      </c>
      <c r="O12" s="16" t="str">
        <f ca="1">IF(N12&gt;21, "Yes", "No")</f>
        <v>Yes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/>
    </row>
    <row r="15" spans="1:33" ht="18" customHeight="1" x14ac:dyDescent="0.35">
      <c r="A15" s="18" t="s">
        <v>47</v>
      </c>
      <c r="B15" s="8"/>
    </row>
    <row r="16" spans="1:33" ht="18" customHeight="1" x14ac:dyDescent="0.35">
      <c r="A16" s="18" t="s">
        <v>48</v>
      </c>
      <c r="B16" s="1"/>
    </row>
    <row r="17" spans="1:2" ht="18" customHeight="1" x14ac:dyDescent="0.35">
      <c r="A17" s="2" t="s">
        <v>49</v>
      </c>
      <c r="B17" s="28">
        <f>(IFERROR((LOOKUP(2,1/(Q$3:Q$100&lt;&gt;""),Q$3:Q$100)),0))</f>
        <v>7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18"/>
  <sheetViews>
    <sheetView topLeftCell="D1" zoomScaleNormal="100" workbookViewId="0">
      <selection activeCell="L14" sqref="L14"/>
    </sheetView>
  </sheetViews>
  <sheetFormatPr defaultRowHeight="14.4" x14ac:dyDescent="0.3"/>
  <cols>
    <col min="1" max="1" width="21.88671875" style="33" bestFit="1" customWidth="1"/>
    <col min="2" max="2" width="22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0.6640625" style="33" bestFit="1" customWidth="1"/>
    <col min="16" max="16" width="9.5546875" style="33" bestFit="1" customWidth="1"/>
    <col min="21" max="21" width="10.6640625" style="33" bestFit="1" customWidth="1"/>
  </cols>
  <sheetData>
    <row r="1" spans="1:33" ht="18" customHeight="1" x14ac:dyDescent="0.35">
      <c r="A1" s="2" t="s">
        <v>21</v>
      </c>
      <c r="B1" s="28" t="s">
        <v>80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44587</v>
      </c>
      <c r="I3" s="16">
        <v>4</v>
      </c>
      <c r="J3" s="16">
        <f ca="1">TODAY()-H3</f>
        <v>260</v>
      </c>
      <c r="K3" s="16" t="str">
        <f ca="1">IF(J3&gt;21, "Yes", "No")</f>
        <v>Yes</v>
      </c>
      <c r="L3" s="10">
        <v>44475</v>
      </c>
      <c r="M3" s="16">
        <v>61</v>
      </c>
      <c r="N3" s="16">
        <f ca="1">TODAY()-L3</f>
        <v>372</v>
      </c>
      <c r="O3" s="16" t="str">
        <f ca="1">IF(N3&gt;21, "Yes", "No")</f>
        <v>Yes</v>
      </c>
      <c r="P3" s="10">
        <v>44587</v>
      </c>
      <c r="Q3" s="16">
        <f>2+2+4+2+2+3+6+3+4+3+3+4+2+6+4+4+2+2+4+5+3+4+4+4+7+2+6</f>
        <v>97</v>
      </c>
      <c r="R3" s="16">
        <f ca="1">TODAY()-P3</f>
        <v>260</v>
      </c>
      <c r="S3" s="16" t="str">
        <f ca="1">IF(R3&gt;21, "Yes", "No")</f>
        <v>Yes</v>
      </c>
      <c r="T3" s="10">
        <v>44494</v>
      </c>
      <c r="U3" s="16">
        <v>1</v>
      </c>
      <c r="V3" s="16">
        <f ca="1">TODAY()-T3</f>
        <v>353</v>
      </c>
      <c r="W3" s="16" t="str">
        <f ca="1">IF(V3&gt;21, "Yes", "No")</f>
        <v>Yes</v>
      </c>
      <c r="X3" s="16"/>
      <c r="Y3" s="16"/>
      <c r="Z3" s="16"/>
      <c r="AA3" s="16"/>
      <c r="AC3" s="11">
        <v>44558</v>
      </c>
      <c r="AD3" s="16"/>
      <c r="AE3" s="16"/>
      <c r="AF3" s="16">
        <v>5</v>
      </c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/>
      <c r="I4" s="13"/>
      <c r="J4" s="13"/>
      <c r="K4" s="13"/>
      <c r="L4" s="10"/>
      <c r="M4" s="16">
        <v>63</v>
      </c>
      <c r="N4" s="16"/>
      <c r="O4" s="16"/>
      <c r="P4" s="10">
        <v>44645</v>
      </c>
      <c r="Q4" s="16">
        <f>20+23+16</f>
        <v>59</v>
      </c>
      <c r="R4" s="16">
        <f ca="1">TODAY()-P4</f>
        <v>202</v>
      </c>
      <c r="S4" s="16" t="str">
        <f ca="1">IF(R4&gt;21, "Yes", "No")</f>
        <v>Yes</v>
      </c>
      <c r="T4" s="10"/>
      <c r="U4" s="16">
        <v>2</v>
      </c>
      <c r="V4" s="16"/>
      <c r="W4" s="16"/>
      <c r="X4" s="16"/>
      <c r="Y4" s="16"/>
      <c r="Z4" s="16"/>
      <c r="AA4" s="16"/>
      <c r="AC4" s="11"/>
      <c r="AD4" s="16"/>
      <c r="AE4" s="16"/>
      <c r="AF4" s="16"/>
      <c r="AG4" s="16"/>
    </row>
    <row r="5" spans="1:33" ht="18" customHeight="1" x14ac:dyDescent="0.35">
      <c r="A5" s="18" t="s">
        <v>36</v>
      </c>
      <c r="B5" s="28">
        <f t="array" ref="B5">(IFERROR((LOOKUP(2,1/(I$3:I$100&lt;&gt;""),I$3:I$100)),0))</f>
        <v>4</v>
      </c>
      <c r="D5" s="16"/>
      <c r="E5" s="16"/>
      <c r="F5" s="16"/>
      <c r="G5" s="16"/>
      <c r="H5" s="16"/>
      <c r="I5" s="16"/>
      <c r="J5" s="16"/>
      <c r="K5" s="16"/>
      <c r="L5" s="10"/>
      <c r="M5" s="16">
        <v>59</v>
      </c>
      <c r="N5" s="16"/>
      <c r="O5" s="16"/>
      <c r="P5" s="10">
        <v>44678</v>
      </c>
      <c r="Q5" s="16">
        <f>16+2</f>
        <v>18</v>
      </c>
      <c r="R5" s="16">
        <f ca="1">TODAY()-P5</f>
        <v>169</v>
      </c>
      <c r="S5" s="16" t="str">
        <f ca="1">IF(R5&gt;21, "Yes", "No")</f>
        <v>Yes</v>
      </c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>
        <f t="array" ref="B6">LOOKUP(2,1 / (H$3:H$100 &lt;&gt;""), H$3:H$100)</f>
        <v>44587</v>
      </c>
      <c r="D6" s="16"/>
      <c r="E6" s="16"/>
      <c r="F6" s="16"/>
      <c r="G6" s="16"/>
      <c r="H6" s="16"/>
      <c r="I6" s="16"/>
      <c r="J6" s="16"/>
      <c r="K6" s="16"/>
      <c r="L6" s="10">
        <v>44505</v>
      </c>
      <c r="M6" s="16">
        <f>3+2+6+5+2+2+5+4+6+1+2+7+6+3+1+4+7</f>
        <v>66</v>
      </c>
      <c r="N6" s="16">
        <f ca="1">TODAY()-L6</f>
        <v>342</v>
      </c>
      <c r="O6" s="16" t="str">
        <f ca="1">IF(N6&gt;21, "Yes", "No")</f>
        <v>Yes</v>
      </c>
      <c r="P6" s="10"/>
      <c r="Q6" s="16">
        <v>24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/>
      <c r="J7" s="16"/>
      <c r="K7" s="16"/>
      <c r="L7" s="10">
        <v>44533</v>
      </c>
      <c r="M7" s="16">
        <f>9+2+6+7+4+3+6+5+6+4+9+2+3+9+2+4+6+8+10+12+3</f>
        <v>120</v>
      </c>
      <c r="N7" s="16">
        <f ca="1">TODAY()-L7</f>
        <v>314</v>
      </c>
      <c r="O7" s="16" t="str">
        <f ca="1">IF(N7&gt;21, "Yes", "No")</f>
        <v>Yes</v>
      </c>
      <c r="P7" s="10">
        <v>44761</v>
      </c>
      <c r="Q7" s="16">
        <f>30+32</f>
        <v>62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53</v>
      </c>
      <c r="D8" s="16"/>
      <c r="E8" s="16"/>
      <c r="F8" s="16"/>
      <c r="G8" s="16"/>
      <c r="H8" s="16"/>
      <c r="I8" s="16"/>
      <c r="J8" s="16"/>
      <c r="K8" s="16"/>
      <c r="L8" s="16"/>
      <c r="M8" s="16">
        <v>115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44761</v>
      </c>
      <c r="D9" s="16"/>
      <c r="E9" s="16"/>
      <c r="F9" s="16"/>
      <c r="G9" s="16"/>
      <c r="H9" s="16"/>
      <c r="I9" s="16"/>
      <c r="J9" s="16"/>
      <c r="K9" s="16"/>
      <c r="L9" s="10">
        <v>44587</v>
      </c>
      <c r="M9" s="16">
        <f>4+4+3+8+4+12+8+20+4+4+4+4+6+8+12+8+8+2+12+4+4+4+11</f>
        <v>158</v>
      </c>
      <c r="N9" s="16">
        <f ca="1">TODAY()-L9</f>
        <v>260</v>
      </c>
      <c r="O9" s="16" t="str">
        <f ca="1">IF(N9&gt;21, "Yes", "No")</f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L10" s="11">
        <v>44645</v>
      </c>
      <c r="M10">
        <f>54+43+28+39</f>
        <v>164</v>
      </c>
      <c r="N10" s="16">
        <f ca="1">TODAY()-L10</f>
        <v>202</v>
      </c>
      <c r="O10" s="16" t="str">
        <f ca="1">IF(N10&gt;21, "Yes", "No")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62</v>
      </c>
      <c r="L11" s="11">
        <v>44678</v>
      </c>
      <c r="M11">
        <f>21+26+21+19+9+29</f>
        <v>125</v>
      </c>
      <c r="N11" s="32">
        <f ca="1">TODAY()-L11</f>
        <v>169</v>
      </c>
      <c r="O11" s="32" t="str">
        <f ca="1">IF(N11&gt;21, "Yes", "No")</f>
        <v>Yes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44761</v>
      </c>
      <c r="M12">
        <v>160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  <c r="L13" s="11">
        <v>44761</v>
      </c>
      <c r="M13">
        <f>31+22</f>
        <v>53</v>
      </c>
    </row>
    <row r="14" spans="1:33" ht="18" customHeight="1" x14ac:dyDescent="0.35">
      <c r="A14" s="18" t="s">
        <v>46</v>
      </c>
      <c r="B14" s="28">
        <f t="array" ref="B14">(IFERROR((LOOKUP(2,1/(U$3:U$100&lt;&gt;""),U$3:U$100)),0))</f>
        <v>2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44761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>(IFERROR((LOOKUP(2,1/(Q$3:Q$100&lt;&gt;""),Q$3:Q$100)),0))</f>
        <v>62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18"/>
  <sheetViews>
    <sheetView topLeftCell="G1" zoomScale="110" zoomScaleNormal="110" workbookViewId="0">
      <selection activeCell="P7" sqref="P7"/>
    </sheetView>
  </sheetViews>
  <sheetFormatPr defaultRowHeight="14.4" x14ac:dyDescent="0.3"/>
  <cols>
    <col min="1" max="1" width="21.88671875" style="33" bestFit="1" customWidth="1"/>
    <col min="2" max="2" width="24.1093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5546875" style="33" bestFit="1" customWidth="1"/>
  </cols>
  <sheetData>
    <row r="1" spans="1:33" ht="18" customHeight="1" x14ac:dyDescent="0.35">
      <c r="A1" s="2" t="s">
        <v>21</v>
      </c>
      <c r="B1" s="28" t="s">
        <v>81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44617</v>
      </c>
      <c r="I3" s="16">
        <v>27</v>
      </c>
      <c r="J3" s="16">
        <f ca="1">TODAY()-H3</f>
        <v>230</v>
      </c>
      <c r="K3" s="16" t="str">
        <f ca="1">IF(J3&gt;21, "Yes", "No")</f>
        <v>Yes</v>
      </c>
      <c r="L3" s="10">
        <v>44475</v>
      </c>
      <c r="M3" s="16">
        <v>12</v>
      </c>
      <c r="N3" s="16">
        <f t="shared" ref="N3:N8" ca="1" si="0">TODAY()-L3</f>
        <v>372</v>
      </c>
      <c r="O3" s="16" t="str">
        <f t="shared" ref="O3:O8" ca="1" si="1">IF(N3&gt;21, "Yes", "No")</f>
        <v>Yes</v>
      </c>
      <c r="P3" s="10">
        <v>44617</v>
      </c>
      <c r="Q3" s="16">
        <v>2</v>
      </c>
      <c r="R3" s="16">
        <f ca="1">TODAY()-P3</f>
        <v>230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/>
      <c r="AD3" s="16"/>
      <c r="AE3" s="16"/>
      <c r="AF3" s="16"/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 t="s">
        <v>52</v>
      </c>
      <c r="I4" s="13" t="s">
        <v>52</v>
      </c>
      <c r="J4" s="13" t="s">
        <v>52</v>
      </c>
      <c r="K4" s="13" t="s">
        <v>52</v>
      </c>
      <c r="L4" s="10">
        <v>44505</v>
      </c>
      <c r="M4" s="16">
        <v>19</v>
      </c>
      <c r="N4" s="16">
        <f t="shared" ca="1" si="0"/>
        <v>342</v>
      </c>
      <c r="O4" s="16" t="str">
        <f t="shared" ca="1" si="1"/>
        <v>Yes</v>
      </c>
      <c r="P4" s="10">
        <v>44687</v>
      </c>
      <c r="Q4" s="16">
        <v>2</v>
      </c>
      <c r="R4" s="16">
        <f ca="1">TODAY()-P4</f>
        <v>160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C4" s="11"/>
      <c r="AD4" s="16"/>
      <c r="AE4" s="16"/>
      <c r="AF4" s="16"/>
      <c r="AG4" s="16"/>
    </row>
    <row r="5" spans="1:33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/>
      <c r="F5" s="16"/>
      <c r="G5" s="16"/>
      <c r="H5" s="16"/>
      <c r="I5" s="16"/>
      <c r="J5" s="16"/>
      <c r="K5" s="16"/>
      <c r="L5" s="10">
        <v>44560</v>
      </c>
      <c r="M5" s="16">
        <f>5+5+4+4+4+4+6</f>
        <v>32</v>
      </c>
      <c r="N5" s="16">
        <f t="shared" ca="1" si="0"/>
        <v>287</v>
      </c>
      <c r="O5" s="16" t="str">
        <f t="shared" ca="1" si="1"/>
        <v>Yes</v>
      </c>
      <c r="P5" s="10">
        <v>44762</v>
      </c>
      <c r="Q5" s="16">
        <v>14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str">
        <f t="array" ref="B6">LOOKUP(2,1 / (H$3:H$100 &lt;&gt;""), H$3:H$100)</f>
        <v>N/A</v>
      </c>
      <c r="D6" s="16"/>
      <c r="E6" s="16"/>
      <c r="F6" s="16"/>
      <c r="G6" s="16"/>
      <c r="H6" s="16"/>
      <c r="I6" s="16"/>
      <c r="J6" s="16"/>
      <c r="K6" s="16"/>
      <c r="L6" s="10">
        <v>44617</v>
      </c>
      <c r="M6" s="16">
        <v>32</v>
      </c>
      <c r="N6" s="16">
        <f t="shared" ca="1" si="0"/>
        <v>230</v>
      </c>
      <c r="O6" s="16" t="str">
        <f t="shared" ca="1" si="1"/>
        <v>Yes</v>
      </c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(K$3:K$100 &lt;&gt;""), K$3:K$100)</f>
        <v>N/A</v>
      </c>
      <c r="D7" s="16"/>
      <c r="E7" s="16"/>
      <c r="F7" s="16"/>
      <c r="G7" s="16"/>
      <c r="H7" s="16"/>
      <c r="I7" s="16"/>
      <c r="J7" s="16"/>
      <c r="K7" s="16"/>
      <c r="L7" s="10">
        <v>44687</v>
      </c>
      <c r="M7" s="16">
        <v>38</v>
      </c>
      <c r="N7" s="16">
        <f t="shared" ca="1" si="0"/>
        <v>160</v>
      </c>
      <c r="O7" s="16" t="str">
        <f t="shared" ca="1" si="1"/>
        <v>Yes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6</v>
      </c>
      <c r="D8" s="16"/>
      <c r="E8" s="16"/>
      <c r="F8" s="16"/>
      <c r="G8" s="16"/>
      <c r="H8" s="16"/>
      <c r="I8" s="16"/>
      <c r="J8" s="16"/>
      <c r="K8" s="16"/>
      <c r="L8" s="10">
        <v>44762</v>
      </c>
      <c r="M8" s="16">
        <v>6</v>
      </c>
      <c r="N8" s="16">
        <f t="shared" ca="1" si="0"/>
        <v>85</v>
      </c>
      <c r="O8" s="16" t="str">
        <f t="shared" ca="1" si="1"/>
        <v>Yes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44762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14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44762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(IFERROR((LOOKUP(2,1/(U$3:U$100&lt;&gt;""),U$3:U$100)),0))</f>
        <v>0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44762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>(IFERROR((LOOKUP(2,1/(Q$3:Q$100&lt;&gt;""),Q$3:Q$100)),0))</f>
        <v>14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G18"/>
  <sheetViews>
    <sheetView topLeftCell="D1" zoomScale="110" zoomScaleNormal="110" workbookViewId="0">
      <selection activeCell="M11" sqref="M11"/>
    </sheetView>
  </sheetViews>
  <sheetFormatPr defaultRowHeight="14.4" x14ac:dyDescent="0.3"/>
  <cols>
    <col min="1" max="1" width="21.88671875" style="33" bestFit="1" customWidth="1"/>
    <col min="2" max="2" width="25.218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5546875" style="33" bestFit="1" customWidth="1"/>
  </cols>
  <sheetData>
    <row r="1" spans="1:33" ht="18" customHeight="1" x14ac:dyDescent="0.35">
      <c r="A1" s="2" t="s">
        <v>21</v>
      </c>
      <c r="B1" s="28" t="s">
        <v>82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44617</v>
      </c>
      <c r="I3" s="16">
        <f>9+11</f>
        <v>20</v>
      </c>
      <c r="J3" s="16">
        <f ca="1">TODAY()-H3</f>
        <v>230</v>
      </c>
      <c r="K3" s="16" t="str">
        <f ca="1">IF(J3&gt;21, "Yes", "No")</f>
        <v>Yes</v>
      </c>
      <c r="L3" s="10">
        <v>44475</v>
      </c>
      <c r="M3" s="16">
        <v>20</v>
      </c>
      <c r="N3" s="16">
        <f t="shared" ref="N3:N9" ca="1" si="0">TODAY()-L3</f>
        <v>372</v>
      </c>
      <c r="O3" s="16" t="str">
        <f t="shared" ref="O3:O9" ca="1" si="1">IF(N3&gt;21, "Yes", "No")</f>
        <v>Yes</v>
      </c>
      <c r="P3" s="10">
        <v>44617</v>
      </c>
      <c r="Q3" s="16">
        <f>2+8+6</f>
        <v>16</v>
      </c>
      <c r="R3" s="16">
        <f ca="1">TODAY()-P3</f>
        <v>230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/>
      <c r="AD3" s="16"/>
      <c r="AE3" s="16"/>
      <c r="AF3" s="16"/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/>
      <c r="I4" s="13">
        <v>16</v>
      </c>
      <c r="J4" s="13"/>
      <c r="K4" s="13"/>
      <c r="L4" s="10">
        <v>44517</v>
      </c>
      <c r="M4" s="16">
        <f>8+7+4+8+4+9+8</f>
        <v>48</v>
      </c>
      <c r="N4" s="16">
        <f t="shared" ca="1" si="0"/>
        <v>330</v>
      </c>
      <c r="O4" s="16" t="str">
        <f t="shared" ca="1" si="1"/>
        <v>Yes</v>
      </c>
      <c r="P4" s="10">
        <v>44649</v>
      </c>
      <c r="Q4" s="16">
        <f>26+32</f>
        <v>58</v>
      </c>
      <c r="R4" s="16">
        <f ca="1">TODAY()-P4</f>
        <v>198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C4" s="11"/>
      <c r="AD4" s="16"/>
      <c r="AE4" s="16"/>
      <c r="AF4" s="16"/>
      <c r="AG4" s="16"/>
    </row>
    <row r="5" spans="1:33" ht="18" customHeight="1" x14ac:dyDescent="0.35">
      <c r="A5" s="18" t="s">
        <v>36</v>
      </c>
      <c r="B5" s="28">
        <f t="array" ref="B5">(IFERROR((LOOKUP(2,1/(I$3:I$100&lt;&gt;""),I$3:I$100)),0))</f>
        <v>16</v>
      </c>
      <c r="D5" s="16"/>
      <c r="E5" s="16"/>
      <c r="F5" s="16"/>
      <c r="G5" s="16"/>
      <c r="H5" s="16"/>
      <c r="I5" s="16"/>
      <c r="J5" s="16"/>
      <c r="K5" s="16"/>
      <c r="L5" s="10">
        <v>44547</v>
      </c>
      <c r="M5" s="16">
        <f>13</f>
        <v>13</v>
      </c>
      <c r="N5" s="16">
        <f t="shared" ca="1" si="0"/>
        <v>300</v>
      </c>
      <c r="O5" s="16" t="str">
        <f t="shared" ca="1" si="1"/>
        <v>Yes</v>
      </c>
      <c r="P5" s="10">
        <v>44687</v>
      </c>
      <c r="Q5" s="16">
        <v>13</v>
      </c>
      <c r="R5" s="16">
        <f ca="1">TODAY()-P5</f>
        <v>160</v>
      </c>
      <c r="S5" s="16" t="str">
        <f ca="1">IF(R5&gt;21, "Yes", "No")</f>
        <v>Yes</v>
      </c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>
        <f t="array" ref="B6">LOOKUP(2,1 / (H$3:H$100 &lt;&gt;""), H$3:H$100)</f>
        <v>44617</v>
      </c>
      <c r="D6" s="16"/>
      <c r="E6" s="16"/>
      <c r="F6" s="16"/>
      <c r="G6" s="16"/>
      <c r="H6" s="16"/>
      <c r="I6" s="16"/>
      <c r="J6" s="16"/>
      <c r="K6" s="16"/>
      <c r="L6" s="10">
        <v>44560</v>
      </c>
      <c r="M6" s="16">
        <f>12+4+8+7+10+8+1+8</f>
        <v>58</v>
      </c>
      <c r="N6" s="16">
        <f t="shared" ca="1" si="0"/>
        <v>287</v>
      </c>
      <c r="O6" s="16" t="str">
        <f t="shared" ca="1" si="1"/>
        <v>Yes</v>
      </c>
      <c r="P6" s="10"/>
      <c r="Q6" s="16">
        <v>55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/>
      <c r="J7" s="16"/>
      <c r="K7" s="16"/>
      <c r="L7" s="10">
        <v>44617</v>
      </c>
      <c r="M7" s="16">
        <f>61+39+13+16+12</f>
        <v>141</v>
      </c>
      <c r="N7" s="16">
        <f t="shared" ca="1" si="0"/>
        <v>230</v>
      </c>
      <c r="O7" s="16" t="str">
        <f t="shared" ca="1" si="1"/>
        <v>Yes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103</v>
      </c>
      <c r="D8" s="16"/>
      <c r="E8" s="16"/>
      <c r="F8" s="16"/>
      <c r="G8" s="16"/>
      <c r="H8" s="16"/>
      <c r="I8" s="16"/>
      <c r="J8" s="16"/>
      <c r="K8" s="16"/>
      <c r="L8" s="10">
        <v>44649</v>
      </c>
      <c r="M8" s="16">
        <f>28+59+44</f>
        <v>131</v>
      </c>
      <c r="N8" s="16">
        <f t="shared" ca="1" si="0"/>
        <v>198</v>
      </c>
      <c r="O8" s="16" t="str">
        <f t="shared" ca="1" si="1"/>
        <v>Yes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44687</v>
      </c>
      <c r="D9" s="16"/>
      <c r="E9" s="16"/>
      <c r="F9" s="16"/>
      <c r="G9" s="16"/>
      <c r="H9" s="16"/>
      <c r="I9" s="16"/>
      <c r="J9" s="16"/>
      <c r="K9" s="16"/>
      <c r="L9" s="10">
        <v>44687</v>
      </c>
      <c r="M9" s="16">
        <f>32+31</f>
        <v>63</v>
      </c>
      <c r="N9" s="16">
        <f t="shared" ca="1" si="0"/>
        <v>160</v>
      </c>
      <c r="O9" s="16" t="str">
        <f t="shared" ca="1" si="1"/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M10">
        <v>103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55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44687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(IFERROR((LOOKUP(2,1/(U$3:U$100&lt;&gt;""),U$3:U$100)),0))</f>
        <v>0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44687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>(IFERROR((LOOKUP(2,1/(Q$3:Q$100&lt;&gt;""),Q$3:Q$100)),0))</f>
        <v>55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18"/>
  <sheetViews>
    <sheetView topLeftCell="D1" zoomScale="110" zoomScaleNormal="110" workbookViewId="0">
      <selection activeCell="Q7" sqref="Q7"/>
    </sheetView>
  </sheetViews>
  <sheetFormatPr defaultRowHeight="14.4" x14ac:dyDescent="0.3"/>
  <cols>
    <col min="1" max="1" width="21.88671875" style="33" bestFit="1" customWidth="1"/>
    <col min="2" max="2" width="25.218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14.6640625" style="33" bestFit="1" customWidth="1"/>
    <col min="21" max="21" width="10.6640625" style="33" bestFit="1" customWidth="1"/>
    <col min="29" max="29" width="10.6640625" style="33" bestFit="1" customWidth="1"/>
  </cols>
  <sheetData>
    <row r="1" spans="1:33" ht="18" customHeight="1" x14ac:dyDescent="0.35">
      <c r="A1" s="2" t="s">
        <v>21</v>
      </c>
      <c r="B1" s="28" t="s">
        <v>83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44587</v>
      </c>
      <c r="I3" s="16">
        <f>1</f>
        <v>1</v>
      </c>
      <c r="J3" s="16">
        <f ca="1">TODAY()-H3</f>
        <v>260</v>
      </c>
      <c r="K3" s="16" t="str">
        <f ca="1">IF(J3&gt;21, "Yes", "No")</f>
        <v>Yes</v>
      </c>
      <c r="L3" s="10">
        <v>44475</v>
      </c>
      <c r="M3" s="16">
        <v>17</v>
      </c>
      <c r="N3" s="16">
        <f ca="1">TODAY()-L3</f>
        <v>372</v>
      </c>
      <c r="O3" s="16" t="str">
        <f ca="1">IF(N3&gt;21, "Yes", "No")</f>
        <v>Yes</v>
      </c>
      <c r="P3" s="10">
        <v>44587</v>
      </c>
      <c r="Q3" s="16">
        <f>1+1+6+3+3</f>
        <v>14</v>
      </c>
      <c r="R3" s="16">
        <f ca="1">TODAY()-P3</f>
        <v>260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44504</v>
      </c>
      <c r="AD3" s="16"/>
      <c r="AE3" s="16"/>
      <c r="AF3" s="16">
        <v>4</v>
      </c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/>
      <c r="I4" s="13"/>
      <c r="J4" s="13"/>
      <c r="K4" s="13"/>
      <c r="L4" s="10"/>
      <c r="M4" s="16">
        <v>13</v>
      </c>
      <c r="N4" s="16"/>
      <c r="O4" s="16"/>
      <c r="P4" s="10"/>
      <c r="Q4" s="16">
        <v>20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C4" s="11">
        <v>44558</v>
      </c>
      <c r="AD4" s="16"/>
      <c r="AE4" s="16"/>
      <c r="AF4" s="16">
        <v>8</v>
      </c>
      <c r="AG4" s="16"/>
    </row>
    <row r="5" spans="1:33" ht="18" customHeight="1" x14ac:dyDescent="0.35">
      <c r="A5" s="18" t="s">
        <v>36</v>
      </c>
      <c r="B5" s="28">
        <f t="array" ref="B5">(IFERROR((LOOKUP(2,1/(I$3:I$100&lt;&gt;""),I$3:I$100)),0))</f>
        <v>1</v>
      </c>
      <c r="D5" s="16"/>
      <c r="E5" s="16"/>
      <c r="F5" s="16"/>
      <c r="G5" s="16"/>
      <c r="H5" s="16"/>
      <c r="I5" s="16"/>
      <c r="J5" s="16"/>
      <c r="K5" s="16"/>
      <c r="L5" s="10">
        <v>44504</v>
      </c>
      <c r="M5" s="16">
        <f>9+8+7+11</f>
        <v>35</v>
      </c>
      <c r="N5" s="16">
        <f ca="1">TODAY()-L5</f>
        <v>343</v>
      </c>
      <c r="O5" s="16" t="str">
        <f ca="1">IF(N5&gt;21, "Yes", "No")</f>
        <v>Yes</v>
      </c>
      <c r="P5" s="10">
        <v>44718</v>
      </c>
      <c r="Q5" s="16">
        <f>17</f>
        <v>17</v>
      </c>
      <c r="R5" s="16">
        <f ca="1">TODAY()-P5</f>
        <v>129</v>
      </c>
      <c r="S5" s="16" t="str">
        <f ca="1">IF(R5&gt;21, "Yes", "No")</f>
        <v>Yes</v>
      </c>
      <c r="T5" s="10"/>
      <c r="U5" s="16"/>
      <c r="V5" s="16"/>
      <c r="W5" s="16"/>
      <c r="X5" s="16"/>
      <c r="Y5" s="16"/>
      <c r="Z5" s="16"/>
      <c r="AA5" s="16"/>
      <c r="AC5" s="11">
        <v>44587</v>
      </c>
      <c r="AD5" s="16"/>
      <c r="AE5" s="16"/>
      <c r="AF5" s="16">
        <f>7+1</f>
        <v>8</v>
      </c>
      <c r="AG5" s="16"/>
    </row>
    <row r="6" spans="1:33" ht="18" customHeight="1" x14ac:dyDescent="0.35">
      <c r="A6" s="18" t="s">
        <v>37</v>
      </c>
      <c r="B6" s="8">
        <f t="array" ref="B6">LOOKUP(2,1 / (H$3:H$100 &lt;&gt;""), H$3:H$100)</f>
        <v>44587</v>
      </c>
      <c r="D6" s="16"/>
      <c r="E6" s="16"/>
      <c r="F6" s="16"/>
      <c r="G6" s="16"/>
      <c r="H6" s="16"/>
      <c r="I6" s="16"/>
      <c r="J6" s="16"/>
      <c r="K6" s="16"/>
      <c r="L6" s="10">
        <v>44536</v>
      </c>
      <c r="M6" s="16">
        <f>5+6+8+4+4+5+3</f>
        <v>35</v>
      </c>
      <c r="N6" s="16">
        <f ca="1">TODAY()-L6</f>
        <v>311</v>
      </c>
      <c r="O6" s="16" t="str">
        <f ca="1">IF(N6&gt;21, "Yes", "No")</f>
        <v>Yes</v>
      </c>
      <c r="P6" s="10">
        <v>44762</v>
      </c>
      <c r="Q6" s="16">
        <f>6+4+6+2</f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6"/>
      <c r="I7" s="16"/>
      <c r="J7" s="16"/>
      <c r="K7" s="16"/>
      <c r="L7" s="16"/>
      <c r="M7" s="16">
        <f>M6-8</f>
        <v>27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106</v>
      </c>
      <c r="D8" s="16"/>
      <c r="E8" s="16"/>
      <c r="F8" s="16"/>
      <c r="G8" s="16"/>
      <c r="H8" s="16"/>
      <c r="I8" s="16"/>
      <c r="J8" s="16"/>
      <c r="K8" s="16"/>
      <c r="L8" s="16"/>
      <c r="M8" s="16">
        <v>19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44762</v>
      </c>
      <c r="D9" s="16"/>
      <c r="E9" s="16"/>
      <c r="F9" s="16"/>
      <c r="G9" s="16"/>
      <c r="H9" s="16"/>
      <c r="I9" s="16"/>
      <c r="J9" s="16"/>
      <c r="K9" s="16"/>
      <c r="L9" s="10">
        <v>44587</v>
      </c>
      <c r="M9" s="16">
        <f>11+3+18</f>
        <v>32</v>
      </c>
      <c r="N9" s="16">
        <f ca="1">TODAY()-L9</f>
        <v>260</v>
      </c>
      <c r="O9" s="16" t="str">
        <f ca="1">IF(N9&gt;21, "Yes", "No")</f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M10">
        <v>0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18</v>
      </c>
      <c r="L11" s="11">
        <v>44718</v>
      </c>
      <c r="M11">
        <f>100</f>
        <v>100</v>
      </c>
      <c r="N11" s="16">
        <f ca="1">TODAY()-L11</f>
        <v>129</v>
      </c>
      <c r="O11" s="16" t="str">
        <f ca="1">IF(N11&gt;21, "Yes", "No")</f>
        <v>Yes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44762</v>
      </c>
      <c r="L12" s="11">
        <v>44762</v>
      </c>
      <c r="M12">
        <f>16+20+16+16+12+12+14</f>
        <v>106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(IFERROR((LOOKUP(2,1/(M$3:M$100&lt;&gt;""),M$3:M$100)),0))</f>
        <v>106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44762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18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G18"/>
  <sheetViews>
    <sheetView zoomScale="85" zoomScaleNormal="85" workbookViewId="0">
      <selection activeCell="O8" sqref="O8"/>
    </sheetView>
  </sheetViews>
  <sheetFormatPr defaultRowHeight="14.4" x14ac:dyDescent="0.3"/>
  <cols>
    <col min="1" max="1" width="21.88671875" style="33" bestFit="1" customWidth="1"/>
    <col min="2" max="2" width="25.218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14.6640625" style="33" bestFit="1" customWidth="1"/>
    <col min="21" max="21" width="10.6640625" style="33" bestFit="1" customWidth="1"/>
    <col min="29" max="29" width="10.6640625" style="33" bestFit="1" customWidth="1"/>
  </cols>
  <sheetData>
    <row r="1" spans="1:33" ht="18" customHeight="1" x14ac:dyDescent="0.35">
      <c r="A1" s="2" t="s">
        <v>21</v>
      </c>
      <c r="B1" s="28" t="s">
        <v>84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/>
      <c r="I3" s="16"/>
      <c r="J3" s="16"/>
      <c r="K3" s="16"/>
      <c r="L3" s="10">
        <v>44592</v>
      </c>
      <c r="M3" s="16">
        <v>4</v>
      </c>
      <c r="N3" s="16">
        <f ca="1">TODAY()-L3</f>
        <v>255</v>
      </c>
      <c r="O3" s="16" t="str">
        <f ca="1">IF(N3&gt;21, "Yes", "No")</f>
        <v>Yes</v>
      </c>
      <c r="P3" s="10">
        <v>44592</v>
      </c>
      <c r="Q3" s="16">
        <v>3</v>
      </c>
      <c r="R3" s="16">
        <f ca="1">TODAY()-P3</f>
        <v>255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/>
      <c r="AD3" s="16"/>
      <c r="AE3" s="16"/>
      <c r="AF3" s="16"/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/>
      <c r="I4" s="13"/>
      <c r="J4" s="13"/>
      <c r="K4" s="13"/>
      <c r="L4" s="10">
        <v>44687</v>
      </c>
      <c r="M4" s="16">
        <v>10</v>
      </c>
      <c r="N4" s="16">
        <f ca="1">TODAY()-L4</f>
        <v>160</v>
      </c>
      <c r="O4" s="16" t="str">
        <f ca="1">IF(N4&gt;21, "Yes", "No")</f>
        <v>Yes</v>
      </c>
      <c r="P4" s="10">
        <v>44687</v>
      </c>
      <c r="Q4" s="16">
        <v>3</v>
      </c>
      <c r="R4" s="16">
        <f ca="1">TODAY()-P4</f>
        <v>160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C4" s="11"/>
      <c r="AD4" s="16"/>
      <c r="AE4" s="16"/>
      <c r="AF4" s="16"/>
      <c r="AG4" s="16"/>
    </row>
    <row r="5" spans="1:33" ht="18" customHeight="1" x14ac:dyDescent="0.35">
      <c r="A5" s="18" t="s">
        <v>36</v>
      </c>
      <c r="B5" s="28">
        <f t="array" ref="B5">(IFERROR((LOOKUP(2,1/(I$3:I$100&lt;&gt;""),I$3:I$100)),0))</f>
        <v>0</v>
      </c>
      <c r="D5" s="16"/>
      <c r="E5" s="16"/>
      <c r="F5" s="16"/>
      <c r="G5" s="16"/>
      <c r="H5" s="16"/>
      <c r="I5" s="16"/>
      <c r="J5" s="16"/>
      <c r="K5" s="16"/>
      <c r="L5" s="10">
        <v>44754</v>
      </c>
      <c r="M5" s="16">
        <v>16</v>
      </c>
      <c r="N5" s="16"/>
      <c r="O5" s="16"/>
      <c r="P5" s="10">
        <v>44754</v>
      </c>
      <c r="Q5" s="16">
        <v>10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e">
        <f t="array" ref="B6">LOOKUP(2,1 / (H$3:H$100 &lt;&gt;""), H$3:H$100)</f>
        <v>#N/A</v>
      </c>
      <c r="D6" s="16"/>
      <c r="E6" s="16"/>
      <c r="F6" s="16"/>
      <c r="G6" s="16"/>
      <c r="H6" s="16"/>
      <c r="I6" s="16"/>
      <c r="J6" s="16"/>
      <c r="K6" s="16"/>
      <c r="L6" s="10"/>
      <c r="M6" s="16"/>
      <c r="N6" s="16"/>
      <c r="O6" s="16"/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e">
        <f t="array" ref="B7">LOOKUP(2,1 / (K$3:K$100 &lt;&gt;""), K$3:K$100)</f>
        <v>#N/A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16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44754</v>
      </c>
      <c r="D9" s="16"/>
      <c r="E9" s="16"/>
      <c r="F9" s="16"/>
      <c r="G9" s="16"/>
      <c r="H9" s="16"/>
      <c r="I9" s="16"/>
      <c r="J9" s="16"/>
      <c r="K9" s="16"/>
      <c r="L9" s="10"/>
      <c r="M9" s="16"/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10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44754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(IFERROR((LOOKUP(2,1/(M$3:M$100&lt;&gt;""),M$3:M$100)),0))</f>
        <v>16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44754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10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18"/>
  <sheetViews>
    <sheetView topLeftCell="G1" zoomScale="110" zoomScaleNormal="110" workbookViewId="0">
      <selection activeCell="P8" sqref="P8"/>
    </sheetView>
  </sheetViews>
  <sheetFormatPr defaultRowHeight="14.4" x14ac:dyDescent="0.3"/>
  <cols>
    <col min="1" max="1" width="21.88671875" style="33" bestFit="1" customWidth="1"/>
    <col min="2" max="2" width="25.218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5546875" style="33" bestFit="1" customWidth="1"/>
    <col min="21" max="21" width="10.6640625" style="33" bestFit="1" customWidth="1"/>
  </cols>
  <sheetData>
    <row r="1" spans="1:33" ht="18" customHeight="1" x14ac:dyDescent="0.35">
      <c r="A1" s="2" t="s">
        <v>21</v>
      </c>
      <c r="B1" s="28" t="s">
        <v>85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44600</v>
      </c>
      <c r="I3" s="16">
        <v>5</v>
      </c>
      <c r="J3" s="16">
        <f ca="1">TODAY()-H3</f>
        <v>247</v>
      </c>
      <c r="K3" s="16" t="str">
        <f ca="1">IF(J3&gt;21, "Yes", "No")</f>
        <v>Yes</v>
      </c>
      <c r="L3" s="10">
        <v>44476</v>
      </c>
      <c r="M3" s="16">
        <v>17</v>
      </c>
      <c r="N3" s="16">
        <f ca="1">TODAY()-L3</f>
        <v>371</v>
      </c>
      <c r="O3" s="16" t="str">
        <f ca="1">IF(N3&gt;21, "Yes", "No")</f>
        <v>Yes</v>
      </c>
      <c r="P3" s="10">
        <v>44600</v>
      </c>
      <c r="Q3" s="16">
        <v>2</v>
      </c>
      <c r="R3" s="16">
        <f ca="1">TODAY()-P3</f>
        <v>247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44560</v>
      </c>
      <c r="AD3" s="16"/>
      <c r="AE3" s="16"/>
      <c r="AF3" s="16">
        <v>7</v>
      </c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 t="s">
        <v>52</v>
      </c>
      <c r="I4" s="13" t="s">
        <v>52</v>
      </c>
      <c r="J4" s="13" t="s">
        <v>52</v>
      </c>
      <c r="K4" s="13" t="s">
        <v>52</v>
      </c>
      <c r="L4" s="10">
        <v>44517</v>
      </c>
      <c r="M4" s="16">
        <v>17</v>
      </c>
      <c r="N4" s="16">
        <f ca="1">TODAY()-L4</f>
        <v>330</v>
      </c>
      <c r="O4" s="16" t="str">
        <f ca="1">IF(N4&gt;21, "Yes", "No")</f>
        <v>Yes</v>
      </c>
      <c r="P4" s="10">
        <v>44687</v>
      </c>
      <c r="Q4" s="16">
        <v>0</v>
      </c>
      <c r="R4" s="16">
        <f ca="1">TODAY()-P4</f>
        <v>160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C4" s="11"/>
      <c r="AD4" s="16"/>
      <c r="AE4" s="16"/>
      <c r="AF4" s="16"/>
      <c r="AG4" s="16"/>
    </row>
    <row r="5" spans="1:33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/>
      <c r="F5" s="16"/>
      <c r="G5" s="16"/>
      <c r="H5" s="16"/>
      <c r="I5" s="16"/>
      <c r="J5" s="16"/>
      <c r="K5" s="16"/>
      <c r="L5" s="10"/>
      <c r="M5" s="16">
        <f>M4-AF3</f>
        <v>10</v>
      </c>
      <c r="N5" s="16"/>
      <c r="O5" s="16"/>
      <c r="P5" s="10"/>
      <c r="Q5" s="16">
        <v>2</v>
      </c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str">
        <f t="array" ref="B6">LOOKUP(2,1 / (H$3:H$100 &lt;&gt;""), H$3:H$100)</f>
        <v>N/A</v>
      </c>
      <c r="D6" s="16"/>
      <c r="E6" s="16"/>
      <c r="F6" s="16"/>
      <c r="G6" s="16"/>
      <c r="H6" s="16"/>
      <c r="I6" s="16"/>
      <c r="J6" s="16"/>
      <c r="K6" s="16"/>
      <c r="L6" s="10">
        <v>44560</v>
      </c>
      <c r="M6" s="16">
        <f>2+6+5</f>
        <v>13</v>
      </c>
      <c r="N6" s="16">
        <f ca="1">TODAY()-L6</f>
        <v>287</v>
      </c>
      <c r="O6" s="16" t="str">
        <f ca="1">IF(N6&gt;21, "Yes", "No")</f>
        <v>Yes</v>
      </c>
      <c r="P6" s="10">
        <v>44754</v>
      </c>
      <c r="Q6" s="16">
        <v>10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(K$3:K$100 &lt;&gt;""), K$3:K$100)</f>
        <v>N/A</v>
      </c>
      <c r="D7" s="16"/>
      <c r="E7" s="16"/>
      <c r="F7" s="16"/>
      <c r="G7" s="16"/>
      <c r="H7" s="16"/>
      <c r="I7" s="16"/>
      <c r="J7" s="16"/>
      <c r="K7" s="16"/>
      <c r="L7" s="10">
        <v>44600</v>
      </c>
      <c r="M7" s="16">
        <v>5</v>
      </c>
      <c r="N7" s="16">
        <f ca="1">TODAY()-L7</f>
        <v>247</v>
      </c>
      <c r="O7" s="16" t="str">
        <f ca="1">IF(N7&gt;21, "Yes", "No")</f>
        <v>Yes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6</v>
      </c>
      <c r="D8" s="16"/>
      <c r="E8" s="16"/>
      <c r="F8" s="16"/>
      <c r="G8" s="16"/>
      <c r="H8" s="16"/>
      <c r="I8" s="16"/>
      <c r="J8" s="16"/>
      <c r="K8" s="16"/>
      <c r="L8" s="10">
        <v>44687</v>
      </c>
      <c r="M8" s="16">
        <v>15</v>
      </c>
      <c r="N8" s="16">
        <f ca="1">TODAY()-L8</f>
        <v>160</v>
      </c>
      <c r="O8" s="16" t="str">
        <f ca="1">IF(N8&gt;21, "Yes", "No")</f>
        <v>Yes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44754</v>
      </c>
      <c r="D9" s="16"/>
      <c r="E9" s="16"/>
      <c r="F9" s="16"/>
      <c r="G9" s="16"/>
      <c r="H9" s="16"/>
      <c r="I9" s="16"/>
      <c r="J9" s="16"/>
      <c r="K9" s="16"/>
      <c r="L9" s="10">
        <v>44754</v>
      </c>
      <c r="M9" s="16">
        <v>6</v>
      </c>
      <c r="N9" s="16">
        <f ca="1">TODAY()-L9</f>
        <v>93</v>
      </c>
      <c r="O9" s="16" t="str">
        <f ca="1">IF(N9&gt;21, "Yes", "No")</f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10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44754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(IFERROR((LOOKUP(2,1/(M$3:M$100&lt;&gt;""),M$3:M$100)),0))</f>
        <v>6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44754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10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5"/>
  <sheetViews>
    <sheetView zoomScale="110" zoomScaleNormal="110" workbookViewId="0">
      <selection activeCell="I8" sqref="I8"/>
    </sheetView>
  </sheetViews>
  <sheetFormatPr defaultRowHeight="14.4" x14ac:dyDescent="0.3"/>
  <cols>
    <col min="1" max="1" width="21.88671875" style="33" bestFit="1" customWidth="1"/>
    <col min="2" max="2" width="25.218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21" max="21" width="10.6640625" style="33" bestFit="1" customWidth="1"/>
  </cols>
  <sheetData>
    <row r="1" spans="1:29" ht="18" customHeight="1" x14ac:dyDescent="0.35">
      <c r="A1" s="2" t="s">
        <v>21</v>
      </c>
      <c r="B1" s="28" t="s">
        <v>86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24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44476</v>
      </c>
      <c r="I3" s="16">
        <v>7</v>
      </c>
      <c r="J3" s="16">
        <f ca="1">TODAY()-H3</f>
        <v>371</v>
      </c>
      <c r="K3" s="16" t="str">
        <f ca="1">IF(J3&gt;21, "Yes", "No")</f>
        <v>Yes</v>
      </c>
      <c r="L3" s="10"/>
      <c r="M3" s="16"/>
      <c r="N3" s="16"/>
      <c r="O3" s="16"/>
      <c r="P3" s="10"/>
      <c r="Q3" s="16"/>
      <c r="R3" s="16"/>
      <c r="S3" s="16"/>
      <c r="T3" s="16"/>
      <c r="U3" s="16"/>
      <c r="V3" s="16"/>
      <c r="W3" s="16"/>
      <c r="Y3" s="11">
        <v>44560</v>
      </c>
      <c r="Z3" s="16"/>
      <c r="AA3" s="16"/>
      <c r="AB3" s="16">
        <v>6</v>
      </c>
      <c r="AC3" s="16"/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44517</v>
      </c>
      <c r="I4" s="16">
        <v>11</v>
      </c>
      <c r="J4" s="16">
        <f ca="1">TODAY()-H4</f>
        <v>330</v>
      </c>
      <c r="K4" s="16" t="str">
        <f ca="1">IF(J4&gt;21, "Yes", "No")</f>
        <v>Yes</v>
      </c>
      <c r="L4" s="10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Y4" s="11"/>
      <c r="Z4" s="16"/>
      <c r="AA4" s="16"/>
      <c r="AB4" s="16"/>
      <c r="AC4" s="16"/>
    </row>
    <row r="5" spans="1:29" ht="18" customHeight="1" x14ac:dyDescent="0.35">
      <c r="A5" s="7" t="s">
        <v>39</v>
      </c>
      <c r="B5" s="28">
        <f t="array" ref="B5">(IFERROR((LOOKUP(2,1/(I$3:I$100&lt;&gt;""),I$3:I$100)),0))</f>
        <v>7</v>
      </c>
      <c r="D5" s="16"/>
      <c r="E5" s="16"/>
      <c r="F5" s="16"/>
      <c r="G5" s="16"/>
      <c r="H5" s="10"/>
      <c r="I5" s="16">
        <f>I4-AB3</f>
        <v>5</v>
      </c>
      <c r="J5" s="16"/>
      <c r="K5" s="16"/>
      <c r="L5" s="10"/>
      <c r="M5" s="16"/>
      <c r="N5" s="16"/>
      <c r="O5" s="16"/>
      <c r="P5" s="10"/>
      <c r="Q5" s="16"/>
      <c r="R5" s="16"/>
      <c r="S5" s="16"/>
      <c r="T5" s="16"/>
      <c r="U5" s="16"/>
      <c r="V5" s="16"/>
      <c r="W5" s="16"/>
      <c r="Y5" s="11"/>
      <c r="Z5" s="16"/>
      <c r="AA5" s="16"/>
      <c r="AB5" s="16"/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44687</v>
      </c>
      <c r="D6" s="16"/>
      <c r="E6" s="16"/>
      <c r="F6" s="16"/>
      <c r="G6" s="16"/>
      <c r="H6" s="10">
        <v>44560</v>
      </c>
      <c r="I6" s="16">
        <f>7</f>
        <v>7</v>
      </c>
      <c r="J6" s="16">
        <f ca="1">TODAY()-H6</f>
        <v>287</v>
      </c>
      <c r="K6" s="16" t="str">
        <f ca="1">IF(J6&gt;21, "Yes", "No")</f>
        <v>Yes</v>
      </c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Y6" s="11"/>
      <c r="Z6" s="16"/>
      <c r="AA6" s="16"/>
      <c r="AB6" s="16"/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0">
        <v>44687</v>
      </c>
      <c r="I7" s="16">
        <v>7</v>
      </c>
      <c r="J7" s="16">
        <f ca="1">TODAY()-H7</f>
        <v>160</v>
      </c>
      <c r="K7" s="16" t="str">
        <f ca="1">IF(J7&gt;21, "Yes", "No")</f>
        <v>Yes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Z7" s="16"/>
      <c r="AA7" s="16"/>
      <c r="AB7" s="16"/>
      <c r="AC7" s="16"/>
    </row>
    <row r="8" spans="1:29" ht="18" customHeight="1" x14ac:dyDescent="0.35">
      <c r="A8" s="31" t="s">
        <v>43</v>
      </c>
      <c r="B8" s="28">
        <f t="array" ref="B8">(IFERROR((LOOKUP(2,1/(I$3:I$100&lt;&gt;""),I$3:I$100)),0))</f>
        <v>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(H$3:H$100 &lt;&gt;""), H$3:H$100)</f>
        <v>44687</v>
      </c>
      <c r="D9" s="16"/>
      <c r="E9" s="16"/>
      <c r="F9" s="16"/>
      <c r="G9" s="16"/>
      <c r="H9" s="16"/>
      <c r="I9" s="16"/>
      <c r="J9" s="16"/>
      <c r="K9" s="16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(K$3:K$100 &lt;&gt;""), K$3:K$100)</f>
        <v>Yes</v>
      </c>
    </row>
    <row r="11" spans="1:29" ht="18" customHeight="1" x14ac:dyDescent="0.35">
      <c r="A11" s="18" t="s">
        <v>46</v>
      </c>
      <c r="B11" s="28">
        <f t="array" ref="B11">(IFERROR((LOOKUP(2,1/(M$10:M$100&lt;&gt;""),M$10:M$100)),0))</f>
        <v>0</v>
      </c>
    </row>
    <row r="12" spans="1:29" ht="18" customHeight="1" x14ac:dyDescent="0.35">
      <c r="A12" s="18" t="s">
        <v>47</v>
      </c>
      <c r="B12" s="8" t="e">
        <f t="array" ref="B12">LOOKUP(2,1 / (L$10:L$100 &lt;&gt;""), L$10:L$100)</f>
        <v>#N/A</v>
      </c>
    </row>
    <row r="13" spans="1:29" ht="18" customHeight="1" x14ac:dyDescent="0.35">
      <c r="A13" s="18" t="s">
        <v>48</v>
      </c>
      <c r="B13" s="1" t="e">
        <f t="array" ref="B13">LOOKUP(2,1 / (O$10:O$100 &lt;&gt;""), O$10:O$100)</f>
        <v>#N/A</v>
      </c>
    </row>
    <row r="14" spans="1:29" ht="18" customHeight="1" x14ac:dyDescent="0.35">
      <c r="A14" s="2" t="s">
        <v>49</v>
      </c>
      <c r="B14" s="28">
        <f>(IFERROR((LOOKUP(2,1/(Q$3:Q$100&lt;&gt;""),Q$3:Q$100)),0))</f>
        <v>0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18"/>
  <sheetViews>
    <sheetView topLeftCell="G1" zoomScale="110" zoomScaleNormal="110" workbookViewId="0">
      <selection activeCell="Q7" sqref="Q7"/>
    </sheetView>
  </sheetViews>
  <sheetFormatPr defaultRowHeight="14.4" x14ac:dyDescent="0.3"/>
  <cols>
    <col min="1" max="1" width="21.88671875" style="33" bestFit="1" customWidth="1"/>
    <col min="2" max="2" width="25.218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14.6640625" style="33" bestFit="1" customWidth="1"/>
    <col min="21" max="21" width="10.6640625" style="33" bestFit="1" customWidth="1"/>
    <col min="25" max="25" width="10.6640625" style="33" bestFit="1" customWidth="1"/>
  </cols>
  <sheetData>
    <row r="1" spans="1:33" ht="18" customHeight="1" x14ac:dyDescent="0.35">
      <c r="A1" s="2" t="s">
        <v>21</v>
      </c>
      <c r="B1" s="28" t="s">
        <v>87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/>
      <c r="I3" s="16"/>
      <c r="J3" s="16"/>
      <c r="K3" s="16"/>
      <c r="L3" s="10">
        <v>44476</v>
      </c>
      <c r="M3" s="16">
        <v>18</v>
      </c>
      <c r="N3" s="16">
        <f ca="1">TODAY()-L3</f>
        <v>371</v>
      </c>
      <c r="O3" s="16" t="str">
        <f ca="1">IF(N3&gt;21, "Yes", "No")</f>
        <v>Yes</v>
      </c>
      <c r="P3" s="10">
        <v>44588</v>
      </c>
      <c r="Q3" s="16">
        <f>1+2+1+2+5+3</f>
        <v>14</v>
      </c>
      <c r="R3" s="16">
        <f ca="1">TODAY()-P3</f>
        <v>259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44546</v>
      </c>
      <c r="AD3" s="16"/>
      <c r="AE3" s="16"/>
      <c r="AF3" s="16">
        <v>3</v>
      </c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/>
      <c r="I4" s="13"/>
      <c r="J4" s="13"/>
      <c r="K4" s="13"/>
      <c r="L4" s="10">
        <v>44517</v>
      </c>
      <c r="M4" s="16">
        <v>14</v>
      </c>
      <c r="N4" s="16">
        <f ca="1">TODAY()-L4</f>
        <v>330</v>
      </c>
      <c r="O4" s="16" t="str">
        <f ca="1">IF(N4&gt;21, "Yes", "No")</f>
        <v>Yes</v>
      </c>
      <c r="P4" s="10">
        <v>44610</v>
      </c>
      <c r="Q4" s="16">
        <f>2+5+3+2+3+3+4+3+3</f>
        <v>28</v>
      </c>
      <c r="R4" s="16">
        <f ca="1">TODAY()-P4</f>
        <v>237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C4" s="11">
        <v>44588</v>
      </c>
      <c r="AD4" s="16"/>
      <c r="AE4" s="16"/>
      <c r="AF4" s="16">
        <f>2</f>
        <v>2</v>
      </c>
      <c r="AG4" s="16"/>
    </row>
    <row r="5" spans="1:33" ht="18" customHeight="1" x14ac:dyDescent="0.35">
      <c r="A5" s="18" t="s">
        <v>36</v>
      </c>
      <c r="B5" s="28">
        <f t="array" ref="B5">(IFERROR((LOOKUP(2,1/(I$3:I$100&lt;&gt;""),I$3:I$100)),0))</f>
        <v>0</v>
      </c>
      <c r="D5" s="16"/>
      <c r="E5" s="16"/>
      <c r="F5" s="16"/>
      <c r="G5" s="16"/>
      <c r="H5" s="16"/>
      <c r="I5" s="16"/>
      <c r="J5" s="16"/>
      <c r="K5" s="16"/>
      <c r="M5">
        <v>11</v>
      </c>
      <c r="N5" s="16"/>
      <c r="O5" s="16"/>
      <c r="P5" s="10">
        <v>44678</v>
      </c>
      <c r="Q5" s="16">
        <v>7</v>
      </c>
      <c r="R5" s="16">
        <f ca="1">TODAY()-P5</f>
        <v>169</v>
      </c>
      <c r="S5" s="16" t="str">
        <f ca="1">IF(R5&gt;21, "Yes", "No")</f>
        <v>Yes</v>
      </c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e">
        <f t="array" ref="B6">LOOKUP(2,1 / (H$3:H$100 &lt;&gt;""), H$3:H$100)</f>
        <v>#N/A</v>
      </c>
      <c r="D6" s="16"/>
      <c r="E6" s="16"/>
      <c r="F6" s="16"/>
      <c r="G6" s="16"/>
      <c r="H6" s="16"/>
      <c r="I6" s="16"/>
      <c r="J6" s="16"/>
      <c r="K6" s="16"/>
      <c r="L6" s="10">
        <v>44546</v>
      </c>
      <c r="M6" s="16">
        <f>4+2+2+6+3</f>
        <v>17</v>
      </c>
      <c r="N6" s="16">
        <f ca="1">TODAY()-L6</f>
        <v>301</v>
      </c>
      <c r="O6" s="16" t="str">
        <f ca="1">IF(N6&gt;21, "Yes", "No")</f>
        <v>Yes</v>
      </c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e">
        <f t="array" ref="B7">LOOKUP(2,1 / (K$3:K$100 &lt;&gt;""), K$3:K$100)</f>
        <v>#N/A</v>
      </c>
      <c r="D7" s="16"/>
      <c r="E7" s="16"/>
      <c r="F7" s="16"/>
      <c r="G7" s="16"/>
      <c r="H7" s="16"/>
      <c r="I7" s="16"/>
      <c r="J7" s="16"/>
      <c r="K7" s="16"/>
      <c r="L7" s="16"/>
      <c r="M7" s="16">
        <f>M6-2</f>
        <v>15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73</v>
      </c>
      <c r="D8" s="16"/>
      <c r="E8" s="16"/>
      <c r="F8" s="16"/>
      <c r="G8" s="16"/>
      <c r="H8" s="16"/>
      <c r="I8" s="16"/>
      <c r="J8" s="16"/>
      <c r="K8" s="16"/>
      <c r="L8" s="10">
        <v>44588</v>
      </c>
      <c r="M8" s="16">
        <f>3+6+5+4+7+1</f>
        <v>26</v>
      </c>
      <c r="N8" s="16">
        <f ca="1">TODAY()-L8</f>
        <v>259</v>
      </c>
      <c r="O8" s="16" t="str">
        <f ca="1">IF(N8&gt;21, "Yes", "No")</f>
        <v>Yes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44678</v>
      </c>
      <c r="D9" s="16"/>
      <c r="E9" s="16"/>
      <c r="F9" s="16"/>
      <c r="G9" s="16"/>
      <c r="H9" s="16"/>
      <c r="I9" s="16"/>
      <c r="J9" s="16"/>
      <c r="K9" s="16"/>
      <c r="L9" s="10">
        <v>44610</v>
      </c>
      <c r="M9" s="16">
        <v>0</v>
      </c>
      <c r="N9" s="16">
        <f ca="1">TODAY()-L9</f>
        <v>237</v>
      </c>
      <c r="O9" s="16" t="str">
        <f ca="1">IF(N9&gt;21, "Yes", "No")</f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L10" s="11">
        <v>44678</v>
      </c>
      <c r="M10">
        <v>73</v>
      </c>
      <c r="N10" s="16">
        <f ca="1">TODAY()-L10</f>
        <v>169</v>
      </c>
      <c r="O10" s="16" t="str">
        <f ca="1">IF(N10&gt;21, "Yes", "No")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7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44678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(IFERROR((LOOKUP(2,1/(U$3:U$100&lt;&gt;""),U$3:U$100)),0))</f>
        <v>0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44678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>(IFERROR((LOOKUP(2,1/(Q$3:Q$100&lt;&gt;""),Q$3:Q$100)),0))</f>
        <v>7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15"/>
  <sheetViews>
    <sheetView zoomScale="110" zoomScaleNormal="110" workbookViewId="0">
      <selection activeCell="M6" sqref="M6"/>
    </sheetView>
  </sheetViews>
  <sheetFormatPr defaultRowHeight="14.4" x14ac:dyDescent="0.3"/>
  <cols>
    <col min="1" max="1" width="21.88671875" style="33" bestFit="1" customWidth="1"/>
    <col min="2" max="2" width="25.218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9.5546875" style="33" bestFit="1" customWidth="1"/>
    <col min="16" max="16" width="14.6640625" style="33" bestFit="1" customWidth="1"/>
    <col min="21" max="21" width="10.6640625" style="33" bestFit="1" customWidth="1"/>
  </cols>
  <sheetData>
    <row r="1" spans="1:29" ht="18" customHeight="1" x14ac:dyDescent="0.35">
      <c r="A1" s="2" t="s">
        <v>21</v>
      </c>
      <c r="B1" s="28" t="s">
        <v>88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23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44476</v>
      </c>
      <c r="I3" s="16">
        <v>58</v>
      </c>
      <c r="J3" s="16">
        <f ca="1">TODAY()-H3</f>
        <v>371</v>
      </c>
      <c r="K3" s="16" t="str">
        <f ca="1">IF(J3&gt;21, "Yes", "No")</f>
        <v>Yes</v>
      </c>
      <c r="L3" s="10">
        <v>44589</v>
      </c>
      <c r="M3" s="16">
        <f>1+6+2+4+4+2+4+2+4+5+2+2+2+2+2+7+3+4+2+3+1+6+6+4+2</f>
        <v>82</v>
      </c>
      <c r="N3" s="16">
        <f ca="1">TODAY()-L3</f>
        <v>258</v>
      </c>
      <c r="O3" s="16" t="str">
        <f ca="1">IF(N3&gt;21, "Yes", "No")</f>
        <v>Yes</v>
      </c>
      <c r="P3" s="10">
        <v>44476</v>
      </c>
      <c r="Q3" s="16">
        <v>1</v>
      </c>
      <c r="R3" s="16">
        <f ca="1">TODAY()-P3</f>
        <v>371</v>
      </c>
      <c r="S3" s="16" t="str">
        <f ca="1">IF(R3&gt;21, "Yes", "No")</f>
        <v>Yes</v>
      </c>
      <c r="T3" s="16"/>
      <c r="U3" s="16"/>
      <c r="V3" s="16"/>
      <c r="W3" s="16"/>
      <c r="Y3" s="11">
        <v>44487</v>
      </c>
      <c r="Z3" s="16"/>
      <c r="AA3" s="16"/>
      <c r="AB3" s="16"/>
      <c r="AC3" s="16">
        <v>1</v>
      </c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/>
      <c r="I4" s="16">
        <v>59</v>
      </c>
      <c r="J4" s="16"/>
      <c r="K4" s="16"/>
      <c r="L4" s="10">
        <v>44676</v>
      </c>
      <c r="M4" s="16">
        <f>20+22+3+7</f>
        <v>52</v>
      </c>
      <c r="N4" s="16">
        <f ca="1">TODAY()-L4</f>
        <v>171</v>
      </c>
      <c r="O4" s="16" t="str">
        <f ca="1">IF(N4&gt;21, "Yes", "No")</f>
        <v>Yes</v>
      </c>
      <c r="P4" s="16" t="s">
        <v>52</v>
      </c>
      <c r="Q4" s="16">
        <v>0</v>
      </c>
      <c r="R4" s="16" t="s">
        <v>89</v>
      </c>
      <c r="S4" s="16" t="s">
        <v>52</v>
      </c>
      <c r="T4" s="16"/>
      <c r="U4" s="16"/>
      <c r="V4" s="16"/>
      <c r="W4" s="16"/>
      <c r="Y4" s="11"/>
      <c r="Z4" s="16"/>
      <c r="AA4" s="16"/>
      <c r="AB4" s="16"/>
      <c r="AC4" s="16"/>
    </row>
    <row r="5" spans="1:29" ht="18" customHeight="1" x14ac:dyDescent="0.35">
      <c r="A5" s="7" t="s">
        <v>39</v>
      </c>
      <c r="B5" s="28">
        <f t="array" ref="B5">(IFERROR((LOOKUP(2,1/(I$3:I$100&lt;&gt;""),I$3:I$100)),0))</f>
        <v>81</v>
      </c>
      <c r="D5" s="16"/>
      <c r="E5" s="16"/>
      <c r="F5" s="16"/>
      <c r="G5" s="16"/>
      <c r="H5" s="10">
        <v>44517</v>
      </c>
      <c r="I5" s="16">
        <f>5+3+6+1+8+5+5+5+9</f>
        <v>47</v>
      </c>
      <c r="J5" s="16">
        <f ca="1">TODAY()-H5</f>
        <v>330</v>
      </c>
      <c r="K5" s="16" t="str">
        <f ca="1">IF(J5&gt;21, "Yes", "No")</f>
        <v>Yes</v>
      </c>
      <c r="L5" s="10">
        <v>44764</v>
      </c>
      <c r="M5" s="16">
        <f>17+8</f>
        <v>25</v>
      </c>
      <c r="N5" s="16"/>
      <c r="O5" s="16"/>
      <c r="P5" s="10"/>
      <c r="Q5" s="16"/>
      <c r="R5" s="16"/>
      <c r="S5" s="16"/>
      <c r="T5" s="16"/>
      <c r="U5" s="16"/>
      <c r="V5" s="16"/>
      <c r="W5" s="16"/>
      <c r="Y5" s="11"/>
      <c r="Z5" s="16"/>
      <c r="AA5" s="16"/>
      <c r="AB5" s="16"/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44764</v>
      </c>
      <c r="D6" s="16"/>
      <c r="E6" s="16"/>
      <c r="F6" s="16"/>
      <c r="G6" s="16"/>
      <c r="H6" s="16"/>
      <c r="I6" s="16">
        <f>I5+5+2+2+5+4+5+6</f>
        <v>76</v>
      </c>
      <c r="J6" s="16"/>
      <c r="K6" s="16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Y6" s="11"/>
      <c r="Z6" s="16"/>
      <c r="AA6" s="16"/>
      <c r="AB6" s="16"/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0">
        <v>44546</v>
      </c>
      <c r="I7" s="16">
        <f>2+3+6+4+2+4+3+2+3+3+5+6+4+4+4+4+5+2+3+4+5+3+4+1</f>
        <v>86</v>
      </c>
      <c r="J7" s="16">
        <f ca="1">TODAY()-H7</f>
        <v>301</v>
      </c>
      <c r="K7" s="16" t="str">
        <f ca="1">IF(J7&gt;21, "Yes", "No")</f>
        <v>Yes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Z7" s="16"/>
      <c r="AA7" s="16"/>
      <c r="AB7" s="16"/>
      <c r="AC7" s="16"/>
    </row>
    <row r="8" spans="1:29" ht="18" customHeight="1" x14ac:dyDescent="0.35">
      <c r="A8" s="31" t="s">
        <v>43</v>
      </c>
      <c r="B8" s="28">
        <f t="array" ref="B8">(IFERROR((LOOKUP(2,1/(M$3:M$100&lt;&gt;""),M$3:M$100)),0))</f>
        <v>25</v>
      </c>
      <c r="D8" s="16"/>
      <c r="E8" s="16"/>
      <c r="F8" s="16"/>
      <c r="G8" s="16"/>
      <c r="H8" s="10">
        <v>44589</v>
      </c>
      <c r="I8" s="16">
        <f>4+4+8+6+4+4+4+3+4+2+2+8+9+8+8+5+5+5+4+4+3+4+8+7+8+8+8+6</f>
        <v>153</v>
      </c>
      <c r="J8" s="16">
        <f ca="1">TODAY()-H8</f>
        <v>258</v>
      </c>
      <c r="K8" s="16" t="str">
        <f ca="1">IF(J8&gt;21, "Yes", "No")</f>
        <v>Yes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(L$3:L$100 &lt;&gt;""), L$3:L$100)</f>
        <v>44764</v>
      </c>
      <c r="D9" s="16"/>
      <c r="E9" s="16"/>
      <c r="F9" s="16"/>
      <c r="G9" s="16"/>
      <c r="H9" s="10">
        <v>44676</v>
      </c>
      <c r="I9" s="16">
        <f>36+24+10+49+36+27+28+35+26</f>
        <v>271</v>
      </c>
      <c r="J9" s="16">
        <f ca="1">TODAY()-H9</f>
        <v>171</v>
      </c>
      <c r="K9" s="16" t="str">
        <f ca="1">IF(J9&gt;21, "Yes", "No")</f>
        <v>Yes</v>
      </c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(O$3:O$100 &lt;&gt;""), O$3:O$100)</f>
        <v>Yes</v>
      </c>
      <c r="H10" s="11">
        <v>44764</v>
      </c>
      <c r="I10">
        <f>16+24+6+24+11</f>
        <v>81</v>
      </c>
      <c r="J10" s="32">
        <f ca="1">TODAY()-H10</f>
        <v>83</v>
      </c>
      <c r="K10" s="32" t="str">
        <f ca="1">IF(J10&gt;21, "Yes", "No")</f>
        <v>Yes</v>
      </c>
    </row>
    <row r="11" spans="1:29" ht="18" customHeight="1" x14ac:dyDescent="0.35">
      <c r="A11" s="18" t="s">
        <v>46</v>
      </c>
      <c r="B11" s="28">
        <f t="array" ref="B11">(IFERROR((LOOKUP(2,1/(M$3:M$100&lt;&gt;""),M$3:M$100)),0))</f>
        <v>25</v>
      </c>
    </row>
    <row r="12" spans="1:29" ht="18" customHeight="1" x14ac:dyDescent="0.35">
      <c r="A12" s="18" t="s">
        <v>47</v>
      </c>
      <c r="B12" s="8">
        <f t="array" ref="B12">LOOKUP(2,1 / (L$3:L$100 &lt;&gt;""), L$3:L$100)</f>
        <v>44764</v>
      </c>
    </row>
    <row r="13" spans="1:29" ht="18" customHeight="1" x14ac:dyDescent="0.35">
      <c r="A13" s="18" t="s">
        <v>48</v>
      </c>
      <c r="B13" s="1" t="str">
        <f t="array" aca="1" ref="B13" ca="1">LOOKUP(2,1 / (O$3:O$100 &lt;&gt;""), O$3:O$100)</f>
        <v>Yes</v>
      </c>
    </row>
    <row r="14" spans="1:29" ht="18" customHeight="1" x14ac:dyDescent="0.35">
      <c r="A14" s="2" t="s">
        <v>49</v>
      </c>
      <c r="B14" s="28">
        <f>(IFERROR((LOOKUP(2,1/(Q$3:Q$100&lt;&gt;""),Q$3:Q$100)),0))</f>
        <v>0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C15"/>
  <sheetViews>
    <sheetView zoomScale="110" zoomScaleNormal="110" workbookViewId="0">
      <selection activeCell="I10" sqref="I10"/>
    </sheetView>
  </sheetViews>
  <sheetFormatPr defaultRowHeight="14.4" x14ac:dyDescent="0.3"/>
  <cols>
    <col min="1" max="1" width="21.88671875" style="33" bestFit="1" customWidth="1"/>
    <col min="2" max="2" width="25.218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9.5546875" style="33" bestFit="1" customWidth="1"/>
    <col min="21" max="21" width="10.6640625" style="33" bestFit="1" customWidth="1"/>
  </cols>
  <sheetData>
    <row r="1" spans="1:29" ht="18" customHeight="1" x14ac:dyDescent="0.35">
      <c r="A1" s="2" t="s">
        <v>21</v>
      </c>
      <c r="B1" s="28" t="s">
        <v>90</v>
      </c>
      <c r="D1" s="3" t="s">
        <v>15</v>
      </c>
      <c r="E1" s="16"/>
      <c r="F1" s="16"/>
      <c r="G1" s="16"/>
      <c r="H1" s="4" t="s">
        <v>17</v>
      </c>
      <c r="I1" s="16"/>
      <c r="J1" s="16"/>
      <c r="K1" s="16"/>
      <c r="L1" s="30" t="s">
        <v>18</v>
      </c>
      <c r="M1" s="16"/>
      <c r="N1" s="16"/>
      <c r="O1" s="16"/>
      <c r="P1" s="19" t="s">
        <v>23</v>
      </c>
      <c r="Q1" s="16"/>
      <c r="R1" s="16"/>
      <c r="S1" s="16"/>
      <c r="T1" s="5" t="s">
        <v>24</v>
      </c>
      <c r="U1" s="16"/>
      <c r="V1" s="16"/>
      <c r="W1" s="16"/>
      <c r="Z1" s="5" t="s">
        <v>25</v>
      </c>
      <c r="AA1" s="16"/>
      <c r="AB1" s="16"/>
      <c r="AC1" s="16"/>
    </row>
    <row r="2" spans="1:29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27</v>
      </c>
      <c r="I2" s="4" t="s">
        <v>28</v>
      </c>
      <c r="J2" s="4" t="s">
        <v>29</v>
      </c>
      <c r="K2" s="4" t="s">
        <v>30</v>
      </c>
      <c r="L2" s="30" t="s">
        <v>27</v>
      </c>
      <c r="M2" s="30" t="s">
        <v>28</v>
      </c>
      <c r="N2" s="30" t="s">
        <v>29</v>
      </c>
      <c r="O2" s="30" t="s">
        <v>30</v>
      </c>
      <c r="P2" s="19" t="s">
        <v>27</v>
      </c>
      <c r="Q2" s="19" t="s">
        <v>31</v>
      </c>
      <c r="R2" s="19" t="s">
        <v>29</v>
      </c>
      <c r="S2" s="19" t="s">
        <v>30</v>
      </c>
      <c r="T2" s="5" t="s">
        <v>27</v>
      </c>
      <c r="U2" s="5" t="s">
        <v>28</v>
      </c>
      <c r="V2" s="5" t="s">
        <v>29</v>
      </c>
      <c r="W2" s="5" t="s">
        <v>30</v>
      </c>
      <c r="Y2" s="9" t="s">
        <v>33</v>
      </c>
      <c r="Z2" s="5" t="s">
        <v>15</v>
      </c>
      <c r="AA2" s="5" t="s">
        <v>16</v>
      </c>
      <c r="AB2" s="5" t="s">
        <v>17</v>
      </c>
      <c r="AC2" s="5" t="s">
        <v>24</v>
      </c>
    </row>
    <row r="3" spans="1:29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44476</v>
      </c>
      <c r="I3" s="16">
        <v>7</v>
      </c>
      <c r="J3" s="16">
        <f ca="1">TODAY()-H3</f>
        <v>371</v>
      </c>
      <c r="K3" s="16" t="str">
        <f ca="1">IF(J3&gt;21, "Yes", "No")</f>
        <v>Yes</v>
      </c>
      <c r="L3" s="10">
        <v>44592</v>
      </c>
      <c r="M3" s="16">
        <v>5</v>
      </c>
      <c r="N3" s="16">
        <f ca="1">TODAY()-L3</f>
        <v>255</v>
      </c>
      <c r="O3" s="16" t="str">
        <f ca="1">IF(N3&gt;21, "Yes", "No")</f>
        <v>Yes</v>
      </c>
      <c r="P3" s="10"/>
      <c r="Q3" s="16"/>
      <c r="R3" s="16"/>
      <c r="S3" s="16"/>
      <c r="T3" s="16"/>
      <c r="U3" s="16"/>
      <c r="V3" s="16"/>
      <c r="W3" s="16"/>
      <c r="Y3" s="11">
        <v>44561</v>
      </c>
      <c r="Z3" s="16"/>
      <c r="AA3" s="16"/>
      <c r="AB3" s="16">
        <v>2</v>
      </c>
      <c r="AC3" s="16"/>
    </row>
    <row r="4" spans="1:29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0">
        <v>44518</v>
      </c>
      <c r="I4" s="16">
        <f>5+3</f>
        <v>8</v>
      </c>
      <c r="J4" s="16">
        <f ca="1">TODAY()-H4</f>
        <v>329</v>
      </c>
      <c r="K4" s="16" t="str">
        <f ca="1">IF(J4&gt;21, "Yes", "No")</f>
        <v>Yes</v>
      </c>
      <c r="L4" s="10">
        <v>44663</v>
      </c>
      <c r="M4" s="16">
        <v>5</v>
      </c>
      <c r="N4" s="16">
        <f ca="1">TODAY()-L4</f>
        <v>184</v>
      </c>
      <c r="O4" s="16" t="str">
        <f ca="1">IF(N4&gt;21, "Yes", "No")</f>
        <v>Yes</v>
      </c>
      <c r="P4" s="16"/>
      <c r="Q4" s="16"/>
      <c r="R4" s="16"/>
      <c r="S4" s="16"/>
      <c r="T4" s="16"/>
      <c r="U4" s="16"/>
      <c r="V4" s="16"/>
      <c r="W4" s="16"/>
      <c r="Y4" s="11"/>
      <c r="Z4" s="16"/>
      <c r="AA4" s="16"/>
      <c r="AB4" s="16"/>
      <c r="AC4" s="16"/>
    </row>
    <row r="5" spans="1:29" ht="18" customHeight="1" x14ac:dyDescent="0.35">
      <c r="A5" s="7" t="s">
        <v>39</v>
      </c>
      <c r="B5" s="28">
        <f t="array" ref="B5">(IFERROR((LOOKUP(2,1/(I$3:I$100&lt;&gt;""),I$3:I$100)),0))</f>
        <v>10</v>
      </c>
      <c r="D5" s="16"/>
      <c r="E5" s="16"/>
      <c r="F5" s="16"/>
      <c r="G5" s="16"/>
      <c r="H5" s="10"/>
      <c r="I5" s="16">
        <v>6</v>
      </c>
      <c r="J5" s="16"/>
      <c r="K5" s="16"/>
      <c r="L5" s="10"/>
      <c r="M5" s="16">
        <v>3</v>
      </c>
      <c r="N5" s="16"/>
      <c r="O5" s="16"/>
      <c r="P5" s="10"/>
      <c r="Q5" s="16"/>
      <c r="R5" s="16"/>
      <c r="S5" s="16"/>
      <c r="T5" s="16"/>
      <c r="U5" s="16"/>
      <c r="V5" s="16"/>
      <c r="W5" s="16"/>
      <c r="Y5" s="11"/>
      <c r="Z5" s="16"/>
      <c r="AA5" s="16"/>
      <c r="AB5" s="16"/>
      <c r="AC5" s="16"/>
    </row>
    <row r="6" spans="1:29" ht="18" customHeight="1" x14ac:dyDescent="0.35">
      <c r="A6" s="7" t="s">
        <v>41</v>
      </c>
      <c r="B6" s="8">
        <f t="array" ref="B6">LOOKUP(2,1 / (H$3:H$100 &lt;&gt;""), H$3:H$100)</f>
        <v>44663</v>
      </c>
      <c r="D6" s="16"/>
      <c r="E6" s="16"/>
      <c r="F6" s="16"/>
      <c r="G6" s="16"/>
      <c r="H6" s="10">
        <v>44561</v>
      </c>
      <c r="I6" s="16">
        <f>2+3</f>
        <v>5</v>
      </c>
      <c r="J6" s="16">
        <f ca="1">TODAY()-H6</f>
        <v>286</v>
      </c>
      <c r="K6" s="16" t="str">
        <f ca="1">IF(J6&gt;21, "Yes", "No")</f>
        <v>Yes</v>
      </c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Y6" s="11"/>
      <c r="Z6" s="16"/>
      <c r="AA6" s="16"/>
      <c r="AB6" s="16"/>
      <c r="AC6" s="16"/>
    </row>
    <row r="7" spans="1:29" ht="18" customHeight="1" x14ac:dyDescent="0.35">
      <c r="A7" s="7" t="s">
        <v>42</v>
      </c>
      <c r="B7" s="1" t="str">
        <f t="array" aca="1" ref="B7" ca="1">LOOKUP(2,1 / (K$3:K$100 &lt;&gt;""), K$3:K$100)</f>
        <v>Yes</v>
      </c>
      <c r="D7" s="16"/>
      <c r="E7" s="16"/>
      <c r="F7" s="16"/>
      <c r="G7" s="16"/>
      <c r="H7" s="10">
        <v>44592</v>
      </c>
      <c r="I7" s="16">
        <v>10</v>
      </c>
      <c r="J7" s="16">
        <f ca="1">TODAY()-H7</f>
        <v>255</v>
      </c>
      <c r="K7" s="16" t="str">
        <f ca="1">IF(J7&gt;21, "Yes", "No")</f>
        <v>Yes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Z7" s="16"/>
      <c r="AA7" s="16"/>
      <c r="AB7" s="16"/>
      <c r="AC7" s="16"/>
    </row>
    <row r="8" spans="1:29" ht="18" customHeight="1" x14ac:dyDescent="0.35">
      <c r="A8" s="31" t="s">
        <v>43</v>
      </c>
      <c r="B8" s="28">
        <f t="array" ref="B8">(IFERROR((LOOKUP(2,1/(M$3:M$100&lt;&gt;""),M$3:M$100)),0))</f>
        <v>3</v>
      </c>
      <c r="D8" s="16"/>
      <c r="E8" s="16"/>
      <c r="F8" s="16"/>
      <c r="G8" s="16"/>
      <c r="H8" s="10">
        <v>44663</v>
      </c>
      <c r="I8" s="16">
        <v>9</v>
      </c>
      <c r="J8" s="16">
        <f ca="1">TODAY()-H8</f>
        <v>184</v>
      </c>
      <c r="K8" s="16" t="str">
        <f ca="1">IF(J8&gt;21, "Yes", "No")</f>
        <v>Yes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Z8" s="16"/>
      <c r="AA8" s="16"/>
      <c r="AB8" s="16"/>
      <c r="AC8" s="16"/>
    </row>
    <row r="9" spans="1:29" ht="18" customHeight="1" x14ac:dyDescent="0.35">
      <c r="A9" s="31" t="s">
        <v>44</v>
      </c>
      <c r="B9" s="8">
        <f t="array" ref="B9">LOOKUP(2,1 / (L$3:L$100 &lt;&gt;""), L$3:L$100)</f>
        <v>44663</v>
      </c>
      <c r="D9" s="16"/>
      <c r="E9" s="16"/>
      <c r="F9" s="16"/>
      <c r="G9" s="16"/>
      <c r="H9" s="16"/>
      <c r="I9" s="16">
        <v>10</v>
      </c>
      <c r="J9" s="16"/>
      <c r="K9" s="16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Z9" s="16"/>
      <c r="AA9" s="16"/>
      <c r="AB9" s="16"/>
      <c r="AC9" s="16"/>
    </row>
    <row r="10" spans="1:29" ht="18" customHeight="1" x14ac:dyDescent="0.35">
      <c r="A10" s="31" t="s">
        <v>45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18" t="s">
        <v>46</v>
      </c>
      <c r="B11" s="28">
        <f t="array" ref="B11">(IFERROR((LOOKUP(2,1/(M$3:M$100&lt;&gt;""),M$3:M$100)),0))</f>
        <v>3</v>
      </c>
    </row>
    <row r="12" spans="1:29" ht="18" customHeight="1" x14ac:dyDescent="0.35">
      <c r="A12" s="18" t="s">
        <v>47</v>
      </c>
      <c r="B12" s="8">
        <f t="array" ref="B12">LOOKUP(2,1 / (L$3:L$100 &lt;&gt;""), L$3:L$100)</f>
        <v>44663</v>
      </c>
    </row>
    <row r="13" spans="1:29" ht="18" customHeight="1" x14ac:dyDescent="0.35">
      <c r="A13" s="18" t="s">
        <v>48</v>
      </c>
      <c r="B13" s="1" t="str">
        <f t="array" aca="1" ref="B13" ca="1">LOOKUP(2,1 / (O$3:O$100 &lt;&gt;""), O$3:O$100)</f>
        <v>Yes</v>
      </c>
    </row>
    <row r="14" spans="1:29" ht="18" customHeight="1" x14ac:dyDescent="0.35">
      <c r="A14" s="2" t="s">
        <v>49</v>
      </c>
      <c r="B14" s="28">
        <f>(IFERROR((LOOKUP(2,1/(Q$3:Q$100&lt;&gt;""),Q$3:Q$100)),0))</f>
        <v>0</v>
      </c>
    </row>
    <row r="15" spans="1:29" ht="18" customHeight="1" x14ac:dyDescent="0.35">
      <c r="A15" s="2" t="s">
        <v>50</v>
      </c>
      <c r="B15" s="8" t="e">
        <f>LOOKUP(2,1 / (T$3:T$9 &lt;&gt;""), T$3:T$9)</f>
        <v>#N/A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G18"/>
  <sheetViews>
    <sheetView topLeftCell="G1" zoomScale="110" zoomScaleNormal="110" workbookViewId="0">
      <selection activeCell="P6" sqref="P6"/>
    </sheetView>
  </sheetViews>
  <sheetFormatPr defaultRowHeight="14.4" x14ac:dyDescent="0.3"/>
  <cols>
    <col min="1" max="1" width="21.88671875" style="33" bestFit="1" customWidth="1"/>
    <col min="2" max="2" width="25.218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5546875" style="33" bestFit="1" customWidth="1"/>
  </cols>
  <sheetData>
    <row r="1" spans="1:33" ht="18" customHeight="1" x14ac:dyDescent="0.35">
      <c r="A1" s="2" t="s">
        <v>21</v>
      </c>
      <c r="B1" s="28" t="s">
        <v>91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>
        <v>44600</v>
      </c>
      <c r="I3" s="16">
        <f>18+7</f>
        <v>25</v>
      </c>
      <c r="J3" s="16">
        <f ca="1">TODAY()-H3</f>
        <v>247</v>
      </c>
      <c r="K3" s="16" t="str">
        <f ca="1">IF(J3&gt;21, "Yes", "No")</f>
        <v>Yes</v>
      </c>
      <c r="L3" s="10">
        <v>44476</v>
      </c>
      <c r="M3" s="16">
        <v>2</v>
      </c>
      <c r="N3" s="16">
        <f ca="1">TODAY()-L3</f>
        <v>371</v>
      </c>
      <c r="O3" s="16" t="str">
        <f ca="1">IF(N3&gt;21, "Yes", "No")</f>
        <v>Yes</v>
      </c>
      <c r="P3" s="10">
        <v>44761</v>
      </c>
      <c r="Q3" s="16">
        <v>3</v>
      </c>
      <c r="R3" s="16"/>
      <c r="S3" s="16"/>
      <c r="T3" s="10"/>
      <c r="U3" s="16"/>
      <c r="V3" s="16"/>
      <c r="W3" s="16"/>
      <c r="X3" s="16"/>
      <c r="Y3" s="16"/>
      <c r="Z3" s="16"/>
      <c r="AA3" s="16"/>
      <c r="AC3" s="11"/>
      <c r="AD3" s="16"/>
      <c r="AE3" s="16"/>
      <c r="AF3" s="16"/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 t="s">
        <v>52</v>
      </c>
      <c r="I4" s="13" t="s">
        <v>52</v>
      </c>
      <c r="J4" s="13" t="s">
        <v>52</v>
      </c>
      <c r="K4" s="13" t="s">
        <v>52</v>
      </c>
      <c r="L4" s="10">
        <v>44560</v>
      </c>
      <c r="M4" s="16">
        <v>6</v>
      </c>
      <c r="N4" s="16">
        <f ca="1">TODAY()-L4</f>
        <v>287</v>
      </c>
      <c r="O4" s="16" t="str">
        <f ca="1">IF(N4&gt;21, "Yes", "No")</f>
        <v>Yes</v>
      </c>
      <c r="P4" s="10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C4" s="11"/>
      <c r="AD4" s="16"/>
      <c r="AE4" s="16"/>
      <c r="AF4" s="16"/>
      <c r="AG4" s="16"/>
    </row>
    <row r="5" spans="1:33" ht="18" customHeight="1" x14ac:dyDescent="0.35">
      <c r="A5" s="18" t="s">
        <v>36</v>
      </c>
      <c r="B5" s="28" t="str">
        <f t="array" ref="B5">(IFERROR((LOOKUP(2,1/(I$3:I$100&lt;&gt;""),I$3:I$100)),0))</f>
        <v>N/A</v>
      </c>
      <c r="D5" s="16"/>
      <c r="E5" s="16"/>
      <c r="F5" s="16"/>
      <c r="G5" s="16"/>
      <c r="H5" s="16"/>
      <c r="I5" s="16"/>
      <c r="J5" s="16"/>
      <c r="K5" s="16"/>
      <c r="L5" s="10" t="s">
        <v>52</v>
      </c>
      <c r="M5" s="16" t="s">
        <v>52</v>
      </c>
      <c r="N5" s="16" t="s">
        <v>52</v>
      </c>
      <c r="O5" s="16" t="s">
        <v>52</v>
      </c>
      <c r="P5" s="10"/>
      <c r="Q5" s="16"/>
      <c r="R5" s="16"/>
      <c r="S5" s="16"/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str">
        <f t="array" ref="B6">LOOKUP(2,1 / (H$3:H$100 &lt;&gt;""), H$3:H$100)</f>
        <v>N/A</v>
      </c>
      <c r="D6" s="16"/>
      <c r="E6" s="16"/>
      <c r="F6" s="16"/>
      <c r="G6" s="16"/>
      <c r="H6" s="16"/>
      <c r="I6" s="16"/>
      <c r="J6" s="16"/>
      <c r="K6" s="16"/>
      <c r="L6" s="10">
        <v>44686</v>
      </c>
      <c r="M6" s="16">
        <v>21</v>
      </c>
      <c r="N6" s="16">
        <f ca="1">TODAY()-L6</f>
        <v>161</v>
      </c>
      <c r="O6" s="16" t="str">
        <f ca="1">IF(N6&gt;21, "Yes", "No")</f>
        <v>Yes</v>
      </c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str">
        <f t="array" aca="1" ref="B7" ca="1">LOOKUP(2,1 / (K$3:K$100 &lt;&gt;""), K$3:K$100)</f>
        <v>N/A</v>
      </c>
      <c r="D7" s="16"/>
      <c r="E7" s="16"/>
      <c r="F7" s="16"/>
      <c r="G7" s="16"/>
      <c r="H7" s="16"/>
      <c r="I7" s="16"/>
      <c r="J7" s="16"/>
      <c r="K7" s="16"/>
      <c r="L7" s="10">
        <v>44761</v>
      </c>
      <c r="M7" s="16">
        <v>10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10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44761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3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44761</v>
      </c>
    </row>
    <row r="13" spans="1:33" ht="18" customHeight="1" x14ac:dyDescent="0.35">
      <c r="A13" s="31" t="s">
        <v>45</v>
      </c>
      <c r="B13" s="1" t="e">
        <f t="array" ref="B13">LOOKUP(2,1 / (S$3:S$100 &lt;&gt;""), S$3:S$100)</f>
        <v>#N/A</v>
      </c>
    </row>
    <row r="14" spans="1:33" ht="18" customHeight="1" x14ac:dyDescent="0.35">
      <c r="A14" s="18" t="s">
        <v>46</v>
      </c>
      <c r="B14" s="28">
        <f t="array" ref="B14">(IFERROR((LOOKUP(2,1/(M$3:M$100&lt;&gt;""),M$3:M$100)),0))</f>
        <v>10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44761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 t="array" ref="B17">(IFERROR((LOOKUP(2,1/(Q$3:Q$100&lt;&gt;""),Q$3:Q$100)),0))</f>
        <v>3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G18"/>
  <sheetViews>
    <sheetView topLeftCell="E1" zoomScale="110" zoomScaleNormal="110" workbookViewId="0">
      <selection activeCell="P8" sqref="P8"/>
    </sheetView>
  </sheetViews>
  <sheetFormatPr defaultRowHeight="14.4" x14ac:dyDescent="0.3"/>
  <cols>
    <col min="1" max="1" width="21.88671875" style="33" bestFit="1" customWidth="1"/>
    <col min="2" max="2" width="25.21875" style="33" bestFit="1" customWidth="1"/>
    <col min="4" max="4" width="14.5546875" style="33" bestFit="1" customWidth="1"/>
    <col min="5" max="5" width="9.44140625" style="33" bestFit="1" customWidth="1"/>
    <col min="6" max="6" width="15.109375" style="33" bestFit="1" customWidth="1"/>
    <col min="7" max="7" width="6.21875" style="33" bestFit="1" customWidth="1"/>
    <col min="8" max="8" width="14.6640625" style="33" bestFit="1" customWidth="1"/>
    <col min="9" max="9" width="9.5546875" style="33" bestFit="1" customWidth="1"/>
    <col min="10" max="10" width="15.44140625" style="33" bestFit="1" customWidth="1"/>
    <col min="12" max="12" width="14.6640625" style="33" bestFit="1" customWidth="1"/>
    <col min="16" max="16" width="9.5546875" style="33" bestFit="1" customWidth="1"/>
    <col min="21" max="21" width="10.6640625" style="33" bestFit="1" customWidth="1"/>
  </cols>
  <sheetData>
    <row r="1" spans="1:33" ht="18" customHeight="1" x14ac:dyDescent="0.35">
      <c r="A1" s="2" t="s">
        <v>21</v>
      </c>
      <c r="B1" s="28" t="s">
        <v>92</v>
      </c>
      <c r="D1" s="3" t="s">
        <v>15</v>
      </c>
      <c r="E1" s="16"/>
      <c r="F1" s="16"/>
      <c r="G1" s="16"/>
      <c r="H1" s="19" t="s">
        <v>16</v>
      </c>
      <c r="I1" s="16"/>
      <c r="J1" s="16"/>
      <c r="K1" s="16"/>
      <c r="L1" s="4" t="s">
        <v>17</v>
      </c>
      <c r="M1" s="16"/>
      <c r="N1" s="16"/>
      <c r="O1" s="16"/>
      <c r="P1" s="30" t="s">
        <v>18</v>
      </c>
      <c r="Q1" s="16"/>
      <c r="R1" s="16"/>
      <c r="S1" s="16"/>
      <c r="T1" s="19" t="s">
        <v>23</v>
      </c>
      <c r="U1" s="16"/>
      <c r="V1" s="16"/>
      <c r="W1" s="16"/>
      <c r="X1" s="5" t="s">
        <v>24</v>
      </c>
      <c r="Y1" s="16"/>
      <c r="Z1" s="16"/>
      <c r="AA1" s="16"/>
      <c r="AD1" s="5" t="s">
        <v>25</v>
      </c>
      <c r="AE1" s="16"/>
      <c r="AF1" s="16"/>
      <c r="AG1" s="16"/>
    </row>
    <row r="2" spans="1:33" ht="18" customHeight="1" x14ac:dyDescent="0.35">
      <c r="A2" s="6" t="s">
        <v>26</v>
      </c>
      <c r="B2" s="28">
        <f>(IFERROR((LOOKUP(2,1/(E$3:E$100&lt;&gt;""),E$3:E$100)),0))</f>
        <v>0</v>
      </c>
      <c r="D2" s="3" t="s">
        <v>27</v>
      </c>
      <c r="E2" s="3" t="s">
        <v>28</v>
      </c>
      <c r="F2" s="3" t="s">
        <v>29</v>
      </c>
      <c r="G2" s="3" t="s">
        <v>30</v>
      </c>
      <c r="H2" s="19" t="s">
        <v>27</v>
      </c>
      <c r="I2" s="19" t="s">
        <v>28</v>
      </c>
      <c r="J2" s="19" t="s">
        <v>29</v>
      </c>
      <c r="K2" s="19" t="s">
        <v>30</v>
      </c>
      <c r="L2" s="4" t="s">
        <v>27</v>
      </c>
      <c r="M2" s="4" t="s">
        <v>28</v>
      </c>
      <c r="N2" s="4" t="s">
        <v>29</v>
      </c>
      <c r="O2" s="4" t="s">
        <v>30</v>
      </c>
      <c r="P2" s="30" t="s">
        <v>27</v>
      </c>
      <c r="Q2" s="30" t="s">
        <v>28</v>
      </c>
      <c r="R2" s="30" t="s">
        <v>29</v>
      </c>
      <c r="S2" s="30" t="s">
        <v>30</v>
      </c>
      <c r="T2" s="19" t="s">
        <v>27</v>
      </c>
      <c r="U2" s="19" t="s">
        <v>31</v>
      </c>
      <c r="V2" s="19" t="s">
        <v>29</v>
      </c>
      <c r="W2" s="19" t="s">
        <v>30</v>
      </c>
      <c r="X2" s="5" t="s">
        <v>27</v>
      </c>
      <c r="Y2" s="5" t="s">
        <v>28</v>
      </c>
      <c r="Z2" s="5" t="s">
        <v>29</v>
      </c>
      <c r="AA2" s="5" t="s">
        <v>30</v>
      </c>
      <c r="AC2" s="9" t="s">
        <v>33</v>
      </c>
      <c r="AD2" s="5" t="s">
        <v>15</v>
      </c>
      <c r="AE2" s="5" t="s">
        <v>16</v>
      </c>
      <c r="AF2" s="5" t="s">
        <v>17</v>
      </c>
      <c r="AG2" s="5" t="s">
        <v>24</v>
      </c>
    </row>
    <row r="3" spans="1:33" ht="18" customHeight="1" x14ac:dyDescent="0.35">
      <c r="A3" s="6" t="s">
        <v>34</v>
      </c>
      <c r="B3" s="8" t="e">
        <f>LOOKUP(2,1 / (D$3:D$100 &lt;&gt;""), D$3:D$100)</f>
        <v>#N/A</v>
      </c>
      <c r="D3" s="10"/>
      <c r="E3" s="16"/>
      <c r="F3" s="16"/>
      <c r="G3" s="16"/>
      <c r="H3" s="10"/>
      <c r="I3" s="16"/>
      <c r="J3" s="16"/>
      <c r="K3" s="16"/>
      <c r="L3" s="10">
        <v>44477</v>
      </c>
      <c r="M3" s="16">
        <v>76</v>
      </c>
      <c r="N3" s="16">
        <f ca="1">TODAY()-L3</f>
        <v>370</v>
      </c>
      <c r="O3" s="16" t="str">
        <f ca="1">IF(N3&gt;21, "Yes", "No")</f>
        <v>Yes</v>
      </c>
      <c r="P3" s="10">
        <v>44610</v>
      </c>
      <c r="Q3" s="16">
        <f>21+10</f>
        <v>31</v>
      </c>
      <c r="R3" s="16">
        <f ca="1">TODAY()-P3</f>
        <v>237</v>
      </c>
      <c r="S3" s="16" t="str">
        <f ca="1">IF(R3&gt;21, "Yes", "No")</f>
        <v>Yes</v>
      </c>
      <c r="T3" s="10"/>
      <c r="U3" s="16"/>
      <c r="V3" s="16"/>
      <c r="W3" s="16"/>
      <c r="X3" s="16"/>
      <c r="Y3" s="16"/>
      <c r="Z3" s="16"/>
      <c r="AA3" s="16"/>
      <c r="AC3" s="11">
        <v>44487</v>
      </c>
      <c r="AD3" s="16"/>
      <c r="AE3" s="16"/>
      <c r="AF3" s="16">
        <v>1</v>
      </c>
      <c r="AG3" s="16"/>
    </row>
    <row r="4" spans="1:33" ht="18" customHeight="1" x14ac:dyDescent="0.35">
      <c r="A4" s="6" t="s">
        <v>35</v>
      </c>
      <c r="B4" s="1" t="e">
        <f>LOOKUP(2,1 / (G$3:G$1048576 &lt;&gt;""), G$3:G$1048576)</f>
        <v>#N/A</v>
      </c>
      <c r="D4" s="12"/>
      <c r="E4" s="13"/>
      <c r="F4" s="13"/>
      <c r="G4" s="13"/>
      <c r="H4" s="12"/>
      <c r="I4" s="13"/>
      <c r="J4" s="13"/>
      <c r="K4" s="13"/>
      <c r="L4" s="10"/>
      <c r="M4" s="16">
        <v>75</v>
      </c>
      <c r="N4" s="16"/>
      <c r="O4" s="16"/>
      <c r="P4" s="10">
        <v>44651</v>
      </c>
      <c r="Q4" s="16">
        <f>4+3+2+3+3+3+2+2</f>
        <v>22</v>
      </c>
      <c r="R4" s="16">
        <f ca="1">TODAY()-P4</f>
        <v>196</v>
      </c>
      <c r="S4" s="16" t="str">
        <f ca="1">IF(R4&gt;21, "Yes", "No")</f>
        <v>Yes</v>
      </c>
      <c r="T4" s="16"/>
      <c r="U4" s="16"/>
      <c r="V4" s="16"/>
      <c r="W4" s="16"/>
      <c r="X4" s="16"/>
      <c r="Y4" s="16"/>
      <c r="Z4" s="16"/>
      <c r="AA4" s="16"/>
      <c r="AC4" s="11">
        <v>44561</v>
      </c>
      <c r="AD4" s="16"/>
      <c r="AE4" s="16"/>
      <c r="AF4" s="16">
        <f>15+7+3+5</f>
        <v>30</v>
      </c>
      <c r="AG4" s="16"/>
    </row>
    <row r="5" spans="1:33" ht="18" customHeight="1" x14ac:dyDescent="0.35">
      <c r="A5" s="18" t="s">
        <v>36</v>
      </c>
      <c r="B5" s="28">
        <f t="array" ref="B5">(IFERROR((LOOKUP(2,1/(I$3:I$100&lt;&gt;""),I$3:I$100)),0))</f>
        <v>0</v>
      </c>
      <c r="D5" s="16"/>
      <c r="E5" s="16"/>
      <c r="F5" s="16"/>
      <c r="G5" s="16"/>
      <c r="H5" s="16"/>
      <c r="I5" s="16"/>
      <c r="J5" s="16"/>
      <c r="K5" s="16"/>
      <c r="L5" s="10">
        <v>44518</v>
      </c>
      <c r="M5" s="16">
        <f>6+5+11+6+6+9+5+5</f>
        <v>53</v>
      </c>
      <c r="N5" s="16">
        <f ca="1">TODAY()-L5</f>
        <v>329</v>
      </c>
      <c r="O5" s="16" t="str">
        <f ca="1">IF(N5&gt;21, "Yes", "No")</f>
        <v>Yes</v>
      </c>
      <c r="P5" s="10">
        <v>44691</v>
      </c>
      <c r="Q5" s="16">
        <v>3</v>
      </c>
      <c r="R5" s="16">
        <f ca="1">TODAY()-P5</f>
        <v>156</v>
      </c>
      <c r="S5" s="16" t="str">
        <f ca="1">IF(R5&gt;21, "Yes", "No")</f>
        <v>Yes</v>
      </c>
      <c r="T5" s="10"/>
      <c r="U5" s="16"/>
      <c r="V5" s="16"/>
      <c r="W5" s="16"/>
      <c r="X5" s="16"/>
      <c r="Y5" s="16"/>
      <c r="Z5" s="16"/>
      <c r="AA5" s="16"/>
      <c r="AC5" s="11"/>
      <c r="AD5" s="16"/>
      <c r="AE5" s="16"/>
      <c r="AF5" s="16"/>
      <c r="AG5" s="16"/>
    </row>
    <row r="6" spans="1:33" ht="18" customHeight="1" x14ac:dyDescent="0.35">
      <c r="A6" s="18" t="s">
        <v>37</v>
      </c>
      <c r="B6" s="8" t="e">
        <f t="array" ref="B6">LOOKUP(2,1 / (H$3:H$100 &lt;&gt;""), H$3:H$100)</f>
        <v>#N/A</v>
      </c>
      <c r="D6" s="16"/>
      <c r="E6" s="16"/>
      <c r="F6" s="16"/>
      <c r="G6" s="16"/>
      <c r="H6" s="16"/>
      <c r="I6" s="16"/>
      <c r="J6" s="16"/>
      <c r="K6" s="16"/>
      <c r="L6" s="16"/>
      <c r="M6" s="16">
        <f>M5-30</f>
        <v>23</v>
      </c>
      <c r="N6" s="16"/>
      <c r="O6" s="16"/>
      <c r="P6" s="10">
        <v>44722</v>
      </c>
      <c r="Q6" s="16">
        <f>12+11</f>
        <v>23</v>
      </c>
      <c r="R6" s="16">
        <f ca="1">TODAY()-P6</f>
        <v>125</v>
      </c>
      <c r="S6" s="16" t="str">
        <f ca="1">IF(R6&gt;21, "Yes", "No")</f>
        <v>Yes</v>
      </c>
      <c r="T6" s="16"/>
      <c r="U6" s="16"/>
      <c r="V6" s="16"/>
      <c r="W6" s="16"/>
      <c r="X6" s="16"/>
      <c r="Y6" s="16"/>
      <c r="Z6" s="16"/>
      <c r="AA6" s="16"/>
      <c r="AC6" s="11"/>
      <c r="AD6" s="16"/>
      <c r="AE6" s="16"/>
      <c r="AF6" s="16"/>
      <c r="AG6" s="16"/>
    </row>
    <row r="7" spans="1:33" ht="18" customHeight="1" x14ac:dyDescent="0.35">
      <c r="A7" s="18" t="s">
        <v>38</v>
      </c>
      <c r="B7" s="1" t="e">
        <f t="array" ref="B7">LOOKUP(2,1 / (K$3:K$100 &lt;&gt;""), K$3:K$100)</f>
        <v>#N/A</v>
      </c>
      <c r="D7" s="16"/>
      <c r="E7" s="16"/>
      <c r="F7" s="16"/>
      <c r="G7" s="16"/>
      <c r="H7" s="16"/>
      <c r="I7" s="16"/>
      <c r="J7" s="16"/>
      <c r="K7" s="16"/>
      <c r="L7" s="10">
        <v>44561</v>
      </c>
      <c r="M7" s="16">
        <f>4+5+9+1+5+6+5+1+9+2+7+2+7</f>
        <v>63</v>
      </c>
      <c r="N7" s="16">
        <f ca="1">TODAY()-L7</f>
        <v>286</v>
      </c>
      <c r="O7" s="16" t="str">
        <f ca="1">IF(N7&gt;21, "Yes", "No")</f>
        <v>Yes</v>
      </c>
      <c r="P7" s="10">
        <v>44768</v>
      </c>
      <c r="Q7" s="16">
        <v>2</v>
      </c>
      <c r="R7" s="16">
        <f ca="1">TODAY()-P7</f>
        <v>79</v>
      </c>
      <c r="S7" s="16" t="str">
        <f ca="1">IF(R7&gt;21, "Yes", "No")</f>
        <v>Yes</v>
      </c>
      <c r="T7" s="16"/>
      <c r="U7" s="16"/>
      <c r="V7" s="16"/>
      <c r="W7" s="16"/>
      <c r="X7" s="16"/>
      <c r="Y7" s="16"/>
      <c r="Z7" s="16"/>
      <c r="AA7" s="16"/>
      <c r="AD7" s="16"/>
      <c r="AE7" s="16"/>
      <c r="AF7" s="16"/>
      <c r="AG7" s="16"/>
    </row>
    <row r="8" spans="1:33" ht="18" customHeight="1" x14ac:dyDescent="0.35">
      <c r="A8" s="7" t="s">
        <v>39</v>
      </c>
      <c r="B8" s="28">
        <f t="array" ref="B8">(IFERROR((LOOKUP(2,1/(M$3:M$100&lt;&gt;""),M$3:M$100)),0))</f>
        <v>88</v>
      </c>
      <c r="D8" s="16"/>
      <c r="E8" s="16"/>
      <c r="F8" s="16"/>
      <c r="G8" s="16"/>
      <c r="H8" s="16"/>
      <c r="I8" s="16"/>
      <c r="J8" s="16"/>
      <c r="K8" s="16"/>
      <c r="L8" s="16" t="s">
        <v>52</v>
      </c>
      <c r="M8" s="16" t="s">
        <v>52</v>
      </c>
      <c r="N8" s="16" t="s">
        <v>52</v>
      </c>
      <c r="O8" s="16" t="s">
        <v>52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D8" s="16"/>
      <c r="AE8" s="16"/>
      <c r="AF8" s="16"/>
      <c r="AG8" s="16"/>
    </row>
    <row r="9" spans="1:33" ht="18" customHeight="1" x14ac:dyDescent="0.35">
      <c r="A9" s="7" t="s">
        <v>41</v>
      </c>
      <c r="B9" s="8">
        <f t="array" ref="B9">LOOKUP(2,1 / (L$3:L$100 &lt;&gt;""), L$3:L$100)</f>
        <v>44768</v>
      </c>
      <c r="D9" s="16"/>
      <c r="E9" s="16"/>
      <c r="F9" s="16"/>
      <c r="G9" s="16"/>
      <c r="H9" s="16"/>
      <c r="I9" s="16"/>
      <c r="J9" s="16"/>
      <c r="K9" s="16"/>
      <c r="L9" s="10">
        <v>44691</v>
      </c>
      <c r="M9" s="16">
        <f>39+45</f>
        <v>84</v>
      </c>
      <c r="N9" s="16">
        <f ca="1">TODAY()-L9</f>
        <v>156</v>
      </c>
      <c r="O9" s="16" t="str">
        <f ca="1">IF(N9&gt;21, "Yes", "No")</f>
        <v>Yes</v>
      </c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D9" s="16"/>
      <c r="AE9" s="16"/>
      <c r="AF9" s="16"/>
      <c r="AG9" s="16"/>
    </row>
    <row r="10" spans="1:33" ht="18" customHeight="1" x14ac:dyDescent="0.35">
      <c r="A10" s="7" t="s">
        <v>42</v>
      </c>
      <c r="B10" s="1" t="str">
        <f t="array" aca="1" ref="B10" ca="1">LOOKUP(2,1 / (O$3:O$100 &lt;&gt;""), O$3:O$100)</f>
        <v>Yes</v>
      </c>
      <c r="L10" s="11">
        <v>44722</v>
      </c>
      <c r="M10">
        <f>23+23+30</f>
        <v>76</v>
      </c>
      <c r="N10" s="16">
        <f ca="1">TODAY()-L10</f>
        <v>125</v>
      </c>
      <c r="O10" s="16" t="str">
        <f ca="1">IF(N10&gt;21, "Yes", "No")</f>
        <v>Yes</v>
      </c>
    </row>
    <row r="11" spans="1:33" ht="18" customHeight="1" x14ac:dyDescent="0.35">
      <c r="A11" s="31" t="s">
        <v>43</v>
      </c>
      <c r="B11" s="28">
        <f t="array" ref="B11">(IFERROR((LOOKUP(2,1/(Q$3:Q$100&lt;&gt;""),Q$3:Q$100)),0))</f>
        <v>2</v>
      </c>
      <c r="L11" s="11">
        <v>44768</v>
      </c>
      <c r="M11">
        <f>19+17+28+24</f>
        <v>88</v>
      </c>
    </row>
    <row r="12" spans="1:33" ht="18" customHeight="1" x14ac:dyDescent="0.35">
      <c r="A12" s="31" t="s">
        <v>44</v>
      </c>
      <c r="B12" s="8">
        <f t="array" ref="B12">LOOKUP(2,1 / (P$3:P$100 &lt;&gt;""), P$3:P$100)</f>
        <v>44768</v>
      </c>
    </row>
    <row r="13" spans="1:33" ht="18" customHeight="1" x14ac:dyDescent="0.35">
      <c r="A13" s="31" t="s">
        <v>45</v>
      </c>
      <c r="B13" s="1" t="str">
        <f t="array" aca="1" ref="B13" ca="1">LOOKUP(2,1 / (S$3:S$100 &lt;&gt;""), S$3:S$100)</f>
        <v>Yes</v>
      </c>
    </row>
    <row r="14" spans="1:33" ht="18" customHeight="1" x14ac:dyDescent="0.35">
      <c r="A14" s="18" t="s">
        <v>46</v>
      </c>
      <c r="B14" s="28">
        <f t="array" ref="B14">(IFERROR((LOOKUP(2,1/(U$3:U$100&lt;&gt;""),U$3:U$100)),0))</f>
        <v>0</v>
      </c>
    </row>
    <row r="15" spans="1:33" ht="18" customHeight="1" x14ac:dyDescent="0.35">
      <c r="A15" s="18" t="s">
        <v>47</v>
      </c>
      <c r="B15" s="8">
        <f t="array" ref="B15">LOOKUP(2,1 / (L$3:L$100 &lt;&gt;""), L$3:L$100)</f>
        <v>44768</v>
      </c>
    </row>
    <row r="16" spans="1:33" ht="18" customHeight="1" x14ac:dyDescent="0.35">
      <c r="A16" s="18" t="s">
        <v>48</v>
      </c>
      <c r="B16" s="1" t="str">
        <f t="array" aca="1" ref="B16" ca="1">LOOKUP(2,1 / (O$3:O$100 &lt;&gt;""), O$3:O$100)</f>
        <v>Yes</v>
      </c>
    </row>
    <row r="17" spans="1:2" ht="18" customHeight="1" x14ac:dyDescent="0.35">
      <c r="A17" s="2" t="s">
        <v>49</v>
      </c>
      <c r="B17" s="28">
        <f>(IFERROR((LOOKUP(2,1/(Q$3:Q$100&lt;&gt;""),Q$3:Q$100)),0))</f>
        <v>2</v>
      </c>
    </row>
    <row r="18" spans="1:2" ht="18" customHeight="1" x14ac:dyDescent="0.35">
      <c r="A18" s="2" t="s">
        <v>50</v>
      </c>
      <c r="B18" s="8" t="e">
        <f>LOOKUP(2,1 / (X$3:X$9 &lt;&gt;""), X$3:X$9)</f>
        <v>#N/A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4"/>
  <sheetViews>
    <sheetView workbookViewId="0">
      <selection activeCell="A3" sqref="A3"/>
    </sheetView>
  </sheetViews>
  <sheetFormatPr defaultRowHeight="14.4" x14ac:dyDescent="0.3"/>
  <cols>
    <col min="1" max="9" width="21.44140625" style="33" customWidth="1"/>
  </cols>
  <sheetData>
    <row r="1" spans="1:9" ht="41.4" customHeight="1" x14ac:dyDescent="0.3">
      <c r="A1" s="20" t="s">
        <v>51</v>
      </c>
      <c r="B1" s="21" t="s">
        <v>93</v>
      </c>
      <c r="C1" s="22"/>
      <c r="D1" s="20"/>
      <c r="E1" s="21"/>
      <c r="F1" s="22"/>
      <c r="G1" s="20"/>
      <c r="H1" s="21"/>
      <c r="I1" s="22"/>
    </row>
    <row r="2" spans="1:9" ht="41.4" customHeight="1" x14ac:dyDescent="0.3">
      <c r="A2" s="23" t="s">
        <v>51</v>
      </c>
      <c r="B2" s="16" t="s">
        <v>57</v>
      </c>
      <c r="C2" s="24"/>
      <c r="D2" s="23"/>
      <c r="E2" s="16"/>
      <c r="F2" s="24"/>
      <c r="G2" s="23"/>
      <c r="H2" s="16"/>
      <c r="I2" s="24"/>
    </row>
    <row r="3" spans="1:9" ht="41.4" customHeight="1" x14ac:dyDescent="0.3">
      <c r="A3" s="23" t="s">
        <v>94</v>
      </c>
      <c r="B3" s="16"/>
      <c r="C3" s="24"/>
      <c r="D3" s="23"/>
      <c r="E3" s="16"/>
      <c r="F3" s="24"/>
      <c r="G3" s="23"/>
      <c r="H3" s="16"/>
      <c r="I3" s="24"/>
    </row>
    <row r="4" spans="1:9" ht="41.4" customHeight="1" thickBot="1" x14ac:dyDescent="0.35">
      <c r="A4" s="25" t="s">
        <v>95</v>
      </c>
      <c r="B4" s="26"/>
      <c r="C4" s="27"/>
      <c r="D4" s="25"/>
      <c r="E4" s="26"/>
      <c r="F4" s="27"/>
      <c r="G4" s="25"/>
      <c r="H4" s="26"/>
      <c r="I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Master List</vt:lpstr>
      <vt:lpstr>PBxZ</vt:lpstr>
      <vt:lpstr>WG</vt:lpstr>
      <vt:lpstr>MAC</vt:lpstr>
      <vt:lpstr>Jungle Cookies</vt:lpstr>
      <vt:lpstr>P.P.</vt:lpstr>
      <vt:lpstr>GMO x Larry</vt:lpstr>
      <vt:lpstr>Runtz</vt:lpstr>
      <vt:lpstr>Meat Breath</vt:lpstr>
      <vt:lpstr>Wedding Pie</vt:lpstr>
      <vt:lpstr>Wedding Cake</vt:lpstr>
      <vt:lpstr>Silver Kush</vt:lpstr>
      <vt:lpstr>Violet Vixen</vt:lpstr>
      <vt:lpstr>ICC</vt:lpstr>
      <vt:lpstr>Sour Sniffets</vt:lpstr>
      <vt:lpstr>Chem Diesel</vt:lpstr>
      <vt:lpstr>Ethos Cookies</vt:lpstr>
      <vt:lpstr>Topanga Canyon</vt:lpstr>
      <vt:lpstr>Mandarin Cookies</vt:lpstr>
      <vt:lpstr>CG</vt:lpstr>
      <vt:lpstr>CRP</vt:lpstr>
      <vt:lpstr>LL</vt:lpstr>
      <vt:lpstr>ICC meristem</vt:lpstr>
      <vt:lpstr>Runtz meristem</vt:lpstr>
      <vt:lpstr>GMO meristem</vt:lpstr>
      <vt:lpstr>MB15 meristem</vt:lpstr>
      <vt:lpstr>SD meristem</vt:lpstr>
      <vt:lpstr>WP meristem</vt:lpstr>
      <vt:lpstr>WTC meristem</vt:lpstr>
      <vt:lpstr>LC meristem</vt:lpstr>
      <vt:lpstr>Banana OG meristem</vt:lpstr>
      <vt:lpstr>Violet Vixen meristem</vt:lpstr>
      <vt:lpstr>JC meristem</vt:lpstr>
      <vt:lpstr>Sun Cake meristem</vt:lpstr>
      <vt:lpstr>WC meristem</vt:lpstr>
      <vt:lpstr>MAC meristem</vt:lpstr>
      <vt:lpstr>Silver Kush meristem</vt:lpstr>
      <vt:lpstr>WG meristem</vt:lpstr>
      <vt:lpstr>Meat Breath meristem</vt:lpstr>
      <vt:lpstr>CL4 meristem</vt:lpstr>
      <vt:lpstr>PBxZ meristem</vt:lpstr>
      <vt:lpstr>BR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2019-02-24T04:31:45Z</dcterms:created>
  <dcterms:modified xsi:type="dcterms:W3CDTF">2022-10-13T11:54:33Z</dcterms:modified>
</cp:coreProperties>
</file>