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rn-my.sharepoint.com/personal/bba22f11_namal_edu_pk/Documents/"/>
    </mc:Choice>
  </mc:AlternateContent>
  <xr:revisionPtr revIDLastSave="0" documentId="8_{CE43A75C-1890-4061-AB4A-CE49CDFF42B4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Financial Stat Kohinoor Textile" sheetId="2" r:id="rId1"/>
    <sheet name="Financial Stat. Gadoon Textile" sheetId="3" r:id="rId2"/>
    <sheet name="Analysis" sheetId="5" r:id="rId3"/>
    <sheet name="Clean Data" sheetId="6" r:id="rId4"/>
    <sheet name="Pivot Tables" sheetId="7" r:id="rId5"/>
  </sheets>
  <definedNames>
    <definedName name="assets_22g">'Financial Stat. Gadoon Textile'!$I$11</definedName>
    <definedName name="assets_22k">'Financial Stat Kohinoor Textile'!$H$10</definedName>
    <definedName name="assets_23g">'Financial Stat. Gadoon Textile'!$H$11</definedName>
    <definedName name="assets_23k">'Financial Stat Kohinoor Textile'!$G$10</definedName>
    <definedName name="avginv_g">Analysis!$Q$25</definedName>
    <definedName name="avginv_k">Analysis!$Q$24</definedName>
    <definedName name="avgrec_g">Analysis!$S$35</definedName>
    <definedName name="avgrec_k">Analysis!$S$34</definedName>
    <definedName name="bvp_22g">Analysis!$Q$56</definedName>
    <definedName name="bvp_22k">Analysis!$O$56</definedName>
    <definedName name="bvp_23g">Analysis!$P$56</definedName>
    <definedName name="bvp_23k">Analysis!$N$56</definedName>
    <definedName name="ca_22g">'Financial Stat. Gadoon Textile'!$I$12</definedName>
    <definedName name="ca_22k">'Financial Stat Kohinoor Textile'!$H$11</definedName>
    <definedName name="ca_23g">'Financial Stat. Gadoon Textile'!$H$12</definedName>
    <definedName name="ca_23k">'Financial Stat Kohinoor Textile'!$G$11</definedName>
    <definedName name="cash_22g">'Financial Stat. Gadoon Textile'!$I$13</definedName>
    <definedName name="cash_22k">'Financial Stat Kohinoor Textile'!$H$12</definedName>
    <definedName name="cash_23g">'Financial Stat. Gadoon Textile'!$H$13</definedName>
    <definedName name="cash_23k">'Financial Stat Kohinoor Textile'!$G$12</definedName>
    <definedName name="cgs_22g">'Financial Stat. Gadoon Textile'!$S$10</definedName>
    <definedName name="cgs_22k">'Financial Stat Kohinoor Textile'!$R$11</definedName>
    <definedName name="cgs_23g">'Financial Stat. Gadoon Textile'!$R$10</definedName>
    <definedName name="cgs_23k">'Financial Stat Kohinoor Textile'!$Q$11</definedName>
    <definedName name="cl_22g">'Financial Stat. Gadoon Textile'!$I$25</definedName>
    <definedName name="cl_22k">'Financial Stat Kohinoor Textile'!$H$24</definedName>
    <definedName name="cl_23g">'Financial Stat. Gadoon Textile'!$H$25</definedName>
    <definedName name="cl_23k">'Financial Stat Kohinoor Textile'!$G$24</definedName>
    <definedName name="cp_22g">Analysis!$N$50</definedName>
    <definedName name="cp_22k">Analysis!$Q$50</definedName>
    <definedName name="cp_23g">Analysis!$N$49</definedName>
    <definedName name="cp_23k">Analysis!$Q$49</definedName>
    <definedName name="div_22g">'Financial Stat. Gadoon Textile'!$X$40</definedName>
    <definedName name="div_22k">'Financial Stat Kohinoor Textile'!$V$34</definedName>
    <definedName name="div_23g">'Financial Stat. Gadoon Textile'!$W$40</definedName>
    <definedName name="div_23k">'Financial Stat Kohinoor Textile'!$U$34</definedName>
    <definedName name="ebit_22g">'Financial Stat. Gadoon Textile'!$S$20</definedName>
    <definedName name="ebit_22k">'Financial Stat Kohinoor Textile'!$R$21</definedName>
    <definedName name="ebit_23g">'Financial Stat. Gadoon Textile'!$R$20</definedName>
    <definedName name="ebit_23k">'Financial Stat Kohinoor Textile'!$Q$21</definedName>
    <definedName name="ebt_22g">'Financial Stat. Gadoon Textile'!$S$23</definedName>
    <definedName name="ebt_22k">'Financial Stat Kohinoor Textile'!$R$24</definedName>
    <definedName name="ebt_23g">'Financial Stat. Gadoon Textile'!$R$23</definedName>
    <definedName name="ebt_23k">'Financial Stat Kohinoor Textile'!$Q$24</definedName>
    <definedName name="eps_22g">'Financial Stat. Gadoon Textile'!$S$27</definedName>
    <definedName name="eps_22k">'Financial Stat Kohinoor Textile'!$R$28</definedName>
    <definedName name="eps_23g">'Financial Stat. Gadoon Textile'!$R$27</definedName>
    <definedName name="eps_23k">'Financial Stat Kohinoor Textile'!$Q$28</definedName>
    <definedName name="eq_22g">'Financial Stat. Gadoon Textile'!$I$36</definedName>
    <definedName name="eq_22k">'Financial Stat Kohinoor Textile'!$H$35</definedName>
    <definedName name="eq_23g">'Financial Stat. Gadoon Textile'!$H$36</definedName>
    <definedName name="eq_23k">'Financial Stat Kohinoor Textile'!$G$35</definedName>
    <definedName name="fc_22g">'Financial Stat. Gadoon Textile'!$S$22</definedName>
    <definedName name="fc_22k">'Financial Stat Kohinoor Textile'!$R$23</definedName>
    <definedName name="fc_23g">'Financial Stat. Gadoon Textile'!$R$22</definedName>
    <definedName name="fc_23k">'Financial Stat Kohinoor Textile'!$Q$23</definedName>
    <definedName name="gp_22g">'Financial Stat. Gadoon Textile'!$S$11</definedName>
    <definedName name="gp_22k">'Financial Stat Kohinoor Textile'!$R$12</definedName>
    <definedName name="gp_23g">'Financial Stat. Gadoon Textile'!$R$11</definedName>
    <definedName name="gp_23k">'Financial Stat Kohinoor Textile'!$Q$12</definedName>
    <definedName name="inv_21k">'Financial Stat Kohinoor Textile'!$J$15</definedName>
    <definedName name="inv_22g">'Financial Stat. Gadoon Textile'!$I$16</definedName>
    <definedName name="inv_22k">'Financial Stat Kohinoor Textile'!$H$15</definedName>
    <definedName name="inv_23g">'Financial Stat. Gadoon Textile'!$H$16</definedName>
    <definedName name="inv_23k">'Financial Stat Kohinoor Textile'!$G$15</definedName>
    <definedName name="liabilities_22g">'Financial Stat. Gadoon Textile'!$I$24</definedName>
    <definedName name="liabilities_22k">'Financial Stat Kohinoor Textile'!$H$23</definedName>
    <definedName name="liabilities_23g">'Financial Stat. Gadoon Textile'!$H$24</definedName>
    <definedName name="liabilities_23k">'Financial Stat Kohinoor Textile'!$G$23</definedName>
    <definedName name="mvps_22g">Analysis!$Q$61</definedName>
    <definedName name="mvps_22k">Analysis!$O$61</definedName>
    <definedName name="mvps_23g">Analysis!$P$61</definedName>
    <definedName name="mvps_k23">Analysis!$N$61</definedName>
    <definedName name="nca_22g">'Financial Stat. Gadoon Textile'!$I$19</definedName>
    <definedName name="nca_22k">'Financial Stat Kohinoor Textile'!$H$18</definedName>
    <definedName name="nca_23g">'Financial Stat. Gadoon Textile'!$H$19</definedName>
    <definedName name="nca_23k">'Financial Stat Kohinoor Textile'!$G$18</definedName>
    <definedName name="ncl_22g">'Financial Stat. Gadoon Textile'!$I$30</definedName>
    <definedName name="ncl_22k">'Financial Stat Kohinoor Textile'!$H$29</definedName>
    <definedName name="ncl_23g">'Financial Stat. Gadoon Textile'!$H$30</definedName>
    <definedName name="ncl_23k">'Financial Stat Kohinoor Textile'!$G$29</definedName>
    <definedName name="np_22g">'Financial Stat. Gadoon Textile'!$S$26</definedName>
    <definedName name="np_22k">'Financial Stat Kohinoor Textile'!$R$27</definedName>
    <definedName name="np_23g">'Financial Stat. Gadoon Textile'!$R$26</definedName>
    <definedName name="np_23k">'Financial Stat Kohinoor Textile'!$Q$27</definedName>
    <definedName name="ns_22g">'Financial Stat. Gadoon Textile'!$S$9</definedName>
    <definedName name="ns_22k">'Financial Stat Kohinoor Textile'!$R$10</definedName>
    <definedName name="ns_23g">'Financial Stat. Gadoon Textile'!$R$9</definedName>
    <definedName name="ns_23k">'Financial Stat Kohinoor Textile'!$Q$10</definedName>
    <definedName name="ocf_22g">'Financial Stat. Gadoon Textile'!$AC$10</definedName>
    <definedName name="ocf_22k">'Financial Stat Kohinoor Textile'!$AA$10</definedName>
    <definedName name="ocf_23g">'Financial Stat. Gadoon Textile'!$AB$10</definedName>
    <definedName name="ocf_23k">'Financial Stat Kohinoor Textile'!$Z$10</definedName>
    <definedName name="payb_21k">Analysis!$N$18</definedName>
    <definedName name="payb_22g">Analysis!$P$17</definedName>
    <definedName name="payb_22k">Analysis!$N$17</definedName>
    <definedName name="payb_23g">Analysis!$P$16</definedName>
    <definedName name="payb_23k">Analysis!$N$16</definedName>
    <definedName name="prep_22g">'Financial Stat. Gadoon Textile'!$I$17</definedName>
    <definedName name="prep_22k">'Financial Stat Kohinoor Textile'!$H$16</definedName>
    <definedName name="prep_23g">'Financial Stat. Gadoon Textile'!$H$17</definedName>
    <definedName name="prep_23k">'Financial Stat Kohinoor Textile'!$G$16</definedName>
    <definedName name="rec_21k">'Financial Stat Kohinoor Textile'!$J$14</definedName>
    <definedName name="rec_22g">'Financial Stat. Gadoon Textile'!$I$15</definedName>
    <definedName name="rec_22K">'Financial Stat Kohinoor Textile'!$H$14</definedName>
    <definedName name="rec_23g">'Financial Stat. Gadoon Textile'!$H$15</definedName>
    <definedName name="rec_23k">'Financial Stat Kohinoor Textile'!$G$14</definedName>
    <definedName name="sti_22g">'Financial Stat. Gadoon Textile'!$I$14</definedName>
    <definedName name="sti_22k">'Financial Stat Kohinoor Textile'!$H$13</definedName>
    <definedName name="sti_23g">'Financial Stat. Gadoon Textile'!$H$14</definedName>
    <definedName name="sti_23k">'Financial Stat Kohinoor Textile'!$G$13</definedName>
    <definedName name="stls_22g">'Financial Stat. Gadoon Textile'!$I$28</definedName>
    <definedName name="stls_22k">'Financial Stat Kohinoor Textile'!$H$27</definedName>
    <definedName name="stls_23g">'Financial Stat. Gadoon Textile'!$H$28</definedName>
    <definedName name="stls_23k">'Financial Stat Kohinoor Textile'!$G$27</definedName>
    <definedName name="tcr_22g">'Financial Stat. Gadoon Textile'!$I$27</definedName>
    <definedName name="tcr_22k">'Financial Stat Kohinoor Textile'!$H$26</definedName>
    <definedName name="tcr_23g">'Financial Stat. Gadoon Textile'!$H$27</definedName>
    <definedName name="tcr_23k">'Financial Stat Kohinoor Textile'!$G$26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6" l="1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F24" i="6" s="1"/>
  <c r="G24" i="6" s="1"/>
  <c r="E23" i="6"/>
  <c r="D23" i="6"/>
  <c r="C23" i="6"/>
  <c r="H23" i="6" s="1"/>
  <c r="I23" i="6" s="1"/>
  <c r="E22" i="6"/>
  <c r="D22" i="6"/>
  <c r="C22" i="6"/>
  <c r="E21" i="6"/>
  <c r="H21" i="6" s="1"/>
  <c r="I21" i="6" s="1"/>
  <c r="D21" i="6"/>
  <c r="C21" i="6"/>
  <c r="E17" i="6"/>
  <c r="E20" i="6" s="1"/>
  <c r="D17" i="6"/>
  <c r="D20" i="6" s="1"/>
  <c r="C17" i="6"/>
  <c r="F17" i="6" s="1"/>
  <c r="G17" i="6" s="1"/>
  <c r="E16" i="6"/>
  <c r="E19" i="6" s="1"/>
  <c r="D16" i="6"/>
  <c r="D19" i="6" s="1"/>
  <c r="C16" i="6"/>
  <c r="E15" i="6"/>
  <c r="E18" i="6" s="1"/>
  <c r="D15" i="6"/>
  <c r="D18" i="6" s="1"/>
  <c r="C15" i="6"/>
  <c r="C18" i="6" s="1"/>
  <c r="E14" i="6"/>
  <c r="D14" i="6"/>
  <c r="C14" i="6"/>
  <c r="E13" i="6"/>
  <c r="D13" i="6"/>
  <c r="C13" i="6"/>
  <c r="F13" i="6" s="1"/>
  <c r="G13" i="6" s="1"/>
  <c r="E12" i="6"/>
  <c r="D12" i="6"/>
  <c r="C12" i="6"/>
  <c r="E11" i="6"/>
  <c r="D11" i="6"/>
  <c r="C11" i="6"/>
  <c r="E10" i="6"/>
  <c r="D10" i="6"/>
  <c r="C10" i="6"/>
  <c r="E9" i="6"/>
  <c r="D9" i="6"/>
  <c r="C9" i="6"/>
  <c r="F9" i="6" s="1"/>
  <c r="G9" i="6" s="1"/>
  <c r="E8" i="6"/>
  <c r="D8" i="6"/>
  <c r="C8" i="6"/>
  <c r="F7" i="6"/>
  <c r="G7" i="6" s="1"/>
  <c r="E7" i="6"/>
  <c r="D7" i="6"/>
  <c r="C7" i="6"/>
  <c r="E6" i="6"/>
  <c r="H6" i="6" s="1"/>
  <c r="I6" i="6" s="1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K35" i="2"/>
  <c r="K34" i="2"/>
  <c r="L34" i="2"/>
  <c r="B6" i="5"/>
  <c r="P19" i="5"/>
  <c r="O19" i="5"/>
  <c r="N19" i="5"/>
  <c r="Q51" i="5"/>
  <c r="D55" i="5"/>
  <c r="B55" i="5"/>
  <c r="C55" i="5"/>
  <c r="X34" i="2"/>
  <c r="S28" i="2"/>
  <c r="N63" i="5"/>
  <c r="N57" i="5"/>
  <c r="K33" i="2"/>
  <c r="L32" i="2"/>
  <c r="K32" i="2"/>
  <c r="X11" i="2"/>
  <c r="X12" i="2"/>
  <c r="X13" i="2"/>
  <c r="X14" i="2"/>
  <c r="X15" i="2"/>
  <c r="X16" i="2"/>
  <c r="X10" i="2"/>
  <c r="K30" i="2"/>
  <c r="J16" i="2"/>
  <c r="H53" i="5"/>
  <c r="F53" i="5"/>
  <c r="H30" i="5"/>
  <c r="H31" i="5"/>
  <c r="F32" i="5"/>
  <c r="F30" i="5"/>
  <c r="H29" i="5"/>
  <c r="F29" i="5"/>
  <c r="H54" i="5"/>
  <c r="H52" i="5"/>
  <c r="F54" i="5"/>
  <c r="F52" i="5"/>
  <c r="D29" i="5"/>
  <c r="C29" i="5"/>
  <c r="B29" i="5"/>
  <c r="J25" i="2"/>
  <c r="H29" i="6" l="1"/>
  <c r="I29" i="6" s="1"/>
  <c r="H31" i="6"/>
  <c r="I31" i="6" s="1"/>
  <c r="F22" i="6"/>
  <c r="G22" i="6" s="1"/>
  <c r="F3" i="6"/>
  <c r="G3" i="6" s="1"/>
  <c r="F5" i="6"/>
  <c r="G5" i="6" s="1"/>
  <c r="F11" i="6"/>
  <c r="G11" i="6" s="1"/>
  <c r="H5" i="6"/>
  <c r="I5" i="6" s="1"/>
  <c r="H7" i="6"/>
  <c r="I7" i="6" s="1"/>
  <c r="F8" i="6"/>
  <c r="G8" i="6" s="1"/>
  <c r="H14" i="6"/>
  <c r="I14" i="6" s="1"/>
  <c r="F15" i="6"/>
  <c r="G15" i="6" s="1"/>
  <c r="F21" i="6"/>
  <c r="G21" i="6" s="1"/>
  <c r="F26" i="6"/>
  <c r="G26" i="6" s="1"/>
  <c r="F27" i="6"/>
  <c r="G27" i="6" s="1"/>
  <c r="F6" i="6"/>
  <c r="G6" i="6" s="1"/>
  <c r="H13" i="6"/>
  <c r="I13" i="6" s="1"/>
  <c r="F16" i="6"/>
  <c r="G16" i="6" s="1"/>
  <c r="H22" i="6"/>
  <c r="I22" i="6" s="1"/>
  <c r="F23" i="6"/>
  <c r="G23" i="6" s="1"/>
  <c r="F25" i="6"/>
  <c r="G25" i="6" s="1"/>
  <c r="F29" i="6"/>
  <c r="G29" i="6" s="1"/>
  <c r="F2" i="6"/>
  <c r="G2" i="6" s="1"/>
  <c r="C20" i="6"/>
  <c r="H20" i="6" s="1"/>
  <c r="I20" i="6" s="1"/>
  <c r="H2" i="6"/>
  <c r="I2" i="6" s="1"/>
  <c r="H10" i="6"/>
  <c r="I10" i="6" s="1"/>
  <c r="H26" i="6"/>
  <c r="I26" i="6" s="1"/>
  <c r="H30" i="6"/>
  <c r="I30" i="6" s="1"/>
  <c r="F10" i="6"/>
  <c r="G10" i="6" s="1"/>
  <c r="H3" i="6"/>
  <c r="I3" i="6" s="1"/>
  <c r="F4" i="6"/>
  <c r="G4" i="6" s="1"/>
  <c r="H9" i="6"/>
  <c r="I9" i="6" s="1"/>
  <c r="H11" i="6"/>
  <c r="I11" i="6" s="1"/>
  <c r="F12" i="6"/>
  <c r="G12" i="6" s="1"/>
  <c r="F14" i="6"/>
  <c r="G14" i="6" s="1"/>
  <c r="H17" i="6"/>
  <c r="I17" i="6" s="1"/>
  <c r="H25" i="6"/>
  <c r="I25" i="6" s="1"/>
  <c r="H27" i="6"/>
  <c r="I27" i="6" s="1"/>
  <c r="F28" i="6"/>
  <c r="G28" i="6" s="1"/>
  <c r="H18" i="6"/>
  <c r="I18" i="6" s="1"/>
  <c r="F18" i="6"/>
  <c r="G18" i="6" s="1"/>
  <c r="F31" i="6"/>
  <c r="G31" i="6" s="1"/>
  <c r="H4" i="6"/>
  <c r="I4" i="6" s="1"/>
  <c r="H8" i="6"/>
  <c r="I8" i="6" s="1"/>
  <c r="H12" i="6"/>
  <c r="I12" i="6" s="1"/>
  <c r="H16" i="6"/>
  <c r="I16" i="6" s="1"/>
  <c r="C19" i="6"/>
  <c r="H24" i="6"/>
  <c r="I24" i="6" s="1"/>
  <c r="H28" i="6"/>
  <c r="I28" i="6" s="1"/>
  <c r="F30" i="6"/>
  <c r="G30" i="6" s="1"/>
  <c r="H15" i="6"/>
  <c r="I15" i="6" s="1"/>
  <c r="D28" i="5"/>
  <c r="D31" i="5" s="1"/>
  <c r="C28" i="5"/>
  <c r="C31" i="5" s="1"/>
  <c r="J14" i="2"/>
  <c r="B28" i="5"/>
  <c r="D27" i="5"/>
  <c r="D30" i="5" s="1"/>
  <c r="C27" i="5"/>
  <c r="C30" i="5" s="1"/>
  <c r="B27" i="5"/>
  <c r="G55" i="5"/>
  <c r="H55" i="5" s="1"/>
  <c r="D54" i="5"/>
  <c r="G54" i="5" s="1"/>
  <c r="C54" i="5"/>
  <c r="B54" i="5"/>
  <c r="G53" i="5"/>
  <c r="D53" i="5"/>
  <c r="C53" i="5"/>
  <c r="B53" i="5"/>
  <c r="D52" i="5"/>
  <c r="C52" i="5"/>
  <c r="B52" i="5"/>
  <c r="O62" i="5"/>
  <c r="P62" i="5"/>
  <c r="Q62" i="5"/>
  <c r="E53" i="5"/>
  <c r="E54" i="5"/>
  <c r="N62" i="5"/>
  <c r="P56" i="5"/>
  <c r="Q56" i="5"/>
  <c r="D44" i="5"/>
  <c r="C44" i="5"/>
  <c r="B44" i="5"/>
  <c r="O56" i="5"/>
  <c r="N56" i="5"/>
  <c r="D32" i="5"/>
  <c r="F18" i="5"/>
  <c r="R10" i="3"/>
  <c r="B40" i="5"/>
  <c r="H19" i="5"/>
  <c r="F19" i="5"/>
  <c r="D19" i="5"/>
  <c r="C19" i="5"/>
  <c r="B19" i="5"/>
  <c r="H17" i="5"/>
  <c r="F17" i="5"/>
  <c r="H16" i="5"/>
  <c r="F16" i="5"/>
  <c r="C42" i="5"/>
  <c r="J15" i="2"/>
  <c r="H18" i="5"/>
  <c r="D18" i="5"/>
  <c r="C18" i="5"/>
  <c r="E18" i="5" s="1"/>
  <c r="B18" i="5"/>
  <c r="D17" i="5"/>
  <c r="G17" i="5" s="1"/>
  <c r="C17" i="5"/>
  <c r="B17" i="5"/>
  <c r="D16" i="5"/>
  <c r="C16" i="5"/>
  <c r="B16" i="5"/>
  <c r="AD12" i="3"/>
  <c r="AD14" i="3"/>
  <c r="AD16" i="3"/>
  <c r="AD10" i="3"/>
  <c r="C9" i="5"/>
  <c r="E9" i="5" s="1"/>
  <c r="B9" i="5"/>
  <c r="C8" i="5"/>
  <c r="B8" i="5"/>
  <c r="C7" i="5"/>
  <c r="E7" i="5" s="1"/>
  <c r="B7" i="5"/>
  <c r="C6" i="5"/>
  <c r="C5" i="5"/>
  <c r="E5" i="5" s="1"/>
  <c r="F5" i="5" s="1"/>
  <c r="B5" i="5"/>
  <c r="G10" i="2"/>
  <c r="I10" i="2" s="1"/>
  <c r="H10" i="2"/>
  <c r="G11" i="2"/>
  <c r="I11" i="2" s="1"/>
  <c r="H11" i="2"/>
  <c r="R27" i="3"/>
  <c r="S27" i="3"/>
  <c r="I29" i="3"/>
  <c r="H29" i="3"/>
  <c r="G12" i="2"/>
  <c r="I12" i="2" s="1"/>
  <c r="H12" i="2"/>
  <c r="G13" i="2"/>
  <c r="I13" i="2" s="1"/>
  <c r="H13" i="2"/>
  <c r="G14" i="2"/>
  <c r="I14" i="2" s="1"/>
  <c r="H14" i="2"/>
  <c r="G15" i="2"/>
  <c r="I15" i="2" s="1"/>
  <c r="H15" i="2"/>
  <c r="G16" i="2"/>
  <c r="I16" i="2" s="1"/>
  <c r="H16" i="2"/>
  <c r="G17" i="2"/>
  <c r="H17" i="2"/>
  <c r="G18" i="2"/>
  <c r="I18" i="2" s="1"/>
  <c r="H18" i="2"/>
  <c r="G19" i="2"/>
  <c r="I19" i="2" s="1"/>
  <c r="H19" i="2"/>
  <c r="G20" i="2"/>
  <c r="I20" i="2" s="1"/>
  <c r="H20" i="2"/>
  <c r="G21" i="2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I27" i="2" s="1"/>
  <c r="H27" i="2"/>
  <c r="G28" i="2"/>
  <c r="H28" i="2"/>
  <c r="G29" i="2"/>
  <c r="I29" i="2" s="1"/>
  <c r="H29" i="2"/>
  <c r="G30" i="2"/>
  <c r="H30" i="2"/>
  <c r="G31" i="2"/>
  <c r="I31" i="2" s="1"/>
  <c r="H31" i="2"/>
  <c r="G32" i="2"/>
  <c r="I32" i="2" s="1"/>
  <c r="H32" i="2"/>
  <c r="G33" i="2"/>
  <c r="H33" i="2"/>
  <c r="G34" i="2"/>
  <c r="I34" i="2" s="1"/>
  <c r="H34" i="2"/>
  <c r="G35" i="2"/>
  <c r="I35" i="2" s="1"/>
  <c r="H35" i="2"/>
  <c r="G36" i="2"/>
  <c r="I36" i="2" s="1"/>
  <c r="H36" i="2"/>
  <c r="G37" i="2"/>
  <c r="I37" i="2" s="1"/>
  <c r="H37" i="2"/>
  <c r="G38" i="2"/>
  <c r="H38" i="2"/>
  <c r="G39" i="2"/>
  <c r="H39" i="2"/>
  <c r="Z11" i="2"/>
  <c r="AA11" i="2"/>
  <c r="Z12" i="2"/>
  <c r="AB12" i="2" s="1"/>
  <c r="AA12" i="2"/>
  <c r="Z13" i="2"/>
  <c r="AA13" i="2"/>
  <c r="Z14" i="2"/>
  <c r="AB14" i="2" s="1"/>
  <c r="AA14" i="2"/>
  <c r="Z15" i="2"/>
  <c r="AA15" i="2"/>
  <c r="Z16" i="2"/>
  <c r="AB16" i="2" s="1"/>
  <c r="AA16" i="2"/>
  <c r="Z17" i="2"/>
  <c r="AA17" i="2"/>
  <c r="AA10" i="2"/>
  <c r="Z10" i="2"/>
  <c r="AB10" i="2" s="1"/>
  <c r="Q11" i="2"/>
  <c r="R11" i="2"/>
  <c r="Q12" i="2"/>
  <c r="B38" i="5" s="1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B39" i="5" s="1"/>
  <c r="R21" i="2"/>
  <c r="C39" i="5" s="1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R10" i="2"/>
  <c r="C26" i="5" s="1"/>
  <c r="Q10" i="2"/>
  <c r="S10" i="2" s="1"/>
  <c r="F20" i="6" l="1"/>
  <c r="G20" i="6" s="1"/>
  <c r="H19" i="6"/>
  <c r="I19" i="6" s="1"/>
  <c r="F19" i="6"/>
  <c r="G19" i="6" s="1"/>
  <c r="G29" i="5"/>
  <c r="G28" i="5"/>
  <c r="H28" i="5" s="1"/>
  <c r="B30" i="5"/>
  <c r="E30" i="5" s="1"/>
  <c r="E55" i="5"/>
  <c r="F55" i="5" s="1"/>
  <c r="G52" i="5"/>
  <c r="E52" i="5"/>
  <c r="E29" i="5"/>
  <c r="C32" i="5"/>
  <c r="B31" i="5"/>
  <c r="E31" i="5" s="1"/>
  <c r="F31" i="5" s="1"/>
  <c r="B32" i="5"/>
  <c r="E28" i="5"/>
  <c r="F28" i="5" s="1"/>
  <c r="C24" i="5"/>
  <c r="C40" i="5"/>
  <c r="E40" i="5" s="1"/>
  <c r="F40" i="5" s="1"/>
  <c r="C38" i="5"/>
  <c r="E38" i="5" s="1"/>
  <c r="F38" i="5" s="1"/>
  <c r="C25" i="5"/>
  <c r="C41" i="5"/>
  <c r="B41" i="5"/>
  <c r="B15" i="5"/>
  <c r="B43" i="5"/>
  <c r="C15" i="5"/>
  <c r="E15" i="5" s="1"/>
  <c r="F15" i="5" s="1"/>
  <c r="E41" i="5"/>
  <c r="F41" i="5" s="1"/>
  <c r="C43" i="5"/>
  <c r="E43" i="5" s="1"/>
  <c r="F43" i="5" s="1"/>
  <c r="S27" i="2"/>
  <c r="S21" i="2"/>
  <c r="B25" i="5"/>
  <c r="E25" i="5" s="1"/>
  <c r="F25" i="5" s="1"/>
  <c r="B42" i="5"/>
  <c r="E42" i="5" s="1"/>
  <c r="F42" i="5" s="1"/>
  <c r="E39" i="5"/>
  <c r="F39" i="5" s="1"/>
  <c r="B24" i="5"/>
  <c r="E24" i="5" s="1"/>
  <c r="F24" i="5" s="1"/>
  <c r="B26" i="5"/>
  <c r="E44" i="5"/>
  <c r="F44" i="5" s="1"/>
  <c r="T27" i="3"/>
  <c r="S17" i="2"/>
  <c r="S15" i="2"/>
  <c r="S11" i="2"/>
  <c r="S26" i="2"/>
  <c r="S24" i="2"/>
  <c r="S18" i="2"/>
  <c r="S14" i="2"/>
  <c r="S12" i="2"/>
  <c r="S23" i="2"/>
  <c r="E27" i="5"/>
  <c r="F27" i="5" s="1"/>
  <c r="G16" i="5"/>
  <c r="E6" i="5"/>
  <c r="F6" i="5" s="1"/>
  <c r="E8" i="5"/>
  <c r="G18" i="5"/>
  <c r="E19" i="5"/>
  <c r="E16" i="5"/>
  <c r="E26" i="5"/>
  <c r="F26" i="5" s="1"/>
  <c r="G19" i="5"/>
  <c r="E17" i="5"/>
  <c r="F9" i="5"/>
  <c r="F8" i="5"/>
  <c r="F7" i="5"/>
  <c r="AB11" i="3"/>
  <c r="AC11" i="3"/>
  <c r="AB12" i="3"/>
  <c r="AC12" i="3"/>
  <c r="AB13" i="3"/>
  <c r="AC13" i="3"/>
  <c r="AB14" i="3"/>
  <c r="AC14" i="3"/>
  <c r="AB15" i="3"/>
  <c r="AC15" i="3"/>
  <c r="AB16" i="3"/>
  <c r="AC16" i="3"/>
  <c r="AC10" i="3"/>
  <c r="AB10" i="3"/>
  <c r="G32" i="5" l="1"/>
  <c r="H32" i="5" s="1"/>
  <c r="E32" i="5"/>
  <c r="G31" i="5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T25" i="3" s="1"/>
  <c r="S25" i="3"/>
  <c r="R26" i="3"/>
  <c r="S26" i="3"/>
  <c r="S9" i="3"/>
  <c r="T17" i="3" l="1"/>
  <c r="T13" i="3"/>
  <c r="D39" i="5"/>
  <c r="T22" i="3"/>
  <c r="T16" i="3"/>
  <c r="T14" i="3"/>
  <c r="T11" i="3"/>
  <c r="D40" i="5"/>
  <c r="G40" i="5" s="1"/>
  <c r="H40" i="5" s="1"/>
  <c r="T23" i="3"/>
  <c r="G44" i="5"/>
  <c r="H44" i="5" s="1"/>
  <c r="T26" i="3"/>
  <c r="D43" i="5"/>
  <c r="G43" i="5" s="1"/>
  <c r="H43" i="5" s="1"/>
  <c r="D15" i="5"/>
  <c r="G15" i="5" s="1"/>
  <c r="H15" i="5" s="1"/>
  <c r="T20" i="3"/>
  <c r="T10" i="3"/>
  <c r="R9" i="3"/>
  <c r="D41" i="5" s="1"/>
  <c r="G41" i="5" s="1"/>
  <c r="H41" i="5" s="1"/>
  <c r="G30" i="5" l="1"/>
  <c r="G27" i="5"/>
  <c r="H27" i="5" s="1"/>
  <c r="D42" i="5"/>
  <c r="G42" i="5" s="1"/>
  <c r="H42" i="5" s="1"/>
  <c r="D24" i="5"/>
  <c r="G24" i="5" s="1"/>
  <c r="H24" i="5" s="1"/>
  <c r="D25" i="5"/>
  <c r="G25" i="5" s="1"/>
  <c r="H25" i="5" s="1"/>
  <c r="D26" i="5"/>
  <c r="G26" i="5" s="1"/>
  <c r="H26" i="5" s="1"/>
  <c r="T9" i="3"/>
  <c r="G39" i="5"/>
  <c r="H39" i="5" s="1"/>
  <c r="D38" i="5"/>
  <c r="G38" i="5" s="1"/>
  <c r="H38" i="5" s="1"/>
  <c r="H12" i="3"/>
  <c r="I12" i="3"/>
  <c r="H13" i="3"/>
  <c r="I13" i="3"/>
  <c r="H14" i="3"/>
  <c r="I14" i="3"/>
  <c r="H15" i="3"/>
  <c r="J15" i="3" s="1"/>
  <c r="I15" i="3"/>
  <c r="H16" i="3"/>
  <c r="I16" i="3"/>
  <c r="H17" i="3"/>
  <c r="J17" i="3" s="1"/>
  <c r="I17" i="3"/>
  <c r="H18" i="3"/>
  <c r="I18" i="3"/>
  <c r="H19" i="3"/>
  <c r="J19" i="3" s="1"/>
  <c r="I19" i="3"/>
  <c r="H20" i="3"/>
  <c r="I20" i="3"/>
  <c r="H21" i="3"/>
  <c r="J21" i="3" s="1"/>
  <c r="I21" i="3"/>
  <c r="H22" i="3"/>
  <c r="I22" i="3"/>
  <c r="H23" i="3"/>
  <c r="I23" i="3"/>
  <c r="H24" i="3"/>
  <c r="I24" i="3"/>
  <c r="H25" i="3"/>
  <c r="I25" i="3"/>
  <c r="H26" i="3"/>
  <c r="I26" i="3"/>
  <c r="H27" i="3"/>
  <c r="J27" i="3" s="1"/>
  <c r="I27" i="3"/>
  <c r="H28" i="3"/>
  <c r="I28" i="3"/>
  <c r="H30" i="3"/>
  <c r="J30" i="3" s="1"/>
  <c r="I30" i="3"/>
  <c r="H31" i="3"/>
  <c r="I31" i="3"/>
  <c r="H32" i="3"/>
  <c r="J32" i="3" s="1"/>
  <c r="I32" i="3"/>
  <c r="H33" i="3"/>
  <c r="I33" i="3"/>
  <c r="H34" i="3"/>
  <c r="I34" i="3"/>
  <c r="H35" i="3"/>
  <c r="I35" i="3"/>
  <c r="H36" i="3"/>
  <c r="J36" i="3" s="1"/>
  <c r="I36" i="3"/>
  <c r="H37" i="3"/>
  <c r="I37" i="3"/>
  <c r="H38" i="3"/>
  <c r="J38" i="3" s="1"/>
  <c r="I38" i="3"/>
  <c r="H39" i="3"/>
  <c r="I39" i="3"/>
  <c r="H40" i="3"/>
  <c r="I40" i="3"/>
  <c r="I11" i="3"/>
  <c r="H11" i="3"/>
  <c r="J11" i="3" s="1"/>
  <c r="J25" i="3" l="1"/>
  <c r="D8" i="5"/>
  <c r="G8" i="5" s="1"/>
  <c r="H8" i="5" s="1"/>
  <c r="J37" i="3"/>
  <c r="J35" i="3"/>
  <c r="J33" i="3"/>
  <c r="J28" i="3"/>
  <c r="J26" i="3"/>
  <c r="J20" i="3"/>
  <c r="J16" i="3"/>
  <c r="D7" i="5"/>
  <c r="G7" i="5" s="1"/>
  <c r="H7" i="5" s="1"/>
  <c r="J13" i="3"/>
  <c r="J12" i="3"/>
  <c r="D9" i="5"/>
  <c r="G9" i="5" s="1"/>
  <c r="H9" i="5" s="1"/>
  <c r="D5" i="5"/>
  <c r="G5" i="5" s="1"/>
  <c r="H5" i="5" s="1"/>
  <c r="D6" i="5"/>
  <c r="G6" i="5" s="1"/>
  <c r="H6" i="5" s="1"/>
</calcChain>
</file>

<file path=xl/sharedStrings.xml><?xml version="1.0" encoding="utf-8"?>
<sst xmlns="http://schemas.openxmlformats.org/spreadsheetml/2006/main" count="683" uniqueCount="359">
  <si>
    <t>STATEMENT OF FINANCIAL POSITION As at 30 June 2023</t>
  </si>
  <si>
    <t>Non-Current Assets</t>
  </si>
  <si>
    <t xml:space="preserve">Property, plant and equipment </t>
  </si>
  <si>
    <t>Biological assets</t>
  </si>
  <si>
    <t>Long term advance</t>
  </si>
  <si>
    <t>Long term loans</t>
  </si>
  <si>
    <t>Long term deposits</t>
  </si>
  <si>
    <t>Long term investments</t>
  </si>
  <si>
    <t>Note</t>
  </si>
  <si>
    <t>2023 (Rupees in '000)</t>
  </si>
  <si>
    <t>2022 (Rupees in '000)</t>
  </si>
  <si>
    <t>Property, plant and equipment</t>
  </si>
  <si>
    <t>-</t>
  </si>
  <si>
    <t>Total Non-Current Assets</t>
  </si>
  <si>
    <t>Current Assets</t>
  </si>
  <si>
    <t>Stores, spares and loose tools</t>
  </si>
  <si>
    <t>Stock-in-trade</t>
  </si>
  <si>
    <t>Trade debts</t>
  </si>
  <si>
    <t>Loans and advances</t>
  </si>
  <si>
    <t>Trade deposits and short term prepayments</t>
  </si>
  <si>
    <t>Other receivables</t>
  </si>
  <si>
    <t>Cash and bank balances</t>
  </si>
  <si>
    <t>Total Current Assets</t>
  </si>
  <si>
    <t>Total Assets</t>
  </si>
  <si>
    <t>Assets</t>
  </si>
  <si>
    <t>EQUITY AND LIABILITIES</t>
  </si>
  <si>
    <t>Authorised</t>
  </si>
  <si>
    <t>Issued, subscribed and paid-up capital</t>
  </si>
  <si>
    <t>Reserves</t>
  </si>
  <si>
    <t>Total Equity</t>
  </si>
  <si>
    <t>Non-Current Liabilities</t>
  </si>
  <si>
    <t>Long term finance</t>
  </si>
  <si>
    <t>Deferred government grant</t>
  </si>
  <si>
    <t>Retirement benefit obligation</t>
  </si>
  <si>
    <t>Deferred tax liabilities</t>
  </si>
  <si>
    <t>Current Liabilities</t>
  </si>
  <si>
    <t>Trade and other payables</t>
  </si>
  <si>
    <t>Unclaimed dividend</t>
  </si>
  <si>
    <t>Current tax liability</t>
  </si>
  <si>
    <t>Current portion of long term finance</t>
  </si>
  <si>
    <t>Current portion of deferred government grant</t>
  </si>
  <si>
    <t>Accrued mark-up</t>
  </si>
  <si>
    <t>Short term borrowings</t>
  </si>
  <si>
    <t>Total Liabilities</t>
  </si>
  <si>
    <t>Total Equity and Liabilities</t>
  </si>
  <si>
    <t xml:space="preserve"> </t>
  </si>
  <si>
    <t xml:space="preserve">Sales - net </t>
  </si>
  <si>
    <t xml:space="preserve">Cost of sales </t>
  </si>
  <si>
    <t xml:space="preserve">Gross profit </t>
  </si>
  <si>
    <t xml:space="preserve">Distribution cost </t>
  </si>
  <si>
    <t xml:space="preserve">Administrative expenses </t>
  </si>
  <si>
    <t xml:space="preserve">Finance cost </t>
  </si>
  <si>
    <t xml:space="preserve">Other expenses </t>
  </si>
  <si>
    <t xml:space="preserve">Other income </t>
  </si>
  <si>
    <t xml:space="preserve">Share of profit from associates </t>
  </si>
  <si>
    <t xml:space="preserve">Profit before taxation </t>
  </si>
  <si>
    <t xml:space="preserve">Taxation </t>
  </si>
  <si>
    <t xml:space="preserve">Profit for the year </t>
  </si>
  <si>
    <t xml:space="preserve">Earnings per share - basic and diluted (Rupees) </t>
  </si>
  <si>
    <t>A. CASH FLOWS FROM OPERATING ACTIVITIES</t>
  </si>
  <si>
    <t xml:space="preserve">B. CASH FLOWS FROM INVESTING ACTIVITIES </t>
  </si>
  <si>
    <t xml:space="preserve">C. CASH FLOWS FROM FINANCING ACTIVITIES </t>
  </si>
  <si>
    <t xml:space="preserve">CASH AND CASH EQUIVALENTS </t>
  </si>
  <si>
    <t xml:space="preserve"> Cash (used in) / generated from operations </t>
  </si>
  <si>
    <t xml:space="preserve"> Finance cost paid </t>
  </si>
  <si>
    <t xml:space="preserve"> Income tax paid </t>
  </si>
  <si>
    <t xml:space="preserve"> Retirement benefits paid </t>
  </si>
  <si>
    <t xml:space="preserve"> Rebate received </t>
  </si>
  <si>
    <t xml:space="preserve"> Net cash (used in) / generated from operating activities </t>
  </si>
  <si>
    <t xml:space="preserve"> Purchase of property, plant and equipment </t>
  </si>
  <si>
    <t xml:space="preserve"> Short term investments made </t>
  </si>
  <si>
    <t xml:space="preserve"> Short term investments disposed off </t>
  </si>
  <si>
    <t xml:space="preserve"> Purchase of biological assets </t>
  </si>
  <si>
    <t xml:space="preserve"> Sale proceeds from disposal of property, plant and equipment </t>
  </si>
  <si>
    <t xml:space="preserve"> Sale proceeds from disposal of biological assets </t>
  </si>
  <si>
    <t xml:space="preserve"> Loans repaid by / (paid to) employees </t>
  </si>
  <si>
    <t xml:space="preserve"> Reversal of impairment on long term loan </t>
  </si>
  <si>
    <t xml:space="preserve"> Long term deposits given </t>
  </si>
  <si>
    <t xml:space="preserve"> Profit received from bank deposits and short term investments </t>
  </si>
  <si>
    <t xml:space="preserve"> Dividend received </t>
  </si>
  <si>
    <t xml:space="preserve"> Net cash used in investing activities </t>
  </si>
  <si>
    <t xml:space="preserve"> Long term finance obtained </t>
  </si>
  <si>
    <t xml:space="preserve"> Repayment of long term finance </t>
  </si>
  <si>
    <t xml:space="preserve"> Term loan obtained </t>
  </si>
  <si>
    <t xml:space="preserve"> Repayment of salary refinance loan </t>
  </si>
  <si>
    <t xml:space="preserve"> Temporary economic refinance obtained </t>
  </si>
  <si>
    <t xml:space="preserve"> Export refinance – net </t>
  </si>
  <si>
    <t xml:space="preserve"> Dividend paid </t>
  </si>
  <si>
    <t xml:space="preserve"> Net cash generated from / (used in) financing activities </t>
  </si>
  <si>
    <t xml:space="preserve"> Net decrease in cash and cash equivalents (A+B+C) </t>
  </si>
  <si>
    <t xml:space="preserve"> Cash and cash equivalents at the beginning of the year </t>
  </si>
  <si>
    <t xml:space="preserve"> Cash and cash equivalents at the end of the year </t>
  </si>
  <si>
    <t xml:space="preserve"> Cash and bank balances </t>
  </si>
  <si>
    <t xml:space="preserve"> Short term borrowings excluding export refinance </t>
  </si>
  <si>
    <t>NON-CURRENT ASSETS</t>
  </si>
  <si>
    <t>CURRENT ASSETS</t>
  </si>
  <si>
    <t xml:space="preserve">Investment properties </t>
  </si>
  <si>
    <t xml:space="preserve">Long term investments </t>
  </si>
  <si>
    <t xml:space="preserve">Long term deposits </t>
  </si>
  <si>
    <t xml:space="preserve">Stores, spare parts and loose tools </t>
  </si>
  <si>
    <t xml:space="preserve">Stock-in-trade </t>
  </si>
  <si>
    <t xml:space="preserve">Trade debts </t>
  </si>
  <si>
    <t xml:space="preserve">Advances </t>
  </si>
  <si>
    <t xml:space="preserve">Short term deposits and prepayments </t>
  </si>
  <si>
    <t xml:space="preserve">Other receivables </t>
  </si>
  <si>
    <t xml:space="preserve">Short term investments </t>
  </si>
  <si>
    <t xml:space="preserve">Cash and bank balances </t>
  </si>
  <si>
    <t>TOTAL ASSETS</t>
  </si>
  <si>
    <t>Assets/Investements</t>
  </si>
  <si>
    <t>SHARE CAPITAL AND RESERVES</t>
  </si>
  <si>
    <t xml:space="preserve">Authorised share capital </t>
  </si>
  <si>
    <t xml:space="preserve">ordinary shares of Rupees 10 each 3,700,000 3,700,000 </t>
  </si>
  <si>
    <t xml:space="preserve">shares of Rupees 10 each 300,000 300,000 </t>
  </si>
  <si>
    <t>Capital reserves</t>
  </si>
  <si>
    <t>Revenue reserves</t>
  </si>
  <si>
    <t>Unappropriated profit 17,415,710 14,998,382</t>
  </si>
  <si>
    <t>LIABILITIES</t>
  </si>
  <si>
    <t>NON-CURRENT LIABILITIES</t>
  </si>
  <si>
    <t>CURRENT LIABILITIES</t>
  </si>
  <si>
    <t xml:space="preserve">Issued, subscribed and paid-up share capital </t>
  </si>
  <si>
    <t xml:space="preserve">Reserves </t>
  </si>
  <si>
    <t xml:space="preserve">Share premium </t>
  </si>
  <si>
    <t xml:space="preserve">Surplus on revaluation of freehold land </t>
  </si>
  <si>
    <t xml:space="preserve">Own shares purchased for cancellation </t>
  </si>
  <si>
    <t xml:space="preserve">General reserve </t>
  </si>
  <si>
    <t xml:space="preserve">Total equity </t>
  </si>
  <si>
    <t xml:space="preserve">Long term financing </t>
  </si>
  <si>
    <t xml:space="preserve">Deferred government grants </t>
  </si>
  <si>
    <t xml:space="preserve">Gas Infrastructure Development Cess (GIDC) payable 7 </t>
  </si>
  <si>
    <t xml:space="preserve">Deferred income tax liability </t>
  </si>
  <si>
    <t xml:space="preserve">Trade and other payables </t>
  </si>
  <si>
    <t xml:space="preserve">Accrued mark-up </t>
  </si>
  <si>
    <t xml:space="preserve">Short term borrowings </t>
  </si>
  <si>
    <t xml:space="preserve">Current portion of non-current liabilities </t>
  </si>
  <si>
    <t xml:space="preserve">Unclaimed dividend </t>
  </si>
  <si>
    <t xml:space="preserve">Taxation - net </t>
  </si>
  <si>
    <t xml:space="preserve">TOTAL LIABILITIES </t>
  </si>
  <si>
    <t xml:space="preserve">CONTINGENCIES AND COMMITMENTS </t>
  </si>
  <si>
    <t>TOTAL EQUITY AND LIABILITIES</t>
  </si>
  <si>
    <t>STATEMENT OF Profit Or Loss As at 30 June 2023</t>
  </si>
  <si>
    <t xml:space="preserve"> --------------Rupees--------------</t>
  </si>
  <si>
    <t xml:space="preserve">REVENUE </t>
  </si>
  <si>
    <t xml:space="preserve">COST OF SALES </t>
  </si>
  <si>
    <t xml:space="preserve">GROSS PROFIT </t>
  </si>
  <si>
    <t xml:space="preserve">DISTRIBUTION COST </t>
  </si>
  <si>
    <t xml:space="preserve">ADMINISTRATIVE EXPENSES </t>
  </si>
  <si>
    <t xml:space="preserve">OTHER EXPENSES </t>
  </si>
  <si>
    <t xml:space="preserve">OTHER INCOME </t>
  </si>
  <si>
    <t>PROFIT FROM OPERATIONS</t>
  </si>
  <si>
    <t>FINANCE COST</t>
  </si>
  <si>
    <t xml:space="preserve">PROFIT BEFORE TAXATION </t>
  </si>
  <si>
    <t xml:space="preserve">TAXATION </t>
  </si>
  <si>
    <t xml:space="preserve">PROFIT AFTER TAXATION </t>
  </si>
  <si>
    <t xml:space="preserve">EARNINGS PER SHARE - BASIC AND DILUTED </t>
  </si>
  <si>
    <t>CASH FLOWS FROM OPERATING ACTIVITIES</t>
  </si>
  <si>
    <t>CASH FLOWS FROM INVESTING ACTIVITIES</t>
  </si>
  <si>
    <t>CASH FLOWS FROM FINANCING ACTIVITIES</t>
  </si>
  <si>
    <t xml:space="preserve">Cash generated from operations </t>
  </si>
  <si>
    <t xml:space="preserve">Finance cost paid </t>
  </si>
  <si>
    <t>Income tax paid</t>
  </si>
  <si>
    <t xml:space="preserve">Workers’ welfare fund paid </t>
  </si>
  <si>
    <t xml:space="preserve">Workers’ profits participation fund paid </t>
  </si>
  <si>
    <t>Gas Infrastructure Development Cess (GIDC) paid</t>
  </si>
  <si>
    <t xml:space="preserve">Net increase in long-term deposits </t>
  </si>
  <si>
    <t>Net cash generated from operating activities</t>
  </si>
  <si>
    <t>Capital expenditure on property, plant and equipment</t>
  </si>
  <si>
    <t>Proceeds from disposal of property, plant and equipment</t>
  </si>
  <si>
    <t xml:space="preserve">Proceeds from disposal of long term investments </t>
  </si>
  <si>
    <t xml:space="preserve">Short term investments - net </t>
  </si>
  <si>
    <t xml:space="preserve">Advances to subsidiary company </t>
  </si>
  <si>
    <t xml:space="preserve">Repayment of advances from subsidiary company </t>
  </si>
  <si>
    <t xml:space="preserve">Interest received </t>
  </si>
  <si>
    <t>Dividend received</t>
  </si>
  <si>
    <t xml:space="preserve">Net cash used in investing activities </t>
  </si>
  <si>
    <t xml:space="preserve">Proceeds from long term financing </t>
  </si>
  <si>
    <t xml:space="preserve">Repayment of long term financing </t>
  </si>
  <si>
    <t xml:space="preserve">Own share purchased for cancellation </t>
  </si>
  <si>
    <t xml:space="preserve">Short term borrowings - net </t>
  </si>
  <si>
    <t xml:space="preserve">Dividend paid </t>
  </si>
  <si>
    <t xml:space="preserve">Net cash from financing activities </t>
  </si>
  <si>
    <t xml:space="preserve">Net increase in cash and cash equivalents </t>
  </si>
  <si>
    <t xml:space="preserve">Cash and cash equivalents at the beginning of the year </t>
  </si>
  <si>
    <t xml:space="preserve">Cash and cash equivalents at the end of the year </t>
  </si>
  <si>
    <t>Statement of Cash flows, 30 June 2023</t>
  </si>
  <si>
    <t>Financial Statements of Gadoon Textile Mills Limited Pakistan</t>
  </si>
  <si>
    <t>Statement of Profit or Loss, at 30 June 2023</t>
  </si>
  <si>
    <t>Statement of Cash flows, at 30 June 2023</t>
  </si>
  <si>
    <t>Financial Statements of Kohinoor Textile Mills Limited Pakistan</t>
  </si>
  <si>
    <t>Total Non-Current Liabilities</t>
  </si>
  <si>
    <t>Total Current Liabilities</t>
  </si>
  <si>
    <t>Operating Profit</t>
  </si>
  <si>
    <t>Total Non-current Liabilities</t>
  </si>
  <si>
    <t>Current Ratio</t>
  </si>
  <si>
    <t>Ratio</t>
  </si>
  <si>
    <t>Quick Ratio</t>
  </si>
  <si>
    <t>Cash Ratio</t>
  </si>
  <si>
    <t>OCF Ratio</t>
  </si>
  <si>
    <t>WC Ratio</t>
  </si>
  <si>
    <t>Kohinoor 2023</t>
  </si>
  <si>
    <t>Time Series</t>
  </si>
  <si>
    <t>Results</t>
  </si>
  <si>
    <t>Cross Sectional</t>
  </si>
  <si>
    <t>Ratios Analysis</t>
  </si>
  <si>
    <t>Reason for Change</t>
  </si>
  <si>
    <t>Kohinoor 2022</t>
  </si>
  <si>
    <t>ASSETS</t>
  </si>
  <si>
    <t>Cash &amp; Equivalents</t>
  </si>
  <si>
    <t>Receivables (debitors)</t>
  </si>
  <si>
    <t>Inventory (ending inventory)</t>
  </si>
  <si>
    <t>Pre payments</t>
  </si>
  <si>
    <t>Property, plants and equip</t>
  </si>
  <si>
    <t xml:space="preserve">Longterm Investments (bonds, sakuk) </t>
  </si>
  <si>
    <t>Deffered Tax</t>
  </si>
  <si>
    <t>Account Payable</t>
  </si>
  <si>
    <t xml:space="preserve">Trade Creditors </t>
  </si>
  <si>
    <t>Short term Liablities (spontenious)</t>
  </si>
  <si>
    <t>TFC</t>
  </si>
  <si>
    <t>Employee Obligation</t>
  </si>
  <si>
    <t>Bank Loans</t>
  </si>
  <si>
    <t>Sakuk</t>
  </si>
  <si>
    <t>Share Capital</t>
  </si>
  <si>
    <t>Reserves (Capital, Operating)</t>
  </si>
  <si>
    <t>Revaluation of Fixed Assets</t>
  </si>
  <si>
    <t>Statement of Financial Position at June 30</t>
  </si>
  <si>
    <t>Heads</t>
  </si>
  <si>
    <t>Net Sales</t>
  </si>
  <si>
    <t>Gross Profit</t>
  </si>
  <si>
    <t>Employees Benefit</t>
  </si>
  <si>
    <t>Other Benefits (from Non Operating Revenue)</t>
  </si>
  <si>
    <t>prevision for bad debts</t>
  </si>
  <si>
    <t>Bad Debts</t>
  </si>
  <si>
    <t>EBT</t>
  </si>
  <si>
    <t>Tax</t>
  </si>
  <si>
    <t>Net Profit</t>
  </si>
  <si>
    <t>COGS</t>
  </si>
  <si>
    <t>Misc. Exp</t>
  </si>
  <si>
    <t>Finance cost (Interest expenses and lease payments)</t>
  </si>
  <si>
    <t>Cashflows from Operating  Activities</t>
  </si>
  <si>
    <t>Cashflows from Investing  Activities</t>
  </si>
  <si>
    <t>Cashflows from Financing  Activities</t>
  </si>
  <si>
    <t>Total Cashflows</t>
  </si>
  <si>
    <t>EBIT/Operating Profit</t>
  </si>
  <si>
    <t>Cash &amp; Cash Equivalents</t>
  </si>
  <si>
    <t>Property, plants and equipment</t>
  </si>
  <si>
    <t>Admin Expenses</t>
  </si>
  <si>
    <t>EBIT/Operating profit</t>
  </si>
  <si>
    <t>Cashflow from Operating  Activities</t>
  </si>
  <si>
    <t>Cashflow from Investing  Activities</t>
  </si>
  <si>
    <t>Cashflow from Financing  Activities</t>
  </si>
  <si>
    <t>Total Cashflow</t>
  </si>
  <si>
    <t>Non Current Assets</t>
  </si>
  <si>
    <t>Non Current Liabilities</t>
  </si>
  <si>
    <t>Equity</t>
  </si>
  <si>
    <t>Marketing and Distribution Expenses</t>
  </si>
  <si>
    <t>Finance cost (interest expenses and lease payments)</t>
  </si>
  <si>
    <t>Statement of Cash Flows, at June 30 2023</t>
  </si>
  <si>
    <t>Liabilities</t>
  </si>
  <si>
    <t>Statement of Cash Flows at June 30 2023</t>
  </si>
  <si>
    <t>Short Term Investment</t>
  </si>
  <si>
    <t xml:space="preserve">Intangible Assets </t>
  </si>
  <si>
    <t>Short Term Investments</t>
  </si>
  <si>
    <t>Retained Earnings</t>
  </si>
  <si>
    <t>Other Payables</t>
  </si>
  <si>
    <t>Other Current Payables</t>
  </si>
  <si>
    <t>Earnings Per Share-basic and diluted(Rupees)</t>
  </si>
  <si>
    <t>Gadoon 2023</t>
  </si>
  <si>
    <t>2023(Rupees in '000)</t>
  </si>
  <si>
    <t>2022(Rupees in '000)</t>
  </si>
  <si>
    <t>Balance Sheet As at 30 June 2023</t>
  </si>
  <si>
    <t>2022  (Rupees in '000)</t>
  </si>
  <si>
    <t>2023  (Rupees in '000)</t>
  </si>
  <si>
    <t>Income Statement, at 30 June 2023</t>
  </si>
  <si>
    <t>Income Statement as, at 30 June 2023</t>
  </si>
  <si>
    <t>Change</t>
  </si>
  <si>
    <t>Liquidity Ratios</t>
  </si>
  <si>
    <t>Solvency Ratios</t>
  </si>
  <si>
    <t>TIER Ratio</t>
  </si>
  <si>
    <t>Debt Ratio</t>
  </si>
  <si>
    <t>Long Term Debt Ratio</t>
  </si>
  <si>
    <t>Equity Ratio</t>
  </si>
  <si>
    <t>Debt to Equity Ratio</t>
  </si>
  <si>
    <t>Efficiency Ratios</t>
  </si>
  <si>
    <t>Assets Turnover Ratio</t>
  </si>
  <si>
    <t>Fixed Assets Turnover Ratio</t>
  </si>
  <si>
    <t>Current Assets Turnover Ratio</t>
  </si>
  <si>
    <t>Inventory Turnover Ratio</t>
  </si>
  <si>
    <t>Recievables Turnover Ratio</t>
  </si>
  <si>
    <t>Payables Turnover Ratio</t>
  </si>
  <si>
    <t>Inventory Turnover Ratio in days</t>
  </si>
  <si>
    <t>Recievables Turnover Ratio in days</t>
  </si>
  <si>
    <t>Payables Turnover Ratio in days</t>
  </si>
  <si>
    <t>Profitability Ratios</t>
  </si>
  <si>
    <t>EBIT Margin Ratio</t>
  </si>
  <si>
    <t>Net Profit Margin Ratio</t>
  </si>
  <si>
    <t>Operating Cashflow Margin Ratio</t>
  </si>
  <si>
    <t>Return on Assets (RoA)</t>
  </si>
  <si>
    <t>Return on Capital (RoC)</t>
  </si>
  <si>
    <t>Market Ratios</t>
  </si>
  <si>
    <t>Book to MarketRatio</t>
  </si>
  <si>
    <t>Market to BookRatio</t>
  </si>
  <si>
    <t>Price Earning Ratio</t>
  </si>
  <si>
    <t>Dividend Payout Ratio</t>
  </si>
  <si>
    <t>EPS</t>
  </si>
  <si>
    <t>EBT Margin Ratio</t>
  </si>
  <si>
    <t>Kohinoor</t>
  </si>
  <si>
    <t>Gadoon</t>
  </si>
  <si>
    <t>Year</t>
  </si>
  <si>
    <t>Kahinoor</t>
  </si>
  <si>
    <t>Purchases</t>
  </si>
  <si>
    <t>No. of shares</t>
  </si>
  <si>
    <t>Total Equ</t>
  </si>
  <si>
    <t>Book V Pers Share</t>
  </si>
  <si>
    <t>Market Value</t>
  </si>
  <si>
    <t>kohinoor</t>
  </si>
  <si>
    <t>No. of Shares</t>
  </si>
  <si>
    <t>Market Values</t>
  </si>
  <si>
    <t>Book Values</t>
  </si>
  <si>
    <t>Mkt value per share</t>
  </si>
  <si>
    <t>Payables</t>
  </si>
  <si>
    <t>Decrease in EBIT by 30%. Increase in Finance Cost by 107%</t>
  </si>
  <si>
    <t>Fixed Liabilities decreased by 82%. Because Employee Obligation Increased by 75% and Bank Loans increased by 49%</t>
  </si>
  <si>
    <t>In assets short term investments increased by 108%, Cash and Equavalents increased by 27% and Inventory increased by 43%</t>
  </si>
  <si>
    <t>Assets increased by 20% . Liabilities increased by  38%. Employee obligation increased 75%bank loans increased 49% .</t>
  </si>
  <si>
    <t>In liabilities Trade creditors increased 46%, Employee obligation increased 75%, Bank loans 49% increased.</t>
  </si>
  <si>
    <t>Assets increased where Short term investments increased 108%, inventory increased 43%. While Net sales increased just 6%.</t>
  </si>
  <si>
    <t>Current Assets increased where Short term investments increased 108%, inventory increased 43%. While Net sales increased just 6%.</t>
  </si>
  <si>
    <t>Fixed assets increased by 16%, majorly PPE's Increased 47%</t>
  </si>
  <si>
    <t>Inventory increased by 43% in 2023 as compared to 2022</t>
  </si>
  <si>
    <t xml:space="preserve">receivables decreased by 100% from 2021 to 2022 </t>
  </si>
  <si>
    <t xml:space="preserve">Gross Profit Margin </t>
  </si>
  <si>
    <t>Net Sales increased by 6%, while Gross Profit Decreased by  26%</t>
  </si>
  <si>
    <t>EBIT decreased by 30%.</t>
  </si>
  <si>
    <t>EBT decreased by 47%</t>
  </si>
  <si>
    <t>Net Profit Decreased by 49%</t>
  </si>
  <si>
    <t>OCF decreased by 46% Where, workers welfare fund paid decreased by  96 %, Net increase in long-term deposits  decreased by  373%, and Gas Infrastructure Development Cess (GIDC) paid decreased by 100%</t>
  </si>
  <si>
    <t>Net Profit Decreased by 49% and Total Assets increased by 20%</t>
  </si>
  <si>
    <t>Net Profit Decreased by 49%. And Capital employed increased by 16%</t>
  </si>
  <si>
    <t>Book Value Increased by 9%</t>
  </si>
  <si>
    <t>Book Value Increased by 9% while market value just increased by 4%.</t>
  </si>
  <si>
    <t>EPS Decreased by 49% and market value increased by 4%</t>
  </si>
  <si>
    <t>Dividend paid decreased by 99.94%.</t>
  </si>
  <si>
    <t>Credit Purchases increased by 473% and average payables increased  by 30%.</t>
  </si>
  <si>
    <t>Current Liabilities increased by 30%, where trade creditors increased by 46% and spontaneous liabilities increased by 38%.</t>
  </si>
  <si>
    <t>Cash and equ. Increased by 108% and Current Liabilities increased by 30%, where trade creditors increased by 46% and spontaneous liabilities increased by 38%.</t>
  </si>
  <si>
    <t>Cash and equ. Increased by 108% and STI increased by 14%</t>
  </si>
  <si>
    <t>OCF decreased by 46% due to decrease in Net increase in long-term deposits  by 373% and Workers’ welfare fund paid  decreased by 96% and decrease in Finance cost paid  by 72%</t>
  </si>
  <si>
    <t>Ratio Category</t>
  </si>
  <si>
    <t>Liquidity Ratio</t>
  </si>
  <si>
    <t>Solvency Ratio</t>
  </si>
  <si>
    <t>Profitability Ratio</t>
  </si>
  <si>
    <t>Market Ratio</t>
  </si>
  <si>
    <t>Results2</t>
  </si>
  <si>
    <t>Row Labels</t>
  </si>
  <si>
    <t>Grand Total</t>
  </si>
  <si>
    <t>Sum of Kohinoor 2022</t>
  </si>
  <si>
    <t>Sum of Gadoon 2023</t>
  </si>
  <si>
    <t>Sum of Time Series</t>
  </si>
  <si>
    <t>Sum of Cross Sectional</t>
  </si>
  <si>
    <t>Sum of Kohinoor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</si>
</sst>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/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0" fillId="0" borderId="7" xfId="0" applyBorder="1"/>
    <xf numFmtId="0" fontId="0" fillId="0" borderId="6" xfId="0" applyBorder="1"/>
    <xf numFmtId="3" fontId="0" fillId="0" borderId="0" xfId="0" applyNumberFormat="1"/>
    <xf numFmtId="3" fontId="0" fillId="0" borderId="7" xfId="0" applyNumberFormat="1" applyBorder="1"/>
    <xf numFmtId="3" fontId="2" fillId="0" borderId="0" xfId="0" applyNumberFormat="1" applyFont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2" fillId="0" borderId="6" xfId="0" applyFont="1" applyBorder="1"/>
    <xf numFmtId="0" fontId="0" fillId="0" borderId="10" xfId="0" applyBorder="1"/>
    <xf numFmtId="3" fontId="0" fillId="0" borderId="9" xfId="0" applyNumberFormat="1" applyBorder="1"/>
    <xf numFmtId="0" fontId="2" fillId="0" borderId="8" xfId="0" applyFont="1" applyBorder="1"/>
    <xf numFmtId="0" fontId="2" fillId="0" borderId="0" xfId="0" applyFont="1" applyAlignment="1">
      <alignment horizontal="center" vertical="top"/>
    </xf>
    <xf numFmtId="0" fontId="9" fillId="0" borderId="2" xfId="0" applyFont="1" applyBorder="1"/>
    <xf numFmtId="0" fontId="9" fillId="0" borderId="6" xfId="0" applyFont="1" applyBorder="1"/>
    <xf numFmtId="0" fontId="10" fillId="0" borderId="0" xfId="0" applyFont="1" applyAlignment="1">
      <alignment vertical="center"/>
    </xf>
    <xf numFmtId="3" fontId="0" fillId="0" borderId="15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2" xfId="0" applyNumberFormat="1" applyBorder="1"/>
    <xf numFmtId="0" fontId="0" fillId="0" borderId="11" xfId="0" applyBorder="1"/>
    <xf numFmtId="3" fontId="0" fillId="0" borderId="20" xfId="0" applyNumberFormat="1" applyBorder="1"/>
    <xf numFmtId="3" fontId="0" fillId="0" borderId="19" xfId="0" applyNumberFormat="1" applyBorder="1"/>
    <xf numFmtId="3" fontId="0" fillId="0" borderId="11" xfId="0" applyNumberFormat="1" applyBorder="1"/>
    <xf numFmtId="3" fontId="0" fillId="0" borderId="21" xfId="0" applyNumberFormat="1" applyBorder="1"/>
    <xf numFmtId="0" fontId="7" fillId="0" borderId="2" xfId="0" applyFont="1" applyBorder="1"/>
    <xf numFmtId="3" fontId="7" fillId="0" borderId="0" xfId="0" applyNumberFormat="1" applyFont="1"/>
    <xf numFmtId="0" fontId="7" fillId="0" borderId="6" xfId="0" applyFont="1" applyBorder="1"/>
    <xf numFmtId="0" fontId="0" fillId="0" borderId="12" xfId="0" applyBorder="1"/>
    <xf numFmtId="3" fontId="2" fillId="0" borderId="17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0" fontId="0" fillId="0" borderId="22" xfId="0" applyBorder="1"/>
    <xf numFmtId="0" fontId="2" fillId="0" borderId="22" xfId="0" applyFont="1" applyBorder="1"/>
    <xf numFmtId="9" fontId="0" fillId="0" borderId="22" xfId="2" applyFont="1" applyBorder="1"/>
    <xf numFmtId="9" fontId="0" fillId="0" borderId="0" xfId="2" applyFont="1"/>
    <xf numFmtId="3" fontId="2" fillId="0" borderId="16" xfId="0" applyNumberFormat="1" applyFont="1" applyBorder="1"/>
    <xf numFmtId="0" fontId="0" fillId="0" borderId="23" xfId="0" applyBorder="1"/>
    <xf numFmtId="0" fontId="12" fillId="0" borderId="23" xfId="0" applyFont="1" applyBorder="1"/>
    <xf numFmtId="0" fontId="0" fillId="0" borderId="24" xfId="0" applyBorder="1"/>
    <xf numFmtId="0" fontId="2" fillId="0" borderId="23" xfId="0" applyFont="1" applyBorder="1"/>
    <xf numFmtId="0" fontId="6" fillId="0" borderId="0" xfId="0" applyFont="1" applyAlignment="1">
      <alignment horizontal="center" vertical="center"/>
    </xf>
    <xf numFmtId="165" fontId="0" fillId="0" borderId="22" xfId="1" applyNumberFormat="1" applyFont="1" applyBorder="1"/>
    <xf numFmtId="0" fontId="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22" xfId="0" applyNumberFormat="1" applyBorder="1"/>
    <xf numFmtId="3" fontId="2" fillId="0" borderId="22" xfId="0" applyNumberFormat="1" applyFont="1" applyBorder="1"/>
    <xf numFmtId="0" fontId="3" fillId="0" borderId="9" xfId="0" applyFont="1" applyBorder="1" applyAlignment="1">
      <alignment vertical="center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9" fillId="0" borderId="22" xfId="0" applyFont="1" applyBorder="1"/>
    <xf numFmtId="0" fontId="8" fillId="0" borderId="11" xfId="0" applyFont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64" fontId="0" fillId="0" borderId="22" xfId="1" applyNumberFormat="1" applyFont="1" applyBorder="1" applyAlignment="1"/>
    <xf numFmtId="0" fontId="0" fillId="0" borderId="27" xfId="0" applyBorder="1"/>
    <xf numFmtId="0" fontId="8" fillId="0" borderId="23" xfId="0" applyFont="1" applyBorder="1"/>
    <xf numFmtId="0" fontId="9" fillId="0" borderId="4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2" fillId="0" borderId="22" xfId="1" applyNumberFormat="1" applyFont="1" applyBorder="1" applyAlignment="1"/>
    <xf numFmtId="0" fontId="8" fillId="0" borderId="2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166" fontId="0" fillId="0" borderId="22" xfId="1" applyNumberFormat="1" applyFont="1" applyFill="1" applyBorder="1"/>
    <xf numFmtId="3" fontId="0" fillId="0" borderId="30" xfId="0" applyNumberFormat="1" applyBorder="1"/>
    <xf numFmtId="3" fontId="0" fillId="0" borderId="28" xfId="0" applyNumberFormat="1" applyBorder="1"/>
    <xf numFmtId="3" fontId="0" fillId="0" borderId="26" xfId="0" applyNumberFormat="1" applyBorder="1"/>
    <xf numFmtId="3" fontId="0" fillId="0" borderId="22" xfId="0" applyNumberFormat="1" applyBorder="1" applyAlignment="1">
      <alignment horizontal="center"/>
    </xf>
    <xf numFmtId="0" fontId="0" fillId="0" borderId="32" xfId="0" applyBorder="1"/>
    <xf numFmtId="164" fontId="2" fillId="0" borderId="11" xfId="1" applyNumberFormat="1" applyFont="1" applyBorder="1" applyAlignment="1">
      <alignment horizontal="right"/>
    </xf>
    <xf numFmtId="1" fontId="8" fillId="0" borderId="25" xfId="1" applyNumberFormat="1" applyFont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8" xfId="0" applyBorder="1"/>
    <xf numFmtId="0" fontId="0" fillId="0" borderId="22" xfId="0" applyBorder="1" applyAlignment="1">
      <alignment horizontal="center" vertical="center"/>
    </xf>
    <xf numFmtId="0" fontId="0" fillId="0" borderId="26" xfId="0" applyBorder="1"/>
    <xf numFmtId="0" fontId="9" fillId="0" borderId="1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34" xfId="0" applyBorder="1" applyAlignment="1">
      <alignment horizontal="center"/>
    </xf>
    <xf numFmtId="0" fontId="8" fillId="0" borderId="22" xfId="0" applyFont="1" applyBorder="1" applyAlignment="1">
      <alignment vertical="center"/>
    </xf>
    <xf numFmtId="0" fontId="2" fillId="0" borderId="22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164" fontId="0" fillId="0" borderId="22" xfId="1" applyNumberFormat="1" applyFont="1" applyBorder="1"/>
    <xf numFmtId="164" fontId="2" fillId="0" borderId="22" xfId="1" applyNumberFormat="1" applyFont="1" applyBorder="1"/>
    <xf numFmtId="0" fontId="8" fillId="0" borderId="22" xfId="0" applyFont="1" applyBorder="1"/>
    <xf numFmtId="0" fontId="4" fillId="0" borderId="31" xfId="0" applyFont="1" applyBorder="1" applyAlignment="1">
      <alignment horizontal="center" vertical="center"/>
    </xf>
    <xf numFmtId="0" fontId="8" fillId="0" borderId="11" xfId="0" applyFont="1" applyBorder="1"/>
    <xf numFmtId="3" fontId="0" fillId="0" borderId="11" xfId="0" applyNumberFormat="1" applyBorder="1" applyAlignment="1">
      <alignment horizontal="center"/>
    </xf>
    <xf numFmtId="0" fontId="2" fillId="0" borderId="29" xfId="0" applyFont="1" applyBorder="1" applyAlignment="1">
      <alignment horizontal="center" vertical="top"/>
    </xf>
    <xf numFmtId="1" fontId="8" fillId="0" borderId="35" xfId="1" applyNumberFormat="1" applyFont="1" applyBorder="1" applyAlignment="1">
      <alignment horizontal="center"/>
    </xf>
    <xf numFmtId="164" fontId="2" fillId="0" borderId="26" xfId="1" applyNumberFormat="1" applyFont="1" applyBorder="1" applyAlignment="1">
      <alignment horizontal="right"/>
    </xf>
    <xf numFmtId="164" fontId="2" fillId="0" borderId="29" xfId="1" applyNumberFormat="1" applyFont="1" applyBorder="1" applyAlignment="1"/>
    <xf numFmtId="164" fontId="0" fillId="0" borderId="29" xfId="1" applyNumberFormat="1" applyFont="1" applyBorder="1" applyAlignment="1"/>
    <xf numFmtId="9" fontId="0" fillId="0" borderId="0" xfId="2" applyFont="1" applyBorder="1"/>
    <xf numFmtId="165" fontId="0" fillId="0" borderId="29" xfId="1" applyNumberFormat="1" applyFont="1" applyBorder="1"/>
    <xf numFmtId="166" fontId="0" fillId="0" borderId="29" xfId="1" applyNumberFormat="1" applyFont="1" applyFill="1" applyBorder="1"/>
    <xf numFmtId="0" fontId="6" fillId="0" borderId="22" xfId="0" applyFont="1" applyBorder="1" applyAlignment="1">
      <alignment horizontal="center" vertical="center"/>
    </xf>
    <xf numFmtId="9" fontId="2" fillId="0" borderId="22" xfId="2" applyFont="1" applyBorder="1" applyAlignment="1">
      <alignment horizontal="center" vertical="top"/>
    </xf>
    <xf numFmtId="0" fontId="2" fillId="0" borderId="2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0" borderId="0" xfId="1" applyNumberFormat="1" applyFont="1"/>
    <xf numFmtId="165" fontId="2" fillId="0" borderId="22" xfId="1" applyNumberFormat="1" applyFont="1" applyBorder="1"/>
    <xf numFmtId="9" fontId="2" fillId="0" borderId="0" xfId="2" applyFont="1" applyBorder="1"/>
    <xf numFmtId="10" fontId="0" fillId="0" borderId="0" xfId="2" applyNumberFormat="1" applyFont="1"/>
    <xf numFmtId="9" fontId="0" fillId="0" borderId="0" xfId="0" applyNumberFormat="1"/>
    <xf numFmtId="9" fontId="0" fillId="0" borderId="22" xfId="2" applyFont="1" applyBorder="1" applyAlignment="1">
      <alignment vertical="center"/>
    </xf>
    <xf numFmtId="0" fontId="0" fillId="0" borderId="22" xfId="0" applyBorder="1" applyAlignment="1">
      <alignment vertical="center" wrapText="1"/>
    </xf>
    <xf numFmtId="9" fontId="0" fillId="0" borderId="0" xfId="2" applyFont="1" applyAlignment="1">
      <alignment vertical="center"/>
    </xf>
    <xf numFmtId="0" fontId="2" fillId="0" borderId="22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22" xfId="0" applyNumberForma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8" xfId="0" applyBorder="1" applyAlignment="1">
      <alignment vertical="center"/>
    </xf>
    <xf numFmtId="3" fontId="0" fillId="0" borderId="15" xfId="0" applyNumberFormat="1" applyBorder="1" applyAlignment="1">
      <alignment vertical="center"/>
    </xf>
    <xf numFmtId="9" fontId="0" fillId="0" borderId="15" xfId="2" applyFon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3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4" xfId="0" applyBorder="1" applyAlignment="1">
      <alignment vertical="center"/>
    </xf>
    <xf numFmtId="0" fontId="7" fillId="0" borderId="26" xfId="0" applyFont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/>
    </xf>
    <xf numFmtId="9" fontId="0" fillId="0" borderId="11" xfId="2" applyFont="1" applyBorder="1" applyAlignment="1">
      <alignment vertical="center"/>
    </xf>
    <xf numFmtId="0" fontId="0" fillId="0" borderId="26" xfId="0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0" fillId="0" borderId="40" xfId="0" applyBorder="1" applyAlignment="1">
      <alignment vertical="center"/>
    </xf>
    <xf numFmtId="9" fontId="0" fillId="0" borderId="40" xfId="2" applyFont="1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31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[FSA Project Excel File.xlsx]Pivot Tables!PivotTable1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Sum of Kohinoor 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Tables'!$A$4:$A$6</c:f>
              <c:strCache>
                <c:ptCount val="2"/>
                <c:pt idx="0">
                  <c:v>Efficiency Ratios</c:v>
                </c:pt>
                <c:pt idx="1">
                  <c:v>Liquidity Ratio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212.92711673456802</c:v>
                </c:pt>
                <c:pt idx="1">
                  <c:v>2.3387942805301147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3-4814-8114-E2F9898DB3F8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Sum of Kohinoor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Tables'!$A$4:$A$6</c:f>
              <c:strCache>
                <c:ptCount val="2"/>
                <c:pt idx="0">
                  <c:v>Efficiency Ratios</c:v>
                </c:pt>
                <c:pt idx="1">
                  <c:v>Liquidity Ratio</c:v>
                </c:pt>
              </c:strCache>
            </c:strRef>
          </c:cat>
          <c:val>
            <c:numRef>
              <c:f>'Pivot Tables'!$C$4:$C$6</c:f>
              <c:numCache>
                <c:formatCode>General</c:formatCode>
                <c:ptCount val="2"/>
                <c:pt idx="0">
                  <c:v>9423.014314958562</c:v>
                </c:pt>
                <c:pt idx="1">
                  <c:v>2.6319392620391002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3-4814-8114-E2F9898DB3F8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Sum of Gadoon 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Tables'!$A$4:$A$6</c:f>
              <c:strCache>
                <c:ptCount val="2"/>
                <c:pt idx="0">
                  <c:v>Efficiency Ratios</c:v>
                </c:pt>
                <c:pt idx="1">
                  <c:v>Liquidity Ratio</c:v>
                </c:pt>
              </c:strCache>
            </c:strRef>
          </c:cat>
          <c:val>
            <c:numRef>
              <c:f>'Pivot Tables'!$D$4:$D$6</c:f>
              <c:numCache>
                <c:formatCode>General</c:formatCode>
                <c:ptCount val="2"/>
                <c:pt idx="0">
                  <c:v>270.16191407767712</c:v>
                </c:pt>
                <c:pt idx="1">
                  <c:v>1.5157478570105996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3-4814-8114-E2F9898DB3F8}"/>
            </c:ext>
          </c:extLst>
        </c:ser>
        <c:ser>
          <c:idx val="3"/>
          <c:order val="3"/>
          <c:tx>
            <c:strRef>
              <c:f>'Pivot Tables'!$E$3</c:f>
              <c:strCache>
                <c:ptCount val="1"/>
                <c:pt idx="0">
                  <c:v>Sum of Time Series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Tables'!$A$4:$A$6</c:f>
              <c:strCache>
                <c:ptCount val="2"/>
                <c:pt idx="0">
                  <c:v>Efficiency Ratios</c:v>
                </c:pt>
                <c:pt idx="1">
                  <c:v>Liquidity Ratio</c:v>
                </c:pt>
              </c:strCache>
            </c:strRef>
          </c:cat>
          <c:val>
            <c:numRef>
              <c:f>'Pivot Tables'!$E$4:$E$6</c:f>
              <c:numCache>
                <c:formatCode>0%</c:formatCode>
                <c:ptCount val="2"/>
                <c:pt idx="0">
                  <c:v>186.03648856728321</c:v>
                </c:pt>
                <c:pt idx="1">
                  <c:v>-0.60879090773747124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3-4814-8114-E2F9898DB3F8}"/>
            </c:ext>
          </c:extLst>
        </c:ser>
        <c:ser>
          <c:idx val="4"/>
          <c:order val="4"/>
          <c:tx>
            <c:strRef>
              <c:f>'Pivot Tables'!$F$3</c:f>
              <c:strCache>
                <c:ptCount val="1"/>
                <c:pt idx="0">
                  <c:v>Sum of Cross Sectional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Tables'!$A$4:$A$6</c:f>
              <c:strCache>
                <c:ptCount val="2"/>
                <c:pt idx="0">
                  <c:v>Efficiency Ratios</c:v>
                </c:pt>
                <c:pt idx="1">
                  <c:v>Liquidity Ratio</c:v>
                </c:pt>
              </c:strCache>
            </c:strRef>
          </c:cat>
          <c:val>
            <c:numRef>
              <c:f>'Pivot Tables'!$F$4:$F$6</c:f>
              <c:numCache>
                <c:formatCode>0%</c:formatCode>
                <c:ptCount val="2"/>
                <c:pt idx="0">
                  <c:v>0.27340971501947475</c:v>
                </c:pt>
                <c:pt idx="1">
                  <c:v>11.203976238269879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3-4814-8114-E2F9898D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44928"/>
        <c:axId val="233149248"/>
      </c:lineChart>
      <c:catAx>
        <c:axId val="2331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49248"/>
        <c:crosses val="autoZero"/>
        <c:auto val="1"/>
        <c:lblAlgn val="ctr"/>
        <c:lblOffset val="100"/>
        <c:noMultiLvlLbl val="0"/>
      </c:catAx>
      <c:valAx>
        <c:axId val="2331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449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10</xdr:row>
      <xdr:rowOff>34290</xdr:rowOff>
    </xdr:from>
    <xdr:to>
      <xdr:col>5</xdr:col>
      <xdr:colOff>1264920</xdr:colOff>
      <xdr:row>25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D5591-836F-A8D8-1069-38D3545C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franNiazi" refreshedDate="45664.941793518519" createdVersion="8" refreshedVersion="8" minRefreshableVersion="3" recordCount="30" xr:uid="{98761F46-4068-4FE8-8750-9C95250038DC}">
  <cacheSource type="worksheet">
    <worksheetSource name="Table1"/>
  </cacheSource>
  <cacheFields count="10">
    <cacheField name="Ratio Category" numFmtId="0">
      <sharedItems count="5">
        <s v="Liquidity Ratio"/>
        <s v="Solvency Ratio"/>
        <s v="Efficiency Ratios"/>
        <s v="Profitability Ratio"/>
        <s v="Market Ratio"/>
      </sharedItems>
    </cacheField>
    <cacheField name="Ratio" numFmtId="0">
      <sharedItems count="30">
        <s v="Current Ratio"/>
        <s v="Quick Ratio"/>
        <s v="Cash Ratio"/>
        <s v="OCF Ratio"/>
        <s v="WC Ratio"/>
        <s v="TIER Ratio"/>
        <s v="Debt Ratio"/>
        <s v="Long Term Debt Ratio"/>
        <s v="Equity Ratio"/>
        <s v="Debt to Equity Ratio"/>
        <s v="Assets Turnover Ratio"/>
        <s v="Current Assets Turnover Ratio"/>
        <s v="Fixed Assets Turnover Ratio"/>
        <s v="Inventory Turnover Ratio"/>
        <s v="Recievables Turnover Ratio"/>
        <s v="Payables Turnover Ratio"/>
        <s v="Inventory Turnover Ratio in days"/>
        <s v="Recievables Turnover Ratio in days"/>
        <s v="Payables Turnover Ratio in days"/>
        <s v="Gross Profit Margin "/>
        <s v="EBIT Margin Ratio"/>
        <s v="EBT Margin Ratio"/>
        <s v="Net Profit Margin Ratio"/>
        <s v="Operating Cashflow Margin Ratio"/>
        <s v="Return on Assets (RoA)"/>
        <s v="Return on Capital (RoC)"/>
        <s v="Book to MarketRatio"/>
        <s v="Market to BookRatio"/>
        <s v="Price Earning Ratio"/>
        <s v="Dividend Payout Ratio"/>
      </sharedItems>
    </cacheField>
    <cacheField name="Kohinoor 2023" numFmtId="0">
      <sharedItems containsSemiMixedTypes="0" containsString="0" containsNumber="1" minValue="1.537015912684203E-4" maxValue="89.156196661106591"/>
    </cacheField>
    <cacheField name="Kohinoor 2022" numFmtId="0">
      <sharedItems containsSemiMixedTypes="0" containsString="0" containsNumber="1" minValue="3.9248557482127133E-2" maxValue="9299.704840520888"/>
    </cacheField>
    <cacheField name="Gadoon 2023" numFmtId="0">
      <sharedItems containsSemiMixedTypes="0" containsString="0" containsNumber="1" minValue="-0.11840968594508773" maxValue="158.70699691748283"/>
    </cacheField>
    <cacheField name="Time Series" numFmtId="9">
      <sharedItems containsSemiMixedTypes="0" containsString="0" containsNumber="1" minValue="-0.99877854887459083" maxValue="183.8990839984892"/>
    </cacheField>
    <cacheField name="Results" numFmtId="0">
      <sharedItems count="4">
        <s v="Unfavourable"/>
        <s v="Favourable"/>
        <s v="Unfavorable"/>
        <s v="Favorable"/>
      </sharedItems>
    </cacheField>
    <cacheField name="Cross Sectional" numFmtId="9">
      <sharedItems containsSemiMixedTypes="0" containsString="0" containsNumber="1" minValue="-0.99908419273793792" maxValue="7.1900518190644913"/>
    </cacheField>
    <cacheField name="Results2" numFmtId="0">
      <sharedItems/>
    </cacheField>
    <cacheField name="Reason for Chan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.2919701454427839"/>
    <n v="1.3240447177519454"/>
    <n v="1.1944940558755954"/>
    <n v="-2.4224689603852639E-2"/>
    <x v="0"/>
    <n v="8.1604499484709381E-2"/>
    <s v="Favourable"/>
    <s v="Current Liabilities increased by 30%, where trade creditors increased by 46% and spontaneous liabilities increased by 38%."/>
  </r>
  <r>
    <x v="0"/>
    <x v="1"/>
    <n v="0.53708468137713783"/>
    <n v="0.58752396250586136"/>
    <n v="0.23516733669287515"/>
    <n v="-8.5850593929129027E-2"/>
    <x v="0"/>
    <n v="1.2838404726187038"/>
    <s v="Favourable"/>
    <s v="Cash and equ. Increased by 108% and Current Liabilities increased by 30%, where trade creditors increased by 46% and spontaneous liabilities increased by 38%."/>
  </r>
  <r>
    <x v="0"/>
    <x v="2"/>
    <n v="8.1917672349359885E-2"/>
    <n v="6.9124550631185042E-2"/>
    <n v="1.0002094511621408E-2"/>
    <n v="0.18507348838233631"/>
    <x v="1"/>
    <n v="7.1900518190644913"/>
    <s v="Favourable"/>
    <s v="Cash and equ. Increased by 108% and STI increased by 14%"/>
  </r>
  <r>
    <x v="0"/>
    <x v="3"/>
    <n v="0.13585163591804916"/>
    <n v="0.327201313398163"/>
    <n v="-0.11840968594508773"/>
    <n v="-0.58480718030390444"/>
    <x v="0"/>
    <n v="2.1473017163566341"/>
    <s v="Favourable"/>
    <s v="OCF decreased by 46% due to decrease in Net increase in long-term deposits  by 373% and Workers’ welfare fund paid  decreased by 96% and decrease in Finance cost paid  by 72%"/>
  </r>
  <r>
    <x v="0"/>
    <x v="4"/>
    <n v="0.29197014544278393"/>
    <n v="0.32404471775194538"/>
    <n v="0.19449405587559543"/>
    <n v="-9.8981932282921417E-2"/>
    <x v="0"/>
    <n v="0.50117773074534122"/>
    <s v="Favourable"/>
    <s v="Current Liabilities increased by 30%, where trade creditors increased by 46% and spontaneous liabilities increased by 38%."/>
  </r>
  <r>
    <x v="1"/>
    <x v="5"/>
    <n v="3.0773558334752789"/>
    <n v="9.1773882851255344"/>
    <n v="2.2542759805085102"/>
    <n v="-0.66468065446648095"/>
    <x v="0"/>
    <n v="0.36511938204704719"/>
    <s v="Favourable"/>
    <s v="Decrease in EBIT by 30%. Increase in Finance Cost by 107%"/>
  </r>
  <r>
    <x v="1"/>
    <x v="6"/>
    <n v="0.44880180347506249"/>
    <n v="0.39132871241525519"/>
    <n v="0.65071787571018824"/>
    <n v="0.14686653249920545"/>
    <x v="0"/>
    <n v="-0.31029741117032661"/>
    <s v="Favourable"/>
    <s v="Assets increased by 20% . Liabilities increased by  38%. Employee obligation increased 75%bank loans increased 49% ."/>
  </r>
  <r>
    <x v="1"/>
    <x v="7"/>
    <n v="1.9313469274186573E-2"/>
    <n v="0.12978927128687337"/>
    <n v="0.20317408276651294"/>
    <n v="-0.85119363809742032"/>
    <x v="1"/>
    <n v="-0.90494127493425658"/>
    <s v="Favourable"/>
    <s v="Fixed Liabilities decreased by 82%. Because Employee Obligation Increased by 75% and Bank Loans increased by 49%"/>
  </r>
  <r>
    <x v="1"/>
    <x v="8"/>
    <n v="0.55119819652493751"/>
    <n v="0.60867128758474476"/>
    <n v="0.34928212428981176"/>
    <n v="-9.4423857724363777E-2"/>
    <x v="0"/>
    <n v="0.57808876605316573"/>
    <s v="Favourable"/>
    <s v="In assets short term investments increased by 108%, Cash and Equavalents increased by 27% and Inventory increased by 43%"/>
  </r>
  <r>
    <x v="1"/>
    <x v="9"/>
    <n v="0.81422944832650157"/>
    <n v="0.64292290501836891"/>
    <n v="1.8630151114468845"/>
    <n v="0.26644958823365966"/>
    <x v="0"/>
    <n v="-0.56295070108468326"/>
    <s v="Favourable"/>
    <s v="In liabilities Trade creditors increased 46%, Employee obligation increased 75%, Bank loans 49% increased."/>
  </r>
  <r>
    <x v="2"/>
    <x v="10"/>
    <n v="0.87805130068948023"/>
    <n v="0.99087657656028372"/>
    <n v="0.97903443164616744"/>
    <n v="-0.11386410632741335"/>
    <x v="2"/>
    <n v="-0.10314563787801846"/>
    <s v="Unfavorable"/>
    <s v="Assets increased where Short term investments increased 108%, inventory increased 43%. While Net sales increased just 6%."/>
  </r>
  <r>
    <x v="2"/>
    <x v="11"/>
    <n v="2.3988761500001767"/>
    <n v="2.8614075437381787"/>
    <n v="1.8313798632475156"/>
    <n v="-0.16164471039792716"/>
    <x v="2"/>
    <n v="0.30987360849667844"/>
    <s v="Favorable"/>
    <s v="Current Assets increased where Short term investments increased 108%, inventory increased 43%. While Net sales increased just 6%."/>
  </r>
  <r>
    <x v="2"/>
    <x v="12"/>
    <n v="1.3849959938879945"/>
    <n v="1.5157737352836931"/>
    <n v="2.103588377512847"/>
    <n v="-8.6277877991613364E-2"/>
    <x v="2"/>
    <n v="-0.34160313458019376"/>
    <s v="Unfavorable"/>
    <s v="Fixed assets increased by 16%, majorly PPE's Increased 47%"/>
  </r>
  <r>
    <x v="2"/>
    <x v="13"/>
    <n v="4.0939386567532576"/>
    <n v="5.6320233383136582"/>
    <n v="2.2998355906751606"/>
    <n v="-0.27309629047470074"/>
    <x v="2"/>
    <n v="0.78010057473343297"/>
    <s v="Favorable"/>
    <s v="Inventory increased by 43% in 2023 as compared to 2022"/>
  </r>
  <r>
    <x v="2"/>
    <x v="14"/>
    <n v="7.2570223267073564"/>
    <n v="3.9248557482127133E-2"/>
    <n v="9.3577683822746405"/>
    <n v="183.8990839984892"/>
    <x v="3"/>
    <n v="-0.22449220473831016"/>
    <s v="Unfavorable"/>
    <s v="receivables decreased by 100% from 2021 to 2022 "/>
  </r>
  <r>
    <x v="2"/>
    <x v="15"/>
    <n v="50.189485087900898"/>
    <n v="9.6539958212966361"/>
    <n v="48.325305829502497"/>
    <n v="4.198830206367326"/>
    <x v="2"/>
    <n v="3.8575632919436671E-2"/>
    <s v="Unfavorable"/>
    <s v="Credit Purchases increased by 473% and average payables increased  by 30%."/>
  </r>
  <r>
    <x v="2"/>
    <x v="16"/>
    <n v="89.156196661106591"/>
    <n v="64.807970080125486"/>
    <n v="158.70699691748283"/>
    <n v="0.37569802835790289"/>
    <x v="2"/>
    <n v="-0.43823398846452916"/>
    <s v="Favorable"/>
    <m/>
  </r>
  <r>
    <x v="2"/>
    <x v="17"/>
    <n v="50.296110934745762"/>
    <n v="9299.704840520888"/>
    <n v="39.005026101242059"/>
    <n v="-0.99459164438041148"/>
    <x v="3"/>
    <n v="0.28947768946997715"/>
    <s v="Unfavorable"/>
    <m/>
  </r>
  <r>
    <x v="2"/>
    <x v="18"/>
    <n v="7.272439622776484"/>
    <n v="37.808178784872993"/>
    <n v="7.5529785840934762"/>
    <n v="-0.80764903635913354"/>
    <x v="2"/>
    <n v="-3.7142824938998953E-2"/>
    <s v="Unfavorable"/>
    <m/>
  </r>
  <r>
    <x v="3"/>
    <x v="19"/>
    <n v="0.17790834045956105"/>
    <n v="0.25707022579644762"/>
    <n v="0.10634721583302929"/>
    <n v="-0.30793875522390612"/>
    <x v="2"/>
    <n v="0.67290078133203302"/>
    <s v="Favorable"/>
    <s v="Net Sales increased by 6%, while Gross Profit Decreased by  26%"/>
  </r>
  <r>
    <x v="3"/>
    <x v="20"/>
    <n v="0.12202901945167638"/>
    <n v="0.18655382018087538"/>
    <n v="8.3514405168245931E-2"/>
    <n v="-0.34587767040438111"/>
    <x v="2"/>
    <n v="0.46117330544161711"/>
    <s v="Favorable"/>
    <s v="EBIT decreased by 30%."/>
  </r>
  <r>
    <x v="3"/>
    <x v="21"/>
    <n v="8.237516528107558E-2"/>
    <n v="0.1662262700778426"/>
    <n v="8.2457078992034791E-2"/>
    <n v="-0.50443954952186643"/>
    <x v="2"/>
    <n v="-9.9341029248833554E-4"/>
    <s v="Unfavorable"/>
    <s v="EBT decreased by 47%"/>
  </r>
  <r>
    <x v="3"/>
    <x v="22"/>
    <n v="5.7252299094365779E-2"/>
    <n v="0.11984147239551644"/>
    <n v="5.6759028533081922E-2"/>
    <n v="-0.52226639117538298"/>
    <x v="2"/>
    <n v="8.6906096533409596E-3"/>
    <s v="Favorable"/>
    <s v="Net Profit Decreased by 49%"/>
  </r>
  <r>
    <x v="3"/>
    <x v="23"/>
    <n v="4.3833340357293471E-2"/>
    <n v="8.6363983837114883E-2"/>
    <n v="-5.4128351625008363E-2"/>
    <n v="-0.49245810105327598"/>
    <x v="2"/>
    <n v="1.8098037173007429"/>
    <s v="Favorable"/>
    <s v="OCF decreased by 46% Where, workers welfare fund paid decreased by  96 %, Net increase in long-term deposits  decreased by  373%, and Gas Infrastructure Development Cess (GIDC) paid decreased by 100%"/>
  </r>
  <r>
    <x v="3"/>
    <x v="24"/>
    <n v="5.0270455687271023E-2"/>
    <n v="0.11874810789721309"/>
    <n v="5.5569043240674458E-2"/>
    <n v="-0.57666310160676815"/>
    <x v="2"/>
    <n v="-9.5351426700920186E-2"/>
    <s v="Unfavorable"/>
    <s v="Net Profit Decreased by 49% and Total Assets increased by 20%"/>
  </r>
  <r>
    <x v="3"/>
    <x v="25"/>
    <n v="7.0142390163348417E-2"/>
    <n v="0.16080494275640458"/>
    <n v="0.1005854265567316"/>
    <n v="-0.56380451395947673"/>
    <x v="2"/>
    <n v="-0.30265852057815629"/>
    <s v="Unfavorable"/>
    <s v="Net Profit Decreased by 49%. And Capital employed increased by 16%"/>
  </r>
  <r>
    <x v="4"/>
    <x v="26"/>
    <n v="1.654897239959829"/>
    <n v="1.5919482541023984"/>
    <n v="3.032210204304099"/>
    <n v="3.9542105527119439E-2"/>
    <x v="3"/>
    <n v="-0.45422740230516684"/>
    <s v="Unfavorable"/>
    <s v="Book Value Increased by 9%"/>
  </r>
  <r>
    <x v="4"/>
    <x v="27"/>
    <n v="0.60426712659468451"/>
    <n v="1"/>
    <n v="0.3297924393831736"/>
    <n v="-0.39573287340531549"/>
    <x v="3"/>
    <n v="0.83226494738591916"/>
    <s v="Unfavorable"/>
    <s v="Book Value Increased by 9% while market value just increased by 4%."/>
  </r>
  <r>
    <x v="4"/>
    <x v="28"/>
    <n v="6.6198757763975147"/>
    <n v="3.2196969696969697"/>
    <n v="2.0729734332425069"/>
    <n v="1.0560555352575811"/>
    <x v="3"/>
    <n v="2.1934204607932801"/>
    <s v="Favorable"/>
    <s v="EPS Decreased by 49% and market value increased by 4%"/>
  </r>
  <r>
    <x v="4"/>
    <x v="29"/>
    <n v="1.537015912684203E-4"/>
    <n v="0.12583523652404918"/>
    <n v="0.16783181094497437"/>
    <n v="-0.99877854887459083"/>
    <x v="2"/>
    <n v="-0.99908419273793792"/>
    <s v="Unfavorable"/>
    <s v="Dividend paid decreased by 99.94%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A31AE-50CF-4840-AE7B-2D75F2E951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6" firstHeaderRow="0" firstDataRow="1" firstDataCol="1"/>
  <pivotFields count="10">
    <pivotField axis="axisRow" showAll="0">
      <items count="6">
        <item sd="0" x="2"/>
        <item sd="0" x="0"/>
        <item h="1" sd="0" x="4"/>
        <item h="1" sd="0" x="3"/>
        <item h="1" sd="0" x="1"/>
        <item t="default"/>
      </items>
    </pivotField>
    <pivotField axis="axisRow" showAll="0">
      <items count="31">
        <item x="10"/>
        <item x="26"/>
        <item x="2"/>
        <item x="11"/>
        <item x="0"/>
        <item x="6"/>
        <item x="9"/>
        <item x="29"/>
        <item x="20"/>
        <item x="21"/>
        <item x="8"/>
        <item x="12"/>
        <item x="19"/>
        <item x="13"/>
        <item x="16"/>
        <item x="7"/>
        <item x="27"/>
        <item x="22"/>
        <item x="3"/>
        <item x="23"/>
        <item x="15"/>
        <item x="18"/>
        <item x="28"/>
        <item x="1"/>
        <item x="14"/>
        <item x="17"/>
        <item x="24"/>
        <item x="25"/>
        <item x="5"/>
        <item x="4"/>
        <item t="default"/>
      </items>
    </pivotField>
    <pivotField dataField="1" showAll="0"/>
    <pivotField dataField="1" showAll="0"/>
    <pivotField dataField="1" showAll="0"/>
    <pivotField dataField="1" numFmtId="9" showAll="0"/>
    <pivotField showAll="0">
      <items count="5">
        <item x="3"/>
        <item x="1"/>
        <item x="2"/>
        <item x="0"/>
        <item t="default"/>
      </items>
    </pivotField>
    <pivotField dataField="1" numFmtId="9" showAll="0"/>
    <pivotField showAll="0"/>
    <pivotField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Kohinoor 2023" fld="2" baseField="0" baseItem="0"/>
    <dataField name="Sum of Kohinoor 2022" fld="3" baseField="0" baseItem="0"/>
    <dataField name="Sum of Gadoon 2023" fld="4" baseField="0" baseItem="0"/>
    <dataField name="Sum of Time Series" fld="5" baseField="0" baseItem="0" numFmtId="9"/>
    <dataField name="Sum of Cross Sectional" fld="7" baseField="0" baseItem="0" numFmtId="9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F6BCB-85D9-4925-B44E-23BA2345456C}" name="Table1" displayName="Table1" ref="A1:J31" totalsRowShown="0" headerRowDxfId="58" tableBorderDxfId="57">
  <autoFilter ref="A1:J31" xr:uid="{C29F6BCB-85D9-4925-B44E-23BA2345456C}"/>
  <tableColumns count="10">
    <tableColumn id="1" xr3:uid="{3630B971-0182-49D6-A9E5-4DFDA1C92547}" name="Ratio Category"/>
    <tableColumn id="2" xr3:uid="{0B8C2F1D-6C8C-40EA-8CE6-BB27775DE293}" name="Ratio" dataDxfId="56"/>
    <tableColumn id="3" xr3:uid="{B3449073-E47F-4D5C-BC0C-2EE23FB2CF66}" name="Kohinoor 2023" dataDxfId="55"/>
    <tableColumn id="4" xr3:uid="{7C6E9C2B-C2C2-4E6B-AD20-DDFA387367A7}" name="Kohinoor 2022" dataDxfId="54"/>
    <tableColumn id="5" xr3:uid="{3C07C72E-6ED8-43F6-AAFE-F22585704318}" name="Gadoon 2023" dataDxfId="53"/>
    <tableColumn id="6" xr3:uid="{193B98A7-F329-4256-AEDD-ABD7B4E124BA}" name="Time Series" dataDxfId="52" dataCellStyle="Percent">
      <calculatedColumnFormula>(C2-D2)/ABS(D2)</calculatedColumnFormula>
    </tableColumn>
    <tableColumn id="7" xr3:uid="{CDA0EC94-ECBE-42C2-98E9-4558A8E35F27}" name="Results" dataDxfId="51">
      <calculatedColumnFormula>IF(F2&gt;0, "Favorable","Unfavorable")</calculatedColumnFormula>
    </tableColumn>
    <tableColumn id="8" xr3:uid="{62F494D6-BC06-487E-990C-04BBCE23707F}" name="Cross Sectional" dataDxfId="50" dataCellStyle="Percent">
      <calculatedColumnFormula>(C2-E2)/ABS(E2)</calculatedColumnFormula>
    </tableColumn>
    <tableColumn id="9" xr3:uid="{4E5DCC19-4486-49B6-8CE3-0DF616484494}" name="Results2" dataDxfId="49">
      <calculatedColumnFormula>IF(H2&gt;0, "Favorable","Unfavorable")</calculatedColumnFormula>
    </tableColumn>
    <tableColumn id="10" xr3:uid="{417161D0-B147-42E6-B1C4-91B4903DFF9D}" name="Reason for Change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6D84-BA68-472E-B5D3-A31F89EA6697}">
  <sheetPr codeName="Sheet1"/>
  <dimension ref="A1:AP1048576"/>
  <sheetViews>
    <sheetView topLeftCell="F19" zoomScale="95" zoomScaleNormal="85" workbookViewId="0">
      <selection activeCell="K35" sqref="K35"/>
    </sheetView>
  </sheetViews>
  <sheetFormatPr defaultRowHeight="14.4" x14ac:dyDescent="0.3"/>
  <cols>
    <col min="1" max="1" width="48.109375" bestFit="1" customWidth="1"/>
    <col min="2" max="3" width="29.77734375" bestFit="1" customWidth="1"/>
    <col min="4" max="4" width="43.21875" style="64" bestFit="1" customWidth="1"/>
    <col min="6" max="6" width="55.6640625" customWidth="1"/>
    <col min="7" max="8" width="33.6640625" style="67" bestFit="1" customWidth="1"/>
    <col min="9" max="9" width="8.77734375" bestFit="1" customWidth="1"/>
    <col min="10" max="10" width="17.77734375" bestFit="1" customWidth="1"/>
    <col min="11" max="11" width="47.21875" customWidth="1"/>
    <col min="12" max="13" width="29.77734375" customWidth="1"/>
    <col min="14" max="14" width="44.88671875" style="64" bestFit="1" customWidth="1"/>
    <col min="15" max="15" width="7.44140625" customWidth="1"/>
    <col min="16" max="16" width="44.88671875" bestFit="1" customWidth="1"/>
    <col min="17" max="17" width="25.109375" bestFit="1" customWidth="1"/>
    <col min="18" max="18" width="33.6640625" bestFit="1" customWidth="1"/>
    <col min="19" max="19" width="8.88671875" bestFit="1" customWidth="1"/>
    <col min="20" max="20" width="67" customWidth="1"/>
    <col min="21" max="22" width="29.77734375" customWidth="1"/>
    <col min="23" max="23" width="34.6640625" bestFit="1" customWidth="1"/>
    <col min="24" max="24" width="12.88671875" customWidth="1"/>
    <col min="25" max="25" width="36.44140625" bestFit="1" customWidth="1"/>
    <col min="26" max="27" width="33.6640625" bestFit="1" customWidth="1"/>
    <col min="28" max="28" width="13.109375" bestFit="1" customWidth="1"/>
    <col min="35" max="35" width="68.33203125" bestFit="1" customWidth="1"/>
    <col min="36" max="37" width="29.77734375" bestFit="1" customWidth="1"/>
    <col min="38" max="38" width="9.21875" bestFit="1" customWidth="1"/>
  </cols>
  <sheetData>
    <row r="1" spans="1:42" ht="14.4" customHeight="1" x14ac:dyDescent="0.3">
      <c r="A1" s="167" t="s">
        <v>187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9"/>
    </row>
    <row r="2" spans="1:42" ht="14.4" customHeigh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2"/>
    </row>
    <row r="3" spans="1:42" ht="14.4" customHeight="1" x14ac:dyDescent="0.3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2"/>
    </row>
    <row r="4" spans="1:42" ht="15" customHeight="1" thickBot="1" x14ac:dyDescent="0.35">
      <c r="A4" s="173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5"/>
    </row>
    <row r="5" spans="1:42" ht="14.4" customHeight="1" x14ac:dyDescent="0.3">
      <c r="A5" s="196" t="s">
        <v>0</v>
      </c>
      <c r="B5" s="197"/>
      <c r="C5" s="198"/>
      <c r="D5" s="59"/>
      <c r="E5" s="7"/>
      <c r="F5" s="187" t="s">
        <v>268</v>
      </c>
      <c r="G5" s="188"/>
      <c r="H5" s="189"/>
      <c r="I5" s="200" t="s">
        <v>273</v>
      </c>
      <c r="J5" s="6"/>
      <c r="K5" s="176" t="s">
        <v>139</v>
      </c>
      <c r="L5" s="177"/>
      <c r="M5" s="166"/>
      <c r="N5" s="59"/>
      <c r="O5" s="59"/>
      <c r="P5" s="187" t="s">
        <v>272</v>
      </c>
      <c r="Q5" s="188"/>
      <c r="R5" s="189"/>
      <c r="S5" s="200" t="s">
        <v>273</v>
      </c>
      <c r="T5" s="181" t="s">
        <v>183</v>
      </c>
      <c r="U5" s="182"/>
      <c r="V5" s="183"/>
      <c r="Y5" s="196" t="s">
        <v>255</v>
      </c>
      <c r="Z5" s="197"/>
      <c r="AA5" s="198"/>
      <c r="AB5" s="162" t="s">
        <v>273</v>
      </c>
      <c r="AC5" s="7"/>
      <c r="AD5" s="6"/>
      <c r="AE5" s="6"/>
      <c r="AF5" s="6"/>
      <c r="AG5" s="6"/>
      <c r="AH5" s="6"/>
      <c r="AL5" s="5"/>
      <c r="AM5" s="5"/>
      <c r="AN5" s="5"/>
      <c r="AO5" s="5"/>
      <c r="AP5" s="5"/>
    </row>
    <row r="6" spans="1:42" ht="14.4" customHeight="1" thickBot="1" x14ac:dyDescent="0.35">
      <c r="A6" s="176"/>
      <c r="B6" s="177"/>
      <c r="C6" s="166"/>
      <c r="D6" s="59"/>
      <c r="E6" s="7"/>
      <c r="F6" s="190"/>
      <c r="G6" s="191"/>
      <c r="H6" s="192"/>
      <c r="I6" s="201"/>
      <c r="J6" s="6"/>
      <c r="K6" s="176"/>
      <c r="L6" s="177"/>
      <c r="M6" s="166"/>
      <c r="N6" s="59"/>
      <c r="O6" s="59"/>
      <c r="P6" s="190"/>
      <c r="Q6" s="191"/>
      <c r="R6" s="192"/>
      <c r="S6" s="201"/>
      <c r="T6" s="181"/>
      <c r="U6" s="182"/>
      <c r="V6" s="183"/>
      <c r="Y6" s="176"/>
      <c r="Z6" s="177"/>
      <c r="AA6" s="166"/>
      <c r="AB6" s="163"/>
      <c r="AC6" s="7"/>
      <c r="AD6" s="6"/>
      <c r="AE6" s="6"/>
      <c r="AF6" s="6"/>
      <c r="AG6" s="6"/>
      <c r="AH6" s="6"/>
      <c r="AL6" s="5"/>
      <c r="AM6" s="5"/>
      <c r="AN6" s="5"/>
      <c r="AO6" s="5"/>
      <c r="AP6" s="5"/>
    </row>
    <row r="7" spans="1:42" ht="15" customHeight="1" thickBot="1" x14ac:dyDescent="0.35">
      <c r="A7" s="176"/>
      <c r="B7" s="177"/>
      <c r="C7" s="166"/>
      <c r="D7" s="59"/>
      <c r="E7" s="62"/>
      <c r="F7" s="190"/>
      <c r="G7" s="191"/>
      <c r="H7" s="192"/>
      <c r="I7" s="201"/>
      <c r="J7" s="6"/>
      <c r="K7" s="178"/>
      <c r="L7" s="179"/>
      <c r="M7" s="180"/>
      <c r="N7" s="165" t="s">
        <v>224</v>
      </c>
      <c r="O7" s="59"/>
      <c r="P7" s="190"/>
      <c r="Q7" s="191"/>
      <c r="R7" s="192"/>
      <c r="S7" s="201"/>
      <c r="T7" s="184"/>
      <c r="U7" s="185"/>
      <c r="V7" s="186"/>
      <c r="Y7" s="176"/>
      <c r="Z7" s="177"/>
      <c r="AA7" s="166"/>
      <c r="AB7" s="163"/>
      <c r="AC7" s="7"/>
      <c r="AD7" s="6"/>
      <c r="AE7" s="6"/>
      <c r="AF7" s="6"/>
      <c r="AG7" s="6"/>
      <c r="AH7" s="6"/>
      <c r="AL7" s="5"/>
      <c r="AM7" s="5"/>
      <c r="AN7" s="5"/>
      <c r="AO7" s="5"/>
      <c r="AP7" s="5"/>
    </row>
    <row r="8" spans="1:42" ht="31.8" customHeight="1" thickBot="1" x14ac:dyDescent="0.35">
      <c r="A8" s="178"/>
      <c r="B8" s="179"/>
      <c r="C8" s="180"/>
      <c r="D8" s="165" t="s">
        <v>224</v>
      </c>
      <c r="F8" s="193"/>
      <c r="G8" s="194"/>
      <c r="H8" s="195"/>
      <c r="I8" s="201"/>
      <c r="J8" s="8"/>
      <c r="K8" s="11"/>
      <c r="L8" s="86" t="s">
        <v>9</v>
      </c>
      <c r="M8" s="86" t="s">
        <v>10</v>
      </c>
      <c r="N8" s="199"/>
      <c r="O8" s="63"/>
      <c r="P8" s="193"/>
      <c r="Q8" s="194"/>
      <c r="R8" s="195"/>
      <c r="S8" s="201"/>
      <c r="T8" s="4"/>
      <c r="U8" s="87" t="s">
        <v>9</v>
      </c>
      <c r="V8" s="73" t="s">
        <v>10</v>
      </c>
      <c r="W8" s="85" t="s">
        <v>224</v>
      </c>
      <c r="Y8" s="178"/>
      <c r="Z8" s="179"/>
      <c r="AA8" s="180"/>
      <c r="AB8" s="164"/>
    </row>
    <row r="9" spans="1:42" ht="24" thickBot="1" x14ac:dyDescent="0.5">
      <c r="A9" s="91"/>
      <c r="B9" s="93" t="s">
        <v>9</v>
      </c>
      <c r="C9" s="93" t="s">
        <v>10</v>
      </c>
      <c r="D9" s="166"/>
      <c r="F9" s="82"/>
      <c r="G9" s="84" t="s">
        <v>9</v>
      </c>
      <c r="H9" s="106" t="s">
        <v>10</v>
      </c>
      <c r="I9" s="42"/>
      <c r="J9" s="9">
        <v>2021</v>
      </c>
      <c r="K9" s="11" t="s">
        <v>141</v>
      </c>
      <c r="L9" s="12">
        <v>42046556</v>
      </c>
      <c r="M9" s="12">
        <v>39558284</v>
      </c>
      <c r="N9" s="104" t="s">
        <v>225</v>
      </c>
      <c r="O9" s="12"/>
      <c r="P9" s="69"/>
      <c r="Q9" s="66" t="s">
        <v>9</v>
      </c>
      <c r="R9" s="73" t="s">
        <v>10</v>
      </c>
      <c r="S9" s="10"/>
      <c r="T9" s="23" t="s">
        <v>154</v>
      </c>
      <c r="W9" s="89"/>
      <c r="Y9" s="69"/>
      <c r="Z9" s="66" t="s">
        <v>9</v>
      </c>
      <c r="AA9" s="73" t="s">
        <v>10</v>
      </c>
    </row>
    <row r="10" spans="1:42" ht="18.600000000000001" customHeight="1" thickBot="1" x14ac:dyDescent="0.4">
      <c r="A10" s="92" t="s">
        <v>108</v>
      </c>
      <c r="B10" s="96"/>
      <c r="C10" s="96"/>
      <c r="D10" s="166"/>
      <c r="F10" s="70" t="s">
        <v>205</v>
      </c>
      <c r="G10" s="83">
        <f>SUMIF($D$11:$D$66,$F10,B$11:B$66)</f>
        <v>47886218</v>
      </c>
      <c r="H10" s="107">
        <f>SUMIF($D$11:$D$66,$F10,C$11:C$66)</f>
        <v>39922514</v>
      </c>
      <c r="I10" s="44">
        <f>(G10-H10)/H10</f>
        <v>0.19947902078511387</v>
      </c>
      <c r="K10" s="11" t="s">
        <v>142</v>
      </c>
      <c r="L10" s="20">
        <v>-34566123</v>
      </c>
      <c r="M10" s="20">
        <v>-29389027</v>
      </c>
      <c r="N10" s="81" t="s">
        <v>234</v>
      </c>
      <c r="O10" s="12"/>
      <c r="P10" s="47" t="s">
        <v>225</v>
      </c>
      <c r="Q10" s="52">
        <f>SUMIF($N$9:$N$25,$P10,L$9:L$25)</f>
        <v>42046556</v>
      </c>
      <c r="R10" s="52">
        <f>SUMIF($N$9:$N$25,$P10,M$9:M$25)</f>
        <v>39558284</v>
      </c>
      <c r="S10" s="110">
        <f>(Q10-R10)/R10</f>
        <v>6.2901414024935959E-2</v>
      </c>
      <c r="T10" s="18" t="s">
        <v>157</v>
      </c>
      <c r="U10" s="12">
        <v>4233854</v>
      </c>
      <c r="V10" s="12">
        <v>5963692</v>
      </c>
      <c r="W10" s="89"/>
      <c r="X10" s="45">
        <f>(U10-V10)/ABS(V10)</f>
        <v>-0.29006159271806792</v>
      </c>
      <c r="Y10" s="47" t="s">
        <v>246</v>
      </c>
      <c r="Z10" s="52">
        <f>SUMIF($W$10:$W$39,$Y10,U$10:U$39)</f>
        <v>1843041</v>
      </c>
      <c r="AA10" s="52">
        <f>SUMIF($W$10:$W$39,$Y10,V$10:V$39)</f>
        <v>3416411</v>
      </c>
      <c r="AB10" s="45">
        <f>(Z10-AA10)/AA10</f>
        <v>-0.46053299793262581</v>
      </c>
    </row>
    <row r="11" spans="1:42" ht="14.4" customHeight="1" x14ac:dyDescent="0.3">
      <c r="A11" s="43" t="s">
        <v>94</v>
      </c>
      <c r="B11" s="42"/>
      <c r="C11" s="42"/>
      <c r="D11" s="95"/>
      <c r="F11" s="50" t="s">
        <v>14</v>
      </c>
      <c r="G11" s="74">
        <f t="shared" ref="G11:G39" si="0">SUMIF($D$11:$D$66,$F11,B$11:B$66)</f>
        <v>17527606</v>
      </c>
      <c r="H11" s="108">
        <f t="shared" ref="H11:H39" si="1">SUMIF($D$11:$D$66,$F11,C$11:C$66)</f>
        <v>13824764</v>
      </c>
      <c r="I11" s="44">
        <f t="shared" ref="I11:I37" si="2">(G11-H11)/H11</f>
        <v>0.26784124488490363</v>
      </c>
      <c r="K11" s="18" t="s">
        <v>143</v>
      </c>
      <c r="L11" s="14">
        <v>7480433</v>
      </c>
      <c r="M11" s="14">
        <v>10169257</v>
      </c>
      <c r="N11" s="81" t="s">
        <v>226</v>
      </c>
      <c r="O11" s="14"/>
      <c r="P11" s="47" t="s">
        <v>234</v>
      </c>
      <c r="Q11" s="52">
        <f t="shared" ref="Q11:Q28" si="3">SUMIF($N$9:$N$25,$P11,L$9:L$25)</f>
        <v>-34566123</v>
      </c>
      <c r="R11" s="52">
        <f t="shared" ref="R11:R28" si="4">SUMIF($N$9:$N$25,$P11,M$9:M$25)</f>
        <v>-29389027</v>
      </c>
      <c r="S11" s="110">
        <f t="shared" ref="S11:S27" si="5">(Q11-R11)/R11</f>
        <v>0.1761574481523325</v>
      </c>
      <c r="T11" s="11" t="s">
        <v>158</v>
      </c>
      <c r="U11" s="12">
        <v>-1291462</v>
      </c>
      <c r="V11" s="12">
        <v>-749197</v>
      </c>
      <c r="W11" s="89"/>
      <c r="X11" s="45">
        <f t="shared" ref="X11:X16" si="6">(U11-V11)/ABS(V11)</f>
        <v>-0.72379494311909953</v>
      </c>
      <c r="Y11" s="50"/>
      <c r="Z11" s="52">
        <f t="shared" ref="Z11:Z17" si="7">SUMIF($W$10:$W$39,$Y11,U$10:U$39)</f>
        <v>0</v>
      </c>
      <c r="AA11" s="52">
        <f t="shared" ref="AA11:AA17" si="8">SUMIF($W$10:$W$39,$Y11,V$10:V$39)</f>
        <v>0</v>
      </c>
      <c r="AB11" s="45"/>
    </row>
    <row r="12" spans="1:42" x14ac:dyDescent="0.3">
      <c r="A12" s="42" t="s">
        <v>2</v>
      </c>
      <c r="B12" s="60">
        <v>19218251</v>
      </c>
      <c r="C12" s="60">
        <v>13112163</v>
      </c>
      <c r="D12" s="95" t="s">
        <v>243</v>
      </c>
      <c r="F12" s="47" t="s">
        <v>242</v>
      </c>
      <c r="G12" s="68">
        <f t="shared" si="0"/>
        <v>643475</v>
      </c>
      <c r="H12" s="109">
        <f t="shared" si="1"/>
        <v>309629</v>
      </c>
      <c r="I12" s="44">
        <f t="shared" si="2"/>
        <v>1.0782129580885511</v>
      </c>
      <c r="K12" s="11" t="s">
        <v>144</v>
      </c>
      <c r="L12" s="28">
        <v>-1319918</v>
      </c>
      <c r="M12" s="78">
        <v>-1594678</v>
      </c>
      <c r="N12" s="81" t="s">
        <v>253</v>
      </c>
      <c r="O12" s="12"/>
      <c r="P12" s="47" t="s">
        <v>226</v>
      </c>
      <c r="Q12" s="52">
        <f t="shared" si="3"/>
        <v>7480433</v>
      </c>
      <c r="R12" s="52">
        <f t="shared" si="4"/>
        <v>10169257</v>
      </c>
      <c r="S12" s="110">
        <f t="shared" si="5"/>
        <v>-0.2644071243356324</v>
      </c>
      <c r="T12" s="11" t="s">
        <v>159</v>
      </c>
      <c r="U12" s="12">
        <v>-851197</v>
      </c>
      <c r="V12" s="12">
        <v>-1204522</v>
      </c>
      <c r="W12" s="89"/>
      <c r="X12" s="45">
        <f t="shared" si="6"/>
        <v>0.29333212676895898</v>
      </c>
      <c r="Y12" s="47" t="s">
        <v>247</v>
      </c>
      <c r="Z12" s="52">
        <f t="shared" si="7"/>
        <v>-5115601</v>
      </c>
      <c r="AA12" s="52">
        <f t="shared" si="8"/>
        <v>-3359411</v>
      </c>
      <c r="AB12" s="45">
        <f t="shared" ref="AB12:AB16" si="9">(Z12-AA12)/AA12</f>
        <v>0.52276723508972256</v>
      </c>
    </row>
    <row r="13" spans="1:42" x14ac:dyDescent="0.3">
      <c r="A13" s="42" t="s">
        <v>96</v>
      </c>
      <c r="B13" s="42" t="s">
        <v>12</v>
      </c>
      <c r="C13" s="60">
        <v>1824360</v>
      </c>
      <c r="D13" s="95" t="s">
        <v>211</v>
      </c>
      <c r="F13" s="47" t="s">
        <v>258</v>
      </c>
      <c r="G13" s="68">
        <f t="shared" si="0"/>
        <v>467867</v>
      </c>
      <c r="H13" s="109">
        <f t="shared" si="1"/>
        <v>412122</v>
      </c>
      <c r="I13" s="44">
        <f t="shared" si="2"/>
        <v>0.13526334434948875</v>
      </c>
      <c r="K13" s="11" t="s">
        <v>145</v>
      </c>
      <c r="L13" s="29">
        <v>-1039808</v>
      </c>
      <c r="M13" s="79">
        <v>-747220</v>
      </c>
      <c r="N13" s="81" t="s">
        <v>244</v>
      </c>
      <c r="O13" s="12"/>
      <c r="P13" s="47"/>
      <c r="Q13" s="52">
        <f t="shared" si="3"/>
        <v>0</v>
      </c>
      <c r="R13" s="52">
        <f t="shared" si="4"/>
        <v>0</v>
      </c>
      <c r="S13" s="110"/>
      <c r="T13" s="11" t="s">
        <v>160</v>
      </c>
      <c r="U13" s="12">
        <v>-58307</v>
      </c>
      <c r="V13" s="12">
        <v>-29740</v>
      </c>
      <c r="W13" s="89"/>
      <c r="X13" s="45">
        <f t="shared" si="6"/>
        <v>-0.96055817081371886</v>
      </c>
      <c r="Y13" s="47"/>
      <c r="Z13" s="52">
        <f t="shared" si="7"/>
        <v>0</v>
      </c>
      <c r="AA13" s="52">
        <f t="shared" si="8"/>
        <v>0</v>
      </c>
      <c r="AB13" s="45"/>
    </row>
    <row r="14" spans="1:42" x14ac:dyDescent="0.3">
      <c r="A14" s="42" t="s">
        <v>97</v>
      </c>
      <c r="B14" s="60">
        <v>11078733</v>
      </c>
      <c r="C14" s="60">
        <v>11106754</v>
      </c>
      <c r="D14" s="95" t="s">
        <v>211</v>
      </c>
      <c r="F14" s="47" t="s">
        <v>207</v>
      </c>
      <c r="G14" s="68">
        <f t="shared" si="0"/>
        <v>6175056</v>
      </c>
      <c r="H14" s="109">
        <f t="shared" si="1"/>
        <v>5412770</v>
      </c>
      <c r="I14" s="44">
        <f t="shared" si="2"/>
        <v>0.14083103475669573</v>
      </c>
      <c r="J14" s="125">
        <f>952761514+872205656+185402883</f>
        <v>2010370053</v>
      </c>
      <c r="K14" s="11" t="s">
        <v>146</v>
      </c>
      <c r="L14" s="33">
        <v>-434658</v>
      </c>
      <c r="M14" s="80">
        <v>-957075</v>
      </c>
      <c r="N14" s="81" t="s">
        <v>235</v>
      </c>
      <c r="O14" s="12"/>
      <c r="P14" s="47" t="s">
        <v>253</v>
      </c>
      <c r="Q14" s="52">
        <f t="shared" si="3"/>
        <v>-1319918</v>
      </c>
      <c r="R14" s="52">
        <f t="shared" si="4"/>
        <v>-1594678</v>
      </c>
      <c r="S14" s="110">
        <f t="shared" si="5"/>
        <v>-0.17229810657700176</v>
      </c>
      <c r="T14" s="11" t="s">
        <v>161</v>
      </c>
      <c r="U14" s="12">
        <v>-182692</v>
      </c>
      <c r="V14" s="12">
        <v>-553088</v>
      </c>
      <c r="W14" s="89"/>
      <c r="X14" s="45">
        <f t="shared" si="6"/>
        <v>0.66968728303633418</v>
      </c>
      <c r="Y14" s="47" t="s">
        <v>248</v>
      </c>
      <c r="Z14" s="52">
        <f t="shared" si="7"/>
        <v>3606406</v>
      </c>
      <c r="AA14" s="52">
        <f t="shared" si="8"/>
        <v>2743</v>
      </c>
      <c r="AB14" s="45">
        <f t="shared" si="9"/>
        <v>1313.7670433831572</v>
      </c>
    </row>
    <row r="15" spans="1:42" x14ac:dyDescent="0.3">
      <c r="A15" s="42" t="s">
        <v>98</v>
      </c>
      <c r="B15" s="60">
        <v>61628</v>
      </c>
      <c r="C15" s="60">
        <v>54473</v>
      </c>
      <c r="D15" s="95" t="s">
        <v>211</v>
      </c>
      <c r="F15" s="47" t="s">
        <v>208</v>
      </c>
      <c r="G15" s="68">
        <f t="shared" si="0"/>
        <v>9932998</v>
      </c>
      <c r="H15" s="109">
        <f t="shared" si="1"/>
        <v>6953490</v>
      </c>
      <c r="I15" s="44">
        <f t="shared" si="2"/>
        <v>0.42849101674123352</v>
      </c>
      <c r="J15" s="12">
        <f>SUM(K28,K29)</f>
        <v>3482911</v>
      </c>
      <c r="K15" s="11"/>
      <c r="L15" s="34">
        <v>-2794384</v>
      </c>
      <c r="M15" s="34">
        <v>-3298973</v>
      </c>
      <c r="N15" s="81"/>
      <c r="O15" s="12"/>
      <c r="P15" s="47" t="s">
        <v>244</v>
      </c>
      <c r="Q15" s="52">
        <f t="shared" si="3"/>
        <v>-1039808</v>
      </c>
      <c r="R15" s="52">
        <f t="shared" si="4"/>
        <v>-747220</v>
      </c>
      <c r="S15" s="110">
        <f t="shared" si="5"/>
        <v>0.39156874815984583</v>
      </c>
      <c r="T15" s="11" t="s">
        <v>162</v>
      </c>
      <c r="V15" s="12">
        <v>-9222</v>
      </c>
      <c r="W15" s="89"/>
      <c r="X15" s="45">
        <f t="shared" si="6"/>
        <v>1</v>
      </c>
      <c r="Y15" s="47"/>
      <c r="Z15" s="52">
        <f t="shared" si="7"/>
        <v>0</v>
      </c>
      <c r="AA15" s="52">
        <f t="shared" si="8"/>
        <v>0</v>
      </c>
      <c r="AB15" s="45"/>
    </row>
    <row r="16" spans="1:42" ht="15" thickBot="1" x14ac:dyDescent="0.35">
      <c r="A16" s="43" t="s">
        <v>13</v>
      </c>
      <c r="B16" s="61">
        <v>30358612</v>
      </c>
      <c r="C16" s="61">
        <v>26097750</v>
      </c>
      <c r="D16" s="95" t="s">
        <v>250</v>
      </c>
      <c r="F16" s="47" t="s">
        <v>209</v>
      </c>
      <c r="G16" s="68">
        <f t="shared" si="0"/>
        <v>308210</v>
      </c>
      <c r="H16" s="109">
        <f t="shared" si="1"/>
        <v>736753</v>
      </c>
      <c r="I16" s="44">
        <f t="shared" si="2"/>
        <v>-0.58166441127487778</v>
      </c>
      <c r="J16">
        <f>(inv_22k-inv_21k)/inv_21k</f>
        <v>0.99645928362797676</v>
      </c>
      <c r="K16" s="11"/>
      <c r="L16" s="34">
        <v>4686049</v>
      </c>
      <c r="M16" s="34">
        <v>6870284</v>
      </c>
      <c r="N16" s="81"/>
      <c r="O16" s="12"/>
      <c r="P16" s="47" t="s">
        <v>227</v>
      </c>
      <c r="Q16" s="52">
        <f t="shared" si="3"/>
        <v>0</v>
      </c>
      <c r="R16" s="52">
        <f t="shared" si="4"/>
        <v>0</v>
      </c>
      <c r="S16" s="110"/>
      <c r="T16" s="11" t="s">
        <v>163</v>
      </c>
      <c r="U16" s="20">
        <v>-7155</v>
      </c>
      <c r="V16" s="20">
        <v>-1512</v>
      </c>
      <c r="W16" s="89"/>
      <c r="X16" s="45">
        <f t="shared" si="6"/>
        <v>-3.7321428571428572</v>
      </c>
      <c r="Y16" s="47" t="s">
        <v>249</v>
      </c>
      <c r="Z16" s="52">
        <f t="shared" si="7"/>
        <v>643475</v>
      </c>
      <c r="AA16" s="52">
        <f t="shared" si="8"/>
        <v>309629</v>
      </c>
      <c r="AB16" s="45">
        <f t="shared" si="9"/>
        <v>1.0782129580885511</v>
      </c>
    </row>
    <row r="17" spans="1:28" ht="15" thickBot="1" x14ac:dyDescent="0.35">
      <c r="A17" s="43" t="s">
        <v>95</v>
      </c>
      <c r="B17" s="42"/>
      <c r="C17" s="42"/>
      <c r="D17" s="95"/>
      <c r="F17" s="47"/>
      <c r="G17" s="68">
        <f t="shared" si="0"/>
        <v>0</v>
      </c>
      <c r="H17" s="109">
        <f t="shared" si="1"/>
        <v>0</v>
      </c>
      <c r="I17" s="44"/>
      <c r="K17" s="11" t="s">
        <v>147</v>
      </c>
      <c r="L17" s="26">
        <v>444851</v>
      </c>
      <c r="M17" s="26">
        <v>509465</v>
      </c>
      <c r="N17" s="81" t="s">
        <v>228</v>
      </c>
      <c r="O17" s="12"/>
      <c r="P17" s="47" t="s">
        <v>235</v>
      </c>
      <c r="Q17" s="52">
        <f t="shared" si="3"/>
        <v>-434658</v>
      </c>
      <c r="R17" s="52">
        <f t="shared" si="4"/>
        <v>-957075</v>
      </c>
      <c r="S17" s="110">
        <f t="shared" si="5"/>
        <v>-0.54584750411409766</v>
      </c>
      <c r="T17" s="11" t="s">
        <v>45</v>
      </c>
      <c r="W17" s="89"/>
      <c r="Y17" s="49"/>
      <c r="Z17" s="52">
        <f t="shared" si="7"/>
        <v>0</v>
      </c>
      <c r="AA17" s="52">
        <f t="shared" si="8"/>
        <v>0</v>
      </c>
      <c r="AB17" s="45"/>
    </row>
    <row r="18" spans="1:28" ht="16.2" thickBot="1" x14ac:dyDescent="0.35">
      <c r="A18" s="42" t="s">
        <v>99</v>
      </c>
      <c r="B18" s="60">
        <v>1069324</v>
      </c>
      <c r="C18" s="60">
        <v>985823</v>
      </c>
      <c r="D18" s="95" t="s">
        <v>208</v>
      </c>
      <c r="F18" s="50" t="s">
        <v>250</v>
      </c>
      <c r="G18" s="74">
        <f t="shared" si="0"/>
        <v>30358612</v>
      </c>
      <c r="H18" s="108">
        <f t="shared" si="1"/>
        <v>26097750</v>
      </c>
      <c r="I18" s="44">
        <f t="shared" si="2"/>
        <v>0.16326549223592071</v>
      </c>
      <c r="K18" s="18" t="s">
        <v>148</v>
      </c>
      <c r="L18" s="40">
        <v>5130900</v>
      </c>
      <c r="M18" s="40">
        <v>7379749</v>
      </c>
      <c r="N18" s="81" t="s">
        <v>245</v>
      </c>
      <c r="O18" s="14"/>
      <c r="P18" s="47" t="s">
        <v>228</v>
      </c>
      <c r="Q18" s="52">
        <f t="shared" si="3"/>
        <v>444851</v>
      </c>
      <c r="R18" s="52">
        <f t="shared" si="4"/>
        <v>509465</v>
      </c>
      <c r="S18" s="110">
        <f t="shared" si="5"/>
        <v>-0.12682716182662204</v>
      </c>
      <c r="T18" s="35" t="s">
        <v>164</v>
      </c>
      <c r="U18" s="36">
        <v>1843041</v>
      </c>
      <c r="V18" s="36">
        <v>3416411</v>
      </c>
      <c r="W18" s="89" t="s">
        <v>246</v>
      </c>
    </row>
    <row r="19" spans="1:28" ht="23.4" x14ac:dyDescent="0.45">
      <c r="A19" s="42" t="s">
        <v>100</v>
      </c>
      <c r="B19" s="60">
        <v>8863674</v>
      </c>
      <c r="C19" s="60">
        <v>5967667</v>
      </c>
      <c r="D19" s="95" t="s">
        <v>208</v>
      </c>
      <c r="F19" s="47" t="s">
        <v>243</v>
      </c>
      <c r="G19" s="68">
        <f t="shared" si="0"/>
        <v>19218251</v>
      </c>
      <c r="H19" s="109">
        <f t="shared" si="1"/>
        <v>13112163</v>
      </c>
      <c r="I19" s="44">
        <f t="shared" si="2"/>
        <v>0.4656812152197925</v>
      </c>
      <c r="K19" s="11" t="s">
        <v>149</v>
      </c>
      <c r="L19" s="26">
        <v>-1667308</v>
      </c>
      <c r="M19" s="26">
        <v>-804123</v>
      </c>
      <c r="N19" s="81" t="s">
        <v>254</v>
      </c>
      <c r="O19" s="12"/>
      <c r="P19" s="47" t="s">
        <v>229</v>
      </c>
      <c r="Q19" s="52">
        <f t="shared" si="3"/>
        <v>0</v>
      </c>
      <c r="R19" s="52">
        <f t="shared" si="4"/>
        <v>0</v>
      </c>
      <c r="S19" s="110"/>
      <c r="T19" s="24" t="s">
        <v>155</v>
      </c>
      <c r="W19" s="89"/>
    </row>
    <row r="20" spans="1:28" x14ac:dyDescent="0.3">
      <c r="A20" s="42" t="s">
        <v>101</v>
      </c>
      <c r="B20" s="60">
        <v>4430883</v>
      </c>
      <c r="C20" s="60">
        <v>4413988</v>
      </c>
      <c r="D20" s="95" t="s">
        <v>207</v>
      </c>
      <c r="F20" s="47" t="s">
        <v>211</v>
      </c>
      <c r="G20" s="68">
        <f t="shared" si="0"/>
        <v>11140361</v>
      </c>
      <c r="H20" s="109">
        <f t="shared" si="1"/>
        <v>12985587</v>
      </c>
      <c r="I20" s="44">
        <f t="shared" si="2"/>
        <v>-0.14209800450299243</v>
      </c>
      <c r="K20" s="11" t="s">
        <v>150</v>
      </c>
      <c r="L20" s="34">
        <v>3463592</v>
      </c>
      <c r="M20" s="34">
        <v>6575626</v>
      </c>
      <c r="N20" s="81" t="s">
        <v>231</v>
      </c>
      <c r="O20" s="12"/>
      <c r="P20" s="47" t="s">
        <v>230</v>
      </c>
      <c r="Q20" s="52">
        <f t="shared" si="3"/>
        <v>0</v>
      </c>
      <c r="R20" s="52">
        <f t="shared" si="4"/>
        <v>0</v>
      </c>
      <c r="S20" s="110"/>
      <c r="T20" s="11" t="s">
        <v>165</v>
      </c>
      <c r="U20" s="28">
        <v>-5265764</v>
      </c>
      <c r="V20" s="78">
        <v>-3186982</v>
      </c>
      <c r="W20" s="89"/>
    </row>
    <row r="21" spans="1:28" x14ac:dyDescent="0.3">
      <c r="A21" s="42" t="s">
        <v>102</v>
      </c>
      <c r="B21" s="60">
        <v>277849</v>
      </c>
      <c r="C21" s="60">
        <v>700856</v>
      </c>
      <c r="D21" s="95" t="s">
        <v>209</v>
      </c>
      <c r="F21" s="47" t="s">
        <v>259</v>
      </c>
      <c r="G21" s="68">
        <f t="shared" si="0"/>
        <v>0</v>
      </c>
      <c r="H21" s="109">
        <f t="shared" si="1"/>
        <v>0</v>
      </c>
      <c r="I21" s="44"/>
      <c r="K21" s="11" t="s">
        <v>151</v>
      </c>
      <c r="L21" s="26">
        <v>-1056330</v>
      </c>
      <c r="M21" s="26">
        <v>-1834903</v>
      </c>
      <c r="N21" s="81" t="s">
        <v>232</v>
      </c>
      <c r="O21" s="12"/>
      <c r="P21" s="50" t="s">
        <v>245</v>
      </c>
      <c r="Q21" s="126">
        <f t="shared" si="3"/>
        <v>5130900</v>
      </c>
      <c r="R21" s="126">
        <f t="shared" si="4"/>
        <v>7379749</v>
      </c>
      <c r="S21" s="110">
        <f t="shared" si="5"/>
        <v>-0.30473245092753154</v>
      </c>
      <c r="T21" s="11" t="s">
        <v>166</v>
      </c>
      <c r="U21" s="29">
        <v>26910</v>
      </c>
      <c r="V21" s="79">
        <v>70994</v>
      </c>
      <c r="W21" s="89"/>
    </row>
    <row r="22" spans="1:28" ht="15" thickBot="1" x14ac:dyDescent="0.35">
      <c r="A22" s="42" t="s">
        <v>103</v>
      </c>
      <c r="B22" s="60">
        <v>30361</v>
      </c>
      <c r="C22" s="60">
        <v>35897</v>
      </c>
      <c r="D22" s="95" t="s">
        <v>209</v>
      </c>
      <c r="F22" s="47" t="s">
        <v>212</v>
      </c>
      <c r="G22" s="68">
        <f t="shared" si="0"/>
        <v>0</v>
      </c>
      <c r="H22" s="109">
        <f t="shared" si="1"/>
        <v>0</v>
      </c>
      <c r="I22" s="44"/>
      <c r="K22" s="18" t="s">
        <v>152</v>
      </c>
      <c r="L22" s="41">
        <v>2407262</v>
      </c>
      <c r="M22" s="41">
        <v>4740723</v>
      </c>
      <c r="N22" s="81" t="s">
        <v>233</v>
      </c>
      <c r="O22" s="14"/>
      <c r="P22" s="47"/>
      <c r="Q22" s="52">
        <f t="shared" si="3"/>
        <v>0</v>
      </c>
      <c r="R22" s="52">
        <f t="shared" si="4"/>
        <v>0</v>
      </c>
      <c r="S22" s="110"/>
      <c r="T22" s="11" t="s">
        <v>167</v>
      </c>
      <c r="U22" s="29">
        <v>28021</v>
      </c>
      <c r="V22" s="79">
        <v>-28058</v>
      </c>
      <c r="W22" s="89"/>
    </row>
    <row r="23" spans="1:28" ht="18.600000000000001" thickTop="1" x14ac:dyDescent="0.35">
      <c r="A23" s="42" t="s">
        <v>104</v>
      </c>
      <c r="B23" s="60">
        <v>1744173</v>
      </c>
      <c r="C23" s="60">
        <v>998782</v>
      </c>
      <c r="D23" s="95" t="s">
        <v>207</v>
      </c>
      <c r="F23" s="70" t="s">
        <v>256</v>
      </c>
      <c r="G23" s="74">
        <f t="shared" si="0"/>
        <v>21491421</v>
      </c>
      <c r="H23" s="108">
        <f t="shared" si="1"/>
        <v>15622826</v>
      </c>
      <c r="I23" s="44">
        <f t="shared" si="2"/>
        <v>0.37564234537336588</v>
      </c>
      <c r="K23" s="11"/>
      <c r="N23" s="81"/>
      <c r="P23" s="50" t="s">
        <v>254</v>
      </c>
      <c r="Q23" s="126">
        <f t="shared" si="3"/>
        <v>-1667308</v>
      </c>
      <c r="R23" s="126">
        <f t="shared" si="4"/>
        <v>-804123</v>
      </c>
      <c r="S23" s="110">
        <f t="shared" si="5"/>
        <v>1.0734489624099797</v>
      </c>
      <c r="T23" s="11" t="s">
        <v>168</v>
      </c>
      <c r="U23" s="29">
        <v>-55745</v>
      </c>
      <c r="V23" s="79">
        <v>-278219</v>
      </c>
      <c r="W23" s="89"/>
    </row>
    <row r="24" spans="1:28" x14ac:dyDescent="0.3">
      <c r="A24" s="42" t="s">
        <v>105</v>
      </c>
      <c r="B24" s="60">
        <v>467867</v>
      </c>
      <c r="C24" s="60">
        <v>412122</v>
      </c>
      <c r="D24" s="95" t="s">
        <v>258</v>
      </c>
      <c r="F24" s="50" t="s">
        <v>35</v>
      </c>
      <c r="G24" s="74">
        <f t="shared" si="0"/>
        <v>13566572</v>
      </c>
      <c r="H24" s="108">
        <f t="shared" si="1"/>
        <v>10441312</v>
      </c>
      <c r="I24" s="44">
        <f t="shared" si="2"/>
        <v>0.29931679084007834</v>
      </c>
      <c r="K24" s="18" t="s">
        <v>140</v>
      </c>
      <c r="N24" s="81"/>
      <c r="P24" s="50" t="s">
        <v>231</v>
      </c>
      <c r="Q24" s="126">
        <f t="shared" si="3"/>
        <v>3463592</v>
      </c>
      <c r="R24" s="126">
        <f t="shared" si="4"/>
        <v>6575626</v>
      </c>
      <c r="S24" s="110">
        <f t="shared" si="5"/>
        <v>-0.47326809645195755</v>
      </c>
      <c r="T24" s="11" t="s">
        <v>169</v>
      </c>
      <c r="U24" s="38"/>
      <c r="V24" s="79">
        <v>-700000</v>
      </c>
      <c r="W24" s="89"/>
    </row>
    <row r="25" spans="1:28" ht="15" thickBot="1" x14ac:dyDescent="0.35">
      <c r="A25" s="42" t="s">
        <v>106</v>
      </c>
      <c r="B25" s="60">
        <v>643475</v>
      </c>
      <c r="C25" s="60">
        <v>309629</v>
      </c>
      <c r="D25" s="95" t="s">
        <v>242</v>
      </c>
      <c r="F25" s="47" t="s">
        <v>213</v>
      </c>
      <c r="G25" s="68">
        <f t="shared" si="0"/>
        <v>1856479</v>
      </c>
      <c r="H25" s="109">
        <f t="shared" si="1"/>
        <v>2136003</v>
      </c>
      <c r="I25" s="44">
        <f t="shared" si="2"/>
        <v>-0.13086311208364407</v>
      </c>
      <c r="J25">
        <f>275493413+25532515+2065110</f>
        <v>303091038</v>
      </c>
      <c r="K25" s="21" t="s">
        <v>153</v>
      </c>
      <c r="L25" s="17">
        <v>8.0500000000000007</v>
      </c>
      <c r="M25" s="17">
        <v>15.84</v>
      </c>
      <c r="N25" s="81" t="s">
        <v>302</v>
      </c>
      <c r="O25" s="9"/>
      <c r="P25" s="47"/>
      <c r="Q25" s="52">
        <f t="shared" si="3"/>
        <v>0</v>
      </c>
      <c r="R25" s="52">
        <f t="shared" si="4"/>
        <v>0</v>
      </c>
      <c r="S25" s="110"/>
      <c r="T25" s="11" t="s">
        <v>170</v>
      </c>
      <c r="U25" s="38"/>
      <c r="V25" s="88">
        <v>700000</v>
      </c>
      <c r="W25" s="89"/>
    </row>
    <row r="26" spans="1:28" x14ac:dyDescent="0.3">
      <c r="A26" s="43" t="s">
        <v>22</v>
      </c>
      <c r="B26" s="61">
        <v>17527606</v>
      </c>
      <c r="C26" s="61">
        <v>13824764</v>
      </c>
      <c r="D26" s="95" t="s">
        <v>14</v>
      </c>
      <c r="F26" s="47" t="s">
        <v>214</v>
      </c>
      <c r="G26" s="68">
        <f t="shared" si="0"/>
        <v>4331413</v>
      </c>
      <c r="H26" s="109">
        <f t="shared" si="1"/>
        <v>2962356</v>
      </c>
      <c r="I26" s="44">
        <f t="shared" si="2"/>
        <v>0.46215140921617792</v>
      </c>
      <c r="P26" s="47" t="s">
        <v>232</v>
      </c>
      <c r="Q26" s="52">
        <f t="shared" si="3"/>
        <v>-1056330</v>
      </c>
      <c r="R26" s="52">
        <f t="shared" si="4"/>
        <v>-1834903</v>
      </c>
      <c r="S26" s="110">
        <f t="shared" si="5"/>
        <v>-0.42431289283411711</v>
      </c>
      <c r="T26" s="11" t="s">
        <v>171</v>
      </c>
      <c r="U26" s="29">
        <v>131736</v>
      </c>
      <c r="V26" s="79">
        <v>40523</v>
      </c>
      <c r="W26" s="89"/>
    </row>
    <row r="27" spans="1:28" x14ac:dyDescent="0.3">
      <c r="A27" s="43" t="s">
        <v>107</v>
      </c>
      <c r="B27" s="61">
        <v>47886218</v>
      </c>
      <c r="C27" s="61">
        <v>39922514</v>
      </c>
      <c r="D27" s="95" t="s">
        <v>205</v>
      </c>
      <c r="F27" s="47" t="s">
        <v>215</v>
      </c>
      <c r="G27" s="68">
        <f t="shared" si="0"/>
        <v>7378680</v>
      </c>
      <c r="H27" s="109">
        <f t="shared" si="1"/>
        <v>5342953</v>
      </c>
      <c r="I27" s="44">
        <f t="shared" si="2"/>
        <v>0.38101158666377938</v>
      </c>
      <c r="P27" s="50" t="s">
        <v>233</v>
      </c>
      <c r="Q27" s="126">
        <f t="shared" si="3"/>
        <v>2407262</v>
      </c>
      <c r="R27" s="126">
        <f t="shared" si="4"/>
        <v>4740723</v>
      </c>
      <c r="S27" s="127">
        <f t="shared" si="5"/>
        <v>-0.49221627165307907</v>
      </c>
      <c r="T27" s="11" t="s">
        <v>172</v>
      </c>
      <c r="U27" s="33">
        <v>19241</v>
      </c>
      <c r="V27" s="80">
        <v>22331</v>
      </c>
      <c r="W27" s="89"/>
    </row>
    <row r="28" spans="1:28" ht="24" thickBot="1" x14ac:dyDescent="0.5">
      <c r="A28" s="65" t="s">
        <v>25</v>
      </c>
      <c r="B28" s="42"/>
      <c r="C28" s="42"/>
      <c r="D28" s="95"/>
      <c r="F28" s="47"/>
      <c r="G28" s="68">
        <f t="shared" si="0"/>
        <v>0</v>
      </c>
      <c r="H28" s="109">
        <f t="shared" si="1"/>
        <v>0</v>
      </c>
      <c r="I28" s="44"/>
      <c r="K28" s="12">
        <v>567778</v>
      </c>
      <c r="P28" s="49" t="s">
        <v>302</v>
      </c>
      <c r="Q28" s="52">
        <f t="shared" si="3"/>
        <v>8.0500000000000007</v>
      </c>
      <c r="R28" s="52">
        <f t="shared" si="4"/>
        <v>15.84</v>
      </c>
      <c r="S28" s="110">
        <f>(Q28-R28)/R28</f>
        <v>-0.49179292929292923</v>
      </c>
      <c r="T28" s="37" t="s">
        <v>173</v>
      </c>
      <c r="U28" s="36">
        <v>-5115601</v>
      </c>
      <c r="V28" s="36">
        <v>-3359411</v>
      </c>
      <c r="W28" s="89" t="s">
        <v>247</v>
      </c>
    </row>
    <row r="29" spans="1:28" ht="23.4" x14ac:dyDescent="0.45">
      <c r="A29" s="43" t="s">
        <v>109</v>
      </c>
      <c r="B29" s="42"/>
      <c r="C29" s="42"/>
      <c r="D29" s="95"/>
      <c r="F29" s="48" t="s">
        <v>251</v>
      </c>
      <c r="G29" s="68">
        <f t="shared" si="0"/>
        <v>924849</v>
      </c>
      <c r="H29" s="109">
        <f t="shared" si="1"/>
        <v>5181514</v>
      </c>
      <c r="I29" s="44">
        <f t="shared" si="2"/>
        <v>-0.82150989073849845</v>
      </c>
      <c r="K29" s="12">
        <v>2915133</v>
      </c>
      <c r="T29" s="24" t="s">
        <v>156</v>
      </c>
      <c r="W29" s="89"/>
    </row>
    <row r="30" spans="1:28" x14ac:dyDescent="0.3">
      <c r="A30" s="43" t="s">
        <v>110</v>
      </c>
      <c r="B30" s="42"/>
      <c r="C30" s="42"/>
      <c r="D30" s="95"/>
      <c r="F30" s="47" t="s">
        <v>216</v>
      </c>
      <c r="G30" s="68">
        <f t="shared" si="0"/>
        <v>0</v>
      </c>
      <c r="H30" s="109">
        <f t="shared" si="1"/>
        <v>0</v>
      </c>
      <c r="I30" s="44"/>
      <c r="K30" s="45">
        <f>(rec_22K-rec_21k)/rec_21k</f>
        <v>-0.99730757529345271</v>
      </c>
      <c r="T30" s="11" t="s">
        <v>174</v>
      </c>
      <c r="U30" s="28">
        <v>3093962</v>
      </c>
      <c r="V30" s="78">
        <v>1946684</v>
      </c>
      <c r="W30" s="89"/>
    </row>
    <row r="31" spans="1:28" x14ac:dyDescent="0.3">
      <c r="A31" s="42"/>
      <c r="B31" s="42"/>
      <c r="C31" s="42"/>
      <c r="D31" s="95"/>
      <c r="F31" s="47" t="s">
        <v>217</v>
      </c>
      <c r="G31" s="68">
        <f t="shared" si="0"/>
        <v>1503053</v>
      </c>
      <c r="H31" s="109">
        <f t="shared" si="1"/>
        <v>860560</v>
      </c>
      <c r="I31" s="44">
        <f t="shared" si="2"/>
        <v>0.74659872641070935</v>
      </c>
      <c r="T31" s="11" t="s">
        <v>175</v>
      </c>
      <c r="U31" s="29">
        <v>-835089</v>
      </c>
      <c r="V31" s="79">
        <v>-1023650</v>
      </c>
      <c r="W31" s="89"/>
    </row>
    <row r="32" spans="1:28" x14ac:dyDescent="0.3">
      <c r="A32" s="42" t="s">
        <v>111</v>
      </c>
      <c r="B32" s="60">
        <v>3700000</v>
      </c>
      <c r="C32" s="60">
        <v>3700000</v>
      </c>
      <c r="D32" s="95"/>
      <c r="F32" s="47" t="s">
        <v>218</v>
      </c>
      <c r="G32" s="68">
        <f t="shared" si="0"/>
        <v>6408355</v>
      </c>
      <c r="H32" s="109">
        <f t="shared" si="1"/>
        <v>4303554</v>
      </c>
      <c r="I32" s="44">
        <f t="shared" si="2"/>
        <v>0.48908437073172545</v>
      </c>
      <c r="K32">
        <f>assets_23k-cl_23k</f>
        <v>34319646</v>
      </c>
      <c r="L32">
        <f>assets_22k-cl_22k</f>
        <v>29481202</v>
      </c>
      <c r="T32" s="11" t="s">
        <v>176</v>
      </c>
      <c r="U32" s="29">
        <v>-312153</v>
      </c>
      <c r="V32" s="88" t="s">
        <v>12</v>
      </c>
      <c r="W32" s="89"/>
    </row>
    <row r="33" spans="1:24" x14ac:dyDescent="0.3">
      <c r="A33" s="42"/>
      <c r="B33" s="42"/>
      <c r="C33" s="42"/>
      <c r="D33" s="95"/>
      <c r="F33" s="47" t="s">
        <v>219</v>
      </c>
      <c r="G33" s="68">
        <f t="shared" si="0"/>
        <v>0</v>
      </c>
      <c r="H33" s="109">
        <f t="shared" si="1"/>
        <v>0</v>
      </c>
      <c r="I33" s="44"/>
      <c r="K33" s="45">
        <f>(K32-L32)/L32</f>
        <v>0.16411963121449391</v>
      </c>
      <c r="T33" s="11" t="s">
        <v>177</v>
      </c>
      <c r="U33" s="29">
        <v>1660056</v>
      </c>
      <c r="V33" s="79">
        <v>-323741</v>
      </c>
      <c r="W33" s="89"/>
    </row>
    <row r="34" spans="1:24" x14ac:dyDescent="0.3">
      <c r="A34" s="42" t="s">
        <v>112</v>
      </c>
      <c r="B34" s="60">
        <v>300000</v>
      </c>
      <c r="C34" s="60">
        <v>300000</v>
      </c>
      <c r="D34" s="95"/>
      <c r="F34" s="47" t="s">
        <v>262</v>
      </c>
      <c r="G34" s="68">
        <f t="shared" si="0"/>
        <v>13441</v>
      </c>
      <c r="H34" s="109">
        <f t="shared" si="1"/>
        <v>17400</v>
      </c>
      <c r="I34" s="44">
        <f t="shared" si="2"/>
        <v>-0.2275287356321839</v>
      </c>
      <c r="K34" s="45">
        <f>(ca_23k-cl_23k)/cl_23k</f>
        <v>0.29197014544278393</v>
      </c>
      <c r="L34" s="45">
        <f>(ca_22k-cl_22k)/cl_22k</f>
        <v>0.32404471775194538</v>
      </c>
      <c r="T34" s="11" t="s">
        <v>178</v>
      </c>
      <c r="U34" s="30">
        <v>-370</v>
      </c>
      <c r="V34" s="80">
        <v>-596550</v>
      </c>
      <c r="W34" s="89"/>
      <c r="X34" s="128">
        <f>(ABS(div_23k)-ABS(div_22k))/ABS(div_22k)</f>
        <v>-0.99937976699354625</v>
      </c>
    </row>
    <row r="35" spans="1:24" x14ac:dyDescent="0.3">
      <c r="A35" s="42"/>
      <c r="B35" s="61">
        <v>4000000</v>
      </c>
      <c r="C35" s="61">
        <v>4000000</v>
      </c>
      <c r="D35" s="95" t="s">
        <v>220</v>
      </c>
      <c r="F35" s="48" t="s">
        <v>252</v>
      </c>
      <c r="G35" s="68">
        <f t="shared" si="0"/>
        <v>26394797</v>
      </c>
      <c r="H35" s="109">
        <f t="shared" si="1"/>
        <v>24299688</v>
      </c>
      <c r="I35" s="44">
        <f t="shared" si="2"/>
        <v>8.6219584383141049E-2</v>
      </c>
      <c r="K35" s="129">
        <f>(K34-L34)/L34</f>
        <v>-9.8981932282921417E-2</v>
      </c>
      <c r="T35" s="18" t="s">
        <v>179</v>
      </c>
      <c r="U35" s="14">
        <v>3606406</v>
      </c>
      <c r="V35" s="14">
        <v>2743</v>
      </c>
      <c r="W35" s="89" t="s">
        <v>248</v>
      </c>
    </row>
    <row r="36" spans="1:24" x14ac:dyDescent="0.3">
      <c r="A36" s="43" t="s">
        <v>119</v>
      </c>
      <c r="B36" s="61">
        <v>2992964</v>
      </c>
      <c r="C36" s="61">
        <v>2992964</v>
      </c>
      <c r="D36" s="95" t="s">
        <v>220</v>
      </c>
      <c r="F36" s="47" t="s">
        <v>220</v>
      </c>
      <c r="G36" s="68">
        <f t="shared" si="0"/>
        <v>6992964</v>
      </c>
      <c r="H36" s="109">
        <f t="shared" si="1"/>
        <v>6992964</v>
      </c>
      <c r="I36" s="44">
        <f t="shared" si="2"/>
        <v>0</v>
      </c>
      <c r="T36" s="18" t="s">
        <v>180</v>
      </c>
      <c r="U36" s="14">
        <v>333846</v>
      </c>
      <c r="V36" s="14">
        <v>59743</v>
      </c>
      <c r="W36" s="89"/>
    </row>
    <row r="37" spans="1:24" x14ac:dyDescent="0.3">
      <c r="A37" s="43" t="s">
        <v>120</v>
      </c>
      <c r="B37" s="42"/>
      <c r="C37" s="42"/>
      <c r="D37" s="95"/>
      <c r="F37" s="47" t="s">
        <v>221</v>
      </c>
      <c r="G37" s="68">
        <f t="shared" si="0"/>
        <v>23401833</v>
      </c>
      <c r="H37" s="109">
        <f t="shared" si="1"/>
        <v>21306724</v>
      </c>
      <c r="I37" s="44">
        <f t="shared" si="2"/>
        <v>9.8330883715394252E-2</v>
      </c>
      <c r="T37" s="18" t="s">
        <v>181</v>
      </c>
      <c r="U37" s="14">
        <v>309629</v>
      </c>
      <c r="V37" s="14">
        <v>249886</v>
      </c>
      <c r="W37" s="89"/>
    </row>
    <row r="38" spans="1:24" x14ac:dyDescent="0.3">
      <c r="A38" s="43" t="s">
        <v>113</v>
      </c>
      <c r="B38" s="42"/>
      <c r="C38" s="42"/>
      <c r="D38" s="95"/>
      <c r="F38" s="47" t="s">
        <v>261</v>
      </c>
      <c r="G38" s="68">
        <f t="shared" si="0"/>
        <v>0</v>
      </c>
      <c r="H38" s="109">
        <f t="shared" si="1"/>
        <v>0</v>
      </c>
      <c r="I38" s="44"/>
      <c r="T38" s="18" t="s">
        <v>182</v>
      </c>
      <c r="U38" s="14">
        <v>643475</v>
      </c>
      <c r="V38" s="14">
        <v>309629</v>
      </c>
      <c r="W38" s="89" t="s">
        <v>249</v>
      </c>
    </row>
    <row r="39" spans="1:24" ht="15" thickBot="1" x14ac:dyDescent="0.35">
      <c r="A39" s="42" t="s">
        <v>121</v>
      </c>
      <c r="B39" s="60">
        <v>986077</v>
      </c>
      <c r="C39" s="60">
        <v>986077</v>
      </c>
      <c r="D39" s="95"/>
      <c r="F39" s="47" t="s">
        <v>222</v>
      </c>
      <c r="G39" s="68">
        <f t="shared" si="0"/>
        <v>0</v>
      </c>
      <c r="H39" s="109">
        <f t="shared" si="1"/>
        <v>0</v>
      </c>
      <c r="I39" s="44"/>
      <c r="T39" s="15"/>
      <c r="U39" s="16"/>
      <c r="V39" s="19"/>
    </row>
    <row r="40" spans="1:24" x14ac:dyDescent="0.3">
      <c r="A40" s="42" t="s">
        <v>122</v>
      </c>
      <c r="B40" s="60">
        <v>3861708</v>
      </c>
      <c r="C40" s="60">
        <v>3871774</v>
      </c>
      <c r="D40" s="95"/>
    </row>
    <row r="41" spans="1:24" x14ac:dyDescent="0.3">
      <c r="A41" s="42" t="s">
        <v>123</v>
      </c>
      <c r="B41" s="60">
        <v>-312153</v>
      </c>
      <c r="C41" s="42" t="s">
        <v>12</v>
      </c>
      <c r="D41" s="95"/>
    </row>
    <row r="42" spans="1:24" x14ac:dyDescent="0.3">
      <c r="A42" s="42"/>
      <c r="B42" s="60">
        <v>4535632</v>
      </c>
      <c r="C42" s="60">
        <v>4857851</v>
      </c>
      <c r="D42" s="95"/>
    </row>
    <row r="43" spans="1:24" x14ac:dyDescent="0.3">
      <c r="A43" s="43" t="s">
        <v>114</v>
      </c>
      <c r="B43" s="42"/>
      <c r="C43" s="42"/>
      <c r="D43" s="95"/>
    </row>
    <row r="44" spans="1:24" x14ac:dyDescent="0.3">
      <c r="A44" s="42" t="s">
        <v>124</v>
      </c>
      <c r="B44" s="60">
        <v>1450491</v>
      </c>
      <c r="C44" s="60">
        <v>1450491</v>
      </c>
      <c r="D44" s="95"/>
    </row>
    <row r="45" spans="1:24" x14ac:dyDescent="0.3">
      <c r="A45" s="42" t="s">
        <v>115</v>
      </c>
      <c r="B45" s="60">
        <v>17415710</v>
      </c>
      <c r="C45" s="60">
        <v>14998382</v>
      </c>
      <c r="D45" s="95"/>
    </row>
    <row r="46" spans="1:24" x14ac:dyDescent="0.3">
      <c r="A46" s="42"/>
      <c r="B46" s="60">
        <v>18866201</v>
      </c>
      <c r="C46" s="60">
        <v>16448873</v>
      </c>
      <c r="D46" s="95"/>
    </row>
    <row r="47" spans="1:24" x14ac:dyDescent="0.3">
      <c r="A47" s="43" t="s">
        <v>120</v>
      </c>
      <c r="B47" s="61">
        <v>23401833</v>
      </c>
      <c r="C47" s="61">
        <v>21306724</v>
      </c>
      <c r="D47" s="95" t="s">
        <v>221</v>
      </c>
    </row>
    <row r="48" spans="1:24" ht="15" thickBot="1" x14ac:dyDescent="0.35">
      <c r="A48" s="43" t="s">
        <v>125</v>
      </c>
      <c r="B48" s="61">
        <v>26394797</v>
      </c>
      <c r="C48" s="61">
        <v>24299688</v>
      </c>
      <c r="D48" s="95" t="s">
        <v>252</v>
      </c>
      <c r="E48" s="16"/>
    </row>
    <row r="49" spans="1:4" x14ac:dyDescent="0.3">
      <c r="A49" s="43" t="s">
        <v>116</v>
      </c>
      <c r="B49" s="42"/>
      <c r="C49" s="42"/>
      <c r="D49" s="95"/>
    </row>
    <row r="50" spans="1:4" x14ac:dyDescent="0.3">
      <c r="A50" s="43" t="s">
        <v>117</v>
      </c>
      <c r="B50" s="42"/>
      <c r="C50" s="42"/>
      <c r="D50" s="95"/>
    </row>
    <row r="51" spans="1:4" x14ac:dyDescent="0.3">
      <c r="A51" s="42" t="s">
        <v>126</v>
      </c>
      <c r="B51" s="60">
        <v>6408355</v>
      </c>
      <c r="C51" s="60">
        <v>4303554</v>
      </c>
      <c r="D51" s="95" t="s">
        <v>218</v>
      </c>
    </row>
    <row r="52" spans="1:4" x14ac:dyDescent="0.3">
      <c r="A52" s="42" t="s">
        <v>127</v>
      </c>
      <c r="B52" s="60">
        <v>13441</v>
      </c>
      <c r="C52" s="60">
        <v>17400</v>
      </c>
      <c r="D52" s="95" t="s">
        <v>262</v>
      </c>
    </row>
    <row r="53" spans="1:4" x14ac:dyDescent="0.3">
      <c r="A53" s="42" t="s">
        <v>128</v>
      </c>
      <c r="B53" s="42"/>
      <c r="C53" s="42"/>
      <c r="D53" s="95"/>
    </row>
    <row r="54" spans="1:4" x14ac:dyDescent="0.3">
      <c r="A54" s="42" t="s">
        <v>129</v>
      </c>
      <c r="B54" s="60">
        <v>1503053</v>
      </c>
      <c r="C54" s="60">
        <v>860560</v>
      </c>
      <c r="D54" s="95" t="s">
        <v>217</v>
      </c>
    </row>
    <row r="55" spans="1:4" x14ac:dyDescent="0.3">
      <c r="A55" s="43" t="s">
        <v>191</v>
      </c>
      <c r="B55" s="61">
        <v>924849</v>
      </c>
      <c r="C55" s="61">
        <v>5181514</v>
      </c>
      <c r="D55" s="95" t="s">
        <v>251</v>
      </c>
    </row>
    <row r="56" spans="1:4" x14ac:dyDescent="0.3">
      <c r="A56" s="43" t="s">
        <v>118</v>
      </c>
      <c r="B56" s="42"/>
      <c r="C56" s="42"/>
      <c r="D56" s="95"/>
    </row>
    <row r="57" spans="1:4" x14ac:dyDescent="0.3">
      <c r="A57" s="42" t="s">
        <v>130</v>
      </c>
      <c r="B57" s="60">
        <v>4331413</v>
      </c>
      <c r="C57" s="60">
        <v>2962356</v>
      </c>
      <c r="D57" s="95" t="s">
        <v>214</v>
      </c>
    </row>
    <row r="58" spans="1:4" x14ac:dyDescent="0.3">
      <c r="A58" s="42" t="s">
        <v>131</v>
      </c>
      <c r="B58" s="60">
        <v>483829</v>
      </c>
      <c r="C58" s="60">
        <v>108158</v>
      </c>
      <c r="D58" s="95" t="s">
        <v>215</v>
      </c>
    </row>
    <row r="59" spans="1:4" x14ac:dyDescent="0.3">
      <c r="A59" s="42" t="s">
        <v>132</v>
      </c>
      <c r="B59" s="60">
        <v>6894851</v>
      </c>
      <c r="C59" s="60">
        <v>5234795</v>
      </c>
      <c r="D59" s="95" t="s">
        <v>215</v>
      </c>
    </row>
    <row r="60" spans="1:4" x14ac:dyDescent="0.3">
      <c r="A60" s="42" t="s">
        <v>133</v>
      </c>
      <c r="B60" s="60">
        <v>1338436</v>
      </c>
      <c r="C60" s="60">
        <v>1180230</v>
      </c>
      <c r="D60" s="95" t="s">
        <v>213</v>
      </c>
    </row>
    <row r="61" spans="1:4" x14ac:dyDescent="0.3">
      <c r="A61" s="42" t="s">
        <v>134</v>
      </c>
      <c r="B61" s="42">
        <v>32264</v>
      </c>
      <c r="C61" s="60">
        <v>32634</v>
      </c>
      <c r="D61" s="95" t="s">
        <v>213</v>
      </c>
    </row>
    <row r="62" spans="1:4" x14ac:dyDescent="0.3">
      <c r="A62" s="42" t="s">
        <v>135</v>
      </c>
      <c r="B62" s="60">
        <v>485779</v>
      </c>
      <c r="C62" s="60">
        <v>923139</v>
      </c>
      <c r="D62" s="95" t="s">
        <v>213</v>
      </c>
    </row>
    <row r="63" spans="1:4" x14ac:dyDescent="0.3">
      <c r="A63" s="43" t="s">
        <v>189</v>
      </c>
      <c r="B63" s="61">
        <v>13566572</v>
      </c>
      <c r="C63" s="61">
        <v>10441312</v>
      </c>
      <c r="D63" s="95" t="s">
        <v>35</v>
      </c>
    </row>
    <row r="64" spans="1:4" x14ac:dyDescent="0.3">
      <c r="A64" s="43" t="s">
        <v>136</v>
      </c>
      <c r="B64" s="61">
        <v>21491421</v>
      </c>
      <c r="C64" s="61">
        <v>15622826</v>
      </c>
      <c r="D64" s="95" t="s">
        <v>256</v>
      </c>
    </row>
    <row r="65" spans="1:4" x14ac:dyDescent="0.3">
      <c r="A65" s="43" t="s">
        <v>137</v>
      </c>
      <c r="B65" s="42"/>
      <c r="C65" s="42"/>
      <c r="D65" s="95"/>
    </row>
    <row r="66" spans="1:4" x14ac:dyDescent="0.3">
      <c r="A66" s="43" t="s">
        <v>138</v>
      </c>
      <c r="B66" s="61">
        <v>47886218</v>
      </c>
      <c r="C66" s="61">
        <v>39922514</v>
      </c>
      <c r="D66" s="95"/>
    </row>
    <row r="1048494" spans="4:4" x14ac:dyDescent="0.3">
      <c r="D1048494" s="76"/>
    </row>
    <row r="1048495" spans="4:4" x14ac:dyDescent="0.3">
      <c r="D1048495" s="76"/>
    </row>
    <row r="1048496" spans="4:4" x14ac:dyDescent="0.3">
      <c r="D1048496" s="76"/>
    </row>
    <row r="1048497" spans="4:4" x14ac:dyDescent="0.3">
      <c r="D1048497" s="76"/>
    </row>
    <row r="1048498" spans="4:4" x14ac:dyDescent="0.3">
      <c r="D1048498" s="76"/>
    </row>
    <row r="1048499" spans="4:4" x14ac:dyDescent="0.3">
      <c r="D1048499" s="76"/>
    </row>
    <row r="1048500" spans="4:4" x14ac:dyDescent="0.3">
      <c r="D1048500" s="76"/>
    </row>
    <row r="1048501" spans="4:4" x14ac:dyDescent="0.3">
      <c r="D1048501" s="76"/>
    </row>
    <row r="1048502" spans="4:4" x14ac:dyDescent="0.3">
      <c r="D1048502" s="76"/>
    </row>
    <row r="1048503" spans="4:4" x14ac:dyDescent="0.3">
      <c r="D1048503" s="76"/>
    </row>
    <row r="1048504" spans="4:4" x14ac:dyDescent="0.3">
      <c r="D1048504" s="76"/>
    </row>
    <row r="1048505" spans="4:4" x14ac:dyDescent="0.3">
      <c r="D1048505" s="76"/>
    </row>
    <row r="1048506" spans="4:4" x14ac:dyDescent="0.3">
      <c r="D1048506" s="76"/>
    </row>
    <row r="1048507" spans="4:4" x14ac:dyDescent="0.3">
      <c r="D1048507" s="76"/>
    </row>
    <row r="1048508" spans="4:4" x14ac:dyDescent="0.3">
      <c r="D1048508" s="76"/>
    </row>
    <row r="1048509" spans="4:4" x14ac:dyDescent="0.3">
      <c r="D1048509" s="76"/>
    </row>
    <row r="1048510" spans="4:4" x14ac:dyDescent="0.3">
      <c r="D1048510" s="76"/>
    </row>
    <row r="1048511" spans="4:4" x14ac:dyDescent="0.3">
      <c r="D1048511" s="76"/>
    </row>
    <row r="1048512" spans="4:4" x14ac:dyDescent="0.3">
      <c r="D1048512" s="76"/>
    </row>
    <row r="1048513" spans="4:4" x14ac:dyDescent="0.3">
      <c r="D1048513" s="76"/>
    </row>
    <row r="1048514" spans="4:4" x14ac:dyDescent="0.3">
      <c r="D1048514" s="76"/>
    </row>
    <row r="1048515" spans="4:4" x14ac:dyDescent="0.3">
      <c r="D1048515" s="76"/>
    </row>
    <row r="1048516" spans="4:4" x14ac:dyDescent="0.3">
      <c r="D1048516" s="76"/>
    </row>
    <row r="1048517" spans="4:4" x14ac:dyDescent="0.3">
      <c r="D1048517" s="76"/>
    </row>
    <row r="1048518" spans="4:4" x14ac:dyDescent="0.3">
      <c r="D1048518" s="76"/>
    </row>
    <row r="1048519" spans="4:4" x14ac:dyDescent="0.3">
      <c r="D1048519" s="76"/>
    </row>
    <row r="1048520" spans="4:4" x14ac:dyDescent="0.3">
      <c r="D1048520" s="76"/>
    </row>
    <row r="1048521" spans="4:4" x14ac:dyDescent="0.3">
      <c r="D1048521" s="76"/>
    </row>
    <row r="1048522" spans="4:4" x14ac:dyDescent="0.3">
      <c r="D1048522" s="76"/>
    </row>
    <row r="1048523" spans="4:4" x14ac:dyDescent="0.3">
      <c r="D1048523" s="76"/>
    </row>
    <row r="1048524" spans="4:4" x14ac:dyDescent="0.3">
      <c r="D1048524" s="76"/>
    </row>
    <row r="1048525" spans="4:4" x14ac:dyDescent="0.3">
      <c r="D1048525" s="76"/>
    </row>
    <row r="1048526" spans="4:4" x14ac:dyDescent="0.3">
      <c r="D1048526" s="76"/>
    </row>
    <row r="1048527" spans="4:4" x14ac:dyDescent="0.3">
      <c r="D1048527" s="76"/>
    </row>
    <row r="1048528" spans="4:4" x14ac:dyDescent="0.3">
      <c r="D1048528" s="76"/>
    </row>
    <row r="1048529" spans="4:4" x14ac:dyDescent="0.3">
      <c r="D1048529" s="76"/>
    </row>
    <row r="1048530" spans="4:4" x14ac:dyDescent="0.3">
      <c r="D1048530" s="76"/>
    </row>
    <row r="1048531" spans="4:4" x14ac:dyDescent="0.3">
      <c r="D1048531" s="76"/>
    </row>
    <row r="1048532" spans="4:4" x14ac:dyDescent="0.3">
      <c r="D1048532" s="76"/>
    </row>
    <row r="1048533" spans="4:4" x14ac:dyDescent="0.3">
      <c r="D1048533" s="76"/>
    </row>
    <row r="1048534" spans="4:4" x14ac:dyDescent="0.3">
      <c r="D1048534" s="76"/>
    </row>
    <row r="1048535" spans="4:4" x14ac:dyDescent="0.3">
      <c r="D1048535" s="76"/>
    </row>
    <row r="1048536" spans="4:4" x14ac:dyDescent="0.3">
      <c r="D1048536" s="76"/>
    </row>
    <row r="1048537" spans="4:4" x14ac:dyDescent="0.3">
      <c r="D1048537" s="76"/>
    </row>
    <row r="1048538" spans="4:4" x14ac:dyDescent="0.3">
      <c r="D1048538" s="76"/>
    </row>
    <row r="1048539" spans="4:4" x14ac:dyDescent="0.3">
      <c r="D1048539" s="76"/>
    </row>
    <row r="1048540" spans="4:4" x14ac:dyDescent="0.3">
      <c r="D1048540" s="76"/>
    </row>
    <row r="1048541" spans="4:4" x14ac:dyDescent="0.3">
      <c r="D1048541" s="76"/>
    </row>
    <row r="1048542" spans="4:4" x14ac:dyDescent="0.3">
      <c r="D1048542" s="76"/>
    </row>
    <row r="1048543" spans="4:4" x14ac:dyDescent="0.3">
      <c r="D1048543" s="76"/>
    </row>
    <row r="1048544" spans="4:4" x14ac:dyDescent="0.3">
      <c r="D1048544" s="76"/>
    </row>
    <row r="1048545" spans="4:4" x14ac:dyDescent="0.3">
      <c r="D1048545" s="76"/>
    </row>
    <row r="1048546" spans="4:4" x14ac:dyDescent="0.3">
      <c r="D1048546" s="76"/>
    </row>
    <row r="1048547" spans="4:4" x14ac:dyDescent="0.3">
      <c r="D1048547" s="76"/>
    </row>
    <row r="1048548" spans="4:4" x14ac:dyDescent="0.3">
      <c r="D1048548" s="76"/>
    </row>
    <row r="1048549" spans="4:4" x14ac:dyDescent="0.3">
      <c r="D1048549" s="76"/>
    </row>
    <row r="1048550" spans="4:4" x14ac:dyDescent="0.3">
      <c r="D1048550" s="76"/>
    </row>
    <row r="1048551" spans="4:4" x14ac:dyDescent="0.3">
      <c r="D1048551" s="76"/>
    </row>
    <row r="1048552" spans="4:4" x14ac:dyDescent="0.3">
      <c r="D1048552" s="76"/>
    </row>
    <row r="1048553" spans="4:4" x14ac:dyDescent="0.3">
      <c r="D1048553" s="76"/>
    </row>
    <row r="1048554" spans="4:4" x14ac:dyDescent="0.3">
      <c r="D1048554" s="76"/>
    </row>
    <row r="1048555" spans="4:4" x14ac:dyDescent="0.3">
      <c r="D1048555" s="76"/>
    </row>
    <row r="1048556" spans="4:4" x14ac:dyDescent="0.3">
      <c r="D1048556" s="76"/>
    </row>
    <row r="1048557" spans="4:4" x14ac:dyDescent="0.3">
      <c r="D1048557" s="76"/>
    </row>
    <row r="1048558" spans="4:4" x14ac:dyDescent="0.3">
      <c r="D1048558" s="76"/>
    </row>
    <row r="1048559" spans="4:4" x14ac:dyDescent="0.3">
      <c r="D1048559" s="76"/>
    </row>
    <row r="1048560" spans="4:4" x14ac:dyDescent="0.3">
      <c r="D1048560" s="76"/>
    </row>
    <row r="1048561" spans="4:4" x14ac:dyDescent="0.3">
      <c r="D1048561" s="76"/>
    </row>
    <row r="1048562" spans="4:4" x14ac:dyDescent="0.3">
      <c r="D1048562" s="76"/>
    </row>
    <row r="1048563" spans="4:4" x14ac:dyDescent="0.3">
      <c r="D1048563" s="76"/>
    </row>
    <row r="1048564" spans="4:4" x14ac:dyDescent="0.3">
      <c r="D1048564" s="76"/>
    </row>
    <row r="1048565" spans="4:4" x14ac:dyDescent="0.3">
      <c r="D1048565" s="76"/>
    </row>
    <row r="1048566" spans="4:4" x14ac:dyDescent="0.3">
      <c r="D1048566" s="76"/>
    </row>
    <row r="1048567" spans="4:4" x14ac:dyDescent="0.3">
      <c r="D1048567" s="76"/>
    </row>
    <row r="1048568" spans="4:4" x14ac:dyDescent="0.3">
      <c r="D1048568" s="76"/>
    </row>
    <row r="1048569" spans="4:4" x14ac:dyDescent="0.3">
      <c r="D1048569" s="76"/>
    </row>
    <row r="1048570" spans="4:4" x14ac:dyDescent="0.3">
      <c r="D1048570" s="76"/>
    </row>
    <row r="1048571" spans="4:4" x14ac:dyDescent="0.3">
      <c r="D1048571" s="76"/>
    </row>
    <row r="1048572" spans="4:4" x14ac:dyDescent="0.3">
      <c r="D1048572" s="76"/>
    </row>
    <row r="1048573" spans="4:4" x14ac:dyDescent="0.3">
      <c r="D1048573" s="76"/>
    </row>
    <row r="1048574" spans="4:4" x14ac:dyDescent="0.3">
      <c r="D1048574" s="76"/>
    </row>
    <row r="1048575" spans="4:4" x14ac:dyDescent="0.3">
      <c r="D1048575" s="76"/>
    </row>
    <row r="1048576" spans="4:4" x14ac:dyDescent="0.3">
      <c r="D1048576" s="76"/>
    </row>
  </sheetData>
  <mergeCells count="12">
    <mergeCell ref="AB5:AB8"/>
    <mergeCell ref="D8:D10"/>
    <mergeCell ref="A1:AA4"/>
    <mergeCell ref="K5:M7"/>
    <mergeCell ref="T5:V7"/>
    <mergeCell ref="P5:R8"/>
    <mergeCell ref="Y5:AA8"/>
    <mergeCell ref="F5:H8"/>
    <mergeCell ref="A5:C8"/>
    <mergeCell ref="N7:N8"/>
    <mergeCell ref="I5:I8"/>
    <mergeCell ref="S5:S8"/>
  </mergeCells>
  <phoneticPr fontId="5" type="noConversion"/>
  <dataValidations count="3">
    <dataValidation type="list" allowBlank="1" showInputMessage="1" showErrorMessage="1" sqref="D11:D66" xr:uid="{0E3E2619-971A-4EC0-BB08-E15FA3F2BDF2}">
      <formula1>$F$10:$F$39</formula1>
    </dataValidation>
    <dataValidation type="list" allowBlank="1" showInputMessage="1" showErrorMessage="1" sqref="N9:O9 N10:N25" xr:uid="{84D51A87-6F5D-41F1-841E-FC1E53CFA5D6}">
      <formula1>$P$10:$P$28</formula1>
    </dataValidation>
    <dataValidation type="list" allowBlank="1" showInputMessage="1" showErrorMessage="1" sqref="W10:W39" xr:uid="{93576D34-5229-44C0-B65A-7FEFD2253F8F}">
      <formula1>$Y$10:$Y$17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6CC0-4BCF-4E0F-B818-4B99E9DA0797}">
  <sheetPr codeName="Sheet2"/>
  <dimension ref="A1:AG57"/>
  <sheetViews>
    <sheetView zoomScale="55" zoomScaleNormal="65" workbookViewId="0">
      <selection activeCell="F36" sqref="F36"/>
    </sheetView>
  </sheetViews>
  <sheetFormatPr defaultRowHeight="14.4" x14ac:dyDescent="0.3"/>
  <cols>
    <col min="1" max="1" width="44.109375" bestFit="1" customWidth="1"/>
    <col min="2" max="2" width="7.44140625" bestFit="1" customWidth="1"/>
    <col min="3" max="3" width="26.77734375" bestFit="1" customWidth="1"/>
    <col min="4" max="4" width="26.77734375" customWidth="1"/>
    <col min="5" max="5" width="37.6640625" bestFit="1" customWidth="1"/>
    <col min="6" max="6" width="5.5546875" customWidth="1"/>
    <col min="7" max="7" width="46.77734375" bestFit="1" customWidth="1"/>
    <col min="8" max="8" width="24.77734375" bestFit="1" customWidth="1"/>
    <col min="9" max="9" width="36.109375" bestFit="1" customWidth="1"/>
    <col min="10" max="10" width="10.88671875" bestFit="1" customWidth="1"/>
    <col min="12" max="12" width="41.6640625" bestFit="1" customWidth="1"/>
    <col min="13" max="14" width="27.6640625" bestFit="1" customWidth="1"/>
    <col min="15" max="15" width="47.77734375" bestFit="1" customWidth="1"/>
    <col min="16" max="16" width="11.109375" customWidth="1"/>
    <col min="17" max="17" width="42.77734375" bestFit="1" customWidth="1"/>
    <col min="18" max="18" width="27.6640625" customWidth="1"/>
    <col min="19" max="19" width="35.109375" bestFit="1" customWidth="1"/>
    <col min="20" max="20" width="15.109375" customWidth="1"/>
    <col min="22" max="22" width="58.5546875" bestFit="1" customWidth="1"/>
    <col min="23" max="24" width="27.6640625" bestFit="1" customWidth="1"/>
    <col min="25" max="25" width="36.109375" bestFit="1" customWidth="1"/>
    <col min="26" max="26" width="3.44140625" customWidth="1"/>
    <col min="27" max="27" width="32.88671875" bestFit="1" customWidth="1"/>
    <col min="28" max="28" width="20.44140625" bestFit="1" customWidth="1"/>
    <col min="29" max="29" width="20.44140625" customWidth="1"/>
    <col min="30" max="30" width="13" bestFit="1" customWidth="1"/>
    <col min="31" max="31" width="66" bestFit="1" customWidth="1"/>
    <col min="32" max="33" width="26.33203125" bestFit="1" customWidth="1"/>
  </cols>
  <sheetData>
    <row r="1" spans="1:33" ht="14.4" customHeight="1" x14ac:dyDescent="0.3">
      <c r="A1" s="170" t="s">
        <v>184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25"/>
      <c r="AE1" s="25"/>
      <c r="AF1" s="25"/>
      <c r="AG1" s="25"/>
    </row>
    <row r="2" spans="1:33" ht="14.4" customHeigh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25"/>
      <c r="AE2" s="25"/>
      <c r="AF2" s="25"/>
      <c r="AG2" s="25"/>
    </row>
    <row r="3" spans="1:33" ht="14.4" customHeight="1" x14ac:dyDescent="0.3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25"/>
      <c r="AE3" s="25"/>
      <c r="AF3" s="25"/>
      <c r="AG3" s="25"/>
    </row>
    <row r="4" spans="1:33" ht="15" customHeight="1" thickBot="1" x14ac:dyDescent="0.35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25"/>
      <c r="AE4" s="25"/>
      <c r="AF4" s="25"/>
      <c r="AG4" s="25"/>
    </row>
    <row r="5" spans="1:33" ht="24" customHeight="1" thickBot="1" x14ac:dyDescent="0.35">
      <c r="Q5" s="71"/>
      <c r="R5" s="71"/>
      <c r="S5" s="71"/>
    </row>
    <row r="6" spans="1:33" ht="14.4" customHeight="1" x14ac:dyDescent="0.3">
      <c r="A6" s="196" t="s">
        <v>0</v>
      </c>
      <c r="B6" s="197"/>
      <c r="C6" s="197"/>
      <c r="D6" s="198"/>
      <c r="E6" s="54"/>
      <c r="F6" s="54"/>
      <c r="G6" s="187" t="s">
        <v>268</v>
      </c>
      <c r="H6" s="188"/>
      <c r="I6" s="189"/>
      <c r="J6" s="226" t="s">
        <v>273</v>
      </c>
      <c r="K6" s="2"/>
      <c r="L6" s="213" t="s">
        <v>185</v>
      </c>
      <c r="M6" s="214"/>
      <c r="N6" s="215"/>
      <c r="O6" s="51"/>
      <c r="P6" s="51"/>
      <c r="Q6" s="187" t="s">
        <v>271</v>
      </c>
      <c r="R6" s="188"/>
      <c r="S6" s="189"/>
      <c r="T6" s="224" t="s">
        <v>273</v>
      </c>
      <c r="V6" s="213" t="s">
        <v>186</v>
      </c>
      <c r="W6" s="214"/>
      <c r="X6" s="215"/>
      <c r="AA6" s="204" t="s">
        <v>257</v>
      </c>
      <c r="AB6" s="205"/>
      <c r="AC6" s="206"/>
      <c r="AD6" s="202" t="s">
        <v>273</v>
      </c>
    </row>
    <row r="7" spans="1:33" ht="37.200000000000003" thickBot="1" x14ac:dyDescent="0.35">
      <c r="A7" s="176"/>
      <c r="B7" s="177"/>
      <c r="C7" s="177"/>
      <c r="D7" s="166"/>
      <c r="E7" s="5"/>
      <c r="F7" s="5"/>
      <c r="G7" s="190"/>
      <c r="H7" s="191"/>
      <c r="I7" s="192"/>
      <c r="J7" s="227"/>
      <c r="K7" s="2"/>
      <c r="L7" s="216"/>
      <c r="M7" s="217"/>
      <c r="N7" s="218"/>
      <c r="O7" s="51"/>
      <c r="P7" s="51"/>
      <c r="Q7" s="193"/>
      <c r="R7" s="194"/>
      <c r="S7" s="195"/>
      <c r="T7" s="228"/>
      <c r="V7" s="216"/>
      <c r="W7" s="217"/>
      <c r="X7" s="218"/>
      <c r="AA7" s="207"/>
      <c r="AB7" s="208"/>
      <c r="AC7" s="209"/>
      <c r="AD7" s="203"/>
    </row>
    <row r="8" spans="1:33" ht="37.200000000000003" thickBot="1" x14ac:dyDescent="0.35">
      <c r="A8" s="178"/>
      <c r="B8" s="179"/>
      <c r="C8" s="179"/>
      <c r="D8" s="180"/>
      <c r="E8" s="55"/>
      <c r="F8" s="55"/>
      <c r="G8" s="190"/>
      <c r="H8" s="191"/>
      <c r="I8" s="192"/>
      <c r="J8" s="227"/>
      <c r="K8" s="2"/>
      <c r="L8" s="219"/>
      <c r="M8" s="220"/>
      <c r="N8" s="221"/>
      <c r="O8" s="102" t="s">
        <v>224</v>
      </c>
      <c r="P8" s="53"/>
      <c r="Q8" s="69"/>
      <c r="R8" s="66" t="s">
        <v>9</v>
      </c>
      <c r="S8" s="75" t="s">
        <v>10</v>
      </c>
      <c r="T8" s="113"/>
      <c r="V8" s="219"/>
      <c r="W8" s="220"/>
      <c r="X8" s="221"/>
      <c r="Y8" s="165" t="s">
        <v>224</v>
      </c>
      <c r="AA8" s="210"/>
      <c r="AB8" s="211"/>
      <c r="AC8" s="212"/>
      <c r="AD8" s="203"/>
    </row>
    <row r="9" spans="1:33" ht="24" customHeight="1" thickBot="1" x14ac:dyDescent="0.35">
      <c r="A9" s="222" t="s">
        <v>223</v>
      </c>
      <c r="B9" s="223"/>
      <c r="C9" s="223"/>
      <c r="D9" s="223"/>
      <c r="E9" s="224" t="s">
        <v>224</v>
      </c>
      <c r="G9" s="193"/>
      <c r="H9" s="194"/>
      <c r="I9" s="195"/>
      <c r="J9" s="227"/>
      <c r="K9" s="1"/>
      <c r="L9" s="11"/>
      <c r="M9" s="66" t="s">
        <v>9</v>
      </c>
      <c r="N9" s="75" t="s">
        <v>10</v>
      </c>
      <c r="O9" s="97"/>
      <c r="P9" s="22"/>
      <c r="Q9" s="50" t="s">
        <v>225</v>
      </c>
      <c r="R9" s="52">
        <f>SUMIF($O$9:$O$26,$Q9,M$9:M$26)</f>
        <v>57997240</v>
      </c>
      <c r="S9" s="111">
        <f>SUMIF($O$9:$O$26,$Q9,N$9:N$26)</f>
        <v>54828147</v>
      </c>
      <c r="T9" s="114">
        <f>(R9-S9)/S9</f>
        <v>5.7800476094878789E-2</v>
      </c>
      <c r="V9" s="11"/>
      <c r="W9" s="57" t="s">
        <v>9</v>
      </c>
      <c r="X9" s="58" t="s">
        <v>10</v>
      </c>
      <c r="Y9" s="199"/>
      <c r="Z9" s="56"/>
      <c r="AA9" s="69"/>
      <c r="AB9" s="57" t="s">
        <v>266</v>
      </c>
      <c r="AC9" s="115" t="s">
        <v>267</v>
      </c>
      <c r="AD9" s="42"/>
    </row>
    <row r="10" spans="1:33" ht="18.600000000000001" thickBot="1" x14ac:dyDescent="0.4">
      <c r="A10" s="97"/>
      <c r="B10" s="97" t="s">
        <v>8</v>
      </c>
      <c r="C10" s="97" t="s">
        <v>9</v>
      </c>
      <c r="D10" s="105" t="s">
        <v>10</v>
      </c>
      <c r="E10" s="225"/>
      <c r="G10" s="30"/>
      <c r="H10" s="103" t="s">
        <v>270</v>
      </c>
      <c r="I10" s="103" t="s">
        <v>269</v>
      </c>
      <c r="J10" s="42"/>
      <c r="L10" s="18" t="s">
        <v>46</v>
      </c>
      <c r="M10" s="14">
        <v>57997240</v>
      </c>
      <c r="N10" s="14">
        <v>54828147</v>
      </c>
      <c r="O10" s="97" t="s">
        <v>225</v>
      </c>
      <c r="P10" s="14"/>
      <c r="Q10" s="47" t="s">
        <v>234</v>
      </c>
      <c r="R10" s="52">
        <f>SUMIF($O$9:$O$26,$Q10,M$9:M$26)</f>
        <v>-51829395</v>
      </c>
      <c r="S10" s="111">
        <f t="shared" ref="S10:S27" si="0">SUMIF($O$9:$O$26,$Q10,N$9:N$26)</f>
        <v>-46487390</v>
      </c>
      <c r="T10" s="114">
        <f t="shared" ref="T10:T27" si="1">(R10-S10)/S10</f>
        <v>0.11491299038298343</v>
      </c>
      <c r="V10" s="3" t="s">
        <v>59</v>
      </c>
      <c r="Y10" s="72"/>
      <c r="AA10" s="50" t="s">
        <v>237</v>
      </c>
      <c r="AB10" s="52">
        <f>SUMIF($Y$10:$Y$50,$AA10,W$10:W$50)</f>
        <v>-3139295</v>
      </c>
      <c r="AC10" s="111">
        <f>SUMIF($Y$10:$Y$50,$AA10,X$10:X$50)</f>
        <v>495587</v>
      </c>
      <c r="AD10" s="44">
        <f>(AB10-AC10)/AC10</f>
        <v>-7.3344982818354802</v>
      </c>
    </row>
    <row r="11" spans="1:33" ht="18.600000000000001" thickBot="1" x14ac:dyDescent="0.35">
      <c r="A11" s="98" t="s">
        <v>24</v>
      </c>
      <c r="B11" s="97"/>
      <c r="C11" s="97"/>
      <c r="D11" s="97"/>
      <c r="E11" s="72"/>
      <c r="G11" s="43" t="s">
        <v>205</v>
      </c>
      <c r="H11" s="100">
        <f>SUMIF($E$11:$E$57,$G11,C$11:C$57)</f>
        <v>59239224</v>
      </c>
      <c r="I11" s="100">
        <f>SUMIF($E$11:$E$57,$G11,D$11:D$57)</f>
        <v>40823108</v>
      </c>
      <c r="J11" s="44">
        <f>(H11-I11)/I11</f>
        <v>0.45111989023471705</v>
      </c>
      <c r="L11" s="11" t="s">
        <v>47</v>
      </c>
      <c r="M11" s="20">
        <v>-51829395</v>
      </c>
      <c r="N11" s="20">
        <v>-46487390</v>
      </c>
      <c r="O11" s="97" t="s">
        <v>234</v>
      </c>
      <c r="P11" s="12"/>
      <c r="Q11" s="50" t="s">
        <v>226</v>
      </c>
      <c r="R11" s="52">
        <f t="shared" ref="R11:R27" si="2">SUMIF($O$9:$O$26,$Q11,M$9:M$26)</f>
        <v>6167845</v>
      </c>
      <c r="S11" s="111">
        <f t="shared" si="0"/>
        <v>8340757</v>
      </c>
      <c r="T11" s="114">
        <f t="shared" si="1"/>
        <v>-0.2605173607143812</v>
      </c>
      <c r="V11" s="11" t="s">
        <v>63</v>
      </c>
      <c r="W11" s="12">
        <v>-708123</v>
      </c>
      <c r="X11" s="12">
        <v>1504210</v>
      </c>
      <c r="Y11" s="89"/>
      <c r="AA11" s="50"/>
      <c r="AB11" s="52">
        <f t="shared" ref="AB11:AB16" si="3">SUMIF($Y$10:$Y$50,$AA11,W$10:W$50)</f>
        <v>0</v>
      </c>
      <c r="AC11" s="111">
        <f t="shared" ref="AC11:AC16" si="4">SUMIF($Y$10:$Y$50,$AA11,X$10:X$50)</f>
        <v>0</v>
      </c>
      <c r="AD11" s="44"/>
    </row>
    <row r="12" spans="1:33" x14ac:dyDescent="0.3">
      <c r="A12" s="43" t="s">
        <v>1</v>
      </c>
      <c r="B12" s="42"/>
      <c r="C12" s="42"/>
      <c r="D12" s="42"/>
      <c r="E12" s="89"/>
      <c r="G12" s="43" t="s">
        <v>14</v>
      </c>
      <c r="H12" s="100">
        <f t="shared" ref="H12:H40" si="5">SUMIF($E$11:$E$57,$G12,C$11:C$57)</f>
        <v>31668602</v>
      </c>
      <c r="I12" s="100">
        <f t="shared" ref="I12:I40" si="6">SUMIF($E$11:$E$57,$G12,D$11:D$57)</f>
        <v>25126484</v>
      </c>
      <c r="J12" s="44">
        <f t="shared" ref="J12:J38" si="7">(H12-I12)/I12</f>
        <v>0.26036742745224523</v>
      </c>
      <c r="L12" s="18" t="s">
        <v>48</v>
      </c>
      <c r="M12" s="14">
        <v>6167845</v>
      </c>
      <c r="N12" s="14">
        <v>8340757</v>
      </c>
      <c r="O12" s="97" t="s">
        <v>226</v>
      </c>
      <c r="P12" s="14"/>
      <c r="Q12" s="47"/>
      <c r="R12" s="52">
        <f t="shared" si="2"/>
        <v>0</v>
      </c>
      <c r="S12" s="111">
        <f t="shared" si="0"/>
        <v>0</v>
      </c>
      <c r="T12" s="114"/>
      <c r="V12" s="11" t="s">
        <v>64</v>
      </c>
      <c r="W12" s="28">
        <v>-1430873</v>
      </c>
      <c r="X12" s="78">
        <v>-461023</v>
      </c>
      <c r="Y12" s="89"/>
      <c r="AA12" s="50" t="s">
        <v>238</v>
      </c>
      <c r="AB12" s="52">
        <f t="shared" si="3"/>
        <v>-10866675</v>
      </c>
      <c r="AC12" s="111">
        <f t="shared" si="4"/>
        <v>-1400561</v>
      </c>
      <c r="AD12" s="44">
        <f t="shared" ref="AD12:AD16" si="8">(AB12-AC12)/AC12</f>
        <v>6.7588016516238847</v>
      </c>
    </row>
    <row r="13" spans="1:33" x14ac:dyDescent="0.3">
      <c r="A13" s="42"/>
      <c r="B13" s="42"/>
      <c r="C13" s="42"/>
      <c r="D13" s="42"/>
      <c r="E13" s="89"/>
      <c r="G13" s="42" t="s">
        <v>206</v>
      </c>
      <c r="H13" s="99">
        <f t="shared" si="5"/>
        <v>265177</v>
      </c>
      <c r="I13" s="99">
        <f t="shared" si="6"/>
        <v>159841</v>
      </c>
      <c r="J13" s="44">
        <f t="shared" si="7"/>
        <v>0.6590048861055674</v>
      </c>
      <c r="L13" s="11" t="s">
        <v>45</v>
      </c>
      <c r="O13" s="97"/>
      <c r="Q13" s="47" t="s">
        <v>253</v>
      </c>
      <c r="R13" s="52">
        <f t="shared" si="2"/>
        <v>-846043</v>
      </c>
      <c r="S13" s="111">
        <f t="shared" si="0"/>
        <v>-1486957</v>
      </c>
      <c r="T13" s="114">
        <f t="shared" si="1"/>
        <v>-0.43102389645430234</v>
      </c>
      <c r="V13" s="11" t="s">
        <v>65</v>
      </c>
      <c r="W13" s="29">
        <v>-822553</v>
      </c>
      <c r="X13" s="79">
        <v>-640856</v>
      </c>
      <c r="Y13" s="89"/>
      <c r="AA13" s="47"/>
      <c r="AB13" s="52">
        <f t="shared" si="3"/>
        <v>0</v>
      </c>
      <c r="AC13" s="111">
        <f t="shared" si="4"/>
        <v>0</v>
      </c>
      <c r="AD13" s="44"/>
    </row>
    <row r="14" spans="1:33" x14ac:dyDescent="0.3">
      <c r="A14" s="42" t="s">
        <v>11</v>
      </c>
      <c r="B14" s="42">
        <v>4</v>
      </c>
      <c r="C14" s="99">
        <v>21242834</v>
      </c>
      <c r="D14" s="99">
        <v>11016751</v>
      </c>
      <c r="E14" s="89" t="s">
        <v>210</v>
      </c>
      <c r="G14" s="42" t="s">
        <v>260</v>
      </c>
      <c r="H14" s="99">
        <f t="shared" si="5"/>
        <v>0</v>
      </c>
      <c r="I14" s="99">
        <f t="shared" si="6"/>
        <v>0</v>
      </c>
      <c r="J14" s="44"/>
      <c r="L14" s="11" t="s">
        <v>49</v>
      </c>
      <c r="M14" s="12">
        <v>-846043</v>
      </c>
      <c r="N14" s="12">
        <v>-1486957</v>
      </c>
      <c r="O14" s="97" t="s">
        <v>253</v>
      </c>
      <c r="P14" s="12"/>
      <c r="Q14" s="47" t="s">
        <v>244</v>
      </c>
      <c r="R14" s="52">
        <f t="shared" si="2"/>
        <v>-478197</v>
      </c>
      <c r="S14" s="111">
        <f t="shared" si="0"/>
        <v>-361496</v>
      </c>
      <c r="T14" s="114">
        <f t="shared" si="1"/>
        <v>0.32282791510832759</v>
      </c>
      <c r="V14" s="11" t="s">
        <v>66</v>
      </c>
      <c r="W14" s="29">
        <v>-177746</v>
      </c>
      <c r="X14" s="79">
        <v>-149408</v>
      </c>
      <c r="Y14" s="89"/>
      <c r="AA14" s="50" t="s">
        <v>239</v>
      </c>
      <c r="AB14" s="52">
        <f t="shared" si="3"/>
        <v>5457435</v>
      </c>
      <c r="AC14" s="111">
        <f t="shared" si="4"/>
        <v>-396964</v>
      </c>
      <c r="AD14" s="44">
        <f t="shared" si="8"/>
        <v>-14.747934321500187</v>
      </c>
    </row>
    <row r="15" spans="1:33" ht="15" thickBot="1" x14ac:dyDescent="0.35">
      <c r="A15" s="42" t="s">
        <v>3</v>
      </c>
      <c r="B15" s="42">
        <v>5</v>
      </c>
      <c r="C15" s="99">
        <v>753053</v>
      </c>
      <c r="D15" s="99">
        <v>365430</v>
      </c>
      <c r="E15" s="89" t="s">
        <v>208</v>
      </c>
      <c r="G15" s="42" t="s">
        <v>207</v>
      </c>
      <c r="H15" s="99">
        <f t="shared" si="5"/>
        <v>6722667</v>
      </c>
      <c r="I15" s="99">
        <f t="shared" si="6"/>
        <v>5672861</v>
      </c>
      <c r="J15" s="44">
        <f t="shared" si="7"/>
        <v>0.18505759263271213</v>
      </c>
      <c r="L15" s="11" t="s">
        <v>50</v>
      </c>
      <c r="M15" s="20">
        <v>-478197</v>
      </c>
      <c r="N15" s="20">
        <v>-361496</v>
      </c>
      <c r="O15" s="97" t="s">
        <v>244</v>
      </c>
      <c r="P15" s="12"/>
      <c r="Q15" s="47" t="s">
        <v>227</v>
      </c>
      <c r="R15" s="52">
        <f t="shared" si="2"/>
        <v>0</v>
      </c>
      <c r="S15" s="111">
        <f t="shared" si="0"/>
        <v>0</v>
      </c>
      <c r="T15" s="114"/>
      <c r="V15" s="11" t="s">
        <v>67</v>
      </c>
      <c r="W15" s="30"/>
      <c r="X15" s="90">
        <v>242664</v>
      </c>
      <c r="Y15" s="89"/>
      <c r="AA15" s="47"/>
      <c r="AB15" s="52">
        <f t="shared" si="3"/>
        <v>0</v>
      </c>
      <c r="AC15" s="111">
        <f t="shared" si="4"/>
        <v>0</v>
      </c>
      <c r="AD15" s="44"/>
    </row>
    <row r="16" spans="1:33" ht="15" thickBot="1" x14ac:dyDescent="0.35">
      <c r="A16" s="42" t="s">
        <v>4</v>
      </c>
      <c r="B16" s="42">
        <v>6</v>
      </c>
      <c r="C16" s="99" t="s">
        <v>12</v>
      </c>
      <c r="D16" s="99" t="s">
        <v>12</v>
      </c>
      <c r="E16" s="89"/>
      <c r="G16" s="42" t="s">
        <v>208</v>
      </c>
      <c r="H16" s="99">
        <f t="shared" si="5"/>
        <v>25427992</v>
      </c>
      <c r="I16" s="99">
        <f t="shared" si="6"/>
        <v>19644269</v>
      </c>
      <c r="J16" s="44">
        <f t="shared" si="7"/>
        <v>0.29442291795128644</v>
      </c>
      <c r="L16" s="11"/>
      <c r="M16" s="20">
        <v>-1324240</v>
      </c>
      <c r="N16" s="20">
        <v>-1848453</v>
      </c>
      <c r="O16" s="97"/>
      <c r="P16" s="12"/>
      <c r="Q16" s="47" t="s">
        <v>235</v>
      </c>
      <c r="R16" s="52">
        <f t="shared" si="2"/>
        <v>-288902</v>
      </c>
      <c r="S16" s="111">
        <f t="shared" si="0"/>
        <v>-426280</v>
      </c>
      <c r="T16" s="114">
        <f t="shared" si="1"/>
        <v>-0.32227174627005722</v>
      </c>
      <c r="V16" s="11"/>
      <c r="W16" s="20">
        <v>-2431172</v>
      </c>
      <c r="X16" s="20">
        <v>-1008623</v>
      </c>
      <c r="Y16" s="89"/>
      <c r="AA16" s="50" t="s">
        <v>240</v>
      </c>
      <c r="AB16" s="52">
        <f t="shared" si="3"/>
        <v>-13163794</v>
      </c>
      <c r="AC16" s="111">
        <f t="shared" si="4"/>
        <v>-4615259</v>
      </c>
      <c r="AD16" s="44">
        <f t="shared" si="8"/>
        <v>1.8522329949413456</v>
      </c>
    </row>
    <row r="17" spans="1:25" ht="15" thickBot="1" x14ac:dyDescent="0.35">
      <c r="A17" s="42" t="s">
        <v>5</v>
      </c>
      <c r="B17" s="42">
        <v>7</v>
      </c>
      <c r="C17" s="99">
        <v>37944</v>
      </c>
      <c r="D17" s="99">
        <v>46146</v>
      </c>
      <c r="E17" s="89" t="s">
        <v>211</v>
      </c>
      <c r="G17" s="42" t="s">
        <v>209</v>
      </c>
      <c r="H17" s="99">
        <f t="shared" si="5"/>
        <v>5819</v>
      </c>
      <c r="I17" s="99">
        <f t="shared" si="6"/>
        <v>14943</v>
      </c>
      <c r="J17" s="44">
        <f t="shared" si="7"/>
        <v>-0.61058689687479084</v>
      </c>
      <c r="L17" s="18" t="s">
        <v>190</v>
      </c>
      <c r="M17" s="14">
        <v>4843605</v>
      </c>
      <c r="N17" s="14">
        <v>6492304</v>
      </c>
      <c r="O17" s="97" t="s">
        <v>241</v>
      </c>
      <c r="P17" s="14"/>
      <c r="Q17" s="47" t="s">
        <v>228</v>
      </c>
      <c r="R17" s="52">
        <f t="shared" si="2"/>
        <v>686461</v>
      </c>
      <c r="S17" s="111">
        <f t="shared" si="0"/>
        <v>294588</v>
      </c>
      <c r="T17" s="114">
        <f t="shared" si="1"/>
        <v>1.3302408787866444</v>
      </c>
      <c r="V17" s="11" t="s">
        <v>68</v>
      </c>
      <c r="W17" s="27">
        <v>-3139295</v>
      </c>
      <c r="X17" s="27">
        <v>495587</v>
      </c>
      <c r="Y17" s="89" t="s">
        <v>237</v>
      </c>
    </row>
    <row r="18" spans="1:25" ht="15.6" thickTop="1" thickBot="1" x14ac:dyDescent="0.35">
      <c r="A18" s="42" t="s">
        <v>6</v>
      </c>
      <c r="B18" s="42"/>
      <c r="C18" s="99">
        <v>39136</v>
      </c>
      <c r="D18" s="99">
        <v>34742</v>
      </c>
      <c r="E18" s="89" t="s">
        <v>211</v>
      </c>
      <c r="G18" s="42"/>
      <c r="H18" s="99">
        <f t="shared" si="5"/>
        <v>0</v>
      </c>
      <c r="I18" s="99">
        <f t="shared" si="6"/>
        <v>0</v>
      </c>
      <c r="J18" s="44"/>
      <c r="L18" s="11" t="s">
        <v>51</v>
      </c>
      <c r="M18" s="12">
        <v>-2148630</v>
      </c>
      <c r="N18" s="12">
        <v>-546221</v>
      </c>
      <c r="O18" s="97" t="s">
        <v>236</v>
      </c>
      <c r="P18" s="12"/>
      <c r="Q18" s="47" t="s">
        <v>229</v>
      </c>
      <c r="R18" s="52">
        <f t="shared" si="2"/>
        <v>0</v>
      </c>
      <c r="S18" s="111">
        <f t="shared" si="0"/>
        <v>0</v>
      </c>
      <c r="T18" s="114"/>
      <c r="V18" s="11" t="s">
        <v>45</v>
      </c>
      <c r="Y18" s="89"/>
    </row>
    <row r="19" spans="1:25" ht="15" thickBot="1" x14ac:dyDescent="0.35">
      <c r="A19" s="42" t="s">
        <v>7</v>
      </c>
      <c r="B19" s="42">
        <v>8</v>
      </c>
      <c r="C19" s="99">
        <v>5497655</v>
      </c>
      <c r="D19" s="99">
        <v>4233555</v>
      </c>
      <c r="E19" s="89" t="s">
        <v>211</v>
      </c>
      <c r="G19" s="43" t="s">
        <v>250</v>
      </c>
      <c r="H19" s="100">
        <f t="shared" si="5"/>
        <v>27570622</v>
      </c>
      <c r="I19" s="100">
        <f t="shared" si="6"/>
        <v>15696624</v>
      </c>
      <c r="J19" s="44">
        <f t="shared" si="7"/>
        <v>0.75646826986490856</v>
      </c>
      <c r="L19" s="11" t="s">
        <v>52</v>
      </c>
      <c r="M19" s="20">
        <v>-288902</v>
      </c>
      <c r="N19" s="20">
        <v>-426280</v>
      </c>
      <c r="O19" s="97" t="s">
        <v>235</v>
      </c>
      <c r="P19" s="12"/>
      <c r="Q19" s="47" t="s">
        <v>230</v>
      </c>
      <c r="R19" s="52">
        <f t="shared" si="2"/>
        <v>0</v>
      </c>
      <c r="S19" s="111">
        <f t="shared" si="0"/>
        <v>0</v>
      </c>
      <c r="T19" s="114"/>
      <c r="V19" s="3" t="s">
        <v>60</v>
      </c>
      <c r="Y19" s="89"/>
    </row>
    <row r="20" spans="1:25" x14ac:dyDescent="0.3">
      <c r="A20" s="43" t="s">
        <v>13</v>
      </c>
      <c r="B20" s="43"/>
      <c r="C20" s="100">
        <v>27570622</v>
      </c>
      <c r="D20" s="100">
        <v>15696624</v>
      </c>
      <c r="E20" s="89" t="s">
        <v>250</v>
      </c>
      <c r="G20" s="42" t="s">
        <v>210</v>
      </c>
      <c r="H20" s="99">
        <f t="shared" si="5"/>
        <v>21242834</v>
      </c>
      <c r="I20" s="99">
        <f t="shared" si="6"/>
        <v>11016751</v>
      </c>
      <c r="J20" s="44">
        <f t="shared" si="7"/>
        <v>0.92823038298678073</v>
      </c>
      <c r="L20" s="11"/>
      <c r="M20" s="12">
        <v>2406073</v>
      </c>
      <c r="N20" s="12">
        <v>5519803</v>
      </c>
      <c r="O20" s="97"/>
      <c r="P20" s="12"/>
      <c r="Q20" s="50" t="s">
        <v>241</v>
      </c>
      <c r="R20" s="52">
        <f t="shared" si="2"/>
        <v>4843605</v>
      </c>
      <c r="S20" s="111">
        <f t="shared" si="0"/>
        <v>6492304</v>
      </c>
      <c r="T20" s="114">
        <f t="shared" si="1"/>
        <v>-0.25394667286066702</v>
      </c>
      <c r="V20" s="11" t="s">
        <v>69</v>
      </c>
      <c r="W20" s="12">
        <v>-11500676</v>
      </c>
      <c r="X20" s="12">
        <v>-1850038</v>
      </c>
      <c r="Y20" s="89"/>
    </row>
    <row r="21" spans="1:25" x14ac:dyDescent="0.3">
      <c r="A21" s="42"/>
      <c r="B21" s="42"/>
      <c r="C21" s="99"/>
      <c r="D21" s="99"/>
      <c r="E21" s="89"/>
      <c r="G21" s="42" t="s">
        <v>211</v>
      </c>
      <c r="H21" s="99">
        <f t="shared" si="5"/>
        <v>5574735</v>
      </c>
      <c r="I21" s="99">
        <f t="shared" si="6"/>
        <v>4314443</v>
      </c>
      <c r="J21" s="44">
        <f t="shared" si="7"/>
        <v>0.29211001281046012</v>
      </c>
      <c r="L21" s="11" t="s">
        <v>53</v>
      </c>
      <c r="M21" s="12">
        <v>686461</v>
      </c>
      <c r="N21" s="12">
        <v>294588</v>
      </c>
      <c r="O21" s="97" t="s">
        <v>228</v>
      </c>
      <c r="P21" s="12"/>
      <c r="Q21" s="47"/>
      <c r="R21" s="52">
        <f t="shared" si="2"/>
        <v>0</v>
      </c>
      <c r="S21" s="111">
        <f t="shared" si="0"/>
        <v>0</v>
      </c>
      <c r="T21" s="114"/>
      <c r="V21" s="11" t="s">
        <v>70</v>
      </c>
      <c r="W21" s="12">
        <v>-3083349</v>
      </c>
      <c r="X21" s="12">
        <v>-4114324</v>
      </c>
      <c r="Y21" s="89"/>
    </row>
    <row r="22" spans="1:25" ht="15" thickBot="1" x14ac:dyDescent="0.35">
      <c r="A22" s="43" t="s">
        <v>14</v>
      </c>
      <c r="B22" s="42"/>
      <c r="C22" s="99"/>
      <c r="D22" s="99"/>
      <c r="E22" s="89"/>
      <c r="G22" s="42" t="s">
        <v>259</v>
      </c>
      <c r="H22" s="99">
        <f t="shared" si="5"/>
        <v>0</v>
      </c>
      <c r="I22" s="99">
        <f t="shared" si="6"/>
        <v>0</v>
      </c>
      <c r="J22" s="44"/>
      <c r="L22" s="11" t="s">
        <v>54</v>
      </c>
      <c r="M22" s="20">
        <v>1689749</v>
      </c>
      <c r="N22" s="20">
        <v>1103675</v>
      </c>
      <c r="O22" s="97"/>
      <c r="P22" s="12"/>
      <c r="Q22" s="47" t="s">
        <v>236</v>
      </c>
      <c r="R22" s="52">
        <f t="shared" si="2"/>
        <v>-2148630</v>
      </c>
      <c r="S22" s="111">
        <f t="shared" si="0"/>
        <v>-546221</v>
      </c>
      <c r="T22" s="114">
        <f t="shared" si="1"/>
        <v>2.9336275976207431</v>
      </c>
      <c r="V22" s="11" t="s">
        <v>71</v>
      </c>
      <c r="W22" s="12">
        <v>3083349</v>
      </c>
      <c r="X22" s="12">
        <v>4114324</v>
      </c>
      <c r="Y22" s="89"/>
    </row>
    <row r="23" spans="1:25" x14ac:dyDescent="0.3">
      <c r="A23" s="42" t="s">
        <v>15</v>
      </c>
      <c r="B23" s="42">
        <v>9</v>
      </c>
      <c r="C23" s="99">
        <v>1266860</v>
      </c>
      <c r="D23" s="99">
        <v>897457</v>
      </c>
      <c r="E23" s="89" t="s">
        <v>208</v>
      </c>
      <c r="G23" s="42" t="s">
        <v>212</v>
      </c>
      <c r="H23" s="99">
        <f t="shared" si="5"/>
        <v>0</v>
      </c>
      <c r="I23" s="99">
        <f t="shared" si="6"/>
        <v>0</v>
      </c>
      <c r="J23" s="44"/>
      <c r="L23" s="11" t="s">
        <v>55</v>
      </c>
      <c r="M23" s="12">
        <v>4782283</v>
      </c>
      <c r="N23" s="12">
        <v>6918066</v>
      </c>
      <c r="O23" s="97" t="s">
        <v>231</v>
      </c>
      <c r="P23" s="12"/>
      <c r="Q23" s="47" t="s">
        <v>231</v>
      </c>
      <c r="R23" s="52">
        <f t="shared" si="2"/>
        <v>4782283</v>
      </c>
      <c r="S23" s="111">
        <f t="shared" si="0"/>
        <v>6918066</v>
      </c>
      <c r="T23" s="114">
        <f t="shared" si="1"/>
        <v>-0.30872544436552063</v>
      </c>
      <c r="V23" s="11" t="s">
        <v>72</v>
      </c>
      <c r="W23" s="12">
        <v>-9876</v>
      </c>
      <c r="X23" s="12">
        <v>-19349</v>
      </c>
      <c r="Y23" s="89"/>
    </row>
    <row r="24" spans="1:25" ht="15" thickBot="1" x14ac:dyDescent="0.35">
      <c r="A24" s="42" t="s">
        <v>16</v>
      </c>
      <c r="B24" s="42">
        <v>10</v>
      </c>
      <c r="C24" s="99">
        <v>23408079</v>
      </c>
      <c r="D24" s="99">
        <v>18381382</v>
      </c>
      <c r="E24" s="89" t="s">
        <v>208</v>
      </c>
      <c r="G24" s="43" t="s">
        <v>256</v>
      </c>
      <c r="H24" s="100">
        <f t="shared" si="5"/>
        <v>38548022</v>
      </c>
      <c r="I24" s="100">
        <f t="shared" si="6"/>
        <v>22819959</v>
      </c>
      <c r="J24" s="44"/>
      <c r="L24" s="11" t="s">
        <v>56</v>
      </c>
      <c r="M24" s="20">
        <v>-1490416</v>
      </c>
      <c r="N24" s="20">
        <v>-1204494</v>
      </c>
      <c r="O24" s="97" t="s">
        <v>232</v>
      </c>
      <c r="P24" s="12"/>
      <c r="Q24" s="47"/>
      <c r="R24" s="52">
        <f t="shared" si="2"/>
        <v>0</v>
      </c>
      <c r="S24" s="111">
        <f t="shared" si="0"/>
        <v>0</v>
      </c>
      <c r="T24" s="114"/>
      <c r="V24" s="11" t="s">
        <v>73</v>
      </c>
      <c r="W24" s="12">
        <v>112775</v>
      </c>
      <c r="X24" s="12">
        <v>45754</v>
      </c>
      <c r="Y24" s="89"/>
    </row>
    <row r="25" spans="1:25" ht="15" thickBot="1" x14ac:dyDescent="0.35">
      <c r="A25" s="42" t="s">
        <v>17</v>
      </c>
      <c r="B25" s="42">
        <v>11</v>
      </c>
      <c r="C25" s="99">
        <v>2972086</v>
      </c>
      <c r="D25" s="99">
        <v>3751395</v>
      </c>
      <c r="E25" s="89" t="s">
        <v>207</v>
      </c>
      <c r="G25" s="43" t="s">
        <v>35</v>
      </c>
      <c r="H25" s="100">
        <f t="shared" si="5"/>
        <v>26512147</v>
      </c>
      <c r="I25" s="100">
        <f t="shared" si="6"/>
        <v>17047768</v>
      </c>
      <c r="J25" s="44">
        <f t="shared" si="7"/>
        <v>0.55516821908885672</v>
      </c>
      <c r="L25" s="18" t="s">
        <v>57</v>
      </c>
      <c r="M25" s="39">
        <v>3291867</v>
      </c>
      <c r="N25" s="39">
        <v>5713572</v>
      </c>
      <c r="O25" s="97" t="s">
        <v>233</v>
      </c>
      <c r="P25" s="14"/>
      <c r="Q25" s="47" t="s">
        <v>232</v>
      </c>
      <c r="R25" s="52">
        <f t="shared" si="2"/>
        <v>-1490416</v>
      </c>
      <c r="S25" s="111">
        <f t="shared" si="0"/>
        <v>-1204494</v>
      </c>
      <c r="T25" s="114">
        <f t="shared" si="1"/>
        <v>0.23737934767628566</v>
      </c>
      <c r="V25" s="11" t="s">
        <v>74</v>
      </c>
      <c r="W25" s="12">
        <v>38415</v>
      </c>
      <c r="X25" s="12">
        <v>11166</v>
      </c>
      <c r="Y25" s="89"/>
    </row>
    <row r="26" spans="1:25" ht="15.6" thickTop="1" thickBot="1" x14ac:dyDescent="0.35">
      <c r="A26" s="42" t="s">
        <v>18</v>
      </c>
      <c r="B26" s="42">
        <v>12</v>
      </c>
      <c r="C26" s="99">
        <v>735426</v>
      </c>
      <c r="D26" s="99">
        <v>534710</v>
      </c>
      <c r="E26" s="89" t="s">
        <v>207</v>
      </c>
      <c r="G26" s="42" t="s">
        <v>213</v>
      </c>
      <c r="H26" s="99">
        <f t="shared" si="5"/>
        <v>128180</v>
      </c>
      <c r="I26" s="99">
        <f t="shared" si="6"/>
        <v>108454</v>
      </c>
      <c r="J26" s="44">
        <f t="shared" si="7"/>
        <v>0.18188356353845869</v>
      </c>
      <c r="L26" s="21" t="s">
        <v>58</v>
      </c>
      <c r="M26" s="17">
        <v>117.44</v>
      </c>
      <c r="N26" s="17">
        <v>203.84</v>
      </c>
      <c r="O26" s="97" t="s">
        <v>264</v>
      </c>
      <c r="P26" s="9"/>
      <c r="Q26" s="50" t="s">
        <v>233</v>
      </c>
      <c r="R26" s="52">
        <f t="shared" si="2"/>
        <v>3291867</v>
      </c>
      <c r="S26" s="111">
        <f t="shared" si="0"/>
        <v>5713572</v>
      </c>
      <c r="T26" s="114">
        <f t="shared" si="1"/>
        <v>-0.42385131402912224</v>
      </c>
      <c r="V26" s="11" t="s">
        <v>75</v>
      </c>
      <c r="W26" s="12">
        <v>19599</v>
      </c>
      <c r="X26" s="12">
        <v>-29476</v>
      </c>
      <c r="Y26" s="89"/>
    </row>
    <row r="27" spans="1:25" x14ac:dyDescent="0.3">
      <c r="A27" s="42" t="s">
        <v>19</v>
      </c>
      <c r="B27" s="42"/>
      <c r="C27" s="99">
        <v>5819</v>
      </c>
      <c r="D27" s="99">
        <v>14943</v>
      </c>
      <c r="E27" s="89" t="s">
        <v>209</v>
      </c>
      <c r="G27" s="42" t="s">
        <v>214</v>
      </c>
      <c r="H27" s="99">
        <f t="shared" si="5"/>
        <v>9278163</v>
      </c>
      <c r="I27" s="99">
        <f t="shared" si="6"/>
        <v>9798223</v>
      </c>
      <c r="J27" s="44">
        <f t="shared" si="7"/>
        <v>-5.3076971201818944E-2</v>
      </c>
      <c r="Q27" s="42" t="s">
        <v>264</v>
      </c>
      <c r="R27" s="77">
        <f t="shared" si="2"/>
        <v>117.44</v>
      </c>
      <c r="S27" s="112">
        <f t="shared" si="0"/>
        <v>203.84</v>
      </c>
      <c r="T27" s="114">
        <f t="shared" si="1"/>
        <v>-0.42386185243328101</v>
      </c>
      <c r="V27" s="11" t="s">
        <v>76</v>
      </c>
      <c r="W27" s="12">
        <v>22223</v>
      </c>
      <c r="X27" t="s">
        <v>12</v>
      </c>
      <c r="Y27" s="89"/>
    </row>
    <row r="28" spans="1:25" x14ac:dyDescent="0.3">
      <c r="A28" s="42" t="s">
        <v>20</v>
      </c>
      <c r="B28" s="42">
        <v>13</v>
      </c>
      <c r="C28" s="99">
        <v>3015155</v>
      </c>
      <c r="D28" s="99">
        <v>1386756</v>
      </c>
      <c r="E28" s="89" t="s">
        <v>207</v>
      </c>
      <c r="G28" s="42" t="s">
        <v>215</v>
      </c>
      <c r="H28" s="99">
        <f t="shared" si="5"/>
        <v>17105804</v>
      </c>
      <c r="I28" s="99">
        <f t="shared" si="6"/>
        <v>7141091</v>
      </c>
      <c r="J28" s="44">
        <f t="shared" si="7"/>
        <v>1.3954048478026677</v>
      </c>
      <c r="V28" s="11" t="s">
        <v>77</v>
      </c>
      <c r="W28" s="12">
        <v>-4394</v>
      </c>
      <c r="X28" s="12">
        <v>-1166</v>
      </c>
      <c r="Y28" s="89"/>
    </row>
    <row r="29" spans="1:25" x14ac:dyDescent="0.3">
      <c r="A29" s="42" t="s">
        <v>21</v>
      </c>
      <c r="B29" s="42">
        <v>14</v>
      </c>
      <c r="C29" s="99">
        <v>265177</v>
      </c>
      <c r="D29" s="99">
        <v>159841</v>
      </c>
      <c r="E29" s="89" t="s">
        <v>206</v>
      </c>
      <c r="G29" s="42" t="s">
        <v>263</v>
      </c>
      <c r="H29" s="99">
        <f>SUMIF($E$11:$E$57,$G29,C$11:C$57)</f>
        <v>0</v>
      </c>
      <c r="I29" s="99">
        <f>SUMIF($E$11:$E$57,$G29,D$11:D$57)</f>
        <v>0</v>
      </c>
      <c r="J29" s="44"/>
      <c r="V29" s="11" t="s">
        <v>78</v>
      </c>
      <c r="W29" s="12">
        <v>42299</v>
      </c>
      <c r="X29" s="12">
        <v>4676</v>
      </c>
      <c r="Y29" s="89"/>
    </row>
    <row r="30" spans="1:25" x14ac:dyDescent="0.3">
      <c r="A30" s="43" t="s">
        <v>22</v>
      </c>
      <c r="B30" s="43"/>
      <c r="C30" s="100">
        <v>31668602</v>
      </c>
      <c r="D30" s="100">
        <v>25126484</v>
      </c>
      <c r="E30" s="89" t="s">
        <v>14</v>
      </c>
      <c r="G30" s="43" t="s">
        <v>251</v>
      </c>
      <c r="H30" s="100">
        <f t="shared" si="5"/>
        <v>12035875</v>
      </c>
      <c r="I30" s="100">
        <f t="shared" si="6"/>
        <v>5772191</v>
      </c>
      <c r="J30" s="44">
        <f t="shared" si="7"/>
        <v>1.0851484297730272</v>
      </c>
      <c r="V30" s="11" t="s">
        <v>79</v>
      </c>
      <c r="W30" s="12">
        <v>412960</v>
      </c>
      <c r="X30" s="12">
        <v>437872</v>
      </c>
      <c r="Y30" s="89"/>
    </row>
    <row r="31" spans="1:25" ht="15" thickBot="1" x14ac:dyDescent="0.35">
      <c r="A31" s="42"/>
      <c r="B31" s="42"/>
      <c r="C31" s="99"/>
      <c r="D31" s="99"/>
      <c r="E31" s="89"/>
      <c r="G31" s="42" t="s">
        <v>216</v>
      </c>
      <c r="H31" s="99">
        <f t="shared" si="5"/>
        <v>0</v>
      </c>
      <c r="I31" s="99">
        <f t="shared" si="6"/>
        <v>0</v>
      </c>
      <c r="J31" s="44"/>
      <c r="V31" s="18" t="s">
        <v>80</v>
      </c>
      <c r="W31" s="46">
        <v>-10866675</v>
      </c>
      <c r="X31" s="46">
        <v>-1400561</v>
      </c>
      <c r="Y31" s="89" t="s">
        <v>238</v>
      </c>
    </row>
    <row r="32" spans="1:25" ht="15" thickBot="1" x14ac:dyDescent="0.35">
      <c r="A32" s="43" t="s">
        <v>23</v>
      </c>
      <c r="B32" s="43"/>
      <c r="C32" s="100">
        <v>59239224</v>
      </c>
      <c r="D32" s="100">
        <v>40823108</v>
      </c>
      <c r="E32" s="89" t="s">
        <v>205</v>
      </c>
      <c r="G32" s="42" t="s">
        <v>217</v>
      </c>
      <c r="H32" s="99">
        <f t="shared" si="5"/>
        <v>2423947</v>
      </c>
      <c r="I32" s="99">
        <f t="shared" si="6"/>
        <v>1577093</v>
      </c>
      <c r="J32" s="44">
        <f t="shared" si="7"/>
        <v>0.53697150389989678</v>
      </c>
      <c r="V32" s="11" t="s">
        <v>45</v>
      </c>
      <c r="Y32" s="89"/>
    </row>
    <row r="33" spans="1:25" ht="15" thickBot="1" x14ac:dyDescent="0.35">
      <c r="A33" s="42"/>
      <c r="B33" s="42"/>
      <c r="C33" s="42"/>
      <c r="D33" s="42"/>
      <c r="E33" s="89"/>
      <c r="G33" s="42" t="s">
        <v>218</v>
      </c>
      <c r="H33" s="99">
        <f t="shared" si="5"/>
        <v>9431586</v>
      </c>
      <c r="I33" s="99">
        <f t="shared" si="6"/>
        <v>4008570</v>
      </c>
      <c r="J33" s="44">
        <f t="shared" si="7"/>
        <v>1.3528555070760895</v>
      </c>
      <c r="V33" s="3" t="s">
        <v>61</v>
      </c>
      <c r="Y33" s="89"/>
    </row>
    <row r="34" spans="1:25" ht="31.2" x14ac:dyDescent="0.3">
      <c r="A34" s="94"/>
      <c r="B34" s="94"/>
      <c r="C34" s="94"/>
      <c r="D34" s="94"/>
      <c r="E34" s="89"/>
      <c r="G34" s="42" t="s">
        <v>219</v>
      </c>
      <c r="H34" s="99">
        <f t="shared" si="5"/>
        <v>0</v>
      </c>
      <c r="I34" s="99">
        <f t="shared" si="6"/>
        <v>0</v>
      </c>
      <c r="J34" s="44"/>
      <c r="V34" s="11" t="s">
        <v>81</v>
      </c>
      <c r="W34" s="12">
        <v>434362</v>
      </c>
      <c r="X34" s="12">
        <v>578680</v>
      </c>
      <c r="Y34" s="89"/>
    </row>
    <row r="35" spans="1:25" x14ac:dyDescent="0.3">
      <c r="A35" s="97"/>
      <c r="B35" s="97"/>
      <c r="C35" s="97"/>
      <c r="D35" s="97"/>
      <c r="E35" s="89"/>
      <c r="G35" s="42" t="s">
        <v>262</v>
      </c>
      <c r="H35" s="99">
        <f t="shared" si="5"/>
        <v>180342</v>
      </c>
      <c r="I35" s="99">
        <f t="shared" si="6"/>
        <v>186528</v>
      </c>
      <c r="J35" s="44">
        <f t="shared" si="7"/>
        <v>-3.3163921770458057E-2</v>
      </c>
      <c r="V35" s="11" t="s">
        <v>82</v>
      </c>
      <c r="W35" s="12">
        <v>-538473</v>
      </c>
      <c r="X35" s="12">
        <v>-414352</v>
      </c>
      <c r="Y35" s="89"/>
    </row>
    <row r="36" spans="1:25" ht="18" x14ac:dyDescent="0.35">
      <c r="A36" s="101" t="s">
        <v>25</v>
      </c>
      <c r="B36" s="42"/>
      <c r="C36" s="42"/>
      <c r="D36" s="42"/>
      <c r="E36" s="89"/>
      <c r="G36" s="43" t="s">
        <v>252</v>
      </c>
      <c r="H36" s="100">
        <f t="shared" si="5"/>
        <v>20691202</v>
      </c>
      <c r="I36" s="100">
        <f t="shared" si="6"/>
        <v>18003149</v>
      </c>
      <c r="J36" s="44">
        <f t="shared" si="7"/>
        <v>0.14931015679534732</v>
      </c>
      <c r="V36" s="11" t="s">
        <v>83</v>
      </c>
      <c r="W36" s="12">
        <v>5623323</v>
      </c>
      <c r="X36" t="s">
        <v>12</v>
      </c>
      <c r="Y36" s="89"/>
    </row>
    <row r="37" spans="1:25" x14ac:dyDescent="0.3">
      <c r="A37" s="42" t="s">
        <v>26</v>
      </c>
      <c r="B37" s="42"/>
      <c r="C37" s="60">
        <v>575000</v>
      </c>
      <c r="D37" s="60">
        <v>575000</v>
      </c>
      <c r="E37" s="89" t="s">
        <v>220</v>
      </c>
      <c r="G37" s="42" t="s">
        <v>220</v>
      </c>
      <c r="H37" s="99">
        <f t="shared" si="5"/>
        <v>855296</v>
      </c>
      <c r="I37" s="99">
        <f t="shared" si="6"/>
        <v>855296</v>
      </c>
      <c r="J37" s="44">
        <f t="shared" si="7"/>
        <v>0</v>
      </c>
      <c r="V37" s="11" t="s">
        <v>84</v>
      </c>
      <c r="W37" s="12">
        <v>-281139</v>
      </c>
      <c r="X37" s="12">
        <v>-374851</v>
      </c>
      <c r="Y37" s="89"/>
    </row>
    <row r="38" spans="1:25" x14ac:dyDescent="0.3">
      <c r="A38" s="42" t="s">
        <v>27</v>
      </c>
      <c r="B38" s="42">
        <v>15</v>
      </c>
      <c r="C38" s="60">
        <v>280296</v>
      </c>
      <c r="D38" s="60">
        <v>280296</v>
      </c>
      <c r="E38" s="89" t="s">
        <v>220</v>
      </c>
      <c r="G38" s="42" t="s">
        <v>221</v>
      </c>
      <c r="H38" s="99">
        <f t="shared" si="5"/>
        <v>20410906</v>
      </c>
      <c r="I38" s="99">
        <f t="shared" si="6"/>
        <v>17722853</v>
      </c>
      <c r="J38" s="44">
        <f t="shared" si="7"/>
        <v>0.15167157341992285</v>
      </c>
      <c r="V38" s="11" t="s">
        <v>85</v>
      </c>
      <c r="W38" s="12">
        <v>81292</v>
      </c>
      <c r="X38" s="12">
        <v>385421</v>
      </c>
      <c r="Y38" s="89"/>
    </row>
    <row r="39" spans="1:25" x14ac:dyDescent="0.3">
      <c r="A39" s="42" t="s">
        <v>28</v>
      </c>
      <c r="B39" s="42">
        <v>16</v>
      </c>
      <c r="C39" s="60">
        <v>20410906</v>
      </c>
      <c r="D39" s="60">
        <v>17722853</v>
      </c>
      <c r="E39" s="89" t="s">
        <v>221</v>
      </c>
      <c r="G39" s="42" t="s">
        <v>261</v>
      </c>
      <c r="H39" s="99">
        <f t="shared" si="5"/>
        <v>0</v>
      </c>
      <c r="I39" s="99">
        <f t="shared" si="6"/>
        <v>0</v>
      </c>
      <c r="J39" s="44"/>
      <c r="V39" s="11" t="s">
        <v>86</v>
      </c>
      <c r="W39" s="12">
        <v>690550</v>
      </c>
      <c r="X39" s="12">
        <v>-239425</v>
      </c>
      <c r="Y39" s="89"/>
    </row>
    <row r="40" spans="1:25" x14ac:dyDescent="0.3">
      <c r="A40" s="43" t="s">
        <v>29</v>
      </c>
      <c r="B40" s="43"/>
      <c r="C40" s="61">
        <v>20691202</v>
      </c>
      <c r="D40" s="61">
        <v>18003149</v>
      </c>
      <c r="E40" s="89" t="s">
        <v>252</v>
      </c>
      <c r="G40" s="42" t="s">
        <v>222</v>
      </c>
      <c r="H40" s="99">
        <f t="shared" si="5"/>
        <v>0</v>
      </c>
      <c r="I40" s="99">
        <f t="shared" si="6"/>
        <v>0</v>
      </c>
      <c r="J40" s="44"/>
      <c r="V40" s="11" t="s">
        <v>87</v>
      </c>
      <c r="W40" s="12">
        <v>-552480</v>
      </c>
      <c r="X40" s="12">
        <v>-332437</v>
      </c>
      <c r="Y40" s="89"/>
    </row>
    <row r="41" spans="1:25" ht="15" thickBot="1" x14ac:dyDescent="0.35">
      <c r="A41" s="43" t="s">
        <v>30</v>
      </c>
      <c r="B41" s="42"/>
      <c r="C41" s="42"/>
      <c r="D41" s="42"/>
      <c r="E41" s="89"/>
      <c r="V41" s="18" t="s">
        <v>88</v>
      </c>
      <c r="W41" s="46">
        <v>5457435</v>
      </c>
      <c r="X41" s="46">
        <v>-396964</v>
      </c>
      <c r="Y41" s="89" t="s">
        <v>239</v>
      </c>
    </row>
    <row r="42" spans="1:25" x14ac:dyDescent="0.3">
      <c r="A42" s="42" t="s">
        <v>31</v>
      </c>
      <c r="B42" s="42">
        <v>17</v>
      </c>
      <c r="C42" s="60">
        <v>9431586</v>
      </c>
      <c r="D42" s="60">
        <v>4008570</v>
      </c>
      <c r="E42" s="89" t="s">
        <v>218</v>
      </c>
      <c r="V42" s="11" t="s">
        <v>45</v>
      </c>
      <c r="Y42" s="89"/>
    </row>
    <row r="43" spans="1:25" x14ac:dyDescent="0.3">
      <c r="A43" s="42" t="s">
        <v>32</v>
      </c>
      <c r="B43" s="42">
        <v>18</v>
      </c>
      <c r="C43" s="60">
        <v>180342</v>
      </c>
      <c r="D43" s="60">
        <v>186528</v>
      </c>
      <c r="E43" s="89" t="s">
        <v>262</v>
      </c>
      <c r="V43" s="11" t="s">
        <v>89</v>
      </c>
      <c r="W43" s="12">
        <v>-8548535</v>
      </c>
      <c r="X43" s="12">
        <v>-1301938</v>
      </c>
      <c r="Y43" s="89"/>
    </row>
    <row r="44" spans="1:25" x14ac:dyDescent="0.3">
      <c r="A44" s="42" t="s">
        <v>33</v>
      </c>
      <c r="B44" s="42">
        <v>19</v>
      </c>
      <c r="C44" s="60">
        <v>1008944</v>
      </c>
      <c r="D44" s="60">
        <v>820993</v>
      </c>
      <c r="E44" s="89" t="s">
        <v>217</v>
      </c>
      <c r="V44" s="11" t="s">
        <v>90</v>
      </c>
      <c r="W44" s="12">
        <v>-4615259</v>
      </c>
      <c r="X44" s="12">
        <v>-3313321</v>
      </c>
      <c r="Y44" s="89"/>
    </row>
    <row r="45" spans="1:25" ht="15" thickBot="1" x14ac:dyDescent="0.35">
      <c r="A45" s="42" t="s">
        <v>34</v>
      </c>
      <c r="B45" s="42">
        <v>20</v>
      </c>
      <c r="C45" s="60">
        <v>1415003</v>
      </c>
      <c r="D45" s="60">
        <v>756100</v>
      </c>
      <c r="E45" s="89" t="s">
        <v>217</v>
      </c>
      <c r="V45" s="11" t="s">
        <v>91</v>
      </c>
      <c r="W45" s="31">
        <v>-13163794</v>
      </c>
      <c r="X45" s="31">
        <v>-4615259</v>
      </c>
      <c r="Y45" s="89" t="s">
        <v>240</v>
      </c>
    </row>
    <row r="46" spans="1:25" ht="15.6" thickTop="1" thickBot="1" x14ac:dyDescent="0.35">
      <c r="A46" s="43" t="s">
        <v>188</v>
      </c>
      <c r="B46" s="42"/>
      <c r="C46" s="61">
        <v>12035875</v>
      </c>
      <c r="D46" s="61">
        <v>5772191</v>
      </c>
      <c r="E46" s="89" t="s">
        <v>251</v>
      </c>
      <c r="V46" s="11" t="s">
        <v>45</v>
      </c>
      <c r="X46" s="10"/>
    </row>
    <row r="47" spans="1:25" ht="15" thickBot="1" x14ac:dyDescent="0.35">
      <c r="A47" s="43" t="s">
        <v>35</v>
      </c>
      <c r="B47" s="42"/>
      <c r="C47" s="42"/>
      <c r="D47" s="42"/>
      <c r="E47" s="89"/>
      <c r="V47" s="3" t="s">
        <v>62</v>
      </c>
      <c r="X47" s="10"/>
    </row>
    <row r="48" spans="1:25" x14ac:dyDescent="0.3">
      <c r="A48" s="42" t="s">
        <v>36</v>
      </c>
      <c r="B48" s="42">
        <v>21</v>
      </c>
      <c r="C48" s="60">
        <v>9278163</v>
      </c>
      <c r="D48" s="60">
        <v>9798223</v>
      </c>
      <c r="E48" s="89" t="s">
        <v>214</v>
      </c>
      <c r="V48" s="11" t="s">
        <v>92</v>
      </c>
      <c r="W48" s="12">
        <v>265177</v>
      </c>
      <c r="X48" s="13">
        <v>159841</v>
      </c>
    </row>
    <row r="49" spans="1:24" x14ac:dyDescent="0.3">
      <c r="A49" s="42" t="s">
        <v>37</v>
      </c>
      <c r="B49" s="42"/>
      <c r="C49" s="60">
        <v>34504</v>
      </c>
      <c r="D49" s="60">
        <v>26392</v>
      </c>
      <c r="E49" s="89" t="s">
        <v>213</v>
      </c>
      <c r="V49" s="11" t="s">
        <v>93</v>
      </c>
      <c r="W49" s="12">
        <v>-13428971</v>
      </c>
      <c r="X49" s="13">
        <v>-4775100</v>
      </c>
    </row>
    <row r="50" spans="1:24" ht="15" thickBot="1" x14ac:dyDescent="0.35">
      <c r="A50" s="42" t="s">
        <v>38</v>
      </c>
      <c r="B50" s="42"/>
      <c r="C50" s="60">
        <v>93676</v>
      </c>
      <c r="D50" s="60">
        <v>82062</v>
      </c>
      <c r="E50" s="89" t="s">
        <v>213</v>
      </c>
      <c r="V50" s="15" t="s">
        <v>45</v>
      </c>
      <c r="W50" s="31">
        <v>-13163794</v>
      </c>
      <c r="X50" s="32">
        <v>-4615259</v>
      </c>
    </row>
    <row r="51" spans="1:24" x14ac:dyDescent="0.3">
      <c r="A51" s="42" t="s">
        <v>39</v>
      </c>
      <c r="B51" s="42">
        <v>17</v>
      </c>
      <c r="C51" s="60">
        <v>666994</v>
      </c>
      <c r="D51" s="60">
        <v>763011</v>
      </c>
      <c r="E51" s="89" t="s">
        <v>215</v>
      </c>
    </row>
    <row r="52" spans="1:24" x14ac:dyDescent="0.3">
      <c r="A52" s="42" t="s">
        <v>40</v>
      </c>
      <c r="B52" s="42">
        <v>18</v>
      </c>
      <c r="C52" s="60">
        <v>54879</v>
      </c>
      <c r="D52" s="60">
        <v>56327</v>
      </c>
      <c r="E52" s="89" t="s">
        <v>215</v>
      </c>
    </row>
    <row r="53" spans="1:24" x14ac:dyDescent="0.3">
      <c r="A53" s="42" t="s">
        <v>41</v>
      </c>
      <c r="B53" s="42"/>
      <c r="C53" s="60">
        <v>921539</v>
      </c>
      <c r="D53" s="60">
        <v>203782</v>
      </c>
      <c r="E53" s="89" t="s">
        <v>215</v>
      </c>
    </row>
    <row r="54" spans="1:24" x14ac:dyDescent="0.3">
      <c r="A54" s="42" t="s">
        <v>42</v>
      </c>
      <c r="B54" s="42">
        <v>22</v>
      </c>
      <c r="C54" s="60">
        <v>15462392</v>
      </c>
      <c r="D54" s="60">
        <v>6117971</v>
      </c>
      <c r="E54" s="89" t="s">
        <v>215</v>
      </c>
    </row>
    <row r="55" spans="1:24" x14ac:dyDescent="0.3">
      <c r="A55" s="43" t="s">
        <v>189</v>
      </c>
      <c r="B55" s="42"/>
      <c r="C55" s="61">
        <v>26512147</v>
      </c>
      <c r="D55" s="61">
        <v>17047768</v>
      </c>
      <c r="E55" s="89" t="s">
        <v>35</v>
      </c>
    </row>
    <row r="56" spans="1:24" x14ac:dyDescent="0.3">
      <c r="A56" s="43" t="s">
        <v>43</v>
      </c>
      <c r="B56" s="43"/>
      <c r="C56" s="61">
        <v>38548022</v>
      </c>
      <c r="D56" s="61">
        <v>22819959</v>
      </c>
      <c r="E56" s="42" t="s">
        <v>256</v>
      </c>
    </row>
    <row r="57" spans="1:24" x14ac:dyDescent="0.3">
      <c r="A57" s="43" t="s">
        <v>44</v>
      </c>
      <c r="B57" s="43"/>
      <c r="C57" s="61">
        <v>59239224</v>
      </c>
      <c r="D57" s="61">
        <v>40823108</v>
      </c>
      <c r="E57" s="42"/>
    </row>
  </sheetData>
  <mergeCells count="13">
    <mergeCell ref="AD6:AD8"/>
    <mergeCell ref="A1:AC4"/>
    <mergeCell ref="AA6:AC8"/>
    <mergeCell ref="V6:X8"/>
    <mergeCell ref="A9:D9"/>
    <mergeCell ref="L6:N8"/>
    <mergeCell ref="A6:D8"/>
    <mergeCell ref="Q6:S7"/>
    <mergeCell ref="E9:E10"/>
    <mergeCell ref="G6:I9"/>
    <mergeCell ref="Y8:Y9"/>
    <mergeCell ref="J6:J9"/>
    <mergeCell ref="T6:T7"/>
  </mergeCells>
  <phoneticPr fontId="5" type="noConversion"/>
  <dataValidations count="4">
    <dataValidation type="list" allowBlank="1" showInputMessage="1" showErrorMessage="1" sqref="O9 O11:O25" xr:uid="{51E31A8E-BE57-4E0E-ADAC-0336D8197007}">
      <formula1>$Q$9:$Q$26</formula1>
    </dataValidation>
    <dataValidation type="list" allowBlank="1" showInputMessage="1" showErrorMessage="1" sqref="Y10:Y50" xr:uid="{60E0E49D-E842-4CAF-BAF9-8418A292DB79}">
      <formula1>$AA$10:$AA$16</formula1>
    </dataValidation>
    <dataValidation type="list" allowBlank="1" showInputMessage="1" showErrorMessage="1" sqref="E11:E57" xr:uid="{DA52A22C-077C-4053-8836-75F23A62527E}">
      <formula1>$G$11:$G$40</formula1>
    </dataValidation>
    <dataValidation type="list" allowBlank="1" showInputMessage="1" showErrorMessage="1" sqref="O10 O26" xr:uid="{2DFE7377-C4A1-41CC-8D49-214A20F71A71}">
      <formula1>$Q$9:$Q$27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85D0-C9BF-4672-9DCD-C0D01AA3356E}">
  <sheetPr codeName="Sheet3"/>
  <dimension ref="A1:S63"/>
  <sheetViews>
    <sheetView zoomScale="86" workbookViewId="0">
      <selection activeCell="F5" sqref="F5"/>
    </sheetView>
  </sheetViews>
  <sheetFormatPr defaultRowHeight="14.4" x14ac:dyDescent="0.3"/>
  <cols>
    <col min="1" max="1" width="30.5546875" style="1" bestFit="1" customWidth="1"/>
    <col min="2" max="3" width="14.77734375" style="6" bestFit="1" customWidth="1"/>
    <col min="4" max="4" width="13.5546875" style="6" bestFit="1" customWidth="1"/>
    <col min="5" max="5" width="11.5546875" style="6" bestFit="1" customWidth="1"/>
    <col min="6" max="6" width="12.44140625" style="6" bestFit="1" customWidth="1"/>
    <col min="7" max="7" width="15.109375" style="6" bestFit="1" customWidth="1"/>
    <col min="8" max="8" width="12.109375" style="6" bestFit="1" customWidth="1"/>
    <col min="9" max="9" width="66.6640625" style="6" bestFit="1" customWidth="1"/>
    <col min="10" max="11" width="8.88671875" style="6"/>
    <col min="12" max="12" width="14" style="6" bestFit="1" customWidth="1"/>
    <col min="13" max="13" width="20.33203125" style="6" bestFit="1" customWidth="1"/>
    <col min="14" max="14" width="25.77734375" style="6" bestFit="1" customWidth="1"/>
    <col min="15" max="15" width="12.77734375" style="6" bestFit="1" customWidth="1"/>
    <col min="16" max="16" width="14" style="6" bestFit="1" customWidth="1"/>
    <col min="17" max="17" width="25.77734375" style="6" bestFit="1" customWidth="1"/>
    <col min="18" max="18" width="12.6640625" style="6" bestFit="1" customWidth="1"/>
    <col min="19" max="19" width="14.109375" style="6" bestFit="1" customWidth="1"/>
    <col min="20" max="16384" width="8.88671875" style="6"/>
  </cols>
  <sheetData>
    <row r="1" spans="1:19" ht="14.4" customHeight="1" x14ac:dyDescent="0.3">
      <c r="A1" s="240" t="s">
        <v>202</v>
      </c>
      <c r="B1" s="241"/>
      <c r="C1" s="241"/>
      <c r="D1" s="241"/>
      <c r="E1" s="241"/>
      <c r="F1" s="241"/>
      <c r="G1" s="241"/>
      <c r="H1" s="241"/>
      <c r="I1" s="242"/>
      <c r="J1" s="116"/>
      <c r="K1" s="116"/>
      <c r="L1" s="116"/>
      <c r="M1" s="116"/>
      <c r="N1" s="116"/>
      <c r="O1" s="116"/>
    </row>
    <row r="2" spans="1:19" ht="28.2" customHeight="1" thickBot="1" x14ac:dyDescent="0.35">
      <c r="A2" s="243"/>
      <c r="B2" s="244"/>
      <c r="C2" s="244"/>
      <c r="D2" s="244"/>
      <c r="E2" s="244"/>
      <c r="F2" s="244"/>
      <c r="G2" s="244"/>
      <c r="H2" s="244"/>
      <c r="I2" s="245"/>
      <c r="J2" s="116"/>
      <c r="K2" s="116"/>
      <c r="L2" s="116"/>
      <c r="M2" s="116"/>
      <c r="N2" s="116"/>
      <c r="O2" s="116"/>
    </row>
    <row r="3" spans="1:19" ht="46.8" thickBot="1" x14ac:dyDescent="0.35">
      <c r="A3" s="246" t="s">
        <v>274</v>
      </c>
      <c r="B3" s="247"/>
      <c r="C3" s="247"/>
      <c r="D3" s="247"/>
      <c r="E3" s="247"/>
      <c r="F3" s="247"/>
      <c r="G3" s="247"/>
      <c r="H3" s="247"/>
      <c r="I3" s="248"/>
      <c r="J3" s="116"/>
      <c r="K3" s="116"/>
      <c r="L3" s="116"/>
      <c r="M3" s="116"/>
      <c r="N3" s="116"/>
      <c r="O3" s="116"/>
    </row>
    <row r="4" spans="1:19" s="121" customFormat="1" ht="31.8" customHeight="1" x14ac:dyDescent="0.3">
      <c r="A4" s="118" t="s">
        <v>193</v>
      </c>
      <c r="B4" s="119" t="s">
        <v>198</v>
      </c>
      <c r="C4" s="119" t="s">
        <v>204</v>
      </c>
      <c r="D4" s="120" t="s">
        <v>265</v>
      </c>
      <c r="E4" s="119" t="s">
        <v>199</v>
      </c>
      <c r="F4" s="119" t="s">
        <v>200</v>
      </c>
      <c r="G4" s="119" t="s">
        <v>201</v>
      </c>
      <c r="H4" s="119" t="s">
        <v>200</v>
      </c>
      <c r="I4" s="119" t="s">
        <v>203</v>
      </c>
    </row>
    <row r="5" spans="1:19" ht="28.8" x14ac:dyDescent="0.3">
      <c r="A5" s="117" t="s">
        <v>192</v>
      </c>
      <c r="B5" s="124">
        <f>ca_23k/cl_23k</f>
        <v>1.2919701454427839</v>
      </c>
      <c r="C5" s="124">
        <f>ca_22k/cl_22k</f>
        <v>1.3240447177519454</v>
      </c>
      <c r="D5" s="124">
        <f>ca_23g/cl_23g</f>
        <v>1.1944940558755954</v>
      </c>
      <c r="E5" s="130">
        <f>(B5-C5)/ABS(C5)</f>
        <v>-2.4224689603852639E-2</v>
      </c>
      <c r="F5" s="124" t="str">
        <f>IF(E5&gt;0,"Favourable","Unfavourable")</f>
        <v>Unfavourable</v>
      </c>
      <c r="G5" s="130">
        <f>(B5-D5)/ABS(D5)</f>
        <v>8.1604499484709381E-2</v>
      </c>
      <c r="H5" s="124" t="str">
        <f>IF(G5&gt;0,"Favourable","Unfavourable")</f>
        <v>Favourable</v>
      </c>
      <c r="I5" s="131" t="s">
        <v>342</v>
      </c>
    </row>
    <row r="6" spans="1:19" ht="43.2" x14ac:dyDescent="0.3">
      <c r="A6" s="117" t="s">
        <v>194</v>
      </c>
      <c r="B6" s="124">
        <f>(ca_23k-inv_23k-prep_23k)/cl_23k</f>
        <v>0.53708468137713783</v>
      </c>
      <c r="C6" s="124">
        <f>(ca_22k-inv_22k-prep_22k)/cl_22k</f>
        <v>0.58752396250586136</v>
      </c>
      <c r="D6" s="124">
        <f>(ca_23g-inv_23g-prep_23g)/cl_23g</f>
        <v>0.23516733669287515</v>
      </c>
      <c r="E6" s="130">
        <f>(B6-C6)/ABS(C6)</f>
        <v>-8.5850593929129027E-2</v>
      </c>
      <c r="F6" s="124" t="str">
        <f t="shared" ref="F6:F9" si="0">IF(E6&gt;0,"Favourable","Unfavourable")</f>
        <v>Unfavourable</v>
      </c>
      <c r="G6" s="130">
        <f>(B6-D6)/ABS(D6)</f>
        <v>1.2838404726187038</v>
      </c>
      <c r="H6" s="124" t="str">
        <f t="shared" ref="H6:H9" si="1">IF(G6&gt;0,"Favourable","Unfavourable")</f>
        <v>Favourable</v>
      </c>
      <c r="I6" s="131" t="s">
        <v>343</v>
      </c>
    </row>
    <row r="7" spans="1:19" x14ac:dyDescent="0.3">
      <c r="A7" s="117" t="s">
        <v>195</v>
      </c>
      <c r="B7" s="124">
        <f>(cash_23k+sti_23k)/cl_23k</f>
        <v>8.1917672349359885E-2</v>
      </c>
      <c r="C7" s="124">
        <f>(cash_22k+sti_22k)/cl_22k</f>
        <v>6.9124550631185042E-2</v>
      </c>
      <c r="D7" s="124">
        <f>(cash_23g+sti_23g)/cl_23g</f>
        <v>1.0002094511621408E-2</v>
      </c>
      <c r="E7" s="130">
        <f>(B7-C7)/ABS(C7)</f>
        <v>0.18507348838233631</v>
      </c>
      <c r="F7" s="124" t="str">
        <f t="shared" si="0"/>
        <v>Favourable</v>
      </c>
      <c r="G7" s="130">
        <f>(B7-D7)/ABS(D7)</f>
        <v>7.1900518190644913</v>
      </c>
      <c r="H7" s="124" t="str">
        <f t="shared" si="1"/>
        <v>Favourable</v>
      </c>
      <c r="I7" s="124" t="s">
        <v>344</v>
      </c>
    </row>
    <row r="8" spans="1:19" ht="43.2" x14ac:dyDescent="0.3">
      <c r="A8" s="117" t="s">
        <v>196</v>
      </c>
      <c r="B8" s="124">
        <f>ocf_23k/cl_23k</f>
        <v>0.13585163591804916</v>
      </c>
      <c r="C8" s="124">
        <f>ocf_22k/cl_22k</f>
        <v>0.327201313398163</v>
      </c>
      <c r="D8" s="124">
        <f>ocf_23g/cl_23g</f>
        <v>-0.11840968594508773</v>
      </c>
      <c r="E8" s="130">
        <f>(B8-C8)/ABS(C8)</f>
        <v>-0.58480718030390444</v>
      </c>
      <c r="F8" s="124" t="str">
        <f t="shared" si="0"/>
        <v>Unfavourable</v>
      </c>
      <c r="G8" s="130">
        <f>(B8-D8)/ABS(D8)</f>
        <v>2.1473017163566341</v>
      </c>
      <c r="H8" s="124" t="str">
        <f t="shared" si="1"/>
        <v>Favourable</v>
      </c>
      <c r="I8" s="131" t="s">
        <v>345</v>
      </c>
    </row>
    <row r="9" spans="1:19" ht="28.8" x14ac:dyDescent="0.3">
      <c r="A9" s="117" t="s">
        <v>197</v>
      </c>
      <c r="B9" s="124">
        <f>(ca_23k-cl_23k)/cl_23k</f>
        <v>0.29197014544278393</v>
      </c>
      <c r="C9" s="124">
        <f>(ca_22k-cl_22k)/cl_22k</f>
        <v>0.32404471775194538</v>
      </c>
      <c r="D9" s="124">
        <f>(ca_23g-cl_23g)/cl_23g</f>
        <v>0.19449405587559543</v>
      </c>
      <c r="E9" s="130">
        <f>(B9-C9)/ABS(C9)</f>
        <v>-9.8981932282921417E-2</v>
      </c>
      <c r="F9" s="124" t="str">
        <f t="shared" si="0"/>
        <v>Unfavourable</v>
      </c>
      <c r="G9" s="130">
        <f>(B9-D9)/ABS(D9)</f>
        <v>0.50117773074534122</v>
      </c>
      <c r="H9" s="124" t="str">
        <f t="shared" si="1"/>
        <v>Favourable</v>
      </c>
      <c r="I9" s="131" t="s">
        <v>342</v>
      </c>
    </row>
    <row r="11" spans="1:19" x14ac:dyDescent="0.3">
      <c r="E11" s="132"/>
    </row>
    <row r="12" spans="1:19" ht="15" thickBot="1" x14ac:dyDescent="0.35"/>
    <row r="13" spans="1:19" ht="46.8" thickBot="1" x14ac:dyDescent="0.35">
      <c r="A13" s="246" t="s">
        <v>275</v>
      </c>
      <c r="B13" s="247"/>
      <c r="C13" s="247"/>
      <c r="D13" s="247"/>
      <c r="E13" s="247"/>
      <c r="F13" s="247"/>
      <c r="G13" s="247"/>
      <c r="H13" s="247"/>
      <c r="I13" s="248"/>
    </row>
    <row r="14" spans="1:19" ht="27.6" customHeight="1" x14ac:dyDescent="0.3">
      <c r="A14" s="118" t="s">
        <v>193</v>
      </c>
      <c r="B14" s="119" t="s">
        <v>198</v>
      </c>
      <c r="C14" s="119" t="s">
        <v>204</v>
      </c>
      <c r="D14" s="120" t="s">
        <v>265</v>
      </c>
      <c r="E14" s="119" t="s">
        <v>199</v>
      </c>
      <c r="F14" s="119" t="s">
        <v>200</v>
      </c>
      <c r="G14" s="119" t="s">
        <v>201</v>
      </c>
      <c r="H14" s="119" t="s">
        <v>200</v>
      </c>
      <c r="I14" s="119" t="s">
        <v>203</v>
      </c>
      <c r="M14" s="124" t="s">
        <v>318</v>
      </c>
      <c r="N14" s="234" t="s">
        <v>304</v>
      </c>
      <c r="O14" s="234"/>
      <c r="P14" s="238" t="s">
        <v>305</v>
      </c>
      <c r="Q14" s="239"/>
    </row>
    <row r="15" spans="1:19" x14ac:dyDescent="0.3">
      <c r="A15" s="117" t="s">
        <v>276</v>
      </c>
      <c r="B15" s="124">
        <f>ebit_23k/ABS(fc_23k)</f>
        <v>3.0773558334752789</v>
      </c>
      <c r="C15" s="124">
        <f>ebit_22k/ABS(fc_22k)</f>
        <v>9.1773882851255344</v>
      </c>
      <c r="D15" s="124">
        <f>ebit_23g/ABS(fc_23g)</f>
        <v>2.2542759805085102</v>
      </c>
      <c r="E15" s="130">
        <f>(B15-C15)/ABS(C15)</f>
        <v>-0.66468065446648095</v>
      </c>
      <c r="F15" s="124" t="str">
        <f>IF(E15&gt;0,"Favourable","Unfavourable")</f>
        <v>Unfavourable</v>
      </c>
      <c r="G15" s="130">
        <f>(B15-D15)/ABS(D15)</f>
        <v>0.36511938204704719</v>
      </c>
      <c r="H15" s="124" t="str">
        <f>IF(G15&gt;0,"Favourable","Unfavourable")</f>
        <v>Favourable</v>
      </c>
      <c r="I15" s="131" t="s">
        <v>319</v>
      </c>
      <c r="M15" s="133"/>
      <c r="N15" s="229" t="s">
        <v>318</v>
      </c>
      <c r="O15" s="229"/>
      <c r="P15" s="235" t="s">
        <v>318</v>
      </c>
      <c r="Q15" s="237"/>
      <c r="R15" s="2"/>
      <c r="S15" s="2"/>
    </row>
    <row r="16" spans="1:19" ht="28.8" x14ac:dyDescent="0.3">
      <c r="A16" s="117" t="s">
        <v>277</v>
      </c>
      <c r="B16" s="130">
        <f>liabilities_23k/assets_23k</f>
        <v>0.44880180347506249</v>
      </c>
      <c r="C16" s="130">
        <f>liabilities_22k/assets_22k</f>
        <v>0.39132871241525519</v>
      </c>
      <c r="D16" s="130">
        <f>liabilities_23g/assets_23g</f>
        <v>0.65071787571018824</v>
      </c>
      <c r="E16" s="130">
        <f>(B16-C16)/ABS(C16)</f>
        <v>0.14686653249920545</v>
      </c>
      <c r="F16" s="124" t="str">
        <f>IF(E16&lt;0,"Favourable","Unfavourable")</f>
        <v>Unfavourable</v>
      </c>
      <c r="G16" s="130">
        <f t="shared" ref="G16:G19" si="2">(B16-D16)/ABS(D16)</f>
        <v>-0.31029741117032661</v>
      </c>
      <c r="H16" s="124" t="str">
        <f>IF(G16&lt;0,"Favourable","Unfavourable")</f>
        <v>Favourable</v>
      </c>
      <c r="I16" s="131" t="s">
        <v>322</v>
      </c>
      <c r="M16" s="133">
        <v>2023</v>
      </c>
      <c r="N16" s="134">
        <v>2235852000</v>
      </c>
      <c r="O16" s="133"/>
      <c r="P16" s="134">
        <v>1633285000</v>
      </c>
      <c r="Q16" s="133"/>
      <c r="R16" s="2"/>
      <c r="S16" s="2"/>
    </row>
    <row r="17" spans="1:19" ht="28.8" x14ac:dyDescent="0.3">
      <c r="A17" s="117" t="s">
        <v>278</v>
      </c>
      <c r="B17" s="130">
        <f>ncl_23k/assets_23k</f>
        <v>1.9313469274186573E-2</v>
      </c>
      <c r="C17" s="130">
        <f>ncl_22k/assets_22k</f>
        <v>0.12978927128687337</v>
      </c>
      <c r="D17" s="130">
        <f>ncl_23g/assets_23g</f>
        <v>0.20317408276651294</v>
      </c>
      <c r="E17" s="130">
        <f t="shared" ref="E17:E19" si="3">(B17-C17)/ABS(C17)</f>
        <v>-0.85119363809742032</v>
      </c>
      <c r="F17" s="124" t="str">
        <f>IF(E17&lt;0,"Favourable","Unfavourable")</f>
        <v>Favourable</v>
      </c>
      <c r="G17" s="130">
        <f t="shared" si="2"/>
        <v>-0.90494127493425658</v>
      </c>
      <c r="H17" s="124" t="str">
        <f>IF(G17&lt;0,"Favourable","Unfavourable")</f>
        <v>Favourable</v>
      </c>
      <c r="I17" s="131" t="s">
        <v>320</v>
      </c>
      <c r="M17" s="133">
        <v>2022</v>
      </c>
      <c r="N17" s="134">
        <v>1101941000</v>
      </c>
      <c r="O17" s="135"/>
      <c r="P17" s="134">
        <v>1307978000</v>
      </c>
      <c r="Q17" s="135"/>
      <c r="R17" s="134"/>
      <c r="S17" s="134"/>
    </row>
    <row r="18" spans="1:19" ht="28.8" x14ac:dyDescent="0.3">
      <c r="A18" s="117" t="s">
        <v>279</v>
      </c>
      <c r="B18" s="130">
        <f>eq_23k/assets_23k</f>
        <v>0.55119819652493751</v>
      </c>
      <c r="C18" s="130">
        <f>eq_22k/assets_22k</f>
        <v>0.60867128758474476</v>
      </c>
      <c r="D18" s="130">
        <f>eq_23g/assets_23g</f>
        <v>0.34928212428981176</v>
      </c>
      <c r="E18" s="130">
        <f t="shared" si="3"/>
        <v>-9.4423857724363777E-2</v>
      </c>
      <c r="F18" s="124" t="str">
        <f t="shared" ref="F18" si="4">IF(E18&gt;0,"Favourable","Unfavourable")</f>
        <v>Unfavourable</v>
      </c>
      <c r="G18" s="130">
        <f t="shared" si="2"/>
        <v>0.57808876605316573</v>
      </c>
      <c r="H18" s="124" t="str">
        <f t="shared" ref="H18" si="5">IF(G18&gt;0,"Favourable","Unfavourable")</f>
        <v>Favourable</v>
      </c>
      <c r="I18" s="131" t="s">
        <v>321</v>
      </c>
      <c r="M18" s="133">
        <v>2021</v>
      </c>
      <c r="N18" s="134">
        <v>1925934611</v>
      </c>
      <c r="O18" s="135"/>
      <c r="P18" s="135"/>
      <c r="Q18" s="135"/>
      <c r="R18" s="134"/>
      <c r="S18" s="134"/>
    </row>
    <row r="19" spans="1:19" ht="28.8" x14ac:dyDescent="0.3">
      <c r="A19" s="117" t="s">
        <v>280</v>
      </c>
      <c r="B19" s="124">
        <f>liabilities_23k/eq_23k</f>
        <v>0.81422944832650157</v>
      </c>
      <c r="C19" s="124">
        <f>liabilities_22k/eq_22k</f>
        <v>0.64292290501836891</v>
      </c>
      <c r="D19" s="124">
        <f>liabilities_23g/eq_23g</f>
        <v>1.8630151114468845</v>
      </c>
      <c r="E19" s="130">
        <f t="shared" si="3"/>
        <v>0.26644958823365966</v>
      </c>
      <c r="F19" s="124" t="str">
        <f>IF(E19&lt;0,"Favourable","Unfavourable")</f>
        <v>Unfavourable</v>
      </c>
      <c r="G19" s="130">
        <f t="shared" si="2"/>
        <v>-0.56295070108468326</v>
      </c>
      <c r="H19" s="124" t="str">
        <f>IF(G19&lt;0,"Favourable","Unfavourable")</f>
        <v>Favourable</v>
      </c>
      <c r="I19" s="131" t="s">
        <v>323</v>
      </c>
      <c r="M19" s="133"/>
      <c r="N19" s="130">
        <f>(payb_23k-payb_22k)/payb_22k</f>
        <v>1.029012442589939</v>
      </c>
      <c r="O19" s="130">
        <f>(payb_22k-payb_21k)/payb_21k</f>
        <v>-0.42784090710751549</v>
      </c>
      <c r="P19" s="130">
        <f>AVERAGE(N19:O19)</f>
        <v>0.30058576774121171</v>
      </c>
      <c r="Q19" s="135"/>
      <c r="R19" s="134"/>
      <c r="S19" s="134"/>
    </row>
    <row r="21" spans="1:19" ht="15" thickBot="1" x14ac:dyDescent="0.35">
      <c r="M21" s="124"/>
      <c r="N21" s="234"/>
      <c r="O21" s="234"/>
      <c r="P21" s="124"/>
      <c r="Q21" s="124"/>
    </row>
    <row r="22" spans="1:19" ht="46.8" thickBot="1" x14ac:dyDescent="0.35">
      <c r="A22" s="246" t="s">
        <v>281</v>
      </c>
      <c r="B22" s="247"/>
      <c r="C22" s="247"/>
      <c r="D22" s="247"/>
      <c r="E22" s="247"/>
      <c r="F22" s="247"/>
      <c r="G22" s="247"/>
      <c r="H22" s="247"/>
      <c r="I22" s="248"/>
      <c r="M22" s="133"/>
      <c r="N22" s="229"/>
      <c r="O22" s="229"/>
      <c r="P22" s="133"/>
      <c r="Q22" s="133"/>
    </row>
    <row r="23" spans="1:19" s="121" customFormat="1" ht="27" customHeight="1" x14ac:dyDescent="0.3">
      <c r="A23" s="118" t="s">
        <v>193</v>
      </c>
      <c r="B23" s="119" t="s">
        <v>198</v>
      </c>
      <c r="C23" s="119" t="s">
        <v>204</v>
      </c>
      <c r="D23" s="120" t="s">
        <v>265</v>
      </c>
      <c r="E23" s="119" t="s">
        <v>199</v>
      </c>
      <c r="F23" s="119" t="s">
        <v>200</v>
      </c>
      <c r="G23" s="119" t="s">
        <v>201</v>
      </c>
      <c r="H23" s="119" t="s">
        <v>200</v>
      </c>
      <c r="I23" s="119" t="s">
        <v>203</v>
      </c>
      <c r="L23" s="56"/>
      <c r="M23" s="133"/>
      <c r="N23" s="133"/>
      <c r="O23" s="133"/>
      <c r="P23" s="133"/>
      <c r="Q23" s="133"/>
    </row>
    <row r="24" spans="1:19" ht="28.8" x14ac:dyDescent="0.3">
      <c r="A24" s="117" t="s">
        <v>282</v>
      </c>
      <c r="B24" s="124">
        <f>ns_23k/assets_23k</f>
        <v>0.87805130068948023</v>
      </c>
      <c r="C24" s="124">
        <f>ns_22k/assets_22k</f>
        <v>0.99087657656028372</v>
      </c>
      <c r="D24" s="124">
        <f>ns_23g/assets_23g</f>
        <v>0.97903443164616744</v>
      </c>
      <c r="E24" s="130">
        <f>(B24-C24)/ABS(C24)</f>
        <v>-0.11386410632741335</v>
      </c>
      <c r="F24" s="124" t="str">
        <f>IF(E24&gt;0, "Favorable","Unfavorable")</f>
        <v>Unfavorable</v>
      </c>
      <c r="G24" s="130">
        <f>(B24-D24)/ABS(D24)</f>
        <v>-0.10314563787801846</v>
      </c>
      <c r="H24" s="124" t="str">
        <f>IF(G24&gt;0, "Favorable","Unfavorable")</f>
        <v>Unfavorable</v>
      </c>
      <c r="I24" s="131" t="s">
        <v>324</v>
      </c>
      <c r="K24" s="2"/>
      <c r="L24" s="136"/>
      <c r="M24" s="133"/>
      <c r="N24" s="135"/>
      <c r="O24" s="135"/>
      <c r="P24" s="135"/>
      <c r="Q24" s="135"/>
    </row>
    <row r="25" spans="1:19" ht="28.8" x14ac:dyDescent="0.3">
      <c r="A25" s="117" t="s">
        <v>284</v>
      </c>
      <c r="B25" s="124">
        <f>ns_23k/ca_23k</f>
        <v>2.3988761500001767</v>
      </c>
      <c r="C25" s="124">
        <f>ns_22k/ca_22k</f>
        <v>2.8614075437381787</v>
      </c>
      <c r="D25" s="124">
        <f>ns_23g/ca_23g</f>
        <v>1.8313798632475156</v>
      </c>
      <c r="E25" s="130">
        <f t="shared" ref="E25:E31" si="6">(B25-C25)/ABS(C25)</f>
        <v>-0.16164471039792716</v>
      </c>
      <c r="F25" s="124" t="str">
        <f t="shared" ref="F25:F28" si="7">IF(E25&gt;0, "Favorable","Unfavorable")</f>
        <v>Unfavorable</v>
      </c>
      <c r="G25" s="130">
        <f t="shared" ref="G25:G32" si="8">(B25-D25)/ABS(D25)</f>
        <v>0.30987360849667844</v>
      </c>
      <c r="H25" s="124" t="str">
        <f t="shared" ref="H25:H32" si="9">IF(G25&gt;0, "Favorable","Unfavorable")</f>
        <v>Favorable</v>
      </c>
      <c r="I25" s="131" t="s">
        <v>325</v>
      </c>
      <c r="K25" s="2"/>
      <c r="L25" s="136"/>
      <c r="M25" s="133"/>
      <c r="N25" s="135"/>
      <c r="O25" s="135"/>
      <c r="P25" s="135"/>
      <c r="Q25" s="135"/>
    </row>
    <row r="26" spans="1:19" x14ac:dyDescent="0.3">
      <c r="A26" s="117" t="s">
        <v>283</v>
      </c>
      <c r="B26" s="124">
        <f>ns_23k/nca_23k</f>
        <v>1.3849959938879945</v>
      </c>
      <c r="C26" s="124">
        <f>ns_22k/nca_22k</f>
        <v>1.5157737352836931</v>
      </c>
      <c r="D26" s="124">
        <f>ns_23g/nca_23g</f>
        <v>2.103588377512847</v>
      </c>
      <c r="E26" s="130">
        <f t="shared" si="6"/>
        <v>-8.6277877991613364E-2</v>
      </c>
      <c r="F26" s="124" t="str">
        <f t="shared" si="7"/>
        <v>Unfavorable</v>
      </c>
      <c r="G26" s="130">
        <f t="shared" si="8"/>
        <v>-0.34160313458019376</v>
      </c>
      <c r="H26" s="124" t="str">
        <f t="shared" si="9"/>
        <v>Unfavorable</v>
      </c>
      <c r="I26" s="124" t="s">
        <v>326</v>
      </c>
      <c r="M26" s="133"/>
      <c r="N26" s="135"/>
      <c r="O26" s="135"/>
      <c r="P26" s="135"/>
      <c r="Q26" s="135"/>
    </row>
    <row r="27" spans="1:19" x14ac:dyDescent="0.3">
      <c r="A27" s="117" t="s">
        <v>285</v>
      </c>
      <c r="B27" s="124">
        <f>ABS(cgs_23k)/AVERAGE(inv_23k,inv_22k)</f>
        <v>4.0939386567532576</v>
      </c>
      <c r="C27" s="124">
        <f>ABS(cgs_22k)/AVERAGE(inv_22k,inv_21k)</f>
        <v>5.6320233383136582</v>
      </c>
      <c r="D27" s="124">
        <f>ABS(cgs_23g)/AVERAGE(inv_23g,inv_22g)</f>
        <v>2.2998355906751606</v>
      </c>
      <c r="E27" s="130">
        <f t="shared" si="6"/>
        <v>-0.27309629047470074</v>
      </c>
      <c r="F27" s="124" t="str">
        <f t="shared" si="7"/>
        <v>Unfavorable</v>
      </c>
      <c r="G27" s="130">
        <f t="shared" si="8"/>
        <v>0.78010057473343297</v>
      </c>
      <c r="H27" s="124" t="str">
        <f t="shared" si="9"/>
        <v>Favorable</v>
      </c>
      <c r="I27" s="124" t="s">
        <v>327</v>
      </c>
      <c r="M27" s="2"/>
      <c r="N27" s="230"/>
      <c r="O27" s="230"/>
      <c r="P27" s="230"/>
      <c r="Q27" s="230"/>
      <c r="R27" s="230"/>
      <c r="S27" s="230"/>
    </row>
    <row r="28" spans="1:19" x14ac:dyDescent="0.3">
      <c r="A28" s="117" t="s">
        <v>286</v>
      </c>
      <c r="B28" s="124">
        <f>ns_23k/AVERAGE(rec_23k,rec_22K)</f>
        <v>7.2570223267073564</v>
      </c>
      <c r="C28" s="124">
        <f>ns_22k/AVERAGE(rec_22K,rec_21k)</f>
        <v>3.9248557482127133E-2</v>
      </c>
      <c r="D28" s="124">
        <f>ns_23g/AVERAGE(rec_23g,rec_22g)</f>
        <v>9.3577683822746405</v>
      </c>
      <c r="E28" s="130">
        <f t="shared" si="6"/>
        <v>183.8990839984892</v>
      </c>
      <c r="F28" s="124" t="str">
        <f t="shared" si="7"/>
        <v>Favorable</v>
      </c>
      <c r="G28" s="130">
        <f t="shared" si="8"/>
        <v>-0.22449220473831016</v>
      </c>
      <c r="H28" s="124" t="str">
        <f t="shared" si="9"/>
        <v>Unfavorable</v>
      </c>
      <c r="I28" s="124" t="s">
        <v>328</v>
      </c>
      <c r="M28" s="124"/>
      <c r="N28" s="234"/>
      <c r="O28" s="234"/>
      <c r="P28" s="124"/>
      <c r="Q28" s="124"/>
      <c r="R28" s="2"/>
      <c r="S28" s="2"/>
    </row>
    <row r="29" spans="1:19" x14ac:dyDescent="0.3">
      <c r="A29" s="117" t="s">
        <v>287</v>
      </c>
      <c r="B29" s="124">
        <f>cp_23k/AVERAGE(payb_23k,payb_22k)</f>
        <v>50.189485087900898</v>
      </c>
      <c r="C29" s="124">
        <f>cp_22k/AVERAGE(payb_22k,payb_21k)</f>
        <v>9.6539958212966361</v>
      </c>
      <c r="D29" s="124">
        <f>cp_23g/AVERAGE(payb_23g,payb_22g)</f>
        <v>48.325305829502497</v>
      </c>
      <c r="E29" s="130">
        <f t="shared" si="6"/>
        <v>4.198830206367326</v>
      </c>
      <c r="F29" s="124" t="str">
        <f>IF(E29&lt;0, "Favorable","Unfavorable")</f>
        <v>Unfavorable</v>
      </c>
      <c r="G29" s="130">
        <f t="shared" si="8"/>
        <v>3.8575632919436671E-2</v>
      </c>
      <c r="H29" s="124" t="str">
        <f>IF(G29&lt;0, "Favorable","Unfavorable")</f>
        <v>Unfavorable</v>
      </c>
      <c r="I29" s="124" t="s">
        <v>341</v>
      </c>
      <c r="M29" s="133"/>
      <c r="N29" s="229"/>
      <c r="O29" s="229"/>
      <c r="P29" s="133"/>
      <c r="Q29" s="133"/>
      <c r="R29" s="134"/>
      <c r="S29" s="134"/>
    </row>
    <row r="30" spans="1:19" x14ac:dyDescent="0.3">
      <c r="A30" s="117" t="s">
        <v>288</v>
      </c>
      <c r="B30" s="124">
        <f>365/B27</f>
        <v>89.156196661106591</v>
      </c>
      <c r="C30" s="124">
        <f t="shared" ref="C30:D30" si="10">365/C27</f>
        <v>64.807970080125486</v>
      </c>
      <c r="D30" s="124">
        <f t="shared" si="10"/>
        <v>158.70699691748283</v>
      </c>
      <c r="E30" s="130">
        <f t="shared" si="6"/>
        <v>0.37569802835790289</v>
      </c>
      <c r="F30" s="124" t="str">
        <f>IF(E30&lt;0, "Favorable","Unfavorable")</f>
        <v>Unfavorable</v>
      </c>
      <c r="G30" s="130">
        <f t="shared" si="8"/>
        <v>-0.43823398846452916</v>
      </c>
      <c r="H30" s="124" t="str">
        <f>IF(G30&lt;0, "Favorable","Unfavorable")</f>
        <v>Favorable</v>
      </c>
      <c r="I30" s="124"/>
      <c r="M30" s="133"/>
      <c r="N30" s="133"/>
      <c r="O30" s="133"/>
      <c r="P30" s="133"/>
      <c r="Q30" s="133"/>
      <c r="R30" s="134"/>
      <c r="S30" s="134"/>
    </row>
    <row r="31" spans="1:19" x14ac:dyDescent="0.3">
      <c r="A31" s="117" t="s">
        <v>289</v>
      </c>
      <c r="B31" s="124">
        <f t="shared" ref="B31:D31" si="11">365/B28</f>
        <v>50.296110934745762</v>
      </c>
      <c r="C31" s="124">
        <f t="shared" si="11"/>
        <v>9299.704840520888</v>
      </c>
      <c r="D31" s="124">
        <f t="shared" si="11"/>
        <v>39.005026101242059</v>
      </c>
      <c r="E31" s="130">
        <f t="shared" si="6"/>
        <v>-0.99459164438041148</v>
      </c>
      <c r="F31" s="124" t="str">
        <f>IF(E31&lt;0, "Favorable","Unfavorable")</f>
        <v>Favorable</v>
      </c>
      <c r="G31" s="130">
        <f t="shared" si="8"/>
        <v>0.28947768946997715</v>
      </c>
      <c r="H31" s="124" t="str">
        <f>IF(G31&lt;0, "Favorable","Unfavorable")</f>
        <v>Unfavorable</v>
      </c>
      <c r="I31" s="124"/>
      <c r="M31" s="133"/>
      <c r="N31" s="135"/>
      <c r="O31" s="135"/>
      <c r="P31" s="135"/>
      <c r="Q31" s="135"/>
      <c r="R31" s="134"/>
      <c r="S31" s="134"/>
    </row>
    <row r="32" spans="1:19" x14ac:dyDescent="0.3">
      <c r="A32" s="117" t="s">
        <v>290</v>
      </c>
      <c r="B32" s="124">
        <f t="shared" ref="B32:C32" si="12">365/B29</f>
        <v>7.272439622776484</v>
      </c>
      <c r="C32" s="124">
        <f t="shared" si="12"/>
        <v>37.808178784872993</v>
      </c>
      <c r="D32" s="124">
        <f>365/D29</f>
        <v>7.5529785840934762</v>
      </c>
      <c r="E32" s="130">
        <f>(B32-C32)/ABS(C32)</f>
        <v>-0.80764903635913354</v>
      </c>
      <c r="F32" s="124" t="str">
        <f>IF(E32&gt;0, "Favorable","Unfavorable")</f>
        <v>Unfavorable</v>
      </c>
      <c r="G32" s="130">
        <f t="shared" si="8"/>
        <v>-3.7142824938998953E-2</v>
      </c>
      <c r="H32" s="124" t="str">
        <f t="shared" si="9"/>
        <v>Unfavorable</v>
      </c>
      <c r="I32" s="124"/>
      <c r="M32" s="133"/>
      <c r="N32" s="135"/>
      <c r="O32" s="135"/>
      <c r="P32" s="135"/>
      <c r="Q32" s="135"/>
    </row>
    <row r="33" spans="1:19" ht="15.6" x14ac:dyDescent="0.3">
      <c r="M33" s="133"/>
      <c r="N33" s="135"/>
      <c r="O33" s="135"/>
      <c r="P33" s="135"/>
      <c r="Q33" s="135"/>
      <c r="R33" s="56"/>
      <c r="S33" s="56"/>
    </row>
    <row r="34" spans="1:19" x14ac:dyDescent="0.3">
      <c r="M34" s="2"/>
      <c r="N34" s="136"/>
      <c r="O34" s="136"/>
      <c r="P34" s="134"/>
      <c r="Q34" s="134"/>
      <c r="R34" s="134"/>
      <c r="S34" s="137"/>
    </row>
    <row r="35" spans="1:19" ht="15" thickBot="1" x14ac:dyDescent="0.35">
      <c r="M35" s="2"/>
      <c r="N35" s="136"/>
      <c r="O35" s="136"/>
      <c r="P35" s="134"/>
      <c r="Q35" s="134"/>
      <c r="R35" s="134"/>
      <c r="S35" s="137"/>
    </row>
    <row r="36" spans="1:19" ht="46.8" thickBot="1" x14ac:dyDescent="0.35">
      <c r="A36" s="246" t="s">
        <v>291</v>
      </c>
      <c r="B36" s="247"/>
      <c r="C36" s="247"/>
      <c r="D36" s="247"/>
      <c r="E36" s="247"/>
      <c r="F36" s="247"/>
      <c r="G36" s="247"/>
      <c r="H36" s="247"/>
      <c r="I36" s="248"/>
    </row>
    <row r="37" spans="1:19" x14ac:dyDescent="0.3">
      <c r="A37" s="57" t="s">
        <v>193</v>
      </c>
      <c r="B37" s="138" t="s">
        <v>198</v>
      </c>
      <c r="C37" s="138" t="s">
        <v>204</v>
      </c>
      <c r="D37" s="139" t="s">
        <v>265</v>
      </c>
      <c r="E37" s="138" t="s">
        <v>199</v>
      </c>
      <c r="F37" s="138" t="s">
        <v>200</v>
      </c>
      <c r="G37" s="138" t="s">
        <v>201</v>
      </c>
      <c r="H37" s="138" t="s">
        <v>200</v>
      </c>
      <c r="I37" s="138" t="s">
        <v>203</v>
      </c>
      <c r="M37" s="2"/>
      <c r="N37" s="230"/>
      <c r="O37" s="230"/>
      <c r="P37" s="230"/>
      <c r="Q37" s="230"/>
      <c r="R37" s="230"/>
      <c r="S37" s="230"/>
    </row>
    <row r="38" spans="1:19" x14ac:dyDescent="0.3">
      <c r="A38" s="117" t="s">
        <v>329</v>
      </c>
      <c r="B38" s="130">
        <f>gp_23k/ns_23k</f>
        <v>0.17790834045956105</v>
      </c>
      <c r="C38" s="130">
        <f>gp_22k/ns_22k</f>
        <v>0.25707022579644762</v>
      </c>
      <c r="D38" s="130">
        <f>gp_23g/ns_23g</f>
        <v>0.10634721583302929</v>
      </c>
      <c r="E38" s="130">
        <f>(B38-C38)/ABS(C38)</f>
        <v>-0.30793875522390612</v>
      </c>
      <c r="F38" s="124" t="str">
        <f>IF(E38&gt;0, "Favorable","Unfavorable")</f>
        <v>Unfavorable</v>
      </c>
      <c r="G38" s="130">
        <f>(B38-D38)/ABS(D38)</f>
        <v>0.67290078133203302</v>
      </c>
      <c r="H38" s="124" t="str">
        <f>IF(G38&gt;0, "Favorable","Unfavorable")</f>
        <v>Favorable</v>
      </c>
      <c r="I38" s="124" t="s">
        <v>330</v>
      </c>
      <c r="M38" s="2"/>
      <c r="N38" s="2"/>
      <c r="O38" s="2"/>
      <c r="P38" s="2"/>
      <c r="Q38" s="2"/>
      <c r="R38" s="2"/>
      <c r="S38" s="2"/>
    </row>
    <row r="39" spans="1:19" x14ac:dyDescent="0.3">
      <c r="A39" s="117" t="s">
        <v>292</v>
      </c>
      <c r="B39" s="130">
        <f>ebit_23k/ns_23k</f>
        <v>0.12202901945167638</v>
      </c>
      <c r="C39" s="130">
        <f>ebit_22k/ns_22k</f>
        <v>0.18655382018087538</v>
      </c>
      <c r="D39" s="130">
        <f>ebit_23g/ns_23g</f>
        <v>8.3514405168245931E-2</v>
      </c>
      <c r="E39" s="130">
        <f t="shared" ref="E39:E44" si="13">(B39-C39)/ABS(C39)</f>
        <v>-0.34587767040438111</v>
      </c>
      <c r="F39" s="124" t="str">
        <f t="shared" ref="F39:F44" si="14">IF(E39&gt;0, "Favorable","Unfavorable")</f>
        <v>Unfavorable</v>
      </c>
      <c r="G39" s="130">
        <f t="shared" ref="G39:G44" si="15">(B39-D39)/ABS(D39)</f>
        <v>0.46117330544161711</v>
      </c>
      <c r="H39" s="124" t="str">
        <f t="shared" ref="H39:H43" si="16">IF(G39&gt;0, "Favorable","Unfavorable")</f>
        <v>Favorable</v>
      </c>
      <c r="I39" s="124" t="s">
        <v>331</v>
      </c>
      <c r="M39" s="2"/>
      <c r="N39" s="134"/>
      <c r="O39" s="134"/>
      <c r="P39" s="134"/>
      <c r="Q39" s="134"/>
      <c r="R39" s="134"/>
      <c r="S39" s="134"/>
    </row>
    <row r="40" spans="1:19" x14ac:dyDescent="0.3">
      <c r="A40" s="117" t="s">
        <v>303</v>
      </c>
      <c r="B40" s="130">
        <f>ebt_23k/ns_23k</f>
        <v>8.237516528107558E-2</v>
      </c>
      <c r="C40" s="130">
        <f>ebt_22k/ns_22k</f>
        <v>0.1662262700778426</v>
      </c>
      <c r="D40" s="130">
        <f>ebt_23g/ns_23g</f>
        <v>8.2457078992034791E-2</v>
      </c>
      <c r="E40" s="130">
        <f t="shared" si="13"/>
        <v>-0.50443954952186643</v>
      </c>
      <c r="F40" s="124" t="str">
        <f t="shared" si="14"/>
        <v>Unfavorable</v>
      </c>
      <c r="G40" s="130">
        <f t="shared" si="15"/>
        <v>-9.9341029248833554E-4</v>
      </c>
      <c r="H40" s="124" t="str">
        <f t="shared" si="16"/>
        <v>Unfavorable</v>
      </c>
      <c r="I40" s="124" t="s">
        <v>332</v>
      </c>
      <c r="M40" s="2"/>
      <c r="N40" s="134"/>
      <c r="O40" s="134"/>
      <c r="P40" s="134"/>
      <c r="Q40" s="134"/>
      <c r="R40" s="134"/>
      <c r="S40" s="134"/>
    </row>
    <row r="41" spans="1:19" x14ac:dyDescent="0.3">
      <c r="A41" s="117" t="s">
        <v>293</v>
      </c>
      <c r="B41" s="130">
        <f>np_23k/ns_23k</f>
        <v>5.7252299094365779E-2</v>
      </c>
      <c r="C41" s="130">
        <f>np_22k/ns_22k</f>
        <v>0.11984147239551644</v>
      </c>
      <c r="D41" s="130">
        <f>np_23g/ns_23g</f>
        <v>5.6759028533081922E-2</v>
      </c>
      <c r="E41" s="130">
        <f t="shared" si="13"/>
        <v>-0.52226639117538298</v>
      </c>
      <c r="F41" s="124" t="str">
        <f t="shared" si="14"/>
        <v>Unfavorable</v>
      </c>
      <c r="G41" s="130">
        <f t="shared" si="15"/>
        <v>8.6906096533409596E-3</v>
      </c>
      <c r="H41" s="124" t="str">
        <f t="shared" si="16"/>
        <v>Favorable</v>
      </c>
      <c r="I41" s="124" t="s">
        <v>333</v>
      </c>
      <c r="M41" s="2"/>
      <c r="N41" s="134"/>
      <c r="O41" s="134"/>
      <c r="P41" s="134"/>
      <c r="Q41" s="134"/>
      <c r="R41" s="134"/>
      <c r="S41" s="134"/>
    </row>
    <row r="42" spans="1:19" ht="43.2" x14ac:dyDescent="0.3">
      <c r="A42" s="117" t="s">
        <v>294</v>
      </c>
      <c r="B42" s="130">
        <f>ocf_23k/ns_23k</f>
        <v>4.3833340357293471E-2</v>
      </c>
      <c r="C42" s="130">
        <f>ocf_22k/ns_22k</f>
        <v>8.6363983837114883E-2</v>
      </c>
      <c r="D42" s="130">
        <f>ocf_23g/ns_23g</f>
        <v>-5.4128351625008363E-2</v>
      </c>
      <c r="E42" s="130">
        <f t="shared" si="13"/>
        <v>-0.49245810105327598</v>
      </c>
      <c r="F42" s="124" t="str">
        <f t="shared" si="14"/>
        <v>Unfavorable</v>
      </c>
      <c r="G42" s="130">
        <f t="shared" si="15"/>
        <v>1.8098037173007429</v>
      </c>
      <c r="H42" s="124" t="str">
        <f t="shared" si="16"/>
        <v>Favorable</v>
      </c>
      <c r="I42" s="131" t="s">
        <v>334</v>
      </c>
    </row>
    <row r="43" spans="1:19" ht="15.6" x14ac:dyDescent="0.3">
      <c r="A43" s="117" t="s">
        <v>295</v>
      </c>
      <c r="B43" s="130">
        <f>np_23k/assets_23k</f>
        <v>5.0270455687271023E-2</v>
      </c>
      <c r="C43" s="130">
        <f>np_22k/assets_22k</f>
        <v>0.11874810789721309</v>
      </c>
      <c r="D43" s="130">
        <f>np_23g/assets_23g</f>
        <v>5.5569043240674458E-2</v>
      </c>
      <c r="E43" s="130">
        <f t="shared" si="13"/>
        <v>-0.57666310160676815</v>
      </c>
      <c r="F43" s="124" t="str">
        <f t="shared" si="14"/>
        <v>Unfavorable</v>
      </c>
      <c r="G43" s="130">
        <f t="shared" si="15"/>
        <v>-9.5351426700920186E-2</v>
      </c>
      <c r="H43" s="124" t="str">
        <f t="shared" si="16"/>
        <v>Unfavorable</v>
      </c>
      <c r="I43" s="124" t="s">
        <v>335</v>
      </c>
      <c r="M43" s="56"/>
      <c r="N43" s="56"/>
      <c r="O43" s="56"/>
      <c r="P43" s="56"/>
      <c r="Q43" s="56"/>
      <c r="R43" s="56"/>
      <c r="S43" s="56"/>
    </row>
    <row r="44" spans="1:19" x14ac:dyDescent="0.3">
      <c r="A44" s="117" t="s">
        <v>296</v>
      </c>
      <c r="B44" s="130">
        <f>np_23k/(assets_23k-cl_23k)</f>
        <v>7.0142390163348417E-2</v>
      </c>
      <c r="C44" s="130">
        <f>np_22k/(assets_22k-cl_22k)</f>
        <v>0.16080494275640458</v>
      </c>
      <c r="D44" s="130">
        <f>np_23g/(assets_23g-cl_23g)</f>
        <v>0.1005854265567316</v>
      </c>
      <c r="E44" s="130">
        <f t="shared" si="13"/>
        <v>-0.56380451395947673</v>
      </c>
      <c r="F44" s="124" t="str">
        <f t="shared" si="14"/>
        <v>Unfavorable</v>
      </c>
      <c r="G44" s="130">
        <f t="shared" si="15"/>
        <v>-0.30265852057815629</v>
      </c>
      <c r="H44" s="124" t="str">
        <f>IF(G44&gt;0, "Favorable","Unfavorable")</f>
        <v>Unfavorable</v>
      </c>
      <c r="I44" s="124" t="s">
        <v>336</v>
      </c>
      <c r="M44" s="2"/>
      <c r="N44" s="136"/>
      <c r="O44" s="136"/>
      <c r="P44" s="134"/>
      <c r="Q44" s="134"/>
      <c r="R44" s="134"/>
      <c r="S44" s="137"/>
    </row>
    <row r="45" spans="1:19" x14ac:dyDescent="0.3">
      <c r="A45" s="122"/>
      <c r="B45" s="140"/>
      <c r="C45" s="140"/>
      <c r="D45" s="140"/>
      <c r="E45" s="140"/>
      <c r="F45" s="140"/>
      <c r="G45" s="140"/>
      <c r="H45" s="140"/>
      <c r="I45" s="140"/>
      <c r="M45" s="2"/>
      <c r="N45" s="136"/>
      <c r="O45" s="136"/>
      <c r="P45" s="134"/>
      <c r="Q45" s="134"/>
      <c r="R45" s="134"/>
      <c r="S45" s="137"/>
    </row>
    <row r="46" spans="1:19" x14ac:dyDescent="0.3">
      <c r="A46" s="123"/>
    </row>
    <row r="47" spans="1:19" x14ac:dyDescent="0.3">
      <c r="A47" s="123"/>
      <c r="M47" s="133" t="s">
        <v>308</v>
      </c>
      <c r="N47" s="229" t="s">
        <v>305</v>
      </c>
      <c r="O47" s="229"/>
      <c r="P47" s="229"/>
      <c r="Q47" s="229" t="s">
        <v>307</v>
      </c>
      <c r="R47" s="229"/>
      <c r="S47" s="229"/>
    </row>
    <row r="48" spans="1:19" x14ac:dyDescent="0.3">
      <c r="M48" s="133" t="s">
        <v>306</v>
      </c>
      <c r="N48" s="235" t="s">
        <v>308</v>
      </c>
      <c r="O48" s="236"/>
      <c r="P48" s="237"/>
      <c r="Q48" s="235" t="s">
        <v>308</v>
      </c>
      <c r="R48" s="236"/>
      <c r="S48" s="237"/>
    </row>
    <row r="49" spans="1:19" ht="15" thickBot="1" x14ac:dyDescent="0.35">
      <c r="M49" s="133">
        <v>2023</v>
      </c>
      <c r="N49" s="231">
        <v>71068717000</v>
      </c>
      <c r="O49" s="232"/>
      <c r="P49" s="233"/>
      <c r="Q49" s="231">
        <v>83761056000</v>
      </c>
      <c r="R49" s="232"/>
      <c r="S49" s="233"/>
    </row>
    <row r="50" spans="1:19" ht="46.8" thickBot="1" x14ac:dyDescent="0.35">
      <c r="A50" s="246" t="s">
        <v>297</v>
      </c>
      <c r="B50" s="247"/>
      <c r="C50" s="247"/>
      <c r="D50" s="247"/>
      <c r="E50" s="247"/>
      <c r="F50" s="247"/>
      <c r="G50" s="247"/>
      <c r="H50" s="247"/>
      <c r="I50" s="248"/>
      <c r="M50" s="133">
        <v>2022</v>
      </c>
      <c r="N50" s="231">
        <v>53833367000</v>
      </c>
      <c r="O50" s="232"/>
      <c r="P50" s="233"/>
      <c r="Q50" s="231">
        <v>14615549248</v>
      </c>
      <c r="R50" s="232"/>
      <c r="S50" s="233"/>
    </row>
    <row r="51" spans="1:19" x14ac:dyDescent="0.3">
      <c r="A51" s="57" t="s">
        <v>193</v>
      </c>
      <c r="B51" s="138" t="s">
        <v>198</v>
      </c>
      <c r="C51" s="138" t="s">
        <v>204</v>
      </c>
      <c r="D51" s="139" t="s">
        <v>265</v>
      </c>
      <c r="E51" s="138" t="s">
        <v>199</v>
      </c>
      <c r="F51" s="138" t="s">
        <v>200</v>
      </c>
      <c r="G51" s="138" t="s">
        <v>201</v>
      </c>
      <c r="H51" s="138" t="s">
        <v>200</v>
      </c>
      <c r="I51" s="138" t="s">
        <v>203</v>
      </c>
      <c r="M51" s="138"/>
      <c r="N51" s="141"/>
      <c r="O51" s="141"/>
      <c r="P51" s="141"/>
      <c r="Q51" s="142">
        <f>(cp_23k-cp_22k)/cp_22k</f>
        <v>4.7309550656443449</v>
      </c>
      <c r="R51" s="143"/>
      <c r="S51" s="143"/>
    </row>
    <row r="52" spans="1:19" x14ac:dyDescent="0.3">
      <c r="A52" s="117" t="s">
        <v>298</v>
      </c>
      <c r="B52" s="124">
        <f>bvp_23k/mvps_k23</f>
        <v>1.654897239959829</v>
      </c>
      <c r="C52" s="124">
        <f>bvp_22k/mvps_22k</f>
        <v>1.5919482541023984</v>
      </c>
      <c r="D52" s="124">
        <f>bvp_23g/mvps_23g</f>
        <v>3.032210204304099</v>
      </c>
      <c r="E52" s="130">
        <f>(B52-C52)/ABS(C52)</f>
        <v>3.9542105527119439E-2</v>
      </c>
      <c r="F52" s="124" t="str">
        <f>IF(E52&gt;0, "Favorable","Unfavorable")</f>
        <v>Favorable</v>
      </c>
      <c r="G52" s="130">
        <f>(B52-D52)/ABS(D52)</f>
        <v>-0.45422740230516684</v>
      </c>
      <c r="H52" s="124" t="str">
        <f>IF(G52&gt;0, "Favorable","Unfavorable")</f>
        <v>Unfavorable</v>
      </c>
      <c r="I52" s="124" t="s">
        <v>337</v>
      </c>
      <c r="M52" s="133" t="s">
        <v>316</v>
      </c>
      <c r="N52" s="229" t="s">
        <v>313</v>
      </c>
      <c r="O52" s="229"/>
      <c r="P52" s="229" t="s">
        <v>305</v>
      </c>
      <c r="Q52" s="229"/>
    </row>
    <row r="53" spans="1:19" x14ac:dyDescent="0.3">
      <c r="A53" s="117" t="s">
        <v>299</v>
      </c>
      <c r="B53" s="124">
        <f>mvps_k23/bvp_23k</f>
        <v>0.60426712659468451</v>
      </c>
      <c r="C53" s="124">
        <f>mvps_22k/mvps_22k</f>
        <v>1</v>
      </c>
      <c r="D53" s="124">
        <f>mvps_23g/bvp_23g</f>
        <v>0.3297924393831736</v>
      </c>
      <c r="E53" s="130">
        <f t="shared" ref="E53:E55" si="17">(B53-C53)/ABS(C53)</f>
        <v>-0.39573287340531549</v>
      </c>
      <c r="F53" s="124" t="str">
        <f>IF(E53&lt;0, "Favorable","Unfavorable")</f>
        <v>Favorable</v>
      </c>
      <c r="G53" s="130">
        <f t="shared" ref="G53:G55" si="18">(B53-D53)/ABS(D53)</f>
        <v>0.83226494738591916</v>
      </c>
      <c r="H53" s="124" t="str">
        <f>IF(G53&lt;0, "Favorable","Unfavorable")</f>
        <v>Unfavorable</v>
      </c>
      <c r="I53" s="124" t="s">
        <v>338</v>
      </c>
      <c r="M53" s="133"/>
      <c r="N53" s="133">
        <v>2023</v>
      </c>
      <c r="O53" s="133">
        <v>2022</v>
      </c>
      <c r="P53" s="133">
        <v>2023</v>
      </c>
      <c r="Q53" s="133">
        <v>2022</v>
      </c>
    </row>
    <row r="54" spans="1:19" x14ac:dyDescent="0.3">
      <c r="A54" s="117" t="s">
        <v>300</v>
      </c>
      <c r="B54" s="124">
        <f>mvps_k23/eps_23k</f>
        <v>6.6198757763975147</v>
      </c>
      <c r="C54" s="124">
        <f>mvps_22k/eps_22k</f>
        <v>3.2196969696969697</v>
      </c>
      <c r="D54" s="124">
        <f>mvps_23g/eps_23g</f>
        <v>2.0729734332425069</v>
      </c>
      <c r="E54" s="130">
        <f t="shared" si="17"/>
        <v>1.0560555352575811</v>
      </c>
      <c r="F54" s="124" t="str">
        <f t="shared" ref="F54:F55" si="19">IF(E54&gt;0, "Favorable","Unfavorable")</f>
        <v>Favorable</v>
      </c>
      <c r="G54" s="130">
        <f t="shared" si="18"/>
        <v>2.1934204607932801</v>
      </c>
      <c r="H54" s="124" t="str">
        <f t="shared" ref="H54:H55" si="20">IF(G54&gt;0, "Favorable","Unfavorable")</f>
        <v>Favorable</v>
      </c>
      <c r="I54" s="124" t="s">
        <v>339</v>
      </c>
      <c r="M54" s="133" t="s">
        <v>309</v>
      </c>
      <c r="N54" s="135">
        <v>299296456</v>
      </c>
      <c r="O54" s="135">
        <v>299296456</v>
      </c>
      <c r="P54" s="135">
        <v>28029583</v>
      </c>
      <c r="Q54" s="135">
        <v>28029583</v>
      </c>
    </row>
    <row r="55" spans="1:19" x14ac:dyDescent="0.3">
      <c r="A55" s="117" t="s">
        <v>301</v>
      </c>
      <c r="B55" s="130">
        <f>ABS(div_23k)/np_23k</f>
        <v>1.537015912684203E-4</v>
      </c>
      <c r="C55" s="130">
        <f>ABS(div_22k)/np_22k</f>
        <v>0.12583523652404918</v>
      </c>
      <c r="D55" s="130">
        <f>ABS(div_23g)/np_23g</f>
        <v>0.16783181094497437</v>
      </c>
      <c r="E55" s="130">
        <f t="shared" si="17"/>
        <v>-0.99877854887459083</v>
      </c>
      <c r="F55" s="124" t="str">
        <f t="shared" si="19"/>
        <v>Unfavorable</v>
      </c>
      <c r="G55" s="130">
        <f t="shared" si="18"/>
        <v>-0.99908419273793792</v>
      </c>
      <c r="H55" s="124" t="str">
        <f t="shared" si="20"/>
        <v>Unfavorable</v>
      </c>
      <c r="I55" s="124" t="s">
        <v>340</v>
      </c>
      <c r="M55" s="133" t="s">
        <v>310</v>
      </c>
      <c r="N55" s="124">
        <v>26394797000</v>
      </c>
      <c r="O55" s="124">
        <v>24299688000</v>
      </c>
      <c r="P55" s="124">
        <v>20691202000</v>
      </c>
      <c r="Q55" s="124">
        <v>18003149000</v>
      </c>
    </row>
    <row r="56" spans="1:19" x14ac:dyDescent="0.3">
      <c r="A56" s="117"/>
      <c r="B56" s="124"/>
      <c r="C56" s="124"/>
      <c r="D56" s="124"/>
      <c r="E56" s="130"/>
      <c r="F56" s="124"/>
      <c r="G56" s="130"/>
      <c r="H56" s="124"/>
      <c r="I56" s="124"/>
      <c r="M56" s="133" t="s">
        <v>311</v>
      </c>
      <c r="N56" s="124">
        <f>N55/N54</f>
        <v>88.189473917459281</v>
      </c>
      <c r="O56" s="124">
        <f>O55/O54</f>
        <v>81.189360959222313</v>
      </c>
      <c r="P56" s="124">
        <f t="shared" ref="P56:Q56" si="21">P55/P54</f>
        <v>738.19157423783292</v>
      </c>
      <c r="Q56" s="124">
        <f t="shared" si="21"/>
        <v>642.29100375842199</v>
      </c>
    </row>
    <row r="57" spans="1:19" x14ac:dyDescent="0.3">
      <c r="N57" s="132">
        <f>(bvp_23k-bvp_22k)/bvp_22k</f>
        <v>8.621958438314109E-2</v>
      </c>
    </row>
    <row r="58" spans="1:19" x14ac:dyDescent="0.3">
      <c r="M58" s="133" t="s">
        <v>315</v>
      </c>
      <c r="N58" s="229" t="s">
        <v>304</v>
      </c>
      <c r="O58" s="229"/>
      <c r="P58" s="229" t="s">
        <v>305</v>
      </c>
      <c r="Q58" s="229"/>
    </row>
    <row r="59" spans="1:19" x14ac:dyDescent="0.3">
      <c r="M59" s="124"/>
      <c r="N59" s="144">
        <v>2023</v>
      </c>
      <c r="O59" s="145">
        <v>2022</v>
      </c>
      <c r="P59" s="144">
        <v>2023</v>
      </c>
      <c r="Q59" s="145">
        <v>2022</v>
      </c>
    </row>
    <row r="60" spans="1:19" x14ac:dyDescent="0.3">
      <c r="M60" s="133" t="s">
        <v>314</v>
      </c>
      <c r="N60" s="146">
        <v>299296456</v>
      </c>
      <c r="O60" s="146">
        <v>299296456</v>
      </c>
      <c r="P60" s="146">
        <v>28029583</v>
      </c>
      <c r="Q60" s="146">
        <v>28029583</v>
      </c>
    </row>
    <row r="61" spans="1:19" x14ac:dyDescent="0.3">
      <c r="M61" s="133" t="s">
        <v>317</v>
      </c>
      <c r="N61" s="147">
        <v>53.29</v>
      </c>
      <c r="O61" s="148">
        <v>51</v>
      </c>
      <c r="P61" s="147">
        <v>243.45</v>
      </c>
      <c r="Q61" s="148">
        <v>268</v>
      </c>
    </row>
    <row r="62" spans="1:19" x14ac:dyDescent="0.3">
      <c r="M62" s="133" t="s">
        <v>312</v>
      </c>
      <c r="N62" s="147">
        <f>N60*N61</f>
        <v>15949508140.24</v>
      </c>
      <c r="O62" s="147">
        <f t="shared" ref="O62:Q62" si="22">O60*O61</f>
        <v>15264119256</v>
      </c>
      <c r="P62" s="147">
        <f t="shared" si="22"/>
        <v>6823801981.3499994</v>
      </c>
      <c r="Q62" s="147">
        <f t="shared" si="22"/>
        <v>7511928244</v>
      </c>
    </row>
    <row r="63" spans="1:19" x14ac:dyDescent="0.3">
      <c r="N63" s="132">
        <f>(mvps_k23-mvps_22k)/mvps_22k</f>
        <v>4.4901960784313709E-2</v>
      </c>
    </row>
  </sheetData>
  <mergeCells count="30">
    <mergeCell ref="A1:I2"/>
    <mergeCell ref="A50:I50"/>
    <mergeCell ref="A3:I3"/>
    <mergeCell ref="A13:I13"/>
    <mergeCell ref="A22:I22"/>
    <mergeCell ref="A36:I36"/>
    <mergeCell ref="N14:O14"/>
    <mergeCell ref="N15:O15"/>
    <mergeCell ref="N21:O21"/>
    <mergeCell ref="N22:O22"/>
    <mergeCell ref="N48:P48"/>
    <mergeCell ref="P14:Q14"/>
    <mergeCell ref="P15:Q15"/>
    <mergeCell ref="Q48:S48"/>
    <mergeCell ref="N27:P27"/>
    <mergeCell ref="N37:P37"/>
    <mergeCell ref="N47:P47"/>
    <mergeCell ref="N58:O58"/>
    <mergeCell ref="P58:Q58"/>
    <mergeCell ref="Q27:S27"/>
    <mergeCell ref="Q37:S37"/>
    <mergeCell ref="Q47:S47"/>
    <mergeCell ref="Q50:S50"/>
    <mergeCell ref="Q49:S49"/>
    <mergeCell ref="N52:O52"/>
    <mergeCell ref="P52:Q52"/>
    <mergeCell ref="N28:O28"/>
    <mergeCell ref="N29:O29"/>
    <mergeCell ref="N49:P49"/>
    <mergeCell ref="N50:P50"/>
  </mergeCells>
  <conditionalFormatting sqref="F5:F9">
    <cfRule type="cellIs" dxfId="47" priority="48" operator="equal">
      <formula>"Unfavorable"</formula>
    </cfRule>
    <cfRule type="cellIs" dxfId="46" priority="43" operator="equal">
      <formula>"Unfavourable"</formula>
    </cfRule>
    <cfRule type="cellIs" dxfId="45" priority="44" operator="equal">
      <formula>"Favourable"</formula>
    </cfRule>
    <cfRule type="cellIs" dxfId="44" priority="46" operator="equal">
      <formula>"Favorable"</formula>
    </cfRule>
  </conditionalFormatting>
  <conditionalFormatting sqref="F15:F19">
    <cfRule type="cellIs" dxfId="43" priority="36" operator="equal">
      <formula>"Favourable"</formula>
    </cfRule>
    <cfRule type="cellIs" dxfId="42" priority="35" operator="equal">
      <formula>"Unfavourable"</formula>
    </cfRule>
    <cfRule type="cellIs" dxfId="41" priority="38" operator="equal">
      <formula>"Favorable"</formula>
    </cfRule>
    <cfRule type="cellIs" dxfId="40" priority="40" operator="equal">
      <formula>"Unfavorable"</formula>
    </cfRule>
  </conditionalFormatting>
  <conditionalFormatting sqref="F24:F32">
    <cfRule type="cellIs" dxfId="39" priority="32" operator="equal">
      <formula>"Unfavorable"</formula>
    </cfRule>
    <cfRule type="cellIs" dxfId="38" priority="30" operator="equal">
      <formula>"Favorable"</formula>
    </cfRule>
    <cfRule type="cellIs" dxfId="37" priority="27" operator="equal">
      <formula>"Unfavourable"</formula>
    </cfRule>
    <cfRule type="cellIs" dxfId="36" priority="28" operator="equal">
      <formula>"Favourable"</formula>
    </cfRule>
  </conditionalFormatting>
  <conditionalFormatting sqref="F38:F44">
    <cfRule type="cellIs" dxfId="35" priority="19" operator="equal">
      <formula>"Unfavourable"</formula>
    </cfRule>
    <cfRule type="cellIs" dxfId="34" priority="20" operator="equal">
      <formula>"Favourable"</formula>
    </cfRule>
    <cfRule type="cellIs" dxfId="33" priority="22" operator="equal">
      <formula>"Favorable"</formula>
    </cfRule>
    <cfRule type="cellIs" dxfId="32" priority="24" operator="equal">
      <formula>"Unfavorable"</formula>
    </cfRule>
  </conditionalFormatting>
  <conditionalFormatting sqref="F52:F56">
    <cfRule type="cellIs" dxfId="31" priority="5" operator="equal">
      <formula>"Unfavourable"</formula>
    </cfRule>
    <cfRule type="cellIs" dxfId="30" priority="6" operator="equal">
      <formula>"Favourable"</formula>
    </cfRule>
    <cfRule type="cellIs" dxfId="29" priority="7" operator="equal">
      <formula>"Favorable"</formula>
    </cfRule>
    <cfRule type="cellIs" dxfId="28" priority="8" operator="equal">
      <formula>"Unfavorable"</formula>
    </cfRule>
  </conditionalFormatting>
  <conditionalFormatting sqref="H5:H9">
    <cfRule type="cellIs" dxfId="27" priority="41" operator="equal">
      <formula>"Unfavourable"</formula>
    </cfRule>
    <cfRule type="cellIs" dxfId="26" priority="42" operator="equal">
      <formula>"Favourable"</formula>
    </cfRule>
    <cfRule type="cellIs" dxfId="25" priority="45" operator="equal">
      <formula>"Favorable"</formula>
    </cfRule>
    <cfRule type="cellIs" dxfId="24" priority="47" operator="equal">
      <formula>"Unfavorable"</formula>
    </cfRule>
  </conditionalFormatting>
  <conditionalFormatting sqref="H15:H19">
    <cfRule type="cellIs" dxfId="23" priority="37" operator="equal">
      <formula>"Favorable"</formula>
    </cfRule>
    <cfRule type="cellIs" dxfId="22" priority="34" operator="equal">
      <formula>"Favourable"</formula>
    </cfRule>
    <cfRule type="cellIs" dxfId="21" priority="33" operator="equal">
      <formula>"Unfavourable"</formula>
    </cfRule>
    <cfRule type="cellIs" dxfId="20" priority="39" operator="equal">
      <formula>"Unfavorable"</formula>
    </cfRule>
  </conditionalFormatting>
  <conditionalFormatting sqref="H24:H32">
    <cfRule type="cellIs" dxfId="19" priority="29" operator="equal">
      <formula>"Favorable"</formula>
    </cfRule>
    <cfRule type="cellIs" dxfId="18" priority="31" operator="equal">
      <formula>"Unfavorable"</formula>
    </cfRule>
    <cfRule type="cellIs" dxfId="17" priority="25" operator="equal">
      <formula>"Unfavourable"</formula>
    </cfRule>
    <cfRule type="cellIs" dxfId="16" priority="26" operator="equal">
      <formula>"Favourable"</formula>
    </cfRule>
  </conditionalFormatting>
  <conditionalFormatting sqref="H38:H44">
    <cfRule type="cellIs" dxfId="15" priority="17" operator="equal">
      <formula>"Unfavourable"</formula>
    </cfRule>
    <cfRule type="cellIs" dxfId="14" priority="23" operator="equal">
      <formula>"Unfavorable"</formula>
    </cfRule>
    <cfRule type="cellIs" dxfId="13" priority="21" operator="equal">
      <formula>"Favorable"</formula>
    </cfRule>
    <cfRule type="cellIs" dxfId="12" priority="18" operator="equal">
      <formula>"Favourable"</formula>
    </cfRule>
  </conditionalFormatting>
  <conditionalFormatting sqref="H52:H56">
    <cfRule type="cellIs" dxfId="11" priority="4" operator="equal">
      <formula>"Unfavorable"</formula>
    </cfRule>
    <cfRule type="cellIs" dxfId="10" priority="3" operator="equal">
      <formula>"Favorable"</formula>
    </cfRule>
    <cfRule type="cellIs" dxfId="9" priority="2" operator="equal">
      <formula>"Favourable"</formula>
    </cfRule>
    <cfRule type="cellIs" dxfId="8" priority="1" operator="equal">
      <formula>"Unfavourable"</formula>
    </cfRule>
  </conditionalFormatting>
  <pageMargins left="0.7" right="0.7" top="0.75" bottom="0.75" header="0.3" footer="0.3"/>
  <ignoredErrors>
    <ignoredError sqref="G15:G17 G38:G44 G24:G29 G52:G55 F53 H53 G30:G32 G5:G9" formula="1"/>
    <ignoredError sqref="E18:E19 H27:H28 H32" evalError="1"/>
    <ignoredError sqref="G18:G19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981F-3C60-4EC1-B1D9-469DDC7EFED4}">
  <dimension ref="A1:J31"/>
  <sheetViews>
    <sheetView tabSelected="1" workbookViewId="0">
      <selection activeCell="G1" sqref="G1"/>
    </sheetView>
  </sheetViews>
  <sheetFormatPr defaultRowHeight="14.4" x14ac:dyDescent="0.3"/>
  <cols>
    <col min="1" max="1" width="15.6640625" bestFit="1" customWidth="1"/>
    <col min="2" max="2" width="30.5546875" bestFit="1" customWidth="1"/>
    <col min="3" max="4" width="17" bestFit="1" customWidth="1"/>
    <col min="5" max="5" width="15.77734375" bestFit="1" customWidth="1"/>
    <col min="6" max="6" width="13.77734375" bestFit="1" customWidth="1"/>
    <col min="7" max="7" width="12.109375" bestFit="1" customWidth="1"/>
    <col min="8" max="8" width="17.33203125" bestFit="1" customWidth="1"/>
    <col min="9" max="9" width="11.109375" bestFit="1" customWidth="1"/>
    <col min="10" max="10" width="64.6640625" bestFit="1" customWidth="1"/>
  </cols>
  <sheetData>
    <row r="1" spans="1:10" ht="15.6" x14ac:dyDescent="0.3">
      <c r="A1" t="s">
        <v>346</v>
      </c>
      <c r="B1" s="118" t="s">
        <v>193</v>
      </c>
      <c r="C1" s="119" t="s">
        <v>198</v>
      </c>
      <c r="D1" s="119" t="s">
        <v>204</v>
      </c>
      <c r="E1" s="120" t="s">
        <v>265</v>
      </c>
      <c r="F1" s="119" t="s">
        <v>199</v>
      </c>
      <c r="G1" s="119" t="s">
        <v>200</v>
      </c>
      <c r="H1" s="119" t="s">
        <v>201</v>
      </c>
      <c r="I1" s="119" t="s">
        <v>351</v>
      </c>
      <c r="J1" s="149" t="s">
        <v>203</v>
      </c>
    </row>
    <row r="2" spans="1:10" ht="28.8" x14ac:dyDescent="0.3">
      <c r="A2" t="s">
        <v>347</v>
      </c>
      <c r="B2" s="117" t="s">
        <v>192</v>
      </c>
      <c r="C2" s="124">
        <f>ca_23k/cl_23k</f>
        <v>1.2919701454427839</v>
      </c>
      <c r="D2" s="124">
        <f>ca_22k/cl_22k</f>
        <v>1.3240447177519454</v>
      </c>
      <c r="E2" s="124">
        <f>ca_23g/cl_23g</f>
        <v>1.1944940558755954</v>
      </c>
      <c r="F2" s="130">
        <f t="shared" ref="F2:F8" si="0">(C2-D2)/ABS(D2)</f>
        <v>-2.4224689603852639E-2</v>
      </c>
      <c r="G2" s="124" t="str">
        <f>IF(F2&gt;0,"Favourable","Unfavourable")</f>
        <v>Unfavourable</v>
      </c>
      <c r="H2" s="130">
        <f t="shared" ref="H2:H7" si="1">(C2-E2)/ABS(E2)</f>
        <v>8.1604499484709381E-2</v>
      </c>
      <c r="I2" s="124" t="str">
        <f>IF(H2&gt;0,"Favourable","Unfavourable")</f>
        <v>Favourable</v>
      </c>
      <c r="J2" s="150" t="s">
        <v>342</v>
      </c>
    </row>
    <row r="3" spans="1:10" ht="43.2" x14ac:dyDescent="0.3">
      <c r="A3" t="s">
        <v>347</v>
      </c>
      <c r="B3" s="117" t="s">
        <v>194</v>
      </c>
      <c r="C3" s="124">
        <f>(ca_23k-inv_23k-prep_23k)/cl_23k</f>
        <v>0.53708468137713783</v>
      </c>
      <c r="D3" s="124">
        <f>(ca_22k-inv_22k-prep_22k)/cl_22k</f>
        <v>0.58752396250586136</v>
      </c>
      <c r="E3" s="124">
        <f>(ca_23g-inv_23g-prep_23g)/cl_23g</f>
        <v>0.23516733669287515</v>
      </c>
      <c r="F3" s="130">
        <f t="shared" si="0"/>
        <v>-8.5850593929129027E-2</v>
      </c>
      <c r="G3" s="124" t="str">
        <f t="shared" ref="G3:G6" si="2">IF(F3&gt;0,"Favourable","Unfavourable")</f>
        <v>Unfavourable</v>
      </c>
      <c r="H3" s="130">
        <f t="shared" si="1"/>
        <v>1.2838404726187038</v>
      </c>
      <c r="I3" s="124" t="str">
        <f t="shared" ref="I3:I6" si="3">IF(H3&gt;0,"Favourable","Unfavourable")</f>
        <v>Favourable</v>
      </c>
      <c r="J3" s="150" t="s">
        <v>343</v>
      </c>
    </row>
    <row r="4" spans="1:10" x14ac:dyDescent="0.3">
      <c r="A4" t="s">
        <v>347</v>
      </c>
      <c r="B4" s="117" t="s">
        <v>195</v>
      </c>
      <c r="C4" s="124">
        <f>(cash_23k+sti_23k)/cl_23k</f>
        <v>8.1917672349359885E-2</v>
      </c>
      <c r="D4" s="124">
        <f>(cash_22k+sti_22k)/cl_22k</f>
        <v>6.9124550631185042E-2</v>
      </c>
      <c r="E4" s="124">
        <f>(cash_23g+sti_23g)/cl_23g</f>
        <v>1.0002094511621408E-2</v>
      </c>
      <c r="F4" s="130">
        <f t="shared" si="0"/>
        <v>0.18507348838233631</v>
      </c>
      <c r="G4" s="124" t="str">
        <f t="shared" si="2"/>
        <v>Favourable</v>
      </c>
      <c r="H4" s="130">
        <f t="shared" si="1"/>
        <v>7.1900518190644913</v>
      </c>
      <c r="I4" s="124" t="str">
        <f t="shared" si="3"/>
        <v>Favourable</v>
      </c>
      <c r="J4" s="147" t="s">
        <v>344</v>
      </c>
    </row>
    <row r="5" spans="1:10" ht="43.2" x14ac:dyDescent="0.3">
      <c r="A5" t="s">
        <v>347</v>
      </c>
      <c r="B5" s="117" t="s">
        <v>196</v>
      </c>
      <c r="C5" s="124">
        <f>ocf_23k/cl_23k</f>
        <v>0.13585163591804916</v>
      </c>
      <c r="D5" s="124">
        <f>ocf_22k/cl_22k</f>
        <v>0.327201313398163</v>
      </c>
      <c r="E5" s="124">
        <f>ocf_23g/cl_23g</f>
        <v>-0.11840968594508773</v>
      </c>
      <c r="F5" s="130">
        <f t="shared" si="0"/>
        <v>-0.58480718030390444</v>
      </c>
      <c r="G5" s="124" t="str">
        <f t="shared" si="2"/>
        <v>Unfavourable</v>
      </c>
      <c r="H5" s="130">
        <f t="shared" si="1"/>
        <v>2.1473017163566341</v>
      </c>
      <c r="I5" s="124" t="str">
        <f t="shared" si="3"/>
        <v>Favourable</v>
      </c>
      <c r="J5" s="150" t="s">
        <v>345</v>
      </c>
    </row>
    <row r="6" spans="1:10" ht="29.4" thickBot="1" x14ac:dyDescent="0.35">
      <c r="A6" s="16" t="s">
        <v>347</v>
      </c>
      <c r="B6" s="154" t="s">
        <v>197</v>
      </c>
      <c r="C6" s="155">
        <f>(ca_23k-cl_23k)/cl_23k</f>
        <v>0.29197014544278393</v>
      </c>
      <c r="D6" s="155">
        <f>(ca_22k-cl_22k)/cl_22k</f>
        <v>0.32404471775194538</v>
      </c>
      <c r="E6" s="155">
        <f>(ca_23g-cl_23g)/cl_23g</f>
        <v>0.19449405587559543</v>
      </c>
      <c r="F6" s="156">
        <f t="shared" si="0"/>
        <v>-9.8981932282921417E-2</v>
      </c>
      <c r="G6" s="155" t="str">
        <f t="shared" si="2"/>
        <v>Unfavourable</v>
      </c>
      <c r="H6" s="156">
        <f t="shared" si="1"/>
        <v>0.50117773074534122</v>
      </c>
      <c r="I6" s="155" t="str">
        <f t="shared" si="3"/>
        <v>Favourable</v>
      </c>
      <c r="J6" s="157" t="s">
        <v>342</v>
      </c>
    </row>
    <row r="7" spans="1:10" x14ac:dyDescent="0.3">
      <c r="A7" t="s">
        <v>348</v>
      </c>
      <c r="B7" s="57" t="s">
        <v>276</v>
      </c>
      <c r="C7" s="151">
        <f>ebit_23k/ABS(fc_23k)</f>
        <v>3.0773558334752789</v>
      </c>
      <c r="D7" s="151">
        <f>ebit_22k/ABS(fc_22k)</f>
        <v>9.1773882851255344</v>
      </c>
      <c r="E7" s="151">
        <f>ebit_23g/ABS(fc_23g)</f>
        <v>2.2542759805085102</v>
      </c>
      <c r="F7" s="152">
        <f t="shared" si="0"/>
        <v>-0.66468065446648095</v>
      </c>
      <c r="G7" s="151" t="str">
        <f>IF(F7&gt;0,"Favourable","Unfavourable")</f>
        <v>Unfavourable</v>
      </c>
      <c r="H7" s="152">
        <f t="shared" si="1"/>
        <v>0.36511938204704719</v>
      </c>
      <c r="I7" s="151" t="str">
        <f>IF(H7&gt;0,"Favourable","Unfavourable")</f>
        <v>Favourable</v>
      </c>
      <c r="J7" s="153" t="s">
        <v>319</v>
      </c>
    </row>
    <row r="8" spans="1:10" ht="28.8" x14ac:dyDescent="0.3">
      <c r="A8" t="s">
        <v>348</v>
      </c>
      <c r="B8" s="117" t="s">
        <v>277</v>
      </c>
      <c r="C8" s="130">
        <f>liabilities_23k/assets_23k</f>
        <v>0.44880180347506249</v>
      </c>
      <c r="D8" s="130">
        <f>liabilities_22k/assets_22k</f>
        <v>0.39132871241525519</v>
      </c>
      <c r="E8" s="130">
        <f>liabilities_23g/assets_23g</f>
        <v>0.65071787571018824</v>
      </c>
      <c r="F8" s="130">
        <f t="shared" si="0"/>
        <v>0.14686653249920545</v>
      </c>
      <c r="G8" s="124" t="str">
        <f>IF(F8&lt;0,"Favourable","Unfavourable")</f>
        <v>Unfavourable</v>
      </c>
      <c r="H8" s="130">
        <f t="shared" ref="H8:H11" si="4">(C8-E8)/ABS(E8)</f>
        <v>-0.31029741117032661</v>
      </c>
      <c r="I8" s="124" t="str">
        <f>IF(H8&lt;0,"Favourable","Unfavourable")</f>
        <v>Favourable</v>
      </c>
      <c r="J8" s="150" t="s">
        <v>322</v>
      </c>
    </row>
    <row r="9" spans="1:10" ht="28.8" x14ac:dyDescent="0.3">
      <c r="A9" t="s">
        <v>348</v>
      </c>
      <c r="B9" s="117" t="s">
        <v>278</v>
      </c>
      <c r="C9" s="130">
        <f>ncl_23k/assets_23k</f>
        <v>1.9313469274186573E-2</v>
      </c>
      <c r="D9" s="130">
        <f>ncl_22k/assets_22k</f>
        <v>0.12978927128687337</v>
      </c>
      <c r="E9" s="130">
        <f>ncl_23g/assets_23g</f>
        <v>0.20317408276651294</v>
      </c>
      <c r="F9" s="130">
        <f t="shared" ref="F9:F11" si="5">(C9-D9)/ABS(D9)</f>
        <v>-0.85119363809742032</v>
      </c>
      <c r="G9" s="124" t="str">
        <f>IF(F9&lt;0,"Favourable","Unfavourable")</f>
        <v>Favourable</v>
      </c>
      <c r="H9" s="130">
        <f t="shared" si="4"/>
        <v>-0.90494127493425658</v>
      </c>
      <c r="I9" s="124" t="str">
        <f>IF(H9&lt;0,"Favourable","Unfavourable")</f>
        <v>Favourable</v>
      </c>
      <c r="J9" s="150" t="s">
        <v>320</v>
      </c>
    </row>
    <row r="10" spans="1:10" ht="28.8" x14ac:dyDescent="0.3">
      <c r="A10" t="s">
        <v>348</v>
      </c>
      <c r="B10" s="117" t="s">
        <v>279</v>
      </c>
      <c r="C10" s="130">
        <f>eq_23k/assets_23k</f>
        <v>0.55119819652493751</v>
      </c>
      <c r="D10" s="130">
        <f>eq_22k/assets_22k</f>
        <v>0.60867128758474476</v>
      </c>
      <c r="E10" s="130">
        <f>eq_23g/assets_23g</f>
        <v>0.34928212428981176</v>
      </c>
      <c r="F10" s="130">
        <f t="shared" si="5"/>
        <v>-9.4423857724363777E-2</v>
      </c>
      <c r="G10" s="124" t="str">
        <f t="shared" ref="G10" si="6">IF(F10&gt;0,"Favourable","Unfavourable")</f>
        <v>Unfavourable</v>
      </c>
      <c r="H10" s="130">
        <f t="shared" si="4"/>
        <v>0.57808876605316573</v>
      </c>
      <c r="I10" s="124" t="str">
        <f t="shared" ref="I10" si="7">IF(H10&gt;0,"Favourable","Unfavourable")</f>
        <v>Favourable</v>
      </c>
      <c r="J10" s="150" t="s">
        <v>321</v>
      </c>
    </row>
    <row r="11" spans="1:10" ht="29.4" thickBot="1" x14ac:dyDescent="0.35">
      <c r="A11" s="16" t="s">
        <v>348</v>
      </c>
      <c r="B11" s="154" t="s">
        <v>280</v>
      </c>
      <c r="C11" s="155">
        <f>liabilities_23k/eq_23k</f>
        <v>0.81422944832650157</v>
      </c>
      <c r="D11" s="155">
        <f>liabilities_22k/eq_22k</f>
        <v>0.64292290501836891</v>
      </c>
      <c r="E11" s="155">
        <f>liabilities_23g/eq_23g</f>
        <v>1.8630151114468845</v>
      </c>
      <c r="F11" s="156">
        <f t="shared" si="5"/>
        <v>0.26644958823365966</v>
      </c>
      <c r="G11" s="155" t="str">
        <f>IF(F11&lt;0,"Favourable","Unfavourable")</f>
        <v>Unfavourable</v>
      </c>
      <c r="H11" s="156">
        <f t="shared" si="4"/>
        <v>-0.56295070108468326</v>
      </c>
      <c r="I11" s="155" t="str">
        <f>IF(H11&lt;0,"Favourable","Unfavourable")</f>
        <v>Favourable</v>
      </c>
      <c r="J11" s="157" t="s">
        <v>323</v>
      </c>
    </row>
    <row r="12" spans="1:10" ht="28.8" x14ac:dyDescent="0.3">
      <c r="A12" t="s">
        <v>281</v>
      </c>
      <c r="B12" s="57" t="s">
        <v>282</v>
      </c>
      <c r="C12" s="151">
        <f>ns_23k/assets_23k</f>
        <v>0.87805130068948023</v>
      </c>
      <c r="D12" s="151">
        <f>ns_22k/assets_22k</f>
        <v>0.99087657656028372</v>
      </c>
      <c r="E12" s="151">
        <f>ns_23g/assets_23g</f>
        <v>0.97903443164616744</v>
      </c>
      <c r="F12" s="152">
        <f>(C12-D12)/ABS(D12)</f>
        <v>-0.11386410632741335</v>
      </c>
      <c r="G12" s="151" t="str">
        <f>IF(F12&gt;0, "Favorable","Unfavorable")</f>
        <v>Unfavorable</v>
      </c>
      <c r="H12" s="152">
        <f>(C12-E12)/ABS(E12)</f>
        <v>-0.10314563787801846</v>
      </c>
      <c r="I12" s="151" t="str">
        <f>IF(H12&gt;0, "Favorable","Unfavorable")</f>
        <v>Unfavorable</v>
      </c>
      <c r="J12" s="153" t="s">
        <v>324</v>
      </c>
    </row>
    <row r="13" spans="1:10" ht="28.8" x14ac:dyDescent="0.3">
      <c r="A13" t="s">
        <v>281</v>
      </c>
      <c r="B13" s="117" t="s">
        <v>284</v>
      </c>
      <c r="C13" s="124">
        <f>ns_23k/ca_23k</f>
        <v>2.3988761500001767</v>
      </c>
      <c r="D13" s="124">
        <f>ns_22k/ca_22k</f>
        <v>2.8614075437381787</v>
      </c>
      <c r="E13" s="124">
        <f>ns_23g/ca_23g</f>
        <v>1.8313798632475156</v>
      </c>
      <c r="F13" s="130">
        <f t="shared" ref="F13:F19" si="8">(C13-D13)/ABS(D13)</f>
        <v>-0.16164471039792716</v>
      </c>
      <c r="G13" s="124" t="str">
        <f t="shared" ref="G13:G16" si="9">IF(F13&gt;0, "Favorable","Unfavorable")</f>
        <v>Unfavorable</v>
      </c>
      <c r="H13" s="130">
        <f t="shared" ref="H13:H20" si="10">(C13-E13)/ABS(E13)</f>
        <v>0.30987360849667844</v>
      </c>
      <c r="I13" s="124" t="str">
        <f t="shared" ref="I13:I20" si="11">IF(H13&gt;0, "Favorable","Unfavorable")</f>
        <v>Favorable</v>
      </c>
      <c r="J13" s="150" t="s">
        <v>325</v>
      </c>
    </row>
    <row r="14" spans="1:10" x14ac:dyDescent="0.3">
      <c r="A14" t="s">
        <v>281</v>
      </c>
      <c r="B14" s="117" t="s">
        <v>283</v>
      </c>
      <c r="C14" s="124">
        <f>ns_23k/nca_23k</f>
        <v>1.3849959938879945</v>
      </c>
      <c r="D14" s="124">
        <f>ns_22k/nca_22k</f>
        <v>1.5157737352836931</v>
      </c>
      <c r="E14" s="124">
        <f>ns_23g/nca_23g</f>
        <v>2.103588377512847</v>
      </c>
      <c r="F14" s="130">
        <f t="shared" si="8"/>
        <v>-8.6277877991613364E-2</v>
      </c>
      <c r="G14" s="124" t="str">
        <f t="shared" si="9"/>
        <v>Unfavorable</v>
      </c>
      <c r="H14" s="130">
        <f t="shared" si="10"/>
        <v>-0.34160313458019376</v>
      </c>
      <c r="I14" s="124" t="str">
        <f t="shared" si="11"/>
        <v>Unfavorable</v>
      </c>
      <c r="J14" s="147" t="s">
        <v>326</v>
      </c>
    </row>
    <row r="15" spans="1:10" x14ac:dyDescent="0.3">
      <c r="A15" t="s">
        <v>281</v>
      </c>
      <c r="B15" s="117" t="s">
        <v>285</v>
      </c>
      <c r="C15" s="124">
        <f>ABS(cgs_23k)/AVERAGE(inv_23k,inv_22k)</f>
        <v>4.0939386567532576</v>
      </c>
      <c r="D15" s="124">
        <f>ABS(cgs_22k)/AVERAGE(inv_22k,inv_21k)</f>
        <v>5.6320233383136582</v>
      </c>
      <c r="E15" s="124">
        <f>ABS(cgs_23g)/AVERAGE(inv_23g,inv_22g)</f>
        <v>2.2998355906751606</v>
      </c>
      <c r="F15" s="130">
        <f t="shared" si="8"/>
        <v>-0.27309629047470074</v>
      </c>
      <c r="G15" s="124" t="str">
        <f t="shared" si="9"/>
        <v>Unfavorable</v>
      </c>
      <c r="H15" s="130">
        <f t="shared" si="10"/>
        <v>0.78010057473343297</v>
      </c>
      <c r="I15" s="124" t="str">
        <f t="shared" si="11"/>
        <v>Favorable</v>
      </c>
      <c r="J15" s="147" t="s">
        <v>327</v>
      </c>
    </row>
    <row r="16" spans="1:10" x14ac:dyDescent="0.3">
      <c r="A16" t="s">
        <v>281</v>
      </c>
      <c r="B16" s="117" t="s">
        <v>286</v>
      </c>
      <c r="C16" s="124">
        <f>ns_23k/AVERAGE(rec_23k,rec_22K)</f>
        <v>7.2570223267073564</v>
      </c>
      <c r="D16" s="124">
        <f>ns_22k/AVERAGE(rec_22K,rec_21k)</f>
        <v>3.9248557482127133E-2</v>
      </c>
      <c r="E16" s="124">
        <f>ns_23g/AVERAGE(rec_23g,rec_22g)</f>
        <v>9.3577683822746405</v>
      </c>
      <c r="F16" s="130">
        <f t="shared" si="8"/>
        <v>183.8990839984892</v>
      </c>
      <c r="G16" s="124" t="str">
        <f t="shared" si="9"/>
        <v>Favorable</v>
      </c>
      <c r="H16" s="130">
        <f t="shared" si="10"/>
        <v>-0.22449220473831016</v>
      </c>
      <c r="I16" s="124" t="str">
        <f t="shared" si="11"/>
        <v>Unfavorable</v>
      </c>
      <c r="J16" s="147" t="s">
        <v>328</v>
      </c>
    </row>
    <row r="17" spans="1:10" x14ac:dyDescent="0.3">
      <c r="A17" t="s">
        <v>281</v>
      </c>
      <c r="B17" s="117" t="s">
        <v>287</v>
      </c>
      <c r="C17" s="124">
        <f>cp_23k/AVERAGE(payb_23k,payb_22k)</f>
        <v>50.189485087900898</v>
      </c>
      <c r="D17" s="124">
        <f>cp_22k/AVERAGE(payb_22k,payb_21k)</f>
        <v>9.6539958212966361</v>
      </c>
      <c r="E17" s="124">
        <f>cp_23g/AVERAGE(payb_23g,payb_22g)</f>
        <v>48.325305829502497</v>
      </c>
      <c r="F17" s="130">
        <f t="shared" si="8"/>
        <v>4.198830206367326</v>
      </c>
      <c r="G17" s="124" t="str">
        <f>IF(F17&lt;0, "Favorable","Unfavorable")</f>
        <v>Unfavorable</v>
      </c>
      <c r="H17" s="130">
        <f t="shared" si="10"/>
        <v>3.8575632919436671E-2</v>
      </c>
      <c r="I17" s="124" t="str">
        <f>IF(H17&lt;0, "Favorable","Unfavorable")</f>
        <v>Unfavorable</v>
      </c>
      <c r="J17" s="147" t="s">
        <v>341</v>
      </c>
    </row>
    <row r="18" spans="1:10" x14ac:dyDescent="0.3">
      <c r="A18" t="s">
        <v>281</v>
      </c>
      <c r="B18" s="117" t="s">
        <v>288</v>
      </c>
      <c r="C18" s="124">
        <f>365/C15</f>
        <v>89.156196661106591</v>
      </c>
      <c r="D18" s="124">
        <f t="shared" ref="D18:E18" si="12">365/D15</f>
        <v>64.807970080125486</v>
      </c>
      <c r="E18" s="124">
        <f t="shared" si="12"/>
        <v>158.70699691748283</v>
      </c>
      <c r="F18" s="130">
        <f t="shared" si="8"/>
        <v>0.37569802835790289</v>
      </c>
      <c r="G18" s="124" t="str">
        <f>IF(F18&lt;0, "Favorable","Unfavorable")</f>
        <v>Unfavorable</v>
      </c>
      <c r="H18" s="130">
        <f t="shared" si="10"/>
        <v>-0.43823398846452916</v>
      </c>
      <c r="I18" s="124" t="str">
        <f>IF(H18&lt;0, "Favorable","Unfavorable")</f>
        <v>Favorable</v>
      </c>
      <c r="J18" s="147"/>
    </row>
    <row r="19" spans="1:10" x14ac:dyDescent="0.3">
      <c r="A19" t="s">
        <v>281</v>
      </c>
      <c r="B19" s="117" t="s">
        <v>289</v>
      </c>
      <c r="C19" s="124">
        <f t="shared" ref="C19:E20" si="13">365/C16</f>
        <v>50.296110934745762</v>
      </c>
      <c r="D19" s="124">
        <f t="shared" si="13"/>
        <v>9299.704840520888</v>
      </c>
      <c r="E19" s="124">
        <f t="shared" si="13"/>
        <v>39.005026101242059</v>
      </c>
      <c r="F19" s="130">
        <f t="shared" si="8"/>
        <v>-0.99459164438041148</v>
      </c>
      <c r="G19" s="124" t="str">
        <f>IF(F19&lt;0, "Favorable","Unfavorable")</f>
        <v>Favorable</v>
      </c>
      <c r="H19" s="130">
        <f t="shared" si="10"/>
        <v>0.28947768946997715</v>
      </c>
      <c r="I19" s="124" t="str">
        <f>IF(H19&lt;0, "Favorable","Unfavorable")</f>
        <v>Unfavorable</v>
      </c>
      <c r="J19" s="147"/>
    </row>
    <row r="20" spans="1:10" ht="15" thickBot="1" x14ac:dyDescent="0.35">
      <c r="A20" s="16" t="s">
        <v>281</v>
      </c>
      <c r="B20" s="154" t="s">
        <v>290</v>
      </c>
      <c r="C20" s="155">
        <f t="shared" si="13"/>
        <v>7.272439622776484</v>
      </c>
      <c r="D20" s="155">
        <f t="shared" si="13"/>
        <v>37.808178784872993</v>
      </c>
      <c r="E20" s="155">
        <f>365/E17</f>
        <v>7.5529785840934762</v>
      </c>
      <c r="F20" s="156">
        <f>(C20-D20)/ABS(D20)</f>
        <v>-0.80764903635913354</v>
      </c>
      <c r="G20" s="155" t="str">
        <f>IF(F20&gt;0, "Favorable","Unfavorable")</f>
        <v>Unfavorable</v>
      </c>
      <c r="H20" s="156">
        <f t="shared" si="10"/>
        <v>-3.7142824938998953E-2</v>
      </c>
      <c r="I20" s="155" t="str">
        <f t="shared" si="11"/>
        <v>Unfavorable</v>
      </c>
      <c r="J20" s="159"/>
    </row>
    <row r="21" spans="1:10" x14ac:dyDescent="0.3">
      <c r="A21" t="s">
        <v>349</v>
      </c>
      <c r="B21" s="57" t="s">
        <v>329</v>
      </c>
      <c r="C21" s="152">
        <f>gp_23k/ns_23k</f>
        <v>0.17790834045956105</v>
      </c>
      <c r="D21" s="152">
        <f>gp_22k/ns_22k</f>
        <v>0.25707022579644762</v>
      </c>
      <c r="E21" s="152">
        <f>gp_23g/ns_23g</f>
        <v>0.10634721583302929</v>
      </c>
      <c r="F21" s="152">
        <f>(C21-D21)/ABS(D21)</f>
        <v>-0.30793875522390612</v>
      </c>
      <c r="G21" s="151" t="str">
        <f>IF(F21&gt;0, "Favorable","Unfavorable")</f>
        <v>Unfavorable</v>
      </c>
      <c r="H21" s="152">
        <f>(C21-E21)/ABS(E21)</f>
        <v>0.67290078133203302</v>
      </c>
      <c r="I21" s="151" t="str">
        <f>IF(H21&gt;0, "Favorable","Unfavorable")</f>
        <v>Favorable</v>
      </c>
      <c r="J21" s="158" t="s">
        <v>330</v>
      </c>
    </row>
    <row r="22" spans="1:10" x14ac:dyDescent="0.3">
      <c r="A22" t="s">
        <v>349</v>
      </c>
      <c r="B22" s="117" t="s">
        <v>292</v>
      </c>
      <c r="C22" s="130">
        <f>ebit_23k/ns_23k</f>
        <v>0.12202901945167638</v>
      </c>
      <c r="D22" s="130">
        <f>ebit_22k/ns_22k</f>
        <v>0.18655382018087538</v>
      </c>
      <c r="E22" s="130">
        <f>ebit_23g/ns_23g</f>
        <v>8.3514405168245931E-2</v>
      </c>
      <c r="F22" s="130">
        <f t="shared" ref="F22:F27" si="14">(C22-D22)/ABS(D22)</f>
        <v>-0.34587767040438111</v>
      </c>
      <c r="G22" s="124" t="str">
        <f t="shared" ref="G22:G27" si="15">IF(F22&gt;0, "Favorable","Unfavorable")</f>
        <v>Unfavorable</v>
      </c>
      <c r="H22" s="130">
        <f t="shared" ref="H22:H27" si="16">(C22-E22)/ABS(E22)</f>
        <v>0.46117330544161711</v>
      </c>
      <c r="I22" s="124" t="str">
        <f t="shared" ref="I22:I26" si="17">IF(H22&gt;0, "Favorable","Unfavorable")</f>
        <v>Favorable</v>
      </c>
      <c r="J22" s="147" t="s">
        <v>331</v>
      </c>
    </row>
    <row r="23" spans="1:10" x14ac:dyDescent="0.3">
      <c r="A23" t="s">
        <v>349</v>
      </c>
      <c r="B23" s="117" t="s">
        <v>303</v>
      </c>
      <c r="C23" s="130">
        <f>ebt_23k/ns_23k</f>
        <v>8.237516528107558E-2</v>
      </c>
      <c r="D23" s="130">
        <f>ebt_22k/ns_22k</f>
        <v>0.1662262700778426</v>
      </c>
      <c r="E23" s="130">
        <f>ebt_23g/ns_23g</f>
        <v>8.2457078992034791E-2</v>
      </c>
      <c r="F23" s="130">
        <f t="shared" si="14"/>
        <v>-0.50443954952186643</v>
      </c>
      <c r="G23" s="124" t="str">
        <f t="shared" si="15"/>
        <v>Unfavorable</v>
      </c>
      <c r="H23" s="130">
        <f t="shared" si="16"/>
        <v>-9.9341029248833554E-4</v>
      </c>
      <c r="I23" s="124" t="str">
        <f t="shared" si="17"/>
        <v>Unfavorable</v>
      </c>
      <c r="J23" s="147" t="s">
        <v>332</v>
      </c>
    </row>
    <row r="24" spans="1:10" x14ac:dyDescent="0.3">
      <c r="A24" t="s">
        <v>349</v>
      </c>
      <c r="B24" s="117" t="s">
        <v>293</v>
      </c>
      <c r="C24" s="130">
        <f>np_23k/ns_23k</f>
        <v>5.7252299094365779E-2</v>
      </c>
      <c r="D24" s="130">
        <f>np_22k/ns_22k</f>
        <v>0.11984147239551644</v>
      </c>
      <c r="E24" s="130">
        <f>np_23g/ns_23g</f>
        <v>5.6759028533081922E-2</v>
      </c>
      <c r="F24" s="130">
        <f t="shared" si="14"/>
        <v>-0.52226639117538298</v>
      </c>
      <c r="G24" s="124" t="str">
        <f t="shared" si="15"/>
        <v>Unfavorable</v>
      </c>
      <c r="H24" s="130">
        <f t="shared" si="16"/>
        <v>8.6906096533409596E-3</v>
      </c>
      <c r="I24" s="124" t="str">
        <f t="shared" si="17"/>
        <v>Favorable</v>
      </c>
      <c r="J24" s="147" t="s">
        <v>333</v>
      </c>
    </row>
    <row r="25" spans="1:10" ht="43.2" x14ac:dyDescent="0.3">
      <c r="A25" t="s">
        <v>349</v>
      </c>
      <c r="B25" s="117" t="s">
        <v>294</v>
      </c>
      <c r="C25" s="130">
        <f>ocf_23k/ns_23k</f>
        <v>4.3833340357293471E-2</v>
      </c>
      <c r="D25" s="130">
        <f>ocf_22k/ns_22k</f>
        <v>8.6363983837114883E-2</v>
      </c>
      <c r="E25" s="130">
        <f>ocf_23g/ns_23g</f>
        <v>-5.4128351625008363E-2</v>
      </c>
      <c r="F25" s="130">
        <f t="shared" si="14"/>
        <v>-0.49245810105327598</v>
      </c>
      <c r="G25" s="124" t="str">
        <f t="shared" si="15"/>
        <v>Unfavorable</v>
      </c>
      <c r="H25" s="130">
        <f t="shared" si="16"/>
        <v>1.8098037173007429</v>
      </c>
      <c r="I25" s="124" t="str">
        <f t="shared" si="17"/>
        <v>Favorable</v>
      </c>
      <c r="J25" s="150" t="s">
        <v>334</v>
      </c>
    </row>
    <row r="26" spans="1:10" x14ac:dyDescent="0.3">
      <c r="A26" t="s">
        <v>349</v>
      </c>
      <c r="B26" s="117" t="s">
        <v>295</v>
      </c>
      <c r="C26" s="130">
        <f>np_23k/assets_23k</f>
        <v>5.0270455687271023E-2</v>
      </c>
      <c r="D26" s="130">
        <f>np_22k/assets_22k</f>
        <v>0.11874810789721309</v>
      </c>
      <c r="E26" s="130">
        <f>np_23g/assets_23g</f>
        <v>5.5569043240674458E-2</v>
      </c>
      <c r="F26" s="130">
        <f t="shared" si="14"/>
        <v>-0.57666310160676815</v>
      </c>
      <c r="G26" s="124" t="str">
        <f t="shared" si="15"/>
        <v>Unfavorable</v>
      </c>
      <c r="H26" s="130">
        <f t="shared" si="16"/>
        <v>-9.5351426700920186E-2</v>
      </c>
      <c r="I26" s="124" t="str">
        <f t="shared" si="17"/>
        <v>Unfavorable</v>
      </c>
      <c r="J26" s="147" t="s">
        <v>335</v>
      </c>
    </row>
    <row r="27" spans="1:10" x14ac:dyDescent="0.3">
      <c r="A27" t="s">
        <v>349</v>
      </c>
      <c r="B27" s="117" t="s">
        <v>296</v>
      </c>
      <c r="C27" s="130">
        <f>np_23k/(assets_23k-cl_23k)</f>
        <v>7.0142390163348417E-2</v>
      </c>
      <c r="D27" s="130">
        <f>np_22k/(assets_22k-cl_22k)</f>
        <v>0.16080494275640458</v>
      </c>
      <c r="E27" s="130">
        <f>np_23g/(assets_23g-cl_23g)</f>
        <v>0.1005854265567316</v>
      </c>
      <c r="F27" s="130">
        <f t="shared" si="14"/>
        <v>-0.56380451395947673</v>
      </c>
      <c r="G27" s="124" t="str">
        <f t="shared" si="15"/>
        <v>Unfavorable</v>
      </c>
      <c r="H27" s="130">
        <f t="shared" si="16"/>
        <v>-0.30265852057815629</v>
      </c>
      <c r="I27" s="124" t="str">
        <f>IF(H27&gt;0, "Favorable","Unfavorable")</f>
        <v>Unfavorable</v>
      </c>
      <c r="J27" s="147" t="s">
        <v>336</v>
      </c>
    </row>
    <row r="28" spans="1:10" x14ac:dyDescent="0.3">
      <c r="A28" t="s">
        <v>350</v>
      </c>
      <c r="B28" s="117" t="s">
        <v>298</v>
      </c>
      <c r="C28" s="124">
        <f>bvp_23k/mvps_k23</f>
        <v>1.654897239959829</v>
      </c>
      <c r="D28" s="124">
        <f>bvp_22k/mvps_22k</f>
        <v>1.5919482541023984</v>
      </c>
      <c r="E28" s="124">
        <f>bvp_23g/mvps_23g</f>
        <v>3.032210204304099</v>
      </c>
      <c r="F28" s="130">
        <f>(C28-D28)/ABS(D28)</f>
        <v>3.9542105527119439E-2</v>
      </c>
      <c r="G28" s="124" t="str">
        <f>IF(F28&gt;0, "Favorable","Unfavorable")</f>
        <v>Favorable</v>
      </c>
      <c r="H28" s="130">
        <f>(C28-E28)/ABS(E28)</f>
        <v>-0.45422740230516684</v>
      </c>
      <c r="I28" s="124" t="str">
        <f>IF(H28&gt;0, "Favorable","Unfavorable")</f>
        <v>Unfavorable</v>
      </c>
      <c r="J28" s="147" t="s">
        <v>337</v>
      </c>
    </row>
    <row r="29" spans="1:10" x14ac:dyDescent="0.3">
      <c r="A29" t="s">
        <v>350</v>
      </c>
      <c r="B29" s="117" t="s">
        <v>299</v>
      </c>
      <c r="C29" s="124">
        <f>mvps_k23/bvp_23k</f>
        <v>0.60426712659468451</v>
      </c>
      <c r="D29" s="124">
        <f>mvps_22k/mvps_22k</f>
        <v>1</v>
      </c>
      <c r="E29" s="124">
        <f>mvps_23g/bvp_23g</f>
        <v>0.3297924393831736</v>
      </c>
      <c r="F29" s="130">
        <f t="shared" ref="F29:F31" si="18">(C29-D29)/ABS(D29)</f>
        <v>-0.39573287340531549</v>
      </c>
      <c r="G29" s="124" t="str">
        <f>IF(F29&lt;0, "Favorable","Unfavorable")</f>
        <v>Favorable</v>
      </c>
      <c r="H29" s="130">
        <f t="shared" ref="H29:H31" si="19">(C29-E29)/ABS(E29)</f>
        <v>0.83226494738591916</v>
      </c>
      <c r="I29" s="124" t="str">
        <f>IF(H29&lt;0, "Favorable","Unfavorable")</f>
        <v>Unfavorable</v>
      </c>
      <c r="J29" s="147" t="s">
        <v>338</v>
      </c>
    </row>
    <row r="30" spans="1:10" x14ac:dyDescent="0.3">
      <c r="A30" t="s">
        <v>350</v>
      </c>
      <c r="B30" s="117" t="s">
        <v>300</v>
      </c>
      <c r="C30" s="124">
        <f>mvps_k23/eps_23k</f>
        <v>6.6198757763975147</v>
      </c>
      <c r="D30" s="124">
        <f>mvps_22k/eps_22k</f>
        <v>3.2196969696969697</v>
      </c>
      <c r="E30" s="124">
        <f>mvps_23g/eps_23g</f>
        <v>2.0729734332425069</v>
      </c>
      <c r="F30" s="130">
        <f t="shared" si="18"/>
        <v>1.0560555352575811</v>
      </c>
      <c r="G30" s="124" t="str">
        <f t="shared" ref="G30:G31" si="20">IF(F30&gt;0, "Favorable","Unfavorable")</f>
        <v>Favorable</v>
      </c>
      <c r="H30" s="130">
        <f t="shared" si="19"/>
        <v>2.1934204607932801</v>
      </c>
      <c r="I30" s="124" t="str">
        <f t="shared" ref="I30:I31" si="21">IF(H30&gt;0, "Favorable","Unfavorable")</f>
        <v>Favorable</v>
      </c>
      <c r="J30" s="147" t="s">
        <v>339</v>
      </c>
    </row>
    <row r="31" spans="1:10" ht="15" thickBot="1" x14ac:dyDescent="0.35">
      <c r="A31" s="16" t="s">
        <v>350</v>
      </c>
      <c r="B31" s="154" t="s">
        <v>301</v>
      </c>
      <c r="C31" s="156">
        <f>ABS(div_23k)/np_23k</f>
        <v>1.537015912684203E-4</v>
      </c>
      <c r="D31" s="156">
        <f>ABS(div_22k)/np_22k</f>
        <v>0.12583523652404918</v>
      </c>
      <c r="E31" s="156">
        <f>ABS(div_23g)/np_23g</f>
        <v>0.16783181094497437</v>
      </c>
      <c r="F31" s="156">
        <f t="shared" si="18"/>
        <v>-0.99877854887459083</v>
      </c>
      <c r="G31" s="155" t="str">
        <f t="shared" si="20"/>
        <v>Unfavorable</v>
      </c>
      <c r="H31" s="156">
        <f t="shared" si="19"/>
        <v>-0.99908419273793792</v>
      </c>
      <c r="I31" s="155" t="str">
        <f t="shared" si="21"/>
        <v>Unfavorable</v>
      </c>
      <c r="J31" s="159" t="s">
        <v>340</v>
      </c>
    </row>
  </sheetData>
  <conditionalFormatting sqref="G2:G31">
    <cfRule type="cellIs" dxfId="7" priority="5" operator="equal">
      <formula>"Unfavourable"</formula>
    </cfRule>
    <cfRule type="cellIs" dxfId="6" priority="6" operator="equal">
      <formula>"Favourable"</formula>
    </cfRule>
    <cfRule type="cellIs" dxfId="5" priority="7" operator="equal">
      <formula>"Favorable"</formula>
    </cfRule>
    <cfRule type="cellIs" dxfId="4" priority="8" operator="equal">
      <formula>"Unfavorable"</formula>
    </cfRule>
  </conditionalFormatting>
  <conditionalFormatting sqref="I2:I31">
    <cfRule type="cellIs" dxfId="3" priority="1" operator="equal">
      <formula>"Unfavourable"</formula>
    </cfRule>
    <cfRule type="cellIs" dxfId="2" priority="2" operator="equal">
      <formula>"Favourable"</formula>
    </cfRule>
    <cfRule type="cellIs" dxfId="1" priority="3" operator="equal">
      <formula>"Favorable"</formula>
    </cfRule>
    <cfRule type="cellIs" dxfId="0" priority="4" operator="equal">
      <formula>"Unfavorable"</formula>
    </cfRule>
  </conditionalFormatting>
  <pageMargins left="0.7" right="0.7" top="0.75" bottom="0.75" header="0.3" footer="0.3"/>
  <ignoredErrors>
    <ignoredError sqref="G2:G31 I2:I3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31E-1A91-46F5-8193-EC7F6D8FF042}">
  <dimension ref="A3:F6"/>
  <sheetViews>
    <sheetView workbookViewId="0">
      <selection activeCell="B3" sqref="B3:C8"/>
    </sheetView>
  </sheetViews>
  <sheetFormatPr defaultRowHeight="14.4" x14ac:dyDescent="0.3"/>
  <cols>
    <col min="1" max="1" width="16.77734375" bestFit="1" customWidth="1"/>
    <col min="2" max="3" width="19.88671875" bestFit="1" customWidth="1"/>
    <col min="4" max="4" width="18.77734375" bestFit="1" customWidth="1"/>
    <col min="5" max="5" width="17" bestFit="1" customWidth="1"/>
    <col min="6" max="6" width="20.21875" bestFit="1" customWidth="1"/>
  </cols>
  <sheetData>
    <row r="3" spans="1:6" x14ac:dyDescent="0.3">
      <c r="A3" s="160" t="s">
        <v>352</v>
      </c>
      <c r="B3" t="s">
        <v>358</v>
      </c>
      <c r="C3" t="s">
        <v>354</v>
      </c>
      <c r="D3" t="s">
        <v>355</v>
      </c>
      <c r="E3" t="s">
        <v>356</v>
      </c>
      <c r="F3" t="s">
        <v>357</v>
      </c>
    </row>
    <row r="4" spans="1:6" x14ac:dyDescent="0.3">
      <c r="A4" s="161" t="s">
        <v>281</v>
      </c>
      <c r="B4">
        <v>212.92711673456802</v>
      </c>
      <c r="C4">
        <v>9423.014314958562</v>
      </c>
      <c r="D4">
        <v>270.16191407767712</v>
      </c>
      <c r="E4" s="129">
        <v>186.03648856728321</v>
      </c>
      <c r="F4" s="129">
        <v>0.27340971501947475</v>
      </c>
    </row>
    <row r="5" spans="1:6" x14ac:dyDescent="0.3">
      <c r="A5" s="161" t="s">
        <v>347</v>
      </c>
      <c r="B5">
        <v>2.3387942805301147</v>
      </c>
      <c r="C5">
        <v>2.6319392620391002</v>
      </c>
      <c r="D5">
        <v>1.5157478570105996</v>
      </c>
      <c r="E5" s="129">
        <v>-0.60879090773747124</v>
      </c>
      <c r="F5" s="129">
        <v>11.203976238269879</v>
      </c>
    </row>
    <row r="6" spans="1:6" x14ac:dyDescent="0.3">
      <c r="A6" s="161" t="s">
        <v>353</v>
      </c>
      <c r="B6">
        <v>215.26591101509814</v>
      </c>
      <c r="C6">
        <v>9425.6462542206009</v>
      </c>
      <c r="D6">
        <v>271.67766193468771</v>
      </c>
      <c r="E6" s="129">
        <v>185.42769765954574</v>
      </c>
      <c r="F6" s="129">
        <v>11.477385953289353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119</vt:i4>
      </vt:variant>
    </vt:vector>
  </HeadingPairs>
  <TitlesOfParts>
    <vt:vector size="124" baseType="lpstr">
      <vt:lpstr>Financial Stat Kohinoor Textile</vt:lpstr>
      <vt:lpstr>Financial Stat. Gadoon Textile</vt:lpstr>
      <vt:lpstr>Analysis</vt:lpstr>
      <vt:lpstr>Clean Data</vt:lpstr>
      <vt:lpstr>Pivot Tables</vt:lpstr>
      <vt:lpstr>assets_22g</vt:lpstr>
      <vt:lpstr>assets_22k</vt:lpstr>
      <vt:lpstr>assets_23g</vt:lpstr>
      <vt:lpstr>assets_23k</vt:lpstr>
      <vt:lpstr>avginv_g</vt:lpstr>
      <vt:lpstr>avginv_k</vt:lpstr>
      <vt:lpstr>avgrec_g</vt:lpstr>
      <vt:lpstr>avgrec_k</vt:lpstr>
      <vt:lpstr>bvp_22g</vt:lpstr>
      <vt:lpstr>bvp_22k</vt:lpstr>
      <vt:lpstr>bvp_23g</vt:lpstr>
      <vt:lpstr>bvp_23k</vt:lpstr>
      <vt:lpstr>ca_22g</vt:lpstr>
      <vt:lpstr>ca_22k</vt:lpstr>
      <vt:lpstr>ca_23g</vt:lpstr>
      <vt:lpstr>ca_23k</vt:lpstr>
      <vt:lpstr>cash_22g</vt:lpstr>
      <vt:lpstr>cash_22k</vt:lpstr>
      <vt:lpstr>cash_23g</vt:lpstr>
      <vt:lpstr>cash_23k</vt:lpstr>
      <vt:lpstr>cgs_22g</vt:lpstr>
      <vt:lpstr>cgs_22k</vt:lpstr>
      <vt:lpstr>cgs_23g</vt:lpstr>
      <vt:lpstr>cgs_23k</vt:lpstr>
      <vt:lpstr>cl_22g</vt:lpstr>
      <vt:lpstr>cl_22k</vt:lpstr>
      <vt:lpstr>cl_23g</vt:lpstr>
      <vt:lpstr>cl_23k</vt:lpstr>
      <vt:lpstr>cp_22g</vt:lpstr>
      <vt:lpstr>cp_22k</vt:lpstr>
      <vt:lpstr>cp_23g</vt:lpstr>
      <vt:lpstr>cp_23k</vt:lpstr>
      <vt:lpstr>div_22g</vt:lpstr>
      <vt:lpstr>div_22k</vt:lpstr>
      <vt:lpstr>div_23g</vt:lpstr>
      <vt:lpstr>div_23k</vt:lpstr>
      <vt:lpstr>ebit_22g</vt:lpstr>
      <vt:lpstr>ebit_22k</vt:lpstr>
      <vt:lpstr>ebit_23g</vt:lpstr>
      <vt:lpstr>ebit_23k</vt:lpstr>
      <vt:lpstr>ebt_22g</vt:lpstr>
      <vt:lpstr>ebt_22k</vt:lpstr>
      <vt:lpstr>ebt_23g</vt:lpstr>
      <vt:lpstr>ebt_23k</vt:lpstr>
      <vt:lpstr>eps_22g</vt:lpstr>
      <vt:lpstr>eps_22k</vt:lpstr>
      <vt:lpstr>eps_23g</vt:lpstr>
      <vt:lpstr>eps_23k</vt:lpstr>
      <vt:lpstr>eq_22g</vt:lpstr>
      <vt:lpstr>eq_22k</vt:lpstr>
      <vt:lpstr>eq_23g</vt:lpstr>
      <vt:lpstr>eq_23k</vt:lpstr>
      <vt:lpstr>fc_22g</vt:lpstr>
      <vt:lpstr>fc_22k</vt:lpstr>
      <vt:lpstr>fc_23g</vt:lpstr>
      <vt:lpstr>fc_23k</vt:lpstr>
      <vt:lpstr>gp_22g</vt:lpstr>
      <vt:lpstr>gp_22k</vt:lpstr>
      <vt:lpstr>gp_23g</vt:lpstr>
      <vt:lpstr>gp_23k</vt:lpstr>
      <vt:lpstr>inv_21k</vt:lpstr>
      <vt:lpstr>inv_22g</vt:lpstr>
      <vt:lpstr>inv_22k</vt:lpstr>
      <vt:lpstr>inv_23g</vt:lpstr>
      <vt:lpstr>inv_23k</vt:lpstr>
      <vt:lpstr>liabilities_22g</vt:lpstr>
      <vt:lpstr>liabilities_22k</vt:lpstr>
      <vt:lpstr>liabilities_23g</vt:lpstr>
      <vt:lpstr>liabilities_23k</vt:lpstr>
      <vt:lpstr>mvps_22g</vt:lpstr>
      <vt:lpstr>mvps_22k</vt:lpstr>
      <vt:lpstr>mvps_23g</vt:lpstr>
      <vt:lpstr>mvps_k23</vt:lpstr>
      <vt:lpstr>nca_22g</vt:lpstr>
      <vt:lpstr>nca_22k</vt:lpstr>
      <vt:lpstr>nca_23g</vt:lpstr>
      <vt:lpstr>nca_23k</vt:lpstr>
      <vt:lpstr>ncl_22g</vt:lpstr>
      <vt:lpstr>ncl_22k</vt:lpstr>
      <vt:lpstr>ncl_23g</vt:lpstr>
      <vt:lpstr>ncl_23k</vt:lpstr>
      <vt:lpstr>np_22g</vt:lpstr>
      <vt:lpstr>np_22k</vt:lpstr>
      <vt:lpstr>np_23g</vt:lpstr>
      <vt:lpstr>np_23k</vt:lpstr>
      <vt:lpstr>ns_22g</vt:lpstr>
      <vt:lpstr>ns_22k</vt:lpstr>
      <vt:lpstr>ns_23g</vt:lpstr>
      <vt:lpstr>ns_23k</vt:lpstr>
      <vt:lpstr>ocf_22g</vt:lpstr>
      <vt:lpstr>ocf_22k</vt:lpstr>
      <vt:lpstr>ocf_23g</vt:lpstr>
      <vt:lpstr>ocf_23k</vt:lpstr>
      <vt:lpstr>payb_21k</vt:lpstr>
      <vt:lpstr>payb_22g</vt:lpstr>
      <vt:lpstr>payb_22k</vt:lpstr>
      <vt:lpstr>payb_23g</vt:lpstr>
      <vt:lpstr>payb_23k</vt:lpstr>
      <vt:lpstr>prep_22g</vt:lpstr>
      <vt:lpstr>prep_22k</vt:lpstr>
      <vt:lpstr>prep_23g</vt:lpstr>
      <vt:lpstr>prep_23k</vt:lpstr>
      <vt:lpstr>rec_21k</vt:lpstr>
      <vt:lpstr>rec_22g</vt:lpstr>
      <vt:lpstr>rec_22K</vt:lpstr>
      <vt:lpstr>rec_23g</vt:lpstr>
      <vt:lpstr>rec_23k</vt:lpstr>
      <vt:lpstr>sti_22g</vt:lpstr>
      <vt:lpstr>sti_22k</vt:lpstr>
      <vt:lpstr>sti_23g</vt:lpstr>
      <vt:lpstr>sti_23k</vt:lpstr>
      <vt:lpstr>stls_22g</vt:lpstr>
      <vt:lpstr>stls_22k</vt:lpstr>
      <vt:lpstr>stls_23g</vt:lpstr>
      <vt:lpstr>stls_23k</vt:lpstr>
      <vt:lpstr>tcr_22g</vt:lpstr>
      <vt:lpstr>tcr_22k</vt:lpstr>
      <vt:lpstr>tcr_23g</vt:lpstr>
      <vt:lpstr>tcr_23k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Zafran Niazi</dc:creator>
  <cp:lastModifiedBy>BBA22f11</cp:lastModifiedBy>
  <dcterms:created xsi:type="dcterms:W3CDTF">2015-06-05T18:17:20Z</dcterms:created>
  <dcterms:modified xsi:type="dcterms:W3CDTF">2025-01-07T18:49:53Z</dcterms:modified>
</cp:coreProperties>
</file>