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57308\Desktop\BLDC\DOC\"/>
    </mc:Choice>
  </mc:AlternateContent>
  <xr:revisionPtr revIDLastSave="0" documentId="13_ncr:1_{9406AC64-B279-48EE-ABDF-E4868B7BC33B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vpwm (2)" sheetId="5" r:id="rId1"/>
    <sheet name="角度计算" sheetId="6" r:id="rId2"/>
    <sheet name="电流及功率相关计算" sheetId="3" r:id="rId3"/>
    <sheet name="TIM" sheetId="2" r:id="rId4"/>
    <sheet name="Q15" sheetId="4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6" l="1"/>
  <c r="F11" i="6"/>
  <c r="E11" i="6"/>
  <c r="E9" i="3"/>
  <c r="K9" i="3" s="1"/>
  <c r="G8" i="3"/>
  <c r="K8" i="3" s="1"/>
  <c r="N7" i="4"/>
  <c r="K3" i="4"/>
  <c r="M4" i="4" s="1"/>
  <c r="F16" i="4"/>
  <c r="F15" i="4"/>
  <c r="F14" i="4"/>
  <c r="E16" i="4"/>
  <c r="E15" i="4"/>
  <c r="E14" i="4"/>
  <c r="F8" i="4"/>
  <c r="F7" i="4"/>
  <c r="F11" i="4"/>
  <c r="F10" i="4"/>
  <c r="F5" i="4"/>
  <c r="F4" i="4"/>
  <c r="E13" i="4"/>
  <c r="F13" i="4" s="1"/>
  <c r="C2" i="4"/>
  <c r="B2" i="4"/>
  <c r="F3" i="4" s="1"/>
  <c r="J29" i="5"/>
  <c r="J28" i="5"/>
  <c r="L28" i="5" s="1"/>
  <c r="N28" i="5" s="1"/>
  <c r="L61" i="5" s="1"/>
  <c r="F61" i="5" s="1"/>
  <c r="G92" i="5" s="1"/>
  <c r="J27" i="5"/>
  <c r="L27" i="5" s="1"/>
  <c r="N27" i="5" s="1"/>
  <c r="L60" i="5" s="1"/>
  <c r="F60" i="5" s="1"/>
  <c r="G91" i="5" s="1"/>
  <c r="J26" i="5"/>
  <c r="L26" i="5" s="1"/>
  <c r="N26" i="5" s="1"/>
  <c r="L59" i="5" s="1"/>
  <c r="F59" i="5" s="1"/>
  <c r="G90" i="5" s="1"/>
  <c r="J25" i="5"/>
  <c r="L25" i="5" s="1"/>
  <c r="N25" i="5" s="1"/>
  <c r="L58" i="5" s="1"/>
  <c r="F58" i="5" s="1"/>
  <c r="G89" i="5" s="1"/>
  <c r="J24" i="5"/>
  <c r="L24" i="5" s="1"/>
  <c r="N24" i="5" s="1"/>
  <c r="L57" i="5" s="1"/>
  <c r="F57" i="5" s="1"/>
  <c r="J23" i="5"/>
  <c r="L23" i="5" s="1"/>
  <c r="N23" i="5" s="1"/>
  <c r="L56" i="5" s="1"/>
  <c r="F56" i="5" s="1"/>
  <c r="J22" i="5"/>
  <c r="K22" i="5" s="1"/>
  <c r="M22" i="5" s="1"/>
  <c r="K55" i="5" s="1"/>
  <c r="J21" i="5"/>
  <c r="J20" i="5"/>
  <c r="L20" i="5" s="1"/>
  <c r="N20" i="5" s="1"/>
  <c r="L53" i="5" s="1"/>
  <c r="F53" i="5" s="1"/>
  <c r="F84" i="5" s="1"/>
  <c r="J19" i="5"/>
  <c r="L19" i="5" s="1"/>
  <c r="N19" i="5" s="1"/>
  <c r="L52" i="5" s="1"/>
  <c r="F52" i="5" s="1"/>
  <c r="F83" i="5" s="1"/>
  <c r="J18" i="5"/>
  <c r="K18" i="5" s="1"/>
  <c r="M18" i="5" s="1"/>
  <c r="K51" i="5" s="1"/>
  <c r="J17" i="5"/>
  <c r="L17" i="5" s="1"/>
  <c r="N17" i="5" s="1"/>
  <c r="L50" i="5" s="1"/>
  <c r="F50" i="5" s="1"/>
  <c r="F81" i="5" s="1"/>
  <c r="J16" i="5"/>
  <c r="L16" i="5" s="1"/>
  <c r="N16" i="5" s="1"/>
  <c r="L49" i="5" s="1"/>
  <c r="F49" i="5" s="1"/>
  <c r="F80" i="5" s="1"/>
  <c r="J15" i="5"/>
  <c r="K15" i="5" s="1"/>
  <c r="M15" i="5" s="1"/>
  <c r="K48" i="5" s="1"/>
  <c r="J14" i="5"/>
  <c r="J13" i="5"/>
  <c r="L13" i="5" s="1"/>
  <c r="N13" i="5" s="1"/>
  <c r="L46" i="5" s="1"/>
  <c r="F46" i="5" s="1"/>
  <c r="F77" i="5" s="1"/>
  <c r="J12" i="5"/>
  <c r="L12" i="5" s="1"/>
  <c r="N12" i="5" s="1"/>
  <c r="L45" i="5" s="1"/>
  <c r="F45" i="5" s="1"/>
  <c r="J11" i="5"/>
  <c r="K11" i="5" s="1"/>
  <c r="M11" i="5" s="1"/>
  <c r="K44" i="5" s="1"/>
  <c r="J10" i="5"/>
  <c r="L10" i="5" s="1"/>
  <c r="N10" i="5" s="1"/>
  <c r="L43" i="5" s="1"/>
  <c r="F43" i="5" s="1"/>
  <c r="J9" i="5"/>
  <c r="L9" i="5" s="1"/>
  <c r="N9" i="5" s="1"/>
  <c r="L42" i="5" s="1"/>
  <c r="F42" i="5" s="1"/>
  <c r="J8" i="5"/>
  <c r="L8" i="5" s="1"/>
  <c r="N8" i="5" s="1"/>
  <c r="L41" i="5" s="1"/>
  <c r="F41" i="5" s="1"/>
  <c r="G72" i="5" s="1"/>
  <c r="J7" i="5"/>
  <c r="L7" i="5" s="1"/>
  <c r="N7" i="5" s="1"/>
  <c r="L40" i="5" s="1"/>
  <c r="F40" i="5" s="1"/>
  <c r="G71" i="5" s="1"/>
  <c r="J6" i="5"/>
  <c r="K6" i="5" s="1"/>
  <c r="M6" i="5" s="1"/>
  <c r="K39" i="5" s="1"/>
  <c r="J5" i="5"/>
  <c r="B5" i="2"/>
  <c r="B4" i="2"/>
  <c r="C6" i="2"/>
  <c r="B6" i="2" s="1"/>
  <c r="C5" i="2"/>
  <c r="C4" i="2"/>
  <c r="L3" i="4" l="1"/>
  <c r="L6" i="5"/>
  <c r="N6" i="5" s="1"/>
  <c r="L39" i="5" s="1"/>
  <c r="G39" i="5" s="1"/>
  <c r="L22" i="5"/>
  <c r="N22" i="5" s="1"/>
  <c r="L55" i="5" s="1"/>
  <c r="F55" i="5" s="1"/>
  <c r="L11" i="5"/>
  <c r="N11" i="5" s="1"/>
  <c r="L44" i="5" s="1"/>
  <c r="F44" i="5" s="1"/>
  <c r="H39" i="5"/>
  <c r="F70" i="5" s="1"/>
  <c r="K7" i="5"/>
  <c r="M7" i="5" s="1"/>
  <c r="K40" i="5" s="1"/>
  <c r="G40" i="5" s="1"/>
  <c r="K19" i="5"/>
  <c r="M19" i="5" s="1"/>
  <c r="K52" i="5" s="1"/>
  <c r="H52" i="5" s="1"/>
  <c r="K8" i="5"/>
  <c r="M8" i="5" s="1"/>
  <c r="K41" i="5" s="1"/>
  <c r="L14" i="5"/>
  <c r="N14" i="5" s="1"/>
  <c r="L47" i="5" s="1"/>
  <c r="F47" i="5" s="1"/>
  <c r="F78" i="5" s="1"/>
  <c r="K14" i="5"/>
  <c r="M14" i="5" s="1"/>
  <c r="K47" i="5" s="1"/>
  <c r="H41" i="5"/>
  <c r="G41" i="5"/>
  <c r="H55" i="5"/>
  <c r="G86" i="5" s="1"/>
  <c r="G55" i="5"/>
  <c r="F86" i="5" s="1"/>
  <c r="K27" i="5"/>
  <c r="M27" i="5" s="1"/>
  <c r="K60" i="5" s="1"/>
  <c r="G44" i="5"/>
  <c r="G75" i="5" s="1"/>
  <c r="K17" i="5"/>
  <c r="M17" i="5" s="1"/>
  <c r="K50" i="5" s="1"/>
  <c r="K26" i="5"/>
  <c r="M26" i="5" s="1"/>
  <c r="K59" i="5" s="1"/>
  <c r="H48" i="5"/>
  <c r="K10" i="5"/>
  <c r="M10" i="5" s="1"/>
  <c r="K43" i="5" s="1"/>
  <c r="K21" i="5"/>
  <c r="M21" i="5" s="1"/>
  <c r="K54" i="5" s="1"/>
  <c r="L21" i="5"/>
  <c r="N21" i="5" s="1"/>
  <c r="L54" i="5" s="1"/>
  <c r="F54" i="5" s="1"/>
  <c r="L5" i="5"/>
  <c r="N5" i="5" s="1"/>
  <c r="L38" i="5" s="1"/>
  <c r="F38" i="5" s="1"/>
  <c r="G69" i="5" s="1"/>
  <c r="K5" i="5"/>
  <c r="M5" i="5" s="1"/>
  <c r="K38" i="5" s="1"/>
  <c r="K23" i="5"/>
  <c r="M23" i="5" s="1"/>
  <c r="K56" i="5" s="1"/>
  <c r="K13" i="5"/>
  <c r="M13" i="5" s="1"/>
  <c r="K46" i="5" s="1"/>
  <c r="L29" i="5"/>
  <c r="N29" i="5" s="1"/>
  <c r="K29" i="5"/>
  <c r="M29" i="5" s="1"/>
  <c r="K24" i="5"/>
  <c r="M24" i="5" s="1"/>
  <c r="K57" i="5" s="1"/>
  <c r="K16" i="5"/>
  <c r="M16" i="5" s="1"/>
  <c r="K49" i="5" s="1"/>
  <c r="K20" i="5"/>
  <c r="M20" i="5" s="1"/>
  <c r="K53" i="5" s="1"/>
  <c r="L18" i="5"/>
  <c r="N18" i="5" s="1"/>
  <c r="L51" i="5" s="1"/>
  <c r="K12" i="5"/>
  <c r="M12" i="5" s="1"/>
  <c r="K45" i="5" s="1"/>
  <c r="L15" i="5"/>
  <c r="N15" i="5" s="1"/>
  <c r="L48" i="5" s="1"/>
  <c r="F48" i="5" s="1"/>
  <c r="F79" i="5" s="1"/>
  <c r="K28" i="5"/>
  <c r="M28" i="5" s="1"/>
  <c r="K61" i="5" s="1"/>
  <c r="K9" i="5"/>
  <c r="M9" i="5" s="1"/>
  <c r="K42" i="5" s="1"/>
  <c r="K25" i="5"/>
  <c r="M25" i="5" s="1"/>
  <c r="K58" i="5" s="1"/>
  <c r="F39" i="5" l="1"/>
  <c r="G70" i="5" s="1"/>
  <c r="F72" i="5"/>
  <c r="H72" i="5" s="1"/>
  <c r="G83" i="5"/>
  <c r="H83" i="5" s="1"/>
  <c r="H70" i="5"/>
  <c r="I70" i="5" s="1"/>
  <c r="J70" i="5" s="1"/>
  <c r="M70" i="5" s="1"/>
  <c r="P70" i="5" s="1"/>
  <c r="H40" i="5"/>
  <c r="H86" i="5"/>
  <c r="I86" i="5" s="1"/>
  <c r="G52" i="5"/>
  <c r="H44" i="5"/>
  <c r="G59" i="5"/>
  <c r="H59" i="5"/>
  <c r="H51" i="5"/>
  <c r="G82" i="5" s="1"/>
  <c r="G51" i="5"/>
  <c r="F51" i="5"/>
  <c r="F82" i="5" s="1"/>
  <c r="H56" i="5"/>
  <c r="G87" i="5" s="1"/>
  <c r="G56" i="5"/>
  <c r="F87" i="5" s="1"/>
  <c r="H58" i="5"/>
  <c r="G58" i="5"/>
  <c r="H42" i="5"/>
  <c r="F73" i="5" s="1"/>
  <c r="G42" i="5"/>
  <c r="G73" i="5" s="1"/>
  <c r="H61" i="5"/>
  <c r="G61" i="5"/>
  <c r="H46" i="5"/>
  <c r="G46" i="5"/>
  <c r="H50" i="5"/>
  <c r="G50" i="5"/>
  <c r="H45" i="5"/>
  <c r="F76" i="5" s="1"/>
  <c r="G45" i="5"/>
  <c r="G76" i="5" s="1"/>
  <c r="H38" i="5"/>
  <c r="G38" i="5"/>
  <c r="H60" i="5"/>
  <c r="G60" i="5"/>
  <c r="H53" i="5"/>
  <c r="G53" i="5"/>
  <c r="H49" i="5"/>
  <c r="G49" i="5"/>
  <c r="H47" i="5"/>
  <c r="G47" i="5"/>
  <c r="H54" i="5"/>
  <c r="G85" i="5" s="1"/>
  <c r="G54" i="5"/>
  <c r="H57" i="5"/>
  <c r="G88" i="5" s="1"/>
  <c r="G57" i="5"/>
  <c r="H43" i="5"/>
  <c r="F74" i="5" s="1"/>
  <c r="G43" i="5"/>
  <c r="G74" i="5" s="1"/>
  <c r="G48" i="5"/>
  <c r="G79" i="5" s="1"/>
  <c r="H79" i="5" s="1"/>
  <c r="L70" i="5" l="1"/>
  <c r="O70" i="5" s="1"/>
  <c r="I83" i="5"/>
  <c r="K83" i="5"/>
  <c r="N83" i="5" s="1"/>
  <c r="K72" i="5"/>
  <c r="N72" i="5" s="1"/>
  <c r="I72" i="5"/>
  <c r="J72" i="5" s="1"/>
  <c r="M72" i="5" s="1"/>
  <c r="P72" i="5" s="1"/>
  <c r="F90" i="5"/>
  <c r="H90" i="5" s="1"/>
  <c r="F75" i="5"/>
  <c r="H75" i="5" s="1"/>
  <c r="F91" i="5"/>
  <c r="H91" i="5" s="1"/>
  <c r="K70" i="5"/>
  <c r="N70" i="5" s="1"/>
  <c r="F89" i="5"/>
  <c r="H89" i="5" s="1"/>
  <c r="G80" i="5"/>
  <c r="H80" i="5" s="1"/>
  <c r="F92" i="5"/>
  <c r="H92" i="5" s="1"/>
  <c r="K92" i="5" s="1"/>
  <c r="N92" i="5" s="1"/>
  <c r="G84" i="5"/>
  <c r="H84" i="5" s="1"/>
  <c r="F71" i="5"/>
  <c r="H71" i="5" s="1"/>
  <c r="F69" i="5"/>
  <c r="H69" i="5" s="1"/>
  <c r="I69" i="5" s="1"/>
  <c r="F88" i="5"/>
  <c r="H88" i="5" s="1"/>
  <c r="F85" i="5"/>
  <c r="H85" i="5" s="1"/>
  <c r="G78" i="5"/>
  <c r="H78" i="5" s="1"/>
  <c r="G77" i="5"/>
  <c r="H77" i="5" s="1"/>
  <c r="G81" i="5"/>
  <c r="H81" i="5" s="1"/>
  <c r="I81" i="5" s="1"/>
  <c r="H87" i="5"/>
  <c r="I87" i="5" s="1"/>
  <c r="K86" i="5"/>
  <c r="N86" i="5" s="1"/>
  <c r="H82" i="5"/>
  <c r="K82" i="5" s="1"/>
  <c r="N82" i="5" s="1"/>
  <c r="J86" i="5"/>
  <c r="M86" i="5" s="1"/>
  <c r="P86" i="5" s="1"/>
  <c r="L86" i="5"/>
  <c r="O86" i="5" s="1"/>
  <c r="I79" i="5"/>
  <c r="K79" i="5"/>
  <c r="N79" i="5" s="1"/>
  <c r="H76" i="5"/>
  <c r="H74" i="5"/>
  <c r="H73" i="5"/>
  <c r="J83" i="5"/>
  <c r="M83" i="5" s="1"/>
  <c r="P83" i="5" s="1"/>
  <c r="L83" i="5"/>
  <c r="O83" i="5" s="1"/>
  <c r="K87" i="5" l="1"/>
  <c r="N87" i="5" s="1"/>
  <c r="L72" i="5"/>
  <c r="O72" i="5" s="1"/>
  <c r="K71" i="5"/>
  <c r="N71" i="5" s="1"/>
  <c r="I71" i="5"/>
  <c r="I84" i="5"/>
  <c r="J84" i="5" s="1"/>
  <c r="M84" i="5" s="1"/>
  <c r="P84" i="5" s="1"/>
  <c r="K84" i="5"/>
  <c r="N84" i="5" s="1"/>
  <c r="I80" i="5"/>
  <c r="J80" i="5" s="1"/>
  <c r="M80" i="5" s="1"/>
  <c r="P80" i="5" s="1"/>
  <c r="K80" i="5"/>
  <c r="N80" i="5" s="1"/>
  <c r="I89" i="5"/>
  <c r="J89" i="5" s="1"/>
  <c r="M89" i="5" s="1"/>
  <c r="P89" i="5" s="1"/>
  <c r="K89" i="5"/>
  <c r="N89" i="5" s="1"/>
  <c r="I91" i="5"/>
  <c r="L91" i="5" s="1"/>
  <c r="O91" i="5" s="1"/>
  <c r="K91" i="5"/>
  <c r="N91" i="5" s="1"/>
  <c r="I75" i="5"/>
  <c r="K75" i="5"/>
  <c r="N75" i="5" s="1"/>
  <c r="I90" i="5"/>
  <c r="J90" i="5" s="1"/>
  <c r="M90" i="5" s="1"/>
  <c r="P90" i="5" s="1"/>
  <c r="K90" i="5"/>
  <c r="N90" i="5" s="1"/>
  <c r="I77" i="5"/>
  <c r="J77" i="5" s="1"/>
  <c r="M77" i="5" s="1"/>
  <c r="P77" i="5" s="1"/>
  <c r="K77" i="5"/>
  <c r="N77" i="5" s="1"/>
  <c r="I78" i="5"/>
  <c r="L78" i="5" s="1"/>
  <c r="O78" i="5" s="1"/>
  <c r="K78" i="5"/>
  <c r="N78" i="5" s="1"/>
  <c r="I85" i="5"/>
  <c r="K85" i="5"/>
  <c r="N85" i="5" s="1"/>
  <c r="I88" i="5"/>
  <c r="J88" i="5" s="1"/>
  <c r="M88" i="5" s="1"/>
  <c r="P88" i="5" s="1"/>
  <c r="K88" i="5"/>
  <c r="N88" i="5" s="1"/>
  <c r="I92" i="5"/>
  <c r="L92" i="5" s="1"/>
  <c r="O92" i="5" s="1"/>
  <c r="K69" i="5"/>
  <c r="N69" i="5" s="1"/>
  <c r="K81" i="5"/>
  <c r="N81" i="5" s="1"/>
  <c r="I82" i="5"/>
  <c r="J82" i="5" s="1"/>
  <c r="M82" i="5" s="1"/>
  <c r="P82" i="5" s="1"/>
  <c r="I76" i="5"/>
  <c r="K76" i="5"/>
  <c r="N76" i="5" s="1"/>
  <c r="J85" i="5"/>
  <c r="M85" i="5" s="1"/>
  <c r="P85" i="5" s="1"/>
  <c r="L85" i="5"/>
  <c r="O85" i="5" s="1"/>
  <c r="I74" i="5"/>
  <c r="K74" i="5"/>
  <c r="N74" i="5" s="1"/>
  <c r="J79" i="5"/>
  <c r="M79" i="5" s="1"/>
  <c r="P79" i="5" s="1"/>
  <c r="L79" i="5"/>
  <c r="O79" i="5" s="1"/>
  <c r="J69" i="5"/>
  <c r="M69" i="5" s="1"/>
  <c r="P69" i="5" s="1"/>
  <c r="L69" i="5"/>
  <c r="O69" i="5" s="1"/>
  <c r="J87" i="5"/>
  <c r="M87" i="5" s="1"/>
  <c r="P87" i="5" s="1"/>
  <c r="L87" i="5"/>
  <c r="O87" i="5" s="1"/>
  <c r="J81" i="5"/>
  <c r="M81" i="5" s="1"/>
  <c r="P81" i="5" s="1"/>
  <c r="L81" i="5"/>
  <c r="O81" i="5" s="1"/>
  <c r="I73" i="5"/>
  <c r="K73" i="5"/>
  <c r="N73" i="5" s="1"/>
  <c r="J78" i="5"/>
  <c r="M78" i="5" s="1"/>
  <c r="P78" i="5" s="1"/>
  <c r="L84" i="5" l="1"/>
  <c r="O84" i="5" s="1"/>
  <c r="J91" i="5"/>
  <c r="M91" i="5" s="1"/>
  <c r="P91" i="5" s="1"/>
  <c r="L90" i="5"/>
  <c r="O90" i="5" s="1"/>
  <c r="L82" i="5"/>
  <c r="O82" i="5" s="1"/>
  <c r="L89" i="5"/>
  <c r="O89" i="5" s="1"/>
  <c r="J92" i="5"/>
  <c r="M92" i="5" s="1"/>
  <c r="P92" i="5" s="1"/>
  <c r="J75" i="5"/>
  <c r="M75" i="5" s="1"/>
  <c r="P75" i="5" s="1"/>
  <c r="L75" i="5"/>
  <c r="O75" i="5" s="1"/>
  <c r="L88" i="5"/>
  <c r="O88" i="5" s="1"/>
  <c r="L77" i="5"/>
  <c r="O77" i="5" s="1"/>
  <c r="L80" i="5"/>
  <c r="O80" i="5" s="1"/>
  <c r="J71" i="5"/>
  <c r="M71" i="5" s="1"/>
  <c r="P71" i="5" s="1"/>
  <c r="L71" i="5"/>
  <c r="O71" i="5" s="1"/>
  <c r="J73" i="5"/>
  <c r="M73" i="5" s="1"/>
  <c r="P73" i="5" s="1"/>
  <c r="L73" i="5"/>
  <c r="O73" i="5" s="1"/>
  <c r="J74" i="5"/>
  <c r="M74" i="5" s="1"/>
  <c r="P74" i="5" s="1"/>
  <c r="L74" i="5"/>
  <c r="O74" i="5" s="1"/>
  <c r="J76" i="5"/>
  <c r="M76" i="5" s="1"/>
  <c r="P76" i="5" s="1"/>
  <c r="L76" i="5"/>
  <c r="O76" i="5" s="1"/>
</calcChain>
</file>

<file path=xl/sharedStrings.xml><?xml version="1.0" encoding="utf-8"?>
<sst xmlns="http://schemas.openxmlformats.org/spreadsheetml/2006/main" count="115" uniqueCount="92">
  <si>
    <t>cos</t>
    <phoneticPr fontId="1" type="noConversion"/>
  </si>
  <si>
    <t>sin</t>
    <phoneticPr fontId="1" type="noConversion"/>
  </si>
  <si>
    <t>theta</t>
    <phoneticPr fontId="1" type="noConversion"/>
  </si>
  <si>
    <t>ualpha</t>
    <phoneticPr fontId="1" type="noConversion"/>
  </si>
  <si>
    <t>ubeta</t>
    <phoneticPr fontId="1" type="noConversion"/>
  </si>
  <si>
    <t>弧度制</t>
    <phoneticPr fontId="1" type="noConversion"/>
  </si>
  <si>
    <t>SYSCLK</t>
    <phoneticPr fontId="1" type="noConversion"/>
  </si>
  <si>
    <t>分频系数</t>
    <phoneticPr fontId="1" type="noConversion"/>
  </si>
  <si>
    <t>重载值</t>
    <phoneticPr fontId="1" type="noConversion"/>
  </si>
  <si>
    <t>计数器方式</t>
    <phoneticPr fontId="1" type="noConversion"/>
  </si>
  <si>
    <t>PWM频率(KHz)</t>
    <phoneticPr fontId="1" type="noConversion"/>
  </si>
  <si>
    <t>PWM周期(S)</t>
    <phoneticPr fontId="1" type="noConversion"/>
  </si>
  <si>
    <t>扇区</t>
    <phoneticPr fontId="1" type="noConversion"/>
  </si>
  <si>
    <t>主矢量</t>
    <phoneticPr fontId="1" type="noConversion"/>
  </si>
  <si>
    <t>电源电压</t>
    <phoneticPr fontId="1" type="noConversion"/>
  </si>
  <si>
    <t>UDC</t>
    <phoneticPr fontId="1" type="noConversion"/>
  </si>
  <si>
    <t>Ualpha</t>
    <phoneticPr fontId="1" type="noConversion"/>
  </si>
  <si>
    <t>Ubeta</t>
    <phoneticPr fontId="1" type="noConversion"/>
  </si>
  <si>
    <t>角度</t>
    <phoneticPr fontId="1" type="noConversion"/>
  </si>
  <si>
    <t>TS(us)</t>
    <phoneticPr fontId="1" type="noConversion"/>
  </si>
  <si>
    <t>副矢量</t>
    <phoneticPr fontId="1" type="noConversion"/>
  </si>
  <si>
    <t>参考(目标)矢量的投影</t>
    <phoneticPr fontId="1" type="noConversion"/>
  </si>
  <si>
    <t>模长/Uout/目标矢量</t>
    <phoneticPr fontId="1" type="noConversion"/>
  </si>
  <si>
    <t>静止坐标系下的投影</t>
    <phoneticPr fontId="1" type="noConversion"/>
  </si>
  <si>
    <t>基矢量的大小：2/3U_DC</t>
    <phoneticPr fontId="1" type="noConversion"/>
  </si>
  <si>
    <t>不失真最大半径：UDC/sqrt(3) = 13.8564</t>
    <phoneticPr fontId="1" type="noConversion"/>
  </si>
  <si>
    <t>计算换相点</t>
    <phoneticPr fontId="1" type="noConversion"/>
  </si>
  <si>
    <t>Ta = (Ts-T主 - T副)/4</t>
    <phoneticPr fontId="1" type="noConversion"/>
  </si>
  <si>
    <t>Tb = Ta+T主/2</t>
    <phoneticPr fontId="1" type="noConversion"/>
  </si>
  <si>
    <t>Tc=Tb+T副/2</t>
    <phoneticPr fontId="1" type="noConversion"/>
  </si>
  <si>
    <t>TC1</t>
    <phoneticPr fontId="1" type="noConversion"/>
  </si>
  <si>
    <t>TH2</t>
    <phoneticPr fontId="1" type="noConversion"/>
  </si>
  <si>
    <t>TH3</t>
    <phoneticPr fontId="1" type="noConversion"/>
  </si>
  <si>
    <t>导通时间/作用时长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</si>
  <si>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</si>
  <si>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</si>
  <si>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</si>
  <si>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N</t>
    <phoneticPr fontId="1" type="noConversion"/>
  </si>
  <si>
    <t>-X</t>
    <phoneticPr fontId="1" type="noConversion"/>
  </si>
  <si>
    <t>-Z</t>
    <phoneticPr fontId="1" type="noConversion"/>
  </si>
  <si>
    <t>-Y</t>
    <phoneticPr fontId="1" type="noConversion"/>
  </si>
  <si>
    <t>六</t>
    <phoneticPr fontId="1" type="noConversion"/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</si>
  <si>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</si>
  <si>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</si>
  <si>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</si>
  <si>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</si>
  <si>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</si>
  <si>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  <phoneticPr fontId="1" type="noConversion"/>
  </si>
  <si>
    <t>五</t>
    <phoneticPr fontId="1" type="noConversion"/>
  </si>
  <si>
    <t>占空比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</si>
  <si>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</si>
  <si>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</si>
  <si>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</si>
  <si>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Alpha,Beta坐标系下的矢量图</t>
    <phoneticPr fontId="1" type="noConversion"/>
  </si>
  <si>
    <t>四</t>
  </si>
  <si>
    <t>RA_S</t>
  </si>
  <si>
    <t>RB_S</t>
  </si>
  <si>
    <t>RC_S</t>
  </si>
  <si>
    <t>MOTOR_PAIR</t>
    <phoneticPr fontId="1" type="noConversion"/>
  </si>
  <si>
    <t>BETA_</t>
  </si>
  <si>
    <t>T_PWM</t>
  </si>
  <si>
    <t>T_UDC</t>
  </si>
  <si>
    <t>Q15</t>
    <phoneticPr fontId="1" type="noConversion"/>
  </si>
  <si>
    <t>Q31</t>
    <phoneticPr fontId="1" type="noConversion"/>
  </si>
  <si>
    <t>UDC</t>
    <phoneticPr fontId="1" type="noConversion"/>
  </si>
  <si>
    <t>RA_ADC_OFFSET</t>
    <phoneticPr fontId="1" type="noConversion"/>
  </si>
  <si>
    <t>RB_ADC_OFFSET</t>
    <phoneticPr fontId="1" type="noConversion"/>
  </si>
  <si>
    <t>RC_ADC_OFFSET</t>
    <phoneticPr fontId="1" type="noConversion"/>
  </si>
  <si>
    <t>IA_FACTOR</t>
    <phoneticPr fontId="1" type="noConversion"/>
  </si>
  <si>
    <t>IB_FACTOR</t>
    <phoneticPr fontId="1" type="noConversion"/>
  </si>
  <si>
    <t>IC_FACTOR</t>
    <phoneticPr fontId="1" type="noConversion"/>
  </si>
  <si>
    <t>电流</t>
    <phoneticPr fontId="1" type="noConversion"/>
  </si>
  <si>
    <t>电阻</t>
    <phoneticPr fontId="1" type="noConversion"/>
  </si>
  <si>
    <t>放大倍数</t>
    <phoneticPr fontId="1" type="noConversion"/>
  </si>
  <si>
    <t>输出电压</t>
    <phoneticPr fontId="1" type="noConversion"/>
  </si>
  <si>
    <t>电压转电流</t>
    <phoneticPr fontId="1" type="noConversion"/>
  </si>
  <si>
    <t>AD值</t>
    <phoneticPr fontId="1" type="noConversion"/>
  </si>
  <si>
    <t>ADC参考电压</t>
    <phoneticPr fontId="1" type="noConversion"/>
  </si>
  <si>
    <t>ADC量程</t>
    <phoneticPr fontId="1" type="noConversion"/>
  </si>
  <si>
    <t>电压值</t>
    <phoneticPr fontId="1" type="noConversion"/>
  </si>
  <si>
    <t>放大倍数</t>
    <phoneticPr fontId="1" type="noConversion"/>
  </si>
  <si>
    <t>采样电阻</t>
    <phoneticPr fontId="1" type="noConversion"/>
  </si>
  <si>
    <t>相电阻</t>
    <phoneticPr fontId="1" type="noConversion"/>
  </si>
  <si>
    <t>电流(A)</t>
    <phoneticPr fontId="1" type="noConversion"/>
  </si>
  <si>
    <t>A</t>
    <phoneticPr fontId="1" type="noConversion"/>
  </si>
  <si>
    <t>_2r_2s</t>
    <phoneticPr fontId="1" type="noConversion"/>
  </si>
  <si>
    <t>d</t>
    <phoneticPr fontId="1" type="noConversion"/>
  </si>
  <si>
    <t>q</t>
    <phoneticPr fontId="1" type="noConversion"/>
  </si>
  <si>
    <t>theta</t>
    <phoneticPr fontId="1" type="noConversion"/>
  </si>
  <si>
    <t>alpha</t>
    <phoneticPr fontId="1" type="noConversion"/>
  </si>
  <si>
    <t>beta</t>
    <phoneticPr fontId="1" type="noConversion"/>
  </si>
  <si>
    <t>弧度制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</si>
</sst>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;[Red]\-0.0000\ "/>
    <numFmt numFmtId="177" formatCode="0_ "/>
    <numFmt numFmtId="178" formatCode="0.000000_);[Red]\(0.000000\)"/>
    <numFmt numFmtId="179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F4A85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176" fontId="0" fillId="2" borderId="0" xfId="0" applyNumberFormat="1" applyFill="1"/>
    <xf numFmtId="176" fontId="0" fillId="3" borderId="0" xfId="0" applyNumberFormat="1" applyFill="1"/>
    <xf numFmtId="176" fontId="0" fillId="0" borderId="0" xfId="0" applyNumberFormat="1" applyAlignment="1">
      <alignment vertical="top"/>
    </xf>
    <xf numFmtId="176" fontId="0" fillId="4" borderId="0" xfId="0" applyNumberFormat="1" applyFill="1"/>
    <xf numFmtId="176" fontId="0" fillId="5" borderId="0" xfId="0" applyNumberFormat="1" applyFill="1"/>
    <xf numFmtId="176" fontId="0" fillId="0" borderId="0" xfId="0" quotePrefix="1" applyNumberFormat="1"/>
    <xf numFmtId="0" fontId="0" fillId="0" borderId="0" xfId="0" quotePrefix="1"/>
    <xf numFmtId="176" fontId="0" fillId="0" borderId="0" xfId="0" applyNumberFormat="1" applyAlignment="1">
      <alignment vertical="center"/>
    </xf>
    <xf numFmtId="176" fontId="0" fillId="6" borderId="1" xfId="0" applyNumberFormat="1" applyFill="1" applyBorder="1"/>
    <xf numFmtId="177" fontId="0" fillId="0" borderId="0" xfId="0" applyNumberFormat="1"/>
    <xf numFmtId="176" fontId="0" fillId="0" borderId="1" xfId="0" applyNumberFormat="1" applyBorder="1"/>
    <xf numFmtId="178" fontId="0" fillId="0" borderId="0" xfId="0" applyNumberFormat="1"/>
    <xf numFmtId="178" fontId="2" fillId="0" borderId="0" xfId="0" applyNumberFormat="1" applyFont="1" applyAlignment="1">
      <alignment vertical="center"/>
    </xf>
    <xf numFmtId="179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4839399876883"/>
          <c:y val="5.0748181493224374E-2"/>
          <c:w val="0.79541364463307129"/>
          <c:h val="0.89850363701355129"/>
        </c:manualLayout>
      </c:layout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'svpwm (2)'!$I$5:$I$29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'svpwm (2)'!$M$5:$M$29</c:f>
              <c:numCache>
                <c:formatCode>0.0000_ ;[Red]\-0.0000\ </c:formatCode>
                <c:ptCount val="25"/>
                <c:pt idx="0">
                  <c:v>0.1</c:v>
                </c:pt>
                <c:pt idx="1">
                  <c:v>9.6592582628542312E-2</c:v>
                </c:pt>
                <c:pt idx="2">
                  <c:v>8.6602540377035478E-2</c:v>
                </c:pt>
                <c:pt idx="3">
                  <c:v>7.07106781156671E-2</c:v>
                </c:pt>
                <c:pt idx="4">
                  <c:v>4.999999999512119E-2</c:v>
                </c:pt>
                <c:pt idx="5">
                  <c:v>2.5881904503450057E-2</c:v>
                </c:pt>
                <c:pt idx="6">
                  <c:v>-8.4503454038896419E-12</c:v>
                </c:pt>
                <c:pt idx="7">
                  <c:v>-2.5881904519774891E-2</c:v>
                </c:pt>
                <c:pt idx="8">
                  <c:v>-5.0000000009757628E-2</c:v>
                </c:pt>
                <c:pt idx="9">
                  <c:v>-7.0710678127617707E-2</c:v>
                </c:pt>
                <c:pt idx="10">
                  <c:v>-8.6602540385485843E-2</c:v>
                </c:pt>
                <c:pt idx="11">
                  <c:v>-9.6592582632916535E-2</c:v>
                </c:pt>
                <c:pt idx="12">
                  <c:v>-0.1</c:v>
                </c:pt>
                <c:pt idx="13">
                  <c:v>-9.6592582624168088E-2</c:v>
                </c:pt>
                <c:pt idx="14">
                  <c:v>-8.6602540368585126E-2</c:v>
                </c:pt>
                <c:pt idx="15">
                  <c:v>-7.0710678103716493E-2</c:v>
                </c:pt>
                <c:pt idx="16">
                  <c:v>-4.9999999980484738E-2</c:v>
                </c:pt>
                <c:pt idx="17">
                  <c:v>-2.5881904487125264E-2</c:v>
                </c:pt>
                <c:pt idx="18">
                  <c:v>2.5351080620589913E-11</c:v>
                </c:pt>
                <c:pt idx="19">
                  <c:v>2.5881904536099704E-2</c:v>
                </c:pt>
                <c:pt idx="20">
                  <c:v>5.0000000024394101E-2</c:v>
                </c:pt>
                <c:pt idx="21">
                  <c:v>7.0710678139568314E-2</c:v>
                </c:pt>
                <c:pt idx="22">
                  <c:v>8.6602540393936167E-2</c:v>
                </c:pt>
                <c:pt idx="23">
                  <c:v>9.6592582637290758E-2</c:v>
                </c:pt>
                <c:pt idx="2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7-46F4-BDD1-1EAE7F28C55E}"/>
            </c:ext>
          </c:extLst>
        </c:ser>
        <c:ser>
          <c:idx val="1"/>
          <c:order val="1"/>
          <c:tx>
            <c:v>beta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'svpwm (2)'!$I$5:$I$29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'svpwm (2)'!$N$5:$N$29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2.5881904511612482E-2</c:v>
                </c:pt>
                <c:pt idx="2">
                  <c:v>5.0000000002439406E-2</c:v>
                </c:pt>
                <c:pt idx="3">
                  <c:v>7.0710678121642404E-2</c:v>
                </c:pt>
                <c:pt idx="4">
                  <c:v>8.6602540381260654E-2</c:v>
                </c:pt>
                <c:pt idx="5">
                  <c:v>9.6592582630729437E-2</c:v>
                </c:pt>
                <c:pt idx="6">
                  <c:v>0.1</c:v>
                </c:pt>
                <c:pt idx="7">
                  <c:v>9.65925826263552E-2</c:v>
                </c:pt>
                <c:pt idx="8">
                  <c:v>8.6602540372810288E-2</c:v>
                </c:pt>
                <c:pt idx="9">
                  <c:v>7.0710678109691796E-2</c:v>
                </c:pt>
                <c:pt idx="10">
                  <c:v>4.9999999987802954E-2</c:v>
                </c:pt>
                <c:pt idx="11">
                  <c:v>2.5881904495287673E-2</c:v>
                </c:pt>
                <c:pt idx="12">
                  <c:v>-1.6900690807779284E-11</c:v>
                </c:pt>
                <c:pt idx="13">
                  <c:v>-2.5881904527937302E-2</c:v>
                </c:pt>
                <c:pt idx="14">
                  <c:v>-5.0000000017075844E-2</c:v>
                </c:pt>
                <c:pt idx="15">
                  <c:v>-7.0710678133593011E-2</c:v>
                </c:pt>
                <c:pt idx="16">
                  <c:v>-8.6602540389711005E-2</c:v>
                </c:pt>
                <c:pt idx="17">
                  <c:v>-9.6592582635103647E-2</c:v>
                </c:pt>
                <c:pt idx="18">
                  <c:v>-0.1</c:v>
                </c:pt>
                <c:pt idx="19">
                  <c:v>-9.6592582621980991E-2</c:v>
                </c:pt>
                <c:pt idx="20">
                  <c:v>-8.6602540364359937E-2</c:v>
                </c:pt>
                <c:pt idx="21">
                  <c:v>-7.0710678097741203E-2</c:v>
                </c:pt>
                <c:pt idx="22">
                  <c:v>-4.9999999973166565E-2</c:v>
                </c:pt>
                <c:pt idx="23">
                  <c:v>-2.5881904478962815E-2</c:v>
                </c:pt>
                <c:pt idx="24">
                  <c:v>3.3801381615558568E-11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7-46F4-BDD1-1EAE7F28C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18527"/>
        <c:axId val="820350335"/>
      </c:scatterChart>
      <c:valAx>
        <c:axId val="99951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350335"/>
        <c:crosses val="autoZero"/>
        <c:crossBetween val="midCat"/>
      </c:valAx>
      <c:valAx>
        <c:axId val="8203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51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'svpwm (2)'!$J$38:$J$60</c:f>
              <c:numCache>
                <c:formatCode>0.0000_ ;[Red]\-0.0000\ 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</c:numCache>
            </c:numRef>
          </c:xVal>
          <c:yVal>
            <c:numRef>
              <c:f>'svpwm (2)'!$H$69:$H$92</c:f>
              <c:numCache>
                <c:formatCode>0.0000_ ;[Red]\-0.0000\ </c:formatCode>
                <c:ptCount val="24"/>
                <c:pt idx="0">
                  <c:v>24.84375</c:v>
                </c:pt>
                <c:pt idx="1">
                  <c:v>24.825725770053964</c:v>
                </c:pt>
                <c:pt idx="2">
                  <c:v>24.819578040878241</c:v>
                </c:pt>
                <c:pt idx="3">
                  <c:v>24.825725770056597</c:v>
                </c:pt>
                <c:pt idx="4">
                  <c:v>24.843749999994916</c:v>
                </c:pt>
                <c:pt idx="5">
                  <c:v>24.825725770051335</c:v>
                </c:pt>
                <c:pt idx="6">
                  <c:v>24.819578040878245</c:v>
                </c:pt>
                <c:pt idx="7">
                  <c:v>24.825725770059226</c:v>
                </c:pt>
                <c:pt idx="8">
                  <c:v>24.843749999989836</c:v>
                </c:pt>
                <c:pt idx="9">
                  <c:v>24.825725770048702</c:v>
                </c:pt>
                <c:pt idx="10">
                  <c:v>24.819578040878241</c:v>
                </c:pt>
                <c:pt idx="11">
                  <c:v>24.825725770061855</c:v>
                </c:pt>
                <c:pt idx="12">
                  <c:v>24.843749999984752</c:v>
                </c:pt>
                <c:pt idx="13">
                  <c:v>24.825725770046073</c:v>
                </c:pt>
                <c:pt idx="14">
                  <c:v>24.819578040878241</c:v>
                </c:pt>
                <c:pt idx="15">
                  <c:v>24.825725770064487</c:v>
                </c:pt>
                <c:pt idx="16">
                  <c:v>24.843749999979671</c:v>
                </c:pt>
                <c:pt idx="17">
                  <c:v>24.825725770043441</c:v>
                </c:pt>
                <c:pt idx="18">
                  <c:v>24.819578040878245</c:v>
                </c:pt>
                <c:pt idx="19">
                  <c:v>24.825725770067116</c:v>
                </c:pt>
                <c:pt idx="20">
                  <c:v>24.843749999974587</c:v>
                </c:pt>
                <c:pt idx="21">
                  <c:v>24.825725770040812</c:v>
                </c:pt>
                <c:pt idx="22">
                  <c:v>24.819578040878241</c:v>
                </c:pt>
                <c:pt idx="23">
                  <c:v>24.825725770069749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4-4675-9200-02BA10FC49CC}"/>
            </c:ext>
          </c:extLst>
        </c:ser>
        <c:ser>
          <c:idx val="1"/>
          <c:order val="1"/>
          <c:tx>
            <c:v>Tb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'svpwm (2)'!$J$38:$J$61</c:f>
              <c:numCache>
                <c:formatCode>0.0000_ ;[Red]\-0.0000\ 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'svpwm (2)'!$I$69:$I$92</c:f>
              <c:numCache>
                <c:formatCode>0.0000_ ;[Red]\-0.0000\ </c:formatCode>
                <c:ptCount val="24"/>
                <c:pt idx="0">
                  <c:v>25.15625</c:v>
                </c:pt>
                <c:pt idx="1">
                  <c:v>25.080880951590284</c:v>
                </c:pt>
                <c:pt idx="2">
                  <c:v>24.999999999991196</c:v>
                </c:pt>
                <c:pt idx="3">
                  <c:v>24.919119048392709</c:v>
                </c:pt>
                <c:pt idx="4">
                  <c:v>24.843750000015245</c:v>
                </c:pt>
                <c:pt idx="5">
                  <c:v>24.919119048426719</c:v>
                </c:pt>
                <c:pt idx="6">
                  <c:v>25.000000000026411</c:v>
                </c:pt>
                <c:pt idx="7">
                  <c:v>25.080880951624295</c:v>
                </c:pt>
                <c:pt idx="8">
                  <c:v>25.156249999969507</c:v>
                </c:pt>
                <c:pt idx="9">
                  <c:v>25.080880951556274</c:v>
                </c:pt>
                <c:pt idx="10">
                  <c:v>24.999999999955985</c:v>
                </c:pt>
                <c:pt idx="11">
                  <c:v>24.919119048358695</c:v>
                </c:pt>
                <c:pt idx="12">
                  <c:v>24.843750000045738</c:v>
                </c:pt>
                <c:pt idx="13">
                  <c:v>24.919119048460729</c:v>
                </c:pt>
                <c:pt idx="14">
                  <c:v>25.000000000061615</c:v>
                </c:pt>
                <c:pt idx="15">
                  <c:v>25.080880951658305</c:v>
                </c:pt>
                <c:pt idx="16">
                  <c:v>25.156249999939014</c:v>
                </c:pt>
                <c:pt idx="17">
                  <c:v>25.080880951522264</c:v>
                </c:pt>
                <c:pt idx="18">
                  <c:v>24.999999999920782</c:v>
                </c:pt>
                <c:pt idx="19">
                  <c:v>24.919119048324685</c:v>
                </c:pt>
                <c:pt idx="20">
                  <c:v>24.843750000076231</c:v>
                </c:pt>
                <c:pt idx="21">
                  <c:v>24.919119048494739</c:v>
                </c:pt>
                <c:pt idx="22">
                  <c:v>25.000000000096826</c:v>
                </c:pt>
                <c:pt idx="23">
                  <c:v>25.080880951692315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4-4675-9200-02BA10FC49CC}"/>
            </c:ext>
          </c:extLst>
        </c:ser>
        <c:ser>
          <c:idx val="2"/>
          <c:order val="2"/>
          <c:tx>
            <c:v>Tc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'svpwm (2)'!$J$38:$J$61</c:f>
              <c:numCache>
                <c:formatCode>0.0000_ ;[Red]\-0.0000\ 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'svpwm (2)'!$J$69:$J$92</c:f>
              <c:numCache>
                <c:formatCode>0.0000_ ;[Red]\-0.0000\ </c:formatCode>
                <c:ptCount val="24"/>
                <c:pt idx="0">
                  <c:v>25.15625</c:v>
                </c:pt>
                <c:pt idx="1">
                  <c:v>25.174274229946032</c:v>
                </c:pt>
                <c:pt idx="2">
                  <c:v>25.180421959121755</c:v>
                </c:pt>
                <c:pt idx="3">
                  <c:v>25.174274229943403</c:v>
                </c:pt>
                <c:pt idx="4">
                  <c:v>25.15625000000508</c:v>
                </c:pt>
                <c:pt idx="5">
                  <c:v>25.174274229948665</c:v>
                </c:pt>
                <c:pt idx="6">
                  <c:v>25.180421959121762</c:v>
                </c:pt>
                <c:pt idx="7">
                  <c:v>25.174274229940771</c:v>
                </c:pt>
                <c:pt idx="8">
                  <c:v>25.156250000010164</c:v>
                </c:pt>
                <c:pt idx="9">
                  <c:v>25.174274229951294</c:v>
                </c:pt>
                <c:pt idx="10">
                  <c:v>25.180421959121755</c:v>
                </c:pt>
                <c:pt idx="11">
                  <c:v>25.174274229938138</c:v>
                </c:pt>
                <c:pt idx="12">
                  <c:v>25.156250000015245</c:v>
                </c:pt>
                <c:pt idx="13">
                  <c:v>25.174274229953927</c:v>
                </c:pt>
                <c:pt idx="14">
                  <c:v>25.180421959121755</c:v>
                </c:pt>
                <c:pt idx="15">
                  <c:v>25.174274229935509</c:v>
                </c:pt>
                <c:pt idx="16">
                  <c:v>25.156250000020329</c:v>
                </c:pt>
                <c:pt idx="17">
                  <c:v>25.174274229956556</c:v>
                </c:pt>
                <c:pt idx="18">
                  <c:v>25.180421959121762</c:v>
                </c:pt>
                <c:pt idx="19">
                  <c:v>25.174274229932877</c:v>
                </c:pt>
                <c:pt idx="20">
                  <c:v>25.156250000025409</c:v>
                </c:pt>
                <c:pt idx="21">
                  <c:v>25.174274229959188</c:v>
                </c:pt>
                <c:pt idx="22">
                  <c:v>25.180421959121755</c:v>
                </c:pt>
                <c:pt idx="23">
                  <c:v>25.174274229930248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04-4675-9200-02BA10FC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1663"/>
        <c:axId val="1067175087"/>
      </c:scatterChart>
      <c:valAx>
        <c:axId val="106767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175087"/>
        <c:crosses val="autoZero"/>
        <c:crossBetween val="midCat"/>
      </c:valAx>
      <c:valAx>
        <c:axId val="10671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67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387349</xdr:colOff>
      <xdr:row>43</xdr:row>
      <xdr:rowOff>93133</xdr:rowOff>
    </xdr:from>
    <xdr:to>
      <xdr:col>17</xdr:col>
      <xdr:colOff>557145</xdr:colOff>
      <xdr:row>53</xdr:row>
      <xdr:rowOff>85312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83F9E29-3060-4AE5-B9F0-0E11E4FB0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0816" y="7704666"/>
          <a:ext cx="2244129" cy="1770179"/>
        </a:xfrm>
        <a:prstGeom prst="rect">
          <a:avLst/>
        </a:prstGeom>
      </xdr:spPr>
    </xdr:pic>
    <xdr:clientData/>
  </xdr:twoCellAnchor>
  <xdr:twoCellAnchor editAs="oneCell">
    <xdr:from>
      <xdr:col>5</xdr:col>
      <xdr:colOff>71883</xdr:colOff>
      <xdr:row>29</xdr:row>
      <xdr:rowOff>129296</xdr:rowOff>
    </xdr:from>
    <xdr:to>
      <xdr:col>9</xdr:col>
      <xdr:colOff>249194</xdr:colOff>
      <xdr:row>36</xdr:row>
      <xdr:rowOff>18507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8B54757-BE03-4790-985D-2CC65F629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9383" y="7593331"/>
          <a:ext cx="3931609" cy="1136930"/>
        </a:xfrm>
        <a:prstGeom prst="rect">
          <a:avLst/>
        </a:prstGeom>
      </xdr:spPr>
    </xdr:pic>
    <xdr:clientData/>
  </xdr:twoCellAnchor>
  <xdr:twoCellAnchor>
    <xdr:from>
      <xdr:col>14</xdr:col>
      <xdr:colOff>509753</xdr:colOff>
      <xdr:row>9</xdr:row>
      <xdr:rowOff>163843</xdr:rowOff>
    </xdr:from>
    <xdr:to>
      <xdr:col>21</xdr:col>
      <xdr:colOff>261811</xdr:colOff>
      <xdr:row>25</xdr:row>
      <xdr:rowOff>28913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F50177B-E5D8-6DF0-A4BE-4E3B75525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337553</xdr:colOff>
      <xdr:row>71</xdr:row>
      <xdr:rowOff>171338</xdr:rowOff>
    </xdr:from>
    <xdr:to>
      <xdr:col>24</xdr:col>
      <xdr:colOff>74641</xdr:colOff>
      <xdr:row>87</xdr:row>
      <xdr:rowOff>62608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98D42D9-AF5E-A024-048A-D0D58C21E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64D3-99F1-485C-A41B-012A8178766E}">
  <dimension ref="D1:S92"/>
  <sheetViews>
    <sheetView topLeftCell="D1" zoomScale="84" zoomScaleNormal="70" workbookViewId="0">
      <selection activeCell="S65" sqref="S65"/>
    </sheetView>
  </sheetViews>
  <sheetFormatPr defaultColWidth="9" defaultRowHeight="14" x14ac:dyDescent="0.3"/>
  <cols>
    <col min="1" max="1" width="9" style="1"/>
    <col min="2" max="2" width="14.83203125" style="1" customWidth="1"/>
    <col min="3" max="3" width="12.33203125" style="1" customWidth="1"/>
    <col min="4" max="5" width="9" style="1"/>
    <col min="6" max="6" width="9.08203125" style="1" bestFit="1" customWidth="1"/>
    <col min="7" max="7" width="10.25" style="1" customWidth="1"/>
    <col min="8" max="8" width="14.08203125" style="1" customWidth="1"/>
    <col min="9" max="9" width="15.83203125" style="1" customWidth="1"/>
    <col min="10" max="10" width="12.58203125" style="1" customWidth="1"/>
    <col min="11" max="11" width="12.5" style="1" customWidth="1"/>
    <col min="12" max="12" width="13.5" style="1" customWidth="1"/>
    <col min="13" max="13" width="15.33203125" style="1" customWidth="1"/>
    <col min="14" max="14" width="17.58203125" style="1" customWidth="1"/>
    <col min="15" max="16" width="9.08203125" style="1" bestFit="1" customWidth="1"/>
    <col min="17" max="16384" width="9" style="1"/>
  </cols>
  <sheetData>
    <row r="1" spans="6:19" x14ac:dyDescent="0.3">
      <c r="G1" s="1" t="s">
        <v>53</v>
      </c>
      <c r="Q1" s="16"/>
      <c r="R1" s="16"/>
      <c r="S1" s="16"/>
    </row>
    <row r="2" spans="6:19" x14ac:dyDescent="0.3">
      <c r="G2" s="1" t="s">
        <v>24</v>
      </c>
    </row>
    <row r="3" spans="6:19" x14ac:dyDescent="0.3">
      <c r="G3" s="1" t="s">
        <v>25</v>
      </c>
      <c r="M3" s="16" t="s">
        <v>23</v>
      </c>
      <c r="N3" s="16"/>
    </row>
    <row r="4" spans="6:19" x14ac:dyDescent="0.3">
      <c r="G4" s="1" t="s">
        <v>14</v>
      </c>
      <c r="H4" s="1" t="s">
        <v>22</v>
      </c>
      <c r="I4" s="2" t="s">
        <v>2</v>
      </c>
      <c r="J4" s="1" t="s">
        <v>5</v>
      </c>
      <c r="K4" s="1" t="s">
        <v>0</v>
      </c>
      <c r="L4" s="1" t="s">
        <v>1</v>
      </c>
      <c r="M4" s="2" t="s">
        <v>3</v>
      </c>
      <c r="N4" s="3" t="s">
        <v>4</v>
      </c>
    </row>
    <row r="5" spans="6:19" x14ac:dyDescent="0.3">
      <c r="G5" s="1">
        <v>24</v>
      </c>
      <c r="H5" s="1">
        <v>0.1</v>
      </c>
      <c r="I5" s="1">
        <v>0</v>
      </c>
      <c r="J5" s="1">
        <f t="shared" ref="J5:J29" si="0">I5/57.29577951</f>
        <v>0</v>
      </c>
      <c r="K5" s="1">
        <f t="shared" ref="K5:K29" si="1">COS(J5)</f>
        <v>1</v>
      </c>
      <c r="L5" s="1">
        <f t="shared" ref="L5:L29" si="2">SIN(J5)</f>
        <v>0</v>
      </c>
      <c r="M5" s="1">
        <f t="shared" ref="M5:M29" si="3">K5*H5</f>
        <v>0.1</v>
      </c>
      <c r="N5" s="1">
        <f t="shared" ref="N5:N29" si="4">L5*H5</f>
        <v>0</v>
      </c>
    </row>
    <row r="6" spans="6:19" x14ac:dyDescent="0.3">
      <c r="G6" s="1">
        <v>24</v>
      </c>
      <c r="H6" s="1">
        <v>0.1</v>
      </c>
      <c r="I6" s="1">
        <v>15</v>
      </c>
      <c r="J6" s="1">
        <f t="shared" si="0"/>
        <v>0.26179938781323336</v>
      </c>
      <c r="K6" s="1">
        <f t="shared" si="1"/>
        <v>0.96592582628542312</v>
      </c>
      <c r="L6" s="1">
        <f t="shared" si="2"/>
        <v>0.2588190451161248</v>
      </c>
      <c r="M6" s="1">
        <f t="shared" si="3"/>
        <v>9.6592582628542312E-2</v>
      </c>
      <c r="N6" s="1">
        <f t="shared" si="4"/>
        <v>2.5881904511612482E-2</v>
      </c>
    </row>
    <row r="7" spans="6:19" ht="13.5" customHeight="1" x14ac:dyDescent="0.3">
      <c r="G7" s="1">
        <v>24</v>
      </c>
      <c r="H7" s="1">
        <v>0.1</v>
      </c>
      <c r="I7" s="1">
        <v>30</v>
      </c>
      <c r="J7" s="1">
        <f t="shared" si="0"/>
        <v>0.52359877562646673</v>
      </c>
      <c r="K7" s="1">
        <f t="shared" si="1"/>
        <v>0.86602540377035475</v>
      </c>
      <c r="L7" s="1">
        <f t="shared" si="2"/>
        <v>0.50000000002439404</v>
      </c>
      <c r="M7" s="1">
        <f t="shared" si="3"/>
        <v>8.6602540377035478E-2</v>
      </c>
      <c r="N7" s="1">
        <f t="shared" si="4"/>
        <v>5.0000000002439406E-2</v>
      </c>
    </row>
    <row r="8" spans="6:19" ht="13.5" customHeight="1" x14ac:dyDescent="0.3">
      <c r="G8" s="1">
        <v>24</v>
      </c>
      <c r="H8" s="1">
        <v>0.1</v>
      </c>
      <c r="I8" s="1">
        <v>45</v>
      </c>
      <c r="J8" s="1">
        <f t="shared" si="0"/>
        <v>0.78539816343970004</v>
      </c>
      <c r="K8" s="1">
        <f t="shared" si="1"/>
        <v>0.70710678115667103</v>
      </c>
      <c r="L8" s="1">
        <f t="shared" si="2"/>
        <v>0.70710678121642401</v>
      </c>
      <c r="M8" s="1">
        <f t="shared" si="3"/>
        <v>7.07106781156671E-2</v>
      </c>
      <c r="N8" s="1">
        <f t="shared" si="4"/>
        <v>7.0710678121642404E-2</v>
      </c>
    </row>
    <row r="9" spans="6:19" s="5" customFormat="1" x14ac:dyDescent="0.3">
      <c r="F9" s="1"/>
      <c r="G9" s="5">
        <v>24</v>
      </c>
      <c r="H9" s="1">
        <v>0.1</v>
      </c>
      <c r="I9" s="5">
        <v>60</v>
      </c>
      <c r="J9" s="1">
        <f t="shared" si="0"/>
        <v>1.0471975512529335</v>
      </c>
      <c r="K9" s="1">
        <f t="shared" si="1"/>
        <v>0.49999999995121186</v>
      </c>
      <c r="L9" s="1">
        <f t="shared" si="2"/>
        <v>0.86602540381260651</v>
      </c>
      <c r="M9" s="5">
        <f t="shared" si="3"/>
        <v>4.999999999512119E-2</v>
      </c>
      <c r="N9" s="5">
        <f t="shared" si="4"/>
        <v>8.6602540381260654E-2</v>
      </c>
    </row>
    <row r="10" spans="6:19" x14ac:dyDescent="0.3">
      <c r="G10" s="1">
        <v>24</v>
      </c>
      <c r="H10" s="1">
        <v>0.1</v>
      </c>
      <c r="I10" s="1">
        <v>75</v>
      </c>
      <c r="J10" s="1">
        <f t="shared" si="0"/>
        <v>1.3089969390661669</v>
      </c>
      <c r="K10" s="1">
        <f t="shared" si="1"/>
        <v>0.25881904503450054</v>
      </c>
      <c r="L10" s="1">
        <f t="shared" si="2"/>
        <v>0.96592582630729429</v>
      </c>
      <c r="M10" s="1">
        <f t="shared" si="3"/>
        <v>2.5881904503450057E-2</v>
      </c>
      <c r="N10" s="1">
        <f t="shared" si="4"/>
        <v>9.6592582630729437E-2</v>
      </c>
    </row>
    <row r="11" spans="6:19" x14ac:dyDescent="0.3">
      <c r="G11" s="1">
        <v>24</v>
      </c>
      <c r="H11" s="1">
        <v>0.1</v>
      </c>
      <c r="I11" s="1">
        <v>90</v>
      </c>
      <c r="J11" s="1">
        <f t="shared" si="0"/>
        <v>1.5707963268794001</v>
      </c>
      <c r="K11" s="1">
        <f t="shared" si="1"/>
        <v>-8.4503454038896419E-11</v>
      </c>
      <c r="L11" s="1">
        <f t="shared" si="2"/>
        <v>1</v>
      </c>
      <c r="M11" s="1">
        <f t="shared" si="3"/>
        <v>-8.4503454038896419E-12</v>
      </c>
      <c r="N11" s="1">
        <f t="shared" si="4"/>
        <v>0.1</v>
      </c>
    </row>
    <row r="12" spans="6:19" x14ac:dyDescent="0.3">
      <c r="G12" s="1">
        <v>24</v>
      </c>
      <c r="H12" s="1">
        <v>0.1</v>
      </c>
      <c r="I12" s="1">
        <v>105</v>
      </c>
      <c r="J12" s="1">
        <f t="shared" si="0"/>
        <v>1.8325957146926335</v>
      </c>
      <c r="K12" s="1">
        <f t="shared" si="1"/>
        <v>-0.2588190451977489</v>
      </c>
      <c r="L12" s="1">
        <f t="shared" si="2"/>
        <v>0.96592582626355195</v>
      </c>
      <c r="M12" s="1">
        <f t="shared" si="3"/>
        <v>-2.5881904519774891E-2</v>
      </c>
      <c r="N12" s="1">
        <f t="shared" si="4"/>
        <v>9.65925826263552E-2</v>
      </c>
    </row>
    <row r="13" spans="6:19" s="5" customFormat="1" ht="13.5" customHeight="1" x14ac:dyDescent="0.3">
      <c r="F13" s="1"/>
      <c r="G13" s="5">
        <v>24</v>
      </c>
      <c r="H13" s="1">
        <v>0.1</v>
      </c>
      <c r="I13" s="5">
        <v>120</v>
      </c>
      <c r="J13" s="1">
        <f t="shared" si="0"/>
        <v>2.0943951025058669</v>
      </c>
      <c r="K13" s="1">
        <f t="shared" si="1"/>
        <v>-0.50000000009757628</v>
      </c>
      <c r="L13" s="1">
        <f t="shared" si="2"/>
        <v>0.86602540372810288</v>
      </c>
      <c r="M13" s="5">
        <f t="shared" si="3"/>
        <v>-5.0000000009757628E-2</v>
      </c>
      <c r="N13" s="5">
        <f t="shared" si="4"/>
        <v>8.6602540372810288E-2</v>
      </c>
    </row>
    <row r="14" spans="6:19" ht="13.5" customHeight="1" x14ac:dyDescent="0.3">
      <c r="G14" s="1">
        <v>24</v>
      </c>
      <c r="H14" s="1">
        <v>0.1</v>
      </c>
      <c r="I14" s="1">
        <v>135</v>
      </c>
      <c r="J14" s="1">
        <f t="shared" si="0"/>
        <v>2.3561944903191003</v>
      </c>
      <c r="K14" s="1">
        <f t="shared" si="1"/>
        <v>-0.7071067812761771</v>
      </c>
      <c r="L14" s="1">
        <f t="shared" si="2"/>
        <v>0.70710678109691794</v>
      </c>
      <c r="M14" s="1">
        <f t="shared" si="3"/>
        <v>-7.0710678127617707E-2</v>
      </c>
      <c r="N14" s="1">
        <f t="shared" si="4"/>
        <v>7.0710678109691796E-2</v>
      </c>
    </row>
    <row r="15" spans="6:19" x14ac:dyDescent="0.3">
      <c r="G15" s="1">
        <v>24</v>
      </c>
      <c r="H15" s="1">
        <v>0.1</v>
      </c>
      <c r="I15" s="1">
        <v>150</v>
      </c>
      <c r="J15" s="1">
        <f t="shared" si="0"/>
        <v>2.6179938781323338</v>
      </c>
      <c r="K15" s="1">
        <f t="shared" si="1"/>
        <v>-0.86602540385485838</v>
      </c>
      <c r="L15" s="1">
        <f t="shared" si="2"/>
        <v>0.49999999987802951</v>
      </c>
      <c r="M15" s="1">
        <f t="shared" si="3"/>
        <v>-8.6602540385485843E-2</v>
      </c>
      <c r="N15" s="1">
        <f t="shared" si="4"/>
        <v>4.9999999987802954E-2</v>
      </c>
    </row>
    <row r="16" spans="6:19" x14ac:dyDescent="0.3">
      <c r="G16" s="1">
        <v>24</v>
      </c>
      <c r="H16" s="1">
        <v>0.1</v>
      </c>
      <c r="I16" s="1">
        <v>165</v>
      </c>
      <c r="J16" s="1">
        <f t="shared" si="0"/>
        <v>2.8797932659455667</v>
      </c>
      <c r="K16" s="1">
        <f t="shared" si="1"/>
        <v>-0.96592582632916524</v>
      </c>
      <c r="L16" s="1">
        <f t="shared" si="2"/>
        <v>0.25881904495287672</v>
      </c>
      <c r="M16" s="1">
        <f t="shared" si="3"/>
        <v>-9.6592582632916535E-2</v>
      </c>
      <c r="N16" s="1">
        <f t="shared" si="4"/>
        <v>2.5881904495287673E-2</v>
      </c>
    </row>
    <row r="17" spans="6:14" s="5" customFormat="1" x14ac:dyDescent="0.3">
      <c r="F17" s="1"/>
      <c r="G17" s="5">
        <v>24</v>
      </c>
      <c r="H17" s="1">
        <v>0.1</v>
      </c>
      <c r="I17" s="5">
        <v>180</v>
      </c>
      <c r="J17" s="1">
        <f t="shared" si="0"/>
        <v>3.1415926537588001</v>
      </c>
      <c r="K17" s="1">
        <f t="shared" si="1"/>
        <v>-1</v>
      </c>
      <c r="L17" s="1">
        <f t="shared" si="2"/>
        <v>-1.6900690807779284E-10</v>
      </c>
      <c r="M17" s="5">
        <f t="shared" si="3"/>
        <v>-0.1</v>
      </c>
      <c r="N17" s="5">
        <f t="shared" si="4"/>
        <v>-1.6900690807779284E-11</v>
      </c>
    </row>
    <row r="18" spans="6:14" x14ac:dyDescent="0.3">
      <c r="G18" s="1">
        <v>24</v>
      </c>
      <c r="H18" s="1">
        <v>0.1</v>
      </c>
      <c r="I18" s="1">
        <v>195</v>
      </c>
      <c r="J18" s="1">
        <f t="shared" si="0"/>
        <v>3.4033920415720336</v>
      </c>
      <c r="K18" s="1">
        <f t="shared" si="1"/>
        <v>-0.96592582624168088</v>
      </c>
      <c r="L18" s="1">
        <f t="shared" si="2"/>
        <v>-0.25881904527937299</v>
      </c>
      <c r="M18" s="1">
        <f t="shared" si="3"/>
        <v>-9.6592582624168088E-2</v>
      </c>
      <c r="N18" s="1">
        <f t="shared" si="4"/>
        <v>-2.5881904527937302E-2</v>
      </c>
    </row>
    <row r="19" spans="6:14" x14ac:dyDescent="0.3">
      <c r="G19" s="1">
        <v>24</v>
      </c>
      <c r="H19" s="1">
        <v>0.1</v>
      </c>
      <c r="I19" s="1">
        <v>210</v>
      </c>
      <c r="J19" s="1">
        <f t="shared" si="0"/>
        <v>3.665191429385267</v>
      </c>
      <c r="K19" s="1">
        <f t="shared" si="1"/>
        <v>-0.86602540368585124</v>
      </c>
      <c r="L19" s="1">
        <f t="shared" si="2"/>
        <v>-0.50000000017075841</v>
      </c>
      <c r="M19" s="1">
        <f t="shared" si="3"/>
        <v>-8.6602540368585126E-2</v>
      </c>
      <c r="N19" s="1">
        <f t="shared" si="4"/>
        <v>-5.0000000017075844E-2</v>
      </c>
    </row>
    <row r="20" spans="6:14" x14ac:dyDescent="0.3">
      <c r="G20" s="1">
        <v>24</v>
      </c>
      <c r="H20" s="1">
        <v>0.1</v>
      </c>
      <c r="I20" s="1">
        <v>225</v>
      </c>
      <c r="J20" s="1">
        <f t="shared" si="0"/>
        <v>3.9269908171985004</v>
      </c>
      <c r="K20" s="1">
        <f t="shared" si="1"/>
        <v>-0.70710678103716496</v>
      </c>
      <c r="L20" s="1">
        <f t="shared" si="2"/>
        <v>-0.70710678133593008</v>
      </c>
      <c r="M20" s="1">
        <f t="shared" si="3"/>
        <v>-7.0710678103716493E-2</v>
      </c>
      <c r="N20" s="1">
        <f t="shared" si="4"/>
        <v>-7.0710678133593011E-2</v>
      </c>
    </row>
    <row r="21" spans="6:14" s="5" customFormat="1" x14ac:dyDescent="0.3">
      <c r="F21" s="1"/>
      <c r="G21" s="1">
        <v>24</v>
      </c>
      <c r="H21" s="1">
        <v>0.1</v>
      </c>
      <c r="I21" s="5">
        <v>240</v>
      </c>
      <c r="J21" s="1">
        <f t="shared" si="0"/>
        <v>4.1887902050117338</v>
      </c>
      <c r="K21" s="1">
        <f t="shared" si="1"/>
        <v>-0.49999999980484738</v>
      </c>
      <c r="L21" s="1">
        <f t="shared" si="2"/>
        <v>-0.86602540389711002</v>
      </c>
      <c r="M21" s="1">
        <f t="shared" si="3"/>
        <v>-4.9999999980484738E-2</v>
      </c>
      <c r="N21" s="1">
        <f t="shared" si="4"/>
        <v>-8.6602540389711005E-2</v>
      </c>
    </row>
    <row r="22" spans="6:14" s="5" customFormat="1" x14ac:dyDescent="0.3">
      <c r="F22" s="1"/>
      <c r="G22" s="1">
        <v>24</v>
      </c>
      <c r="H22" s="1">
        <v>0.1</v>
      </c>
      <c r="I22" s="5">
        <v>255</v>
      </c>
      <c r="J22" s="1">
        <f t="shared" si="0"/>
        <v>4.4505895928249668</v>
      </c>
      <c r="K22" s="1">
        <f t="shared" si="1"/>
        <v>-0.25881904487125262</v>
      </c>
      <c r="L22" s="1">
        <f t="shared" si="2"/>
        <v>-0.96592582635103641</v>
      </c>
      <c r="M22" s="1">
        <f t="shared" si="3"/>
        <v>-2.5881904487125264E-2</v>
      </c>
      <c r="N22" s="1">
        <f t="shared" si="4"/>
        <v>-9.6592582635103647E-2</v>
      </c>
    </row>
    <row r="23" spans="6:14" x14ac:dyDescent="0.3">
      <c r="G23" s="1">
        <v>24</v>
      </c>
      <c r="H23" s="1">
        <v>0.1</v>
      </c>
      <c r="I23" s="1">
        <v>270</v>
      </c>
      <c r="J23" s="1">
        <f t="shared" si="0"/>
        <v>4.7123889806382007</v>
      </c>
      <c r="K23" s="1">
        <f t="shared" si="1"/>
        <v>2.5351080620589911E-10</v>
      </c>
      <c r="L23" s="1">
        <f t="shared" si="2"/>
        <v>-1</v>
      </c>
      <c r="M23" s="1">
        <f t="shared" si="3"/>
        <v>2.5351080620589913E-11</v>
      </c>
      <c r="N23" s="1">
        <f t="shared" si="4"/>
        <v>-0.1</v>
      </c>
    </row>
    <row r="24" spans="6:14" x14ac:dyDescent="0.3">
      <c r="G24" s="1">
        <v>24</v>
      </c>
      <c r="H24" s="1">
        <v>0.1</v>
      </c>
      <c r="I24" s="1">
        <v>285</v>
      </c>
      <c r="J24" s="1">
        <f t="shared" si="0"/>
        <v>4.9741883684514336</v>
      </c>
      <c r="K24" s="1">
        <f t="shared" si="1"/>
        <v>0.25881904536099704</v>
      </c>
      <c r="L24" s="1">
        <f t="shared" si="2"/>
        <v>-0.96592582621980982</v>
      </c>
      <c r="M24" s="1">
        <f t="shared" si="3"/>
        <v>2.5881904536099704E-2</v>
      </c>
      <c r="N24" s="1">
        <f t="shared" si="4"/>
        <v>-9.6592582621980991E-2</v>
      </c>
    </row>
    <row r="25" spans="6:14" s="5" customFormat="1" x14ac:dyDescent="0.3">
      <c r="F25" s="1"/>
      <c r="G25" s="1">
        <v>24</v>
      </c>
      <c r="H25" s="1">
        <v>0.1</v>
      </c>
      <c r="I25" s="5">
        <v>300</v>
      </c>
      <c r="J25" s="1">
        <f t="shared" si="0"/>
        <v>5.2359877562646675</v>
      </c>
      <c r="K25" s="1">
        <f t="shared" si="1"/>
        <v>0.50000000024394098</v>
      </c>
      <c r="L25" s="1">
        <f t="shared" si="2"/>
        <v>-0.86602540364359926</v>
      </c>
      <c r="M25" s="1">
        <f t="shared" si="3"/>
        <v>5.0000000024394101E-2</v>
      </c>
      <c r="N25" s="1">
        <f t="shared" si="4"/>
        <v>-8.6602540364359937E-2</v>
      </c>
    </row>
    <row r="26" spans="6:14" s="5" customFormat="1" x14ac:dyDescent="0.3">
      <c r="F26" s="1"/>
      <c r="G26" s="1">
        <v>24</v>
      </c>
      <c r="H26" s="1">
        <v>0.1</v>
      </c>
      <c r="I26" s="5">
        <v>315</v>
      </c>
      <c r="J26" s="1">
        <f t="shared" si="0"/>
        <v>5.4977871440779005</v>
      </c>
      <c r="K26" s="1">
        <f t="shared" si="1"/>
        <v>0.70710678139568306</v>
      </c>
      <c r="L26" s="1">
        <f t="shared" si="2"/>
        <v>-0.70710678097741198</v>
      </c>
      <c r="M26" s="1">
        <f t="shared" si="3"/>
        <v>7.0710678139568314E-2</v>
      </c>
      <c r="N26" s="1">
        <f t="shared" si="4"/>
        <v>-7.0710678097741203E-2</v>
      </c>
    </row>
    <row r="27" spans="6:14" x14ac:dyDescent="0.3">
      <c r="G27" s="1">
        <v>24</v>
      </c>
      <c r="H27" s="1">
        <v>0.1</v>
      </c>
      <c r="I27" s="1">
        <v>330</v>
      </c>
      <c r="J27" s="1">
        <f t="shared" si="0"/>
        <v>5.7595865318911335</v>
      </c>
      <c r="K27" s="1">
        <f t="shared" si="1"/>
        <v>0.86602540393936156</v>
      </c>
      <c r="L27" s="1">
        <f t="shared" si="2"/>
        <v>-0.49999999973166565</v>
      </c>
      <c r="M27" s="1">
        <f t="shared" si="3"/>
        <v>8.6602540393936167E-2</v>
      </c>
      <c r="N27" s="1">
        <f t="shared" si="4"/>
        <v>-4.9999999973166565E-2</v>
      </c>
    </row>
    <row r="28" spans="6:14" x14ac:dyDescent="0.3">
      <c r="G28" s="1">
        <v>24</v>
      </c>
      <c r="H28" s="1">
        <v>0.1</v>
      </c>
      <c r="I28" s="1">
        <v>345</v>
      </c>
      <c r="J28" s="1">
        <f t="shared" si="0"/>
        <v>6.0213859197043673</v>
      </c>
      <c r="K28" s="1">
        <f t="shared" si="1"/>
        <v>0.96592582637290758</v>
      </c>
      <c r="L28" s="1">
        <f t="shared" si="2"/>
        <v>-0.25881904478962814</v>
      </c>
      <c r="M28" s="1">
        <f t="shared" si="3"/>
        <v>9.6592582637290758E-2</v>
      </c>
      <c r="N28" s="1">
        <f t="shared" si="4"/>
        <v>-2.5881904478962815E-2</v>
      </c>
    </row>
    <row r="29" spans="6:14" s="5" customFormat="1" x14ac:dyDescent="0.3">
      <c r="F29" s="1"/>
      <c r="G29" s="1">
        <v>24</v>
      </c>
      <c r="H29" s="1">
        <v>0.1</v>
      </c>
      <c r="I29" s="5">
        <v>360</v>
      </c>
      <c r="J29" s="1">
        <f t="shared" si="0"/>
        <v>6.2831853075176003</v>
      </c>
      <c r="K29" s="1">
        <f t="shared" si="1"/>
        <v>1</v>
      </c>
      <c r="L29" s="1">
        <f t="shared" si="2"/>
        <v>3.3801381615558568E-10</v>
      </c>
      <c r="M29" s="1">
        <f t="shared" si="3"/>
        <v>0.1</v>
      </c>
      <c r="N29" s="1">
        <f t="shared" si="4"/>
        <v>3.3801381615558568E-11</v>
      </c>
    </row>
    <row r="36" spans="4:14" x14ac:dyDescent="0.3">
      <c r="M36" s="1" t="s">
        <v>21</v>
      </c>
    </row>
    <row r="37" spans="4:14" x14ac:dyDescent="0.3">
      <c r="F37" s="1" t="s">
        <v>34</v>
      </c>
      <c r="G37" s="1" t="s">
        <v>35</v>
      </c>
      <c r="H37" s="1" t="s">
        <v>36</v>
      </c>
      <c r="I37" s="1" t="s">
        <v>12</v>
      </c>
      <c r="J37" s="1" t="s">
        <v>18</v>
      </c>
      <c r="K37" s="1" t="s">
        <v>16</v>
      </c>
      <c r="L37" s="1" t="s">
        <v>17</v>
      </c>
      <c r="M37" s="1" t="s">
        <v>19</v>
      </c>
      <c r="N37" s="1" t="s">
        <v>15</v>
      </c>
    </row>
    <row r="38" spans="4:14" x14ac:dyDescent="0.3">
      <c r="D38" s="9"/>
      <c r="F38" s="1">
        <f t="shared" ref="F38:F61" si="5">SQRT(3)*L38*M38/N38</f>
        <v>0</v>
      </c>
      <c r="G38" s="1">
        <f t="shared" ref="G38:G61" si="6">SQRT(3)*M38/N38*(SQRT(3)/2*K38+0.5*L38)</f>
        <v>0.625</v>
      </c>
      <c r="H38" s="1">
        <f t="shared" ref="H38:H61" si="7">SQRT(3)*M38/N38*(-SQRT(3)/2*K38+0.5*L38)</f>
        <v>-0.625</v>
      </c>
      <c r="I38" s="1" t="s">
        <v>42</v>
      </c>
      <c r="J38" s="1">
        <v>0</v>
      </c>
      <c r="K38" s="1">
        <f t="shared" ref="K38:K61" si="8">M5</f>
        <v>0.1</v>
      </c>
      <c r="L38" s="1">
        <f t="shared" ref="L38:L61" si="9">N5</f>
        <v>0</v>
      </c>
      <c r="M38" s="1">
        <v>100</v>
      </c>
      <c r="N38" s="1">
        <v>24</v>
      </c>
    </row>
    <row r="39" spans="4:14" x14ac:dyDescent="0.3">
      <c r="D39" s="9"/>
      <c r="F39" s="1">
        <f t="shared" si="5"/>
        <v>0.18678655671149569</v>
      </c>
      <c r="G39" s="1">
        <f t="shared" si="6"/>
        <v>0.69709691978413735</v>
      </c>
      <c r="H39" s="1">
        <f t="shared" si="7"/>
        <v>-0.51031036307264155</v>
      </c>
      <c r="I39" s="1" t="s">
        <v>42</v>
      </c>
      <c r="J39" s="1">
        <v>15</v>
      </c>
      <c r="K39" s="1">
        <f t="shared" si="8"/>
        <v>9.6592582628542312E-2</v>
      </c>
      <c r="L39" s="1">
        <f t="shared" si="9"/>
        <v>2.5881904511612482E-2</v>
      </c>
      <c r="M39" s="1">
        <v>100</v>
      </c>
      <c r="N39" s="1">
        <v>24</v>
      </c>
    </row>
    <row r="40" spans="4:14" x14ac:dyDescent="0.3">
      <c r="D40" s="9"/>
      <c r="F40" s="1">
        <f t="shared" si="5"/>
        <v>0.360843918261121</v>
      </c>
      <c r="G40" s="1">
        <f t="shared" si="6"/>
        <v>0.72168783648703216</v>
      </c>
      <c r="H40" s="1">
        <f t="shared" si="7"/>
        <v>-0.36084391822591116</v>
      </c>
      <c r="I40" s="1" t="s">
        <v>42</v>
      </c>
      <c r="J40" s="1">
        <v>30</v>
      </c>
      <c r="K40" s="1">
        <f t="shared" si="8"/>
        <v>8.6602540377035478E-2</v>
      </c>
      <c r="L40" s="1">
        <f t="shared" si="9"/>
        <v>5.0000000002439406E-2</v>
      </c>
      <c r="M40" s="1">
        <v>100</v>
      </c>
      <c r="N40" s="1">
        <v>24</v>
      </c>
    </row>
    <row r="41" spans="4:14" x14ac:dyDescent="0.3">
      <c r="D41" s="9"/>
      <c r="F41" s="1">
        <f t="shared" si="5"/>
        <v>0.51031036310139022</v>
      </c>
      <c r="G41" s="1">
        <f t="shared" si="6"/>
        <v>0.69709691977361454</v>
      </c>
      <c r="H41" s="1">
        <f t="shared" si="7"/>
        <v>-0.18678655667222421</v>
      </c>
      <c r="I41" s="1" t="s">
        <v>42</v>
      </c>
      <c r="J41" s="1">
        <v>45</v>
      </c>
      <c r="K41" s="1">
        <f t="shared" si="8"/>
        <v>7.07106781156671E-2</v>
      </c>
      <c r="L41" s="1">
        <f t="shared" si="9"/>
        <v>7.0710678121642404E-2</v>
      </c>
      <c r="M41" s="1">
        <v>100</v>
      </c>
      <c r="N41" s="1">
        <v>24</v>
      </c>
    </row>
    <row r="42" spans="4:14" x14ac:dyDescent="0.3">
      <c r="D42" s="9"/>
      <c r="F42" s="1">
        <f t="shared" si="5"/>
        <v>0.62500000002032841</v>
      </c>
      <c r="G42" s="1">
        <f t="shared" si="6"/>
        <v>0.62499999997967171</v>
      </c>
      <c r="H42" s="1">
        <f t="shared" si="7"/>
        <v>4.0656789445550703E-11</v>
      </c>
      <c r="I42" s="1" t="s">
        <v>44</v>
      </c>
      <c r="J42" s="1">
        <v>60</v>
      </c>
      <c r="K42" s="1">
        <f t="shared" si="8"/>
        <v>4.999999999512119E-2</v>
      </c>
      <c r="L42" s="1">
        <f t="shared" si="9"/>
        <v>8.6602540381260654E-2</v>
      </c>
      <c r="M42" s="1">
        <v>100</v>
      </c>
      <c r="N42" s="1">
        <v>24</v>
      </c>
    </row>
    <row r="43" spans="4:14" x14ac:dyDescent="0.3">
      <c r="D43" s="9"/>
      <c r="F43" s="1">
        <f t="shared" si="5"/>
        <v>0.69709691979466004</v>
      </c>
      <c r="G43" s="1">
        <f t="shared" si="6"/>
        <v>0.51031036304389288</v>
      </c>
      <c r="H43" s="1">
        <f t="shared" si="7"/>
        <v>0.18678655675076722</v>
      </c>
      <c r="I43" s="1" t="s">
        <v>44</v>
      </c>
      <c r="J43" s="1">
        <v>75</v>
      </c>
      <c r="K43" s="1">
        <f t="shared" si="8"/>
        <v>2.5881904503450057E-2</v>
      </c>
      <c r="L43" s="1">
        <f t="shared" si="9"/>
        <v>9.6592582630729437E-2</v>
      </c>
      <c r="M43" s="1">
        <v>100</v>
      </c>
      <c r="N43" s="1">
        <v>24</v>
      </c>
    </row>
    <row r="44" spans="4:14" x14ac:dyDescent="0.3">
      <c r="D44" s="9"/>
      <c r="F44" s="1">
        <f t="shared" si="5"/>
        <v>0.72168783648703227</v>
      </c>
      <c r="G44" s="1">
        <f t="shared" si="6"/>
        <v>0.36084391819070144</v>
      </c>
      <c r="H44" s="1">
        <f t="shared" si="7"/>
        <v>0.36084391829633078</v>
      </c>
      <c r="I44" s="1" t="s">
        <v>43</v>
      </c>
      <c r="J44" s="1">
        <v>90</v>
      </c>
      <c r="K44" s="1">
        <f t="shared" si="8"/>
        <v>-8.4503454038896419E-12</v>
      </c>
      <c r="L44" s="1">
        <f t="shared" si="9"/>
        <v>0.1</v>
      </c>
      <c r="M44" s="1">
        <v>100</v>
      </c>
      <c r="N44" s="1">
        <v>24</v>
      </c>
    </row>
    <row r="45" spans="4:14" x14ac:dyDescent="0.3">
      <c r="D45" s="9"/>
      <c r="F45" s="1">
        <f t="shared" si="5"/>
        <v>0.69709691976309174</v>
      </c>
      <c r="G45" s="1">
        <f t="shared" si="6"/>
        <v>0.18678655663295285</v>
      </c>
      <c r="H45" s="1">
        <f t="shared" si="7"/>
        <v>0.510310363130139</v>
      </c>
      <c r="I45" s="1" t="s">
        <v>43</v>
      </c>
      <c r="J45" s="1">
        <v>105</v>
      </c>
      <c r="K45" s="1">
        <f t="shared" si="8"/>
        <v>-2.5881904519774891E-2</v>
      </c>
      <c r="L45" s="1">
        <f t="shared" si="9"/>
        <v>9.65925826263552E-2</v>
      </c>
      <c r="M45" s="1">
        <v>100</v>
      </c>
      <c r="N45" s="1">
        <v>24</v>
      </c>
    </row>
    <row r="46" spans="4:14" x14ac:dyDescent="0.3">
      <c r="D46" s="9"/>
      <c r="F46" s="1">
        <f t="shared" si="5"/>
        <v>0.62499999995934308</v>
      </c>
      <c r="G46" s="1">
        <f t="shared" si="6"/>
        <v>-8.1313578891101407E-11</v>
      </c>
      <c r="H46" s="1">
        <f t="shared" si="7"/>
        <v>0.6250000000406567</v>
      </c>
      <c r="I46" s="1" t="s">
        <v>46</v>
      </c>
      <c r="J46" s="1">
        <v>120</v>
      </c>
      <c r="K46" s="1">
        <f t="shared" si="8"/>
        <v>-5.0000000009757628E-2</v>
      </c>
      <c r="L46" s="1">
        <f t="shared" si="9"/>
        <v>8.6602540372810288E-2</v>
      </c>
      <c r="M46" s="1">
        <v>100</v>
      </c>
      <c r="N46" s="1">
        <v>24</v>
      </c>
    </row>
    <row r="47" spans="4:14" x14ac:dyDescent="0.3">
      <c r="D47" s="9"/>
      <c r="F47" s="1">
        <f t="shared" si="5"/>
        <v>0.5103103630151441</v>
      </c>
      <c r="G47" s="1">
        <f t="shared" si="6"/>
        <v>-0.18678655679003853</v>
      </c>
      <c r="H47" s="1">
        <f t="shared" si="7"/>
        <v>0.69709691980518274</v>
      </c>
      <c r="I47" s="1" t="s">
        <v>46</v>
      </c>
      <c r="J47" s="1">
        <v>135</v>
      </c>
      <c r="K47" s="1">
        <f t="shared" si="8"/>
        <v>-7.0710678127617707E-2</v>
      </c>
      <c r="L47" s="1">
        <f t="shared" si="9"/>
        <v>7.0710678109691796E-2</v>
      </c>
      <c r="M47" s="1">
        <v>100</v>
      </c>
      <c r="N47" s="1">
        <v>24</v>
      </c>
    </row>
    <row r="48" spans="4:14" x14ac:dyDescent="0.3">
      <c r="D48" s="9"/>
      <c r="F48" s="1">
        <f t="shared" si="5"/>
        <v>0.36084391815549149</v>
      </c>
      <c r="G48" s="1">
        <f t="shared" si="6"/>
        <v>-0.36084391833154067</v>
      </c>
      <c r="H48" s="1">
        <f t="shared" si="7"/>
        <v>0.72168783648703227</v>
      </c>
      <c r="I48" s="1" t="s">
        <v>45</v>
      </c>
      <c r="J48" s="1">
        <v>150</v>
      </c>
      <c r="K48" s="1">
        <f t="shared" si="8"/>
        <v>-8.6602540385485843E-2</v>
      </c>
      <c r="L48" s="1">
        <f t="shared" si="9"/>
        <v>4.9999999987802954E-2</v>
      </c>
      <c r="M48" s="1">
        <v>100</v>
      </c>
      <c r="N48" s="1">
        <v>24</v>
      </c>
    </row>
    <row r="49" spans="4:14" x14ac:dyDescent="0.3">
      <c r="D49" s="9"/>
      <c r="F49" s="1">
        <f t="shared" si="5"/>
        <v>0.18678655659368151</v>
      </c>
      <c r="G49" s="1">
        <f t="shared" si="6"/>
        <v>-0.51031036315888745</v>
      </c>
      <c r="H49" s="1">
        <f t="shared" si="7"/>
        <v>0.69709691975256904</v>
      </c>
      <c r="I49" s="1" t="s">
        <v>45</v>
      </c>
      <c r="J49" s="1">
        <v>165</v>
      </c>
      <c r="K49" s="1">
        <f t="shared" si="8"/>
        <v>-9.6592582632916535E-2</v>
      </c>
      <c r="L49" s="1">
        <f t="shared" si="9"/>
        <v>2.5881904495287673E-2</v>
      </c>
      <c r="M49" s="1">
        <v>100</v>
      </c>
      <c r="N49" s="1">
        <v>24</v>
      </c>
    </row>
    <row r="50" spans="4:14" x14ac:dyDescent="0.3">
      <c r="D50" s="9"/>
      <c r="F50" s="1">
        <f t="shared" si="5"/>
        <v>-1.2197022984202503E-10</v>
      </c>
      <c r="G50" s="1">
        <f t="shared" si="6"/>
        <v>-0.62500000006098511</v>
      </c>
      <c r="H50" s="1">
        <f t="shared" si="7"/>
        <v>0.62499999993901478</v>
      </c>
      <c r="I50" s="1" t="s">
        <v>47</v>
      </c>
      <c r="J50" s="1">
        <v>180</v>
      </c>
      <c r="K50" s="1">
        <f t="shared" si="8"/>
        <v>-0.1</v>
      </c>
      <c r="L50" s="1">
        <f t="shared" si="9"/>
        <v>-1.6900690807779284E-11</v>
      </c>
      <c r="M50" s="1">
        <v>100</v>
      </c>
      <c r="N50" s="1">
        <v>24</v>
      </c>
    </row>
    <row r="51" spans="4:14" x14ac:dyDescent="0.3">
      <c r="D51" s="9"/>
      <c r="F51" s="1">
        <f t="shared" si="5"/>
        <v>-0.18678655682930992</v>
      </c>
      <c r="G51" s="1">
        <f t="shared" si="6"/>
        <v>-0.69709691981570543</v>
      </c>
      <c r="H51" s="1">
        <f t="shared" si="7"/>
        <v>0.51031036298639565</v>
      </c>
      <c r="I51" s="1" t="s">
        <v>47</v>
      </c>
      <c r="J51" s="4">
        <v>195</v>
      </c>
      <c r="K51" s="4">
        <f t="shared" si="8"/>
        <v>-9.6592582624168088E-2</v>
      </c>
      <c r="L51" s="4">
        <f t="shared" si="9"/>
        <v>-2.5881904527937302E-2</v>
      </c>
      <c r="M51" s="1">
        <v>100</v>
      </c>
      <c r="N51" s="1">
        <v>24</v>
      </c>
    </row>
    <row r="52" spans="4:14" x14ac:dyDescent="0.3">
      <c r="D52" s="9"/>
      <c r="F52" s="1">
        <f t="shared" si="5"/>
        <v>-0.36084391836675039</v>
      </c>
      <c r="G52" s="1">
        <f t="shared" si="6"/>
        <v>-0.72168783648703227</v>
      </c>
      <c r="H52" s="1">
        <f t="shared" si="7"/>
        <v>0.36084391812028177</v>
      </c>
      <c r="I52" s="1" t="s">
        <v>54</v>
      </c>
      <c r="J52" s="1">
        <v>210</v>
      </c>
      <c r="K52" s="1">
        <f t="shared" si="8"/>
        <v>-8.6602540368585126E-2</v>
      </c>
      <c r="L52" s="1">
        <f t="shared" si="9"/>
        <v>-5.0000000017075844E-2</v>
      </c>
      <c r="M52" s="1">
        <v>100</v>
      </c>
      <c r="N52" s="1">
        <v>24</v>
      </c>
    </row>
    <row r="53" spans="4:14" x14ac:dyDescent="0.3">
      <c r="D53" s="9"/>
      <c r="F53" s="1">
        <f t="shared" si="5"/>
        <v>-0.51031036318763634</v>
      </c>
      <c r="G53" s="1">
        <f t="shared" si="6"/>
        <v>-0.69709691974204613</v>
      </c>
      <c r="H53" s="1">
        <f t="shared" si="7"/>
        <v>0.18678655655440984</v>
      </c>
      <c r="I53" s="1" t="s">
        <v>54</v>
      </c>
      <c r="J53" s="1">
        <v>225</v>
      </c>
      <c r="K53" s="1">
        <f t="shared" si="8"/>
        <v>-7.0710678103716493E-2</v>
      </c>
      <c r="L53" s="1">
        <f t="shared" si="9"/>
        <v>-7.0710678133593011E-2</v>
      </c>
      <c r="M53" s="1">
        <v>100</v>
      </c>
      <c r="N53" s="1">
        <v>24</v>
      </c>
    </row>
    <row r="54" spans="4:14" x14ac:dyDescent="0.3">
      <c r="D54" s="9"/>
      <c r="F54" s="1">
        <f t="shared" si="5"/>
        <v>-0.62500000008131351</v>
      </c>
      <c r="G54" s="1">
        <f t="shared" si="6"/>
        <v>-0.62499999991868627</v>
      </c>
      <c r="H54" s="1">
        <f t="shared" si="7"/>
        <v>-1.6262720785935611E-10</v>
      </c>
      <c r="I54" s="1" t="s">
        <v>48</v>
      </c>
      <c r="J54" s="1">
        <v>240</v>
      </c>
      <c r="K54" s="1">
        <f t="shared" si="8"/>
        <v>-4.9999999980484738E-2</v>
      </c>
      <c r="L54" s="1">
        <f t="shared" si="9"/>
        <v>-8.6602540389711005E-2</v>
      </c>
      <c r="M54" s="1">
        <v>100</v>
      </c>
      <c r="N54" s="1">
        <v>24</v>
      </c>
    </row>
    <row r="55" spans="4:14" x14ac:dyDescent="0.3">
      <c r="D55" s="9"/>
      <c r="F55" s="1">
        <f t="shared" si="5"/>
        <v>-0.69709691982622823</v>
      </c>
      <c r="G55" s="1">
        <f t="shared" si="6"/>
        <v>-0.51031036295764698</v>
      </c>
      <c r="H55" s="1">
        <f t="shared" si="7"/>
        <v>-0.18678655686858125</v>
      </c>
      <c r="I55" s="1" t="s">
        <v>48</v>
      </c>
      <c r="J55" s="1">
        <v>255</v>
      </c>
      <c r="K55" s="1">
        <f t="shared" si="8"/>
        <v>-2.5881904487125264E-2</v>
      </c>
      <c r="L55" s="1">
        <f t="shared" si="9"/>
        <v>-9.6592582635103647E-2</v>
      </c>
      <c r="M55" s="1">
        <v>100</v>
      </c>
      <c r="N55" s="1">
        <v>24</v>
      </c>
    </row>
    <row r="56" spans="4:14" x14ac:dyDescent="0.3">
      <c r="D56" s="9"/>
      <c r="F56" s="1">
        <f t="shared" si="5"/>
        <v>-0.72168783648703227</v>
      </c>
      <c r="G56" s="1">
        <f t="shared" si="6"/>
        <v>-0.36084391808507182</v>
      </c>
      <c r="H56" s="1">
        <f t="shared" si="7"/>
        <v>-0.3608439184019604</v>
      </c>
      <c r="J56" s="1">
        <v>270</v>
      </c>
      <c r="K56" s="1">
        <f t="shared" si="8"/>
        <v>2.5351080620589913E-11</v>
      </c>
      <c r="L56" s="1">
        <f t="shared" si="9"/>
        <v>-0.1</v>
      </c>
      <c r="M56" s="1">
        <v>100</v>
      </c>
      <c r="N56" s="1">
        <v>24</v>
      </c>
    </row>
    <row r="57" spans="4:14" x14ac:dyDescent="0.3">
      <c r="D57" s="9"/>
      <c r="F57" s="1">
        <f t="shared" si="5"/>
        <v>-0.69709691973152366</v>
      </c>
      <c r="G57" s="1">
        <f t="shared" si="6"/>
        <v>-0.1867865565151387</v>
      </c>
      <c r="H57" s="1">
        <f t="shared" si="7"/>
        <v>-0.5103103632163849</v>
      </c>
      <c r="J57" s="1">
        <v>285</v>
      </c>
      <c r="K57" s="1">
        <f t="shared" si="8"/>
        <v>2.5881904536099704E-2</v>
      </c>
      <c r="L57" s="1">
        <f t="shared" si="9"/>
        <v>-9.6592582621980991E-2</v>
      </c>
      <c r="M57" s="1">
        <v>100</v>
      </c>
      <c r="N57" s="1">
        <v>24</v>
      </c>
    </row>
    <row r="58" spans="4:14" x14ac:dyDescent="0.3">
      <c r="D58" s="9"/>
      <c r="F58" s="1">
        <f t="shared" si="5"/>
        <v>-0.62499999989835808</v>
      </c>
      <c r="G58" s="1">
        <f t="shared" si="6"/>
        <v>2.0328409745921338E-10</v>
      </c>
      <c r="H58" s="1">
        <f t="shared" si="7"/>
        <v>-0.62500000010164214</v>
      </c>
      <c r="I58" s="1" t="s">
        <v>41</v>
      </c>
      <c r="J58" s="1">
        <v>300</v>
      </c>
      <c r="K58" s="1">
        <f t="shared" si="8"/>
        <v>5.0000000024394101E-2</v>
      </c>
      <c r="L58" s="1">
        <f t="shared" si="9"/>
        <v>-8.6602540364359937E-2</v>
      </c>
      <c r="M58" s="1">
        <v>100</v>
      </c>
      <c r="N58" s="1">
        <v>24</v>
      </c>
    </row>
    <row r="59" spans="4:14" x14ac:dyDescent="0.3">
      <c r="D59" s="9"/>
      <c r="F59" s="1">
        <f t="shared" si="5"/>
        <v>-0.5103103629288982</v>
      </c>
      <c r="G59" s="1">
        <f t="shared" si="6"/>
        <v>0.18678655690785279</v>
      </c>
      <c r="H59" s="1">
        <f t="shared" si="7"/>
        <v>-0.69709691983675104</v>
      </c>
      <c r="J59" s="1">
        <v>315</v>
      </c>
      <c r="K59" s="1">
        <f t="shared" si="8"/>
        <v>7.0710678139568314E-2</v>
      </c>
      <c r="L59" s="1">
        <f t="shared" si="9"/>
        <v>-7.0710678097741203E-2</v>
      </c>
      <c r="M59" s="1">
        <v>100</v>
      </c>
      <c r="N59" s="1">
        <v>24</v>
      </c>
    </row>
    <row r="60" spans="4:14" x14ac:dyDescent="0.3">
      <c r="D60" s="9"/>
      <c r="F60" s="1">
        <f t="shared" si="5"/>
        <v>-0.36084391804986243</v>
      </c>
      <c r="G60" s="1">
        <f t="shared" si="6"/>
        <v>0.36084391843716979</v>
      </c>
      <c r="H60" s="1">
        <f t="shared" si="7"/>
        <v>-0.72168783648703227</v>
      </c>
      <c r="J60" s="1">
        <v>330</v>
      </c>
      <c r="K60" s="1">
        <f t="shared" si="8"/>
        <v>8.6602540393936167E-2</v>
      </c>
      <c r="L60" s="1">
        <f t="shared" si="9"/>
        <v>-4.9999999973166565E-2</v>
      </c>
      <c r="M60" s="1">
        <v>100</v>
      </c>
      <c r="N60" s="1">
        <v>24</v>
      </c>
    </row>
    <row r="61" spans="4:14" x14ac:dyDescent="0.3">
      <c r="D61" s="9"/>
      <c r="F61" s="1">
        <f t="shared" si="5"/>
        <v>-0.18678655647586703</v>
      </c>
      <c r="G61" s="1">
        <f t="shared" si="6"/>
        <v>0.51031036324513368</v>
      </c>
      <c r="H61" s="1">
        <f t="shared" si="7"/>
        <v>-0.69709691972100074</v>
      </c>
      <c r="J61" s="1">
        <v>345</v>
      </c>
      <c r="K61" s="1">
        <f t="shared" si="8"/>
        <v>9.6592582637290758E-2</v>
      </c>
      <c r="L61" s="1">
        <f t="shared" si="9"/>
        <v>-2.5881904478962815E-2</v>
      </c>
      <c r="M61" s="1">
        <v>100</v>
      </c>
      <c r="N61" s="1">
        <v>24</v>
      </c>
    </row>
    <row r="63" spans="4:14" x14ac:dyDescent="0.3">
      <c r="F63" s="10" t="s">
        <v>37</v>
      </c>
      <c r="G63" s="10">
        <v>3</v>
      </c>
      <c r="H63" s="10">
        <v>1</v>
      </c>
      <c r="I63" s="10">
        <v>5</v>
      </c>
      <c r="J63" s="12">
        <v>4</v>
      </c>
      <c r="K63" s="12">
        <v>6</v>
      </c>
      <c r="L63" s="12">
        <v>2</v>
      </c>
      <c r="M63" s="1" t="s">
        <v>27</v>
      </c>
    </row>
    <row r="64" spans="4:14" x14ac:dyDescent="0.3">
      <c r="F64" s="10" t="s">
        <v>12</v>
      </c>
      <c r="G64" s="10">
        <v>1</v>
      </c>
      <c r="H64" s="10">
        <v>2</v>
      </c>
      <c r="I64" s="10">
        <v>3</v>
      </c>
      <c r="J64" s="12">
        <v>4</v>
      </c>
      <c r="K64" s="12">
        <v>5</v>
      </c>
      <c r="L64" s="12">
        <v>6</v>
      </c>
      <c r="M64" s="1" t="s">
        <v>28</v>
      </c>
    </row>
    <row r="65" spans="6:16" x14ac:dyDescent="0.3">
      <c r="F65" s="1" t="s">
        <v>13</v>
      </c>
      <c r="G65" s="8" t="s">
        <v>39</v>
      </c>
      <c r="H65" t="s">
        <v>36</v>
      </c>
      <c r="I65" t="s">
        <v>34</v>
      </c>
      <c r="J65" s="7" t="s">
        <v>38</v>
      </c>
      <c r="K65" s="7" t="s">
        <v>40</v>
      </c>
      <c r="L65" s="1" t="s">
        <v>35</v>
      </c>
      <c r="M65" s="1" t="s">
        <v>29</v>
      </c>
    </row>
    <row r="66" spans="6:16" x14ac:dyDescent="0.3">
      <c r="F66" s="1" t="s">
        <v>20</v>
      </c>
      <c r="G66" t="s">
        <v>34</v>
      </c>
      <c r="H66" s="7" t="s">
        <v>35</v>
      </c>
      <c r="I66" s="8" t="s">
        <v>40</v>
      </c>
      <c r="J66" s="1" t="s">
        <v>36</v>
      </c>
      <c r="K66" s="7" t="s">
        <v>39</v>
      </c>
      <c r="L66" s="7" t="s">
        <v>38</v>
      </c>
    </row>
    <row r="67" spans="6:16" x14ac:dyDescent="0.3">
      <c r="F67" s="1" t="s">
        <v>13</v>
      </c>
      <c r="G67" s="1" t="s">
        <v>20</v>
      </c>
      <c r="I67" s="1" t="s">
        <v>26</v>
      </c>
      <c r="K67" s="1" t="s">
        <v>33</v>
      </c>
      <c r="N67" s="1" t="s">
        <v>49</v>
      </c>
    </row>
    <row r="68" spans="6:16" x14ac:dyDescent="0.3">
      <c r="K68" s="1" t="s">
        <v>30</v>
      </c>
      <c r="L68" s="1" t="s">
        <v>31</v>
      </c>
      <c r="M68" s="1" t="s">
        <v>32</v>
      </c>
      <c r="N68" s="1" t="s">
        <v>50</v>
      </c>
      <c r="O68" s="1" t="s">
        <v>51</v>
      </c>
      <c r="P68" s="1" t="s">
        <v>52</v>
      </c>
    </row>
    <row r="69" spans="6:16" x14ac:dyDescent="0.3">
      <c r="F69" s="1">
        <f>-H38</f>
        <v>0.625</v>
      </c>
      <c r="G69" s="1">
        <f>F38</f>
        <v>0</v>
      </c>
      <c r="H69" s="1">
        <f t="shared" ref="H69:H92" si="10">(M38-F69-G69)/4</f>
        <v>24.84375</v>
      </c>
      <c r="I69" s="1">
        <f t="shared" ref="I69:I92" si="11">H69+F69/2</f>
        <v>25.15625</v>
      </c>
      <c r="J69" s="1">
        <f t="shared" ref="J69:J92" si="12">I69+G69/2</f>
        <v>25.15625</v>
      </c>
      <c r="K69" s="1">
        <f t="shared" ref="K69:K92" si="13">M38-H69*2</f>
        <v>50.3125</v>
      </c>
      <c r="L69" s="1">
        <f t="shared" ref="L69:L92" si="14">M38-I69*2</f>
        <v>49.6875</v>
      </c>
      <c r="M69" s="1">
        <f t="shared" ref="M69:M92" si="15">M38-2*J69</f>
        <v>49.6875</v>
      </c>
      <c r="N69" s="1">
        <f t="shared" ref="N69:N92" si="16">K69/M38</f>
        <v>0.50312500000000004</v>
      </c>
      <c r="O69" s="1">
        <f t="shared" ref="O69:O92" si="17">L69/M38</f>
        <v>0.49687500000000001</v>
      </c>
      <c r="P69" s="1">
        <f t="shared" ref="P69:P92" si="18">M69/M38</f>
        <v>0.49687500000000001</v>
      </c>
    </row>
    <row r="70" spans="6:16" x14ac:dyDescent="0.3">
      <c r="F70" s="1">
        <f>-H39</f>
        <v>0.51031036307264155</v>
      </c>
      <c r="G70" s="1">
        <f>F39</f>
        <v>0.18678655671149569</v>
      </c>
      <c r="H70" s="1">
        <f t="shared" si="10"/>
        <v>24.825725770053964</v>
      </c>
      <c r="I70" s="1">
        <f t="shared" si="11"/>
        <v>25.080880951590284</v>
      </c>
      <c r="J70" s="1">
        <f t="shared" si="12"/>
        <v>25.174274229946032</v>
      </c>
      <c r="K70" s="1">
        <f t="shared" si="13"/>
        <v>50.348548459892072</v>
      </c>
      <c r="L70" s="1">
        <f t="shared" si="14"/>
        <v>49.838238096819431</v>
      </c>
      <c r="M70" s="1">
        <f t="shared" si="15"/>
        <v>49.651451540107935</v>
      </c>
      <c r="N70" s="1">
        <f t="shared" si="16"/>
        <v>0.50348548459892073</v>
      </c>
      <c r="O70" s="1">
        <f t="shared" si="17"/>
        <v>0.49838238096819432</v>
      </c>
      <c r="P70" s="1">
        <f t="shared" si="18"/>
        <v>0.49651451540107933</v>
      </c>
    </row>
    <row r="71" spans="6:16" x14ac:dyDescent="0.3">
      <c r="F71" s="1">
        <f>-H40</f>
        <v>0.36084391822591116</v>
      </c>
      <c r="G71" s="1">
        <f>F40</f>
        <v>0.360843918261121</v>
      </c>
      <c r="H71" s="1">
        <f t="shared" si="10"/>
        <v>24.819578040878241</v>
      </c>
      <c r="I71" s="1">
        <f t="shared" si="11"/>
        <v>24.999999999991196</v>
      </c>
      <c r="J71" s="1">
        <f t="shared" si="12"/>
        <v>25.180421959121755</v>
      </c>
      <c r="K71" s="6">
        <f t="shared" si="13"/>
        <v>50.360843918243518</v>
      </c>
      <c r="L71" s="6">
        <f t="shared" si="14"/>
        <v>50.000000000017607</v>
      </c>
      <c r="M71" s="6">
        <f t="shared" si="15"/>
        <v>49.639156081756489</v>
      </c>
      <c r="N71" s="1">
        <f t="shared" si="16"/>
        <v>0.50360843918243514</v>
      </c>
      <c r="O71" s="1">
        <f t="shared" si="17"/>
        <v>0.50000000000017608</v>
      </c>
      <c r="P71" s="1">
        <f t="shared" si="18"/>
        <v>0.49639156081756491</v>
      </c>
    </row>
    <row r="72" spans="6:16" x14ac:dyDescent="0.3">
      <c r="F72" s="1">
        <f>-H41</f>
        <v>0.18678655667222421</v>
      </c>
      <c r="G72" s="1">
        <f>F41</f>
        <v>0.51031036310139022</v>
      </c>
      <c r="H72" s="1">
        <f t="shared" si="10"/>
        <v>24.825725770056597</v>
      </c>
      <c r="I72" s="1">
        <f t="shared" si="11"/>
        <v>24.919119048392709</v>
      </c>
      <c r="J72" s="1">
        <f t="shared" si="12"/>
        <v>25.174274229943403</v>
      </c>
      <c r="K72" s="1">
        <f t="shared" si="13"/>
        <v>50.348548459886807</v>
      </c>
      <c r="L72" s="1">
        <f t="shared" si="14"/>
        <v>50.161761903214583</v>
      </c>
      <c r="M72" s="1">
        <f t="shared" si="15"/>
        <v>49.651451540113193</v>
      </c>
      <c r="N72" s="1">
        <f t="shared" si="16"/>
        <v>0.5034854845988681</v>
      </c>
      <c r="O72" s="1">
        <f t="shared" si="17"/>
        <v>0.50161761903214586</v>
      </c>
      <c r="P72" s="1">
        <f t="shared" si="18"/>
        <v>0.49651451540113195</v>
      </c>
    </row>
    <row r="73" spans="6:16" x14ac:dyDescent="0.3">
      <c r="F73" s="1">
        <f>H42</f>
        <v>4.0656789445550703E-11</v>
      </c>
      <c r="G73" s="1">
        <f>G42</f>
        <v>0.62499999997967171</v>
      </c>
      <c r="H73" s="1">
        <f t="shared" si="10"/>
        <v>24.843749999994916</v>
      </c>
      <c r="I73" s="1">
        <f t="shared" si="11"/>
        <v>24.843750000015245</v>
      </c>
      <c r="J73" s="1">
        <f t="shared" si="12"/>
        <v>25.15625000000508</v>
      </c>
      <c r="K73" s="1">
        <f t="shared" si="13"/>
        <v>50.312500000010168</v>
      </c>
      <c r="L73" s="1">
        <f t="shared" si="14"/>
        <v>50.312499999969511</v>
      </c>
      <c r="M73" s="1">
        <f t="shared" si="15"/>
        <v>49.687499999989839</v>
      </c>
      <c r="N73" s="1">
        <f t="shared" si="16"/>
        <v>0.50312500000010163</v>
      </c>
      <c r="O73" s="1">
        <f t="shared" si="17"/>
        <v>0.50312499999969507</v>
      </c>
      <c r="P73" s="1">
        <f t="shared" si="18"/>
        <v>0.49687499999989837</v>
      </c>
    </row>
    <row r="74" spans="6:16" x14ac:dyDescent="0.3">
      <c r="F74" s="1">
        <f>H43</f>
        <v>0.18678655675076722</v>
      </c>
      <c r="G74" s="1">
        <f>G43</f>
        <v>0.51031036304389288</v>
      </c>
      <c r="H74" s="1">
        <f t="shared" si="10"/>
        <v>24.825725770051335</v>
      </c>
      <c r="I74" s="1">
        <f t="shared" si="11"/>
        <v>24.919119048426719</v>
      </c>
      <c r="J74" s="1">
        <f t="shared" si="12"/>
        <v>25.174274229948665</v>
      </c>
      <c r="K74" s="1">
        <f t="shared" si="13"/>
        <v>50.34854845989733</v>
      </c>
      <c r="L74" s="1">
        <f t="shared" si="14"/>
        <v>50.161761903146562</v>
      </c>
      <c r="M74" s="1">
        <f t="shared" si="15"/>
        <v>49.65145154010267</v>
      </c>
      <c r="N74" s="1">
        <f t="shared" si="16"/>
        <v>0.50348548459897335</v>
      </c>
      <c r="O74" s="1">
        <f t="shared" si="17"/>
        <v>0.50161761903146562</v>
      </c>
      <c r="P74" s="1">
        <f t="shared" si="18"/>
        <v>0.4965145154010267</v>
      </c>
    </row>
    <row r="75" spans="6:16" x14ac:dyDescent="0.3">
      <c r="F75" s="1">
        <f>H44</f>
        <v>0.36084391829633078</v>
      </c>
      <c r="G75" s="1">
        <f>G44</f>
        <v>0.36084391819070144</v>
      </c>
      <c r="H75" s="1">
        <f t="shared" si="10"/>
        <v>24.819578040878245</v>
      </c>
      <c r="I75" s="1">
        <f t="shared" si="11"/>
        <v>25.000000000026411</v>
      </c>
      <c r="J75" s="1">
        <f t="shared" si="12"/>
        <v>25.180421959121762</v>
      </c>
      <c r="K75" s="1">
        <f t="shared" si="13"/>
        <v>50.360843918243511</v>
      </c>
      <c r="L75" s="1">
        <f t="shared" si="14"/>
        <v>49.999999999947178</v>
      </c>
      <c r="M75" s="1">
        <f t="shared" si="15"/>
        <v>49.639156081756475</v>
      </c>
      <c r="N75" s="1">
        <f t="shared" si="16"/>
        <v>0.50360843918243514</v>
      </c>
      <c r="O75" s="1">
        <f t="shared" si="17"/>
        <v>0.49999999999947176</v>
      </c>
      <c r="P75" s="1">
        <f t="shared" si="18"/>
        <v>0.49639156081756475</v>
      </c>
    </row>
    <row r="76" spans="6:16" x14ac:dyDescent="0.3">
      <c r="F76" s="1">
        <f>H45</f>
        <v>0.510310363130139</v>
      </c>
      <c r="G76" s="1">
        <f>G45</f>
        <v>0.18678655663295285</v>
      </c>
      <c r="H76" s="1">
        <f t="shared" si="10"/>
        <v>24.825725770059226</v>
      </c>
      <c r="I76" s="1">
        <f t="shared" si="11"/>
        <v>25.080880951624295</v>
      </c>
      <c r="J76" s="1">
        <f t="shared" si="12"/>
        <v>25.174274229940771</v>
      </c>
      <c r="K76" s="1">
        <f t="shared" si="13"/>
        <v>50.348548459881549</v>
      </c>
      <c r="L76" s="1">
        <f t="shared" si="14"/>
        <v>49.838238096751411</v>
      </c>
      <c r="M76" s="1">
        <f t="shared" si="15"/>
        <v>49.651451540118458</v>
      </c>
      <c r="N76" s="1">
        <f t="shared" si="16"/>
        <v>0.50348548459881548</v>
      </c>
      <c r="O76" s="1">
        <f t="shared" si="17"/>
        <v>0.49838238096751408</v>
      </c>
      <c r="P76" s="1">
        <f t="shared" si="18"/>
        <v>0.49651451540118458</v>
      </c>
    </row>
    <row r="77" spans="6:16" x14ac:dyDescent="0.3">
      <c r="F77" s="1">
        <f>F46</f>
        <v>0.62499999995934308</v>
      </c>
      <c r="G77" s="1">
        <f>-G46</f>
        <v>8.1313578891101407E-11</v>
      </c>
      <c r="H77" s="1">
        <f t="shared" si="10"/>
        <v>24.843749999989836</v>
      </c>
      <c r="I77" s="1">
        <f t="shared" si="11"/>
        <v>25.156249999969507</v>
      </c>
      <c r="J77" s="1">
        <f t="shared" si="12"/>
        <v>25.156250000010164</v>
      </c>
      <c r="K77" s="1">
        <f t="shared" si="13"/>
        <v>50.312500000020329</v>
      </c>
      <c r="L77" s="1">
        <f t="shared" si="14"/>
        <v>49.687500000060986</v>
      </c>
      <c r="M77" s="1">
        <f t="shared" si="15"/>
        <v>49.687499999979671</v>
      </c>
      <c r="N77" s="1">
        <f t="shared" si="16"/>
        <v>0.50312500000020333</v>
      </c>
      <c r="O77" s="1">
        <f t="shared" si="17"/>
        <v>0.49687500000060986</v>
      </c>
      <c r="P77" s="1">
        <f t="shared" si="18"/>
        <v>0.49687499999979673</v>
      </c>
    </row>
    <row r="78" spans="6:16" x14ac:dyDescent="0.3">
      <c r="F78" s="1">
        <f>F47</f>
        <v>0.5103103630151441</v>
      </c>
      <c r="G78" s="1">
        <f>-G47</f>
        <v>0.18678655679003853</v>
      </c>
      <c r="H78" s="1">
        <f t="shared" si="10"/>
        <v>24.825725770048702</v>
      </c>
      <c r="I78" s="1">
        <f t="shared" si="11"/>
        <v>25.080880951556274</v>
      </c>
      <c r="J78" s="1">
        <f t="shared" si="12"/>
        <v>25.174274229951294</v>
      </c>
      <c r="K78" s="1">
        <f t="shared" si="13"/>
        <v>50.348548459902595</v>
      </c>
      <c r="L78" s="1">
        <f t="shared" si="14"/>
        <v>49.838238096887451</v>
      </c>
      <c r="M78" s="1">
        <f t="shared" si="15"/>
        <v>49.651451540097412</v>
      </c>
      <c r="N78" s="1">
        <f t="shared" si="16"/>
        <v>0.50348548459902598</v>
      </c>
      <c r="O78" s="1">
        <f t="shared" si="17"/>
        <v>0.49838238096887449</v>
      </c>
      <c r="P78" s="1">
        <f t="shared" si="18"/>
        <v>0.49651451540097413</v>
      </c>
    </row>
    <row r="79" spans="6:16" x14ac:dyDescent="0.3">
      <c r="F79" s="1">
        <f>F48</f>
        <v>0.36084391815549149</v>
      </c>
      <c r="G79" s="1">
        <f>-G48</f>
        <v>0.36084391833154067</v>
      </c>
      <c r="H79" s="1">
        <f t="shared" si="10"/>
        <v>24.819578040878241</v>
      </c>
      <c r="I79" s="1">
        <f t="shared" si="11"/>
        <v>24.999999999955985</v>
      </c>
      <c r="J79" s="1">
        <f t="shared" si="12"/>
        <v>25.180421959121755</v>
      </c>
      <c r="K79" s="1">
        <f t="shared" si="13"/>
        <v>50.360843918243518</v>
      </c>
      <c r="L79" s="1">
        <f t="shared" si="14"/>
        <v>50.000000000088029</v>
      </c>
      <c r="M79" s="1">
        <f t="shared" si="15"/>
        <v>49.639156081756489</v>
      </c>
      <c r="N79" s="1">
        <f t="shared" si="16"/>
        <v>0.50360843918243514</v>
      </c>
      <c r="O79" s="1">
        <f t="shared" si="17"/>
        <v>0.5000000000008803</v>
      </c>
      <c r="P79" s="1">
        <f t="shared" si="18"/>
        <v>0.49639156081756491</v>
      </c>
    </row>
    <row r="80" spans="6:16" x14ac:dyDescent="0.3">
      <c r="F80" s="1">
        <f>F49</f>
        <v>0.18678655659368151</v>
      </c>
      <c r="G80" s="1">
        <f>-G49</f>
        <v>0.51031036315888745</v>
      </c>
      <c r="H80" s="1">
        <f t="shared" si="10"/>
        <v>24.825725770061855</v>
      </c>
      <c r="I80" s="1">
        <f t="shared" si="11"/>
        <v>24.919119048358695</v>
      </c>
      <c r="J80" s="1">
        <f t="shared" si="12"/>
        <v>25.174274229938138</v>
      </c>
      <c r="K80" s="1">
        <f t="shared" si="13"/>
        <v>50.348548459876291</v>
      </c>
      <c r="L80" s="1">
        <f t="shared" si="14"/>
        <v>50.16176190328261</v>
      </c>
      <c r="M80" s="1">
        <f t="shared" si="15"/>
        <v>49.651451540123723</v>
      </c>
      <c r="N80" s="1">
        <f t="shared" si="16"/>
        <v>0.50348548459876286</v>
      </c>
      <c r="O80" s="1">
        <f t="shared" si="17"/>
        <v>0.50161761903282609</v>
      </c>
      <c r="P80" s="1">
        <f t="shared" si="18"/>
        <v>0.49651451540123726</v>
      </c>
    </row>
    <row r="81" spans="6:16" x14ac:dyDescent="0.3">
      <c r="F81" s="1">
        <f>-F50</f>
        <v>1.2197022984202503E-10</v>
      </c>
      <c r="G81" s="1">
        <f>H50</f>
        <v>0.62499999993901478</v>
      </c>
      <c r="H81" s="1">
        <f t="shared" si="10"/>
        <v>24.843749999984752</v>
      </c>
      <c r="I81" s="1">
        <f t="shared" si="11"/>
        <v>24.843750000045738</v>
      </c>
      <c r="J81" s="1">
        <f t="shared" si="12"/>
        <v>25.156250000015245</v>
      </c>
      <c r="K81" s="1">
        <f t="shared" si="13"/>
        <v>50.312500000030496</v>
      </c>
      <c r="L81" s="1">
        <f t="shared" si="14"/>
        <v>50.312499999908525</v>
      </c>
      <c r="M81" s="1">
        <f t="shared" si="15"/>
        <v>49.687499999969511</v>
      </c>
      <c r="N81" s="1">
        <f t="shared" si="16"/>
        <v>0.50312500000030491</v>
      </c>
      <c r="O81" s="1">
        <f t="shared" si="17"/>
        <v>0.50312499999908522</v>
      </c>
      <c r="P81" s="1">
        <f t="shared" si="18"/>
        <v>0.49687499999969509</v>
      </c>
    </row>
    <row r="82" spans="6:16" x14ac:dyDescent="0.3">
      <c r="F82" s="1">
        <f>-F51</f>
        <v>0.18678655682930992</v>
      </c>
      <c r="G82" s="1">
        <f>H51</f>
        <v>0.51031036298639565</v>
      </c>
      <c r="H82" s="1">
        <f t="shared" si="10"/>
        <v>24.825725770046073</v>
      </c>
      <c r="I82" s="1">
        <f t="shared" si="11"/>
        <v>24.919119048460729</v>
      </c>
      <c r="J82" s="1">
        <f t="shared" si="12"/>
        <v>25.174274229953927</v>
      </c>
      <c r="K82" s="1">
        <f t="shared" si="13"/>
        <v>50.348548459907853</v>
      </c>
      <c r="L82" s="1">
        <f t="shared" si="14"/>
        <v>50.161761903078542</v>
      </c>
      <c r="M82" s="1">
        <f t="shared" si="15"/>
        <v>49.651451540092147</v>
      </c>
      <c r="N82" s="1">
        <f t="shared" si="16"/>
        <v>0.50348548459907849</v>
      </c>
      <c r="O82" s="1">
        <f t="shared" si="17"/>
        <v>0.50161761903078539</v>
      </c>
      <c r="P82" s="1">
        <f t="shared" si="18"/>
        <v>0.49651451540092145</v>
      </c>
    </row>
    <row r="83" spans="6:16" x14ac:dyDescent="0.3">
      <c r="F83" s="1">
        <f>-F52</f>
        <v>0.36084391836675039</v>
      </c>
      <c r="G83" s="1">
        <f>H52</f>
        <v>0.36084391812028177</v>
      </c>
      <c r="H83" s="1">
        <f t="shared" si="10"/>
        <v>24.819578040878241</v>
      </c>
      <c r="I83" s="1">
        <f t="shared" si="11"/>
        <v>25.000000000061615</v>
      </c>
      <c r="J83" s="1">
        <f t="shared" si="12"/>
        <v>25.180421959121755</v>
      </c>
      <c r="K83" s="1">
        <f t="shared" si="13"/>
        <v>50.360843918243518</v>
      </c>
      <c r="L83" s="1">
        <f t="shared" si="14"/>
        <v>49.999999999876771</v>
      </c>
      <c r="M83" s="1">
        <f t="shared" si="15"/>
        <v>49.639156081756489</v>
      </c>
      <c r="N83" s="1">
        <f t="shared" si="16"/>
        <v>0.50360843918243514</v>
      </c>
      <c r="O83" s="1">
        <f t="shared" si="17"/>
        <v>0.49999999999876771</v>
      </c>
      <c r="P83" s="1">
        <f t="shared" si="18"/>
        <v>0.49639156081756491</v>
      </c>
    </row>
    <row r="84" spans="6:16" x14ac:dyDescent="0.3">
      <c r="F84" s="1">
        <f>-F53</f>
        <v>0.51031036318763634</v>
      </c>
      <c r="G84" s="1">
        <f>H53</f>
        <v>0.18678655655440984</v>
      </c>
      <c r="H84" s="1">
        <f t="shared" si="10"/>
        <v>24.825725770064487</v>
      </c>
      <c r="I84" s="1">
        <f t="shared" si="11"/>
        <v>25.080880951658305</v>
      </c>
      <c r="J84" s="1">
        <f t="shared" si="12"/>
        <v>25.174274229935509</v>
      </c>
      <c r="K84" s="1">
        <f t="shared" si="13"/>
        <v>50.348548459871026</v>
      </c>
      <c r="L84" s="1">
        <f t="shared" si="14"/>
        <v>49.838238096683391</v>
      </c>
      <c r="M84" s="1">
        <f t="shared" si="15"/>
        <v>49.651451540128981</v>
      </c>
      <c r="N84" s="1">
        <f t="shared" si="16"/>
        <v>0.50348548459871023</v>
      </c>
      <c r="O84" s="1">
        <f t="shared" si="17"/>
        <v>0.4983823809668339</v>
      </c>
      <c r="P84" s="1">
        <f t="shared" si="18"/>
        <v>0.49651451540128982</v>
      </c>
    </row>
    <row r="85" spans="6:16" x14ac:dyDescent="0.3">
      <c r="F85" s="1">
        <f t="shared" ref="F85:G88" si="19">-G54</f>
        <v>0.62499999991868627</v>
      </c>
      <c r="G85" s="1">
        <f t="shared" si="19"/>
        <v>1.6262720785935611E-10</v>
      </c>
      <c r="H85" s="1">
        <f t="shared" si="10"/>
        <v>24.843749999979671</v>
      </c>
      <c r="I85" s="1">
        <f t="shared" si="11"/>
        <v>25.156249999939014</v>
      </c>
      <c r="J85" s="1">
        <f t="shared" si="12"/>
        <v>25.156250000020329</v>
      </c>
      <c r="K85" s="1">
        <f t="shared" si="13"/>
        <v>50.312500000040657</v>
      </c>
      <c r="L85" s="1">
        <f t="shared" si="14"/>
        <v>49.687500000121972</v>
      </c>
      <c r="M85" s="1">
        <f t="shared" si="15"/>
        <v>49.687499999959343</v>
      </c>
      <c r="N85" s="1">
        <f t="shared" si="16"/>
        <v>0.50312500000040661</v>
      </c>
      <c r="O85" s="1">
        <f t="shared" si="17"/>
        <v>0.4968750000012197</v>
      </c>
      <c r="P85" s="1">
        <f t="shared" si="18"/>
        <v>0.49687499999959345</v>
      </c>
    </row>
    <row r="86" spans="6:16" x14ac:dyDescent="0.3">
      <c r="F86" s="1">
        <f t="shared" si="19"/>
        <v>0.51031036295764698</v>
      </c>
      <c r="G86" s="1">
        <f t="shared" si="19"/>
        <v>0.18678655686858125</v>
      </c>
      <c r="H86" s="1">
        <f t="shared" si="10"/>
        <v>24.825725770043441</v>
      </c>
      <c r="I86" s="1">
        <f t="shared" si="11"/>
        <v>25.080880951522264</v>
      </c>
      <c r="J86" s="1">
        <f t="shared" si="12"/>
        <v>25.174274229956556</v>
      </c>
      <c r="K86" s="1">
        <f t="shared" si="13"/>
        <v>50.348548459913118</v>
      </c>
      <c r="L86" s="1">
        <f t="shared" si="14"/>
        <v>49.838238096955472</v>
      </c>
      <c r="M86" s="1">
        <f t="shared" si="15"/>
        <v>49.651451540086889</v>
      </c>
      <c r="N86" s="1">
        <f t="shared" si="16"/>
        <v>0.50348548459913123</v>
      </c>
      <c r="O86" s="1">
        <f t="shared" si="17"/>
        <v>0.49838238096955473</v>
      </c>
      <c r="P86" s="1">
        <f t="shared" si="18"/>
        <v>0.49651451540086888</v>
      </c>
    </row>
    <row r="87" spans="6:16" x14ac:dyDescent="0.3">
      <c r="F87" s="1">
        <f t="shared" si="19"/>
        <v>0.36084391808507182</v>
      </c>
      <c r="G87" s="1">
        <f t="shared" si="19"/>
        <v>0.3608439184019604</v>
      </c>
      <c r="H87" s="1">
        <f t="shared" si="10"/>
        <v>24.819578040878245</v>
      </c>
      <c r="I87" s="1">
        <f t="shared" si="11"/>
        <v>24.999999999920782</v>
      </c>
      <c r="J87" s="1">
        <f t="shared" si="12"/>
        <v>25.180421959121762</v>
      </c>
      <c r="K87" s="1">
        <f t="shared" si="13"/>
        <v>50.360843918243511</v>
      </c>
      <c r="L87" s="1">
        <f t="shared" si="14"/>
        <v>50.000000000158437</v>
      </c>
      <c r="M87" s="1">
        <f t="shared" si="15"/>
        <v>49.639156081756475</v>
      </c>
      <c r="N87" s="1">
        <f t="shared" si="16"/>
        <v>0.50360843918243514</v>
      </c>
      <c r="O87" s="1">
        <f t="shared" si="17"/>
        <v>0.5000000000015844</v>
      </c>
      <c r="P87" s="1">
        <f t="shared" si="18"/>
        <v>0.49639156081756475</v>
      </c>
    </row>
    <row r="88" spans="6:16" x14ac:dyDescent="0.3">
      <c r="F88" s="1">
        <f t="shared" si="19"/>
        <v>0.1867865565151387</v>
      </c>
      <c r="G88" s="1">
        <f t="shared" si="19"/>
        <v>0.5103103632163849</v>
      </c>
      <c r="H88" s="1">
        <f t="shared" si="10"/>
        <v>24.825725770067116</v>
      </c>
      <c r="I88" s="1">
        <f t="shared" si="11"/>
        <v>24.919119048324685</v>
      </c>
      <c r="J88" s="1">
        <f t="shared" si="12"/>
        <v>25.174274229932877</v>
      </c>
      <c r="K88" s="1">
        <f t="shared" si="13"/>
        <v>50.348548459865768</v>
      </c>
      <c r="L88" s="1">
        <f t="shared" si="14"/>
        <v>50.16176190335063</v>
      </c>
      <c r="M88" s="1">
        <f t="shared" si="15"/>
        <v>49.651451540134246</v>
      </c>
      <c r="N88" s="1">
        <f t="shared" si="16"/>
        <v>0.50348548459865772</v>
      </c>
      <c r="O88" s="1">
        <f t="shared" si="17"/>
        <v>0.50161761903350632</v>
      </c>
      <c r="P88" s="1">
        <f t="shared" si="18"/>
        <v>0.49651451540134245</v>
      </c>
    </row>
    <row r="89" spans="6:16" x14ac:dyDescent="0.3">
      <c r="F89" s="1">
        <f>G58</f>
        <v>2.0328409745921338E-10</v>
      </c>
      <c r="G89" s="1">
        <f>-F58</f>
        <v>0.62499999989835808</v>
      </c>
      <c r="H89" s="1">
        <f t="shared" si="10"/>
        <v>24.843749999974587</v>
      </c>
      <c r="I89" s="1">
        <f t="shared" si="11"/>
        <v>24.843750000076231</v>
      </c>
      <c r="J89" s="1">
        <f t="shared" si="12"/>
        <v>25.156250000025409</v>
      </c>
      <c r="K89" s="1">
        <f t="shared" si="13"/>
        <v>50.312500000050825</v>
      </c>
      <c r="L89" s="1">
        <f t="shared" si="14"/>
        <v>50.312499999847539</v>
      </c>
      <c r="M89" s="1">
        <f t="shared" si="15"/>
        <v>49.687499999949182</v>
      </c>
      <c r="N89" s="1">
        <f t="shared" si="16"/>
        <v>0.5031250000005083</v>
      </c>
      <c r="O89" s="1">
        <f t="shared" si="17"/>
        <v>0.50312499999847538</v>
      </c>
      <c r="P89" s="1">
        <f t="shared" si="18"/>
        <v>0.49687499999949181</v>
      </c>
    </row>
    <row r="90" spans="6:16" x14ac:dyDescent="0.3">
      <c r="F90" s="1">
        <f>G59</f>
        <v>0.18678655690785279</v>
      </c>
      <c r="G90" s="1">
        <f>-F59</f>
        <v>0.5103103629288982</v>
      </c>
      <c r="H90" s="1">
        <f t="shared" si="10"/>
        <v>24.825725770040812</v>
      </c>
      <c r="I90" s="1">
        <f t="shared" si="11"/>
        <v>24.919119048494739</v>
      </c>
      <c r="J90" s="1">
        <f t="shared" si="12"/>
        <v>25.174274229959188</v>
      </c>
      <c r="K90" s="1">
        <f t="shared" si="13"/>
        <v>50.348548459918376</v>
      </c>
      <c r="L90" s="1">
        <f t="shared" si="14"/>
        <v>50.161761903010522</v>
      </c>
      <c r="M90" s="1">
        <f t="shared" si="15"/>
        <v>49.651451540081624</v>
      </c>
      <c r="N90" s="1">
        <f t="shared" si="16"/>
        <v>0.50348548459918374</v>
      </c>
      <c r="O90" s="1">
        <f t="shared" si="17"/>
        <v>0.50161761903010527</v>
      </c>
      <c r="P90" s="1">
        <f t="shared" si="18"/>
        <v>0.49651451540081626</v>
      </c>
    </row>
    <row r="91" spans="6:16" x14ac:dyDescent="0.3">
      <c r="F91" s="1">
        <f>G60</f>
        <v>0.36084391843716979</v>
      </c>
      <c r="G91" s="1">
        <f>-F60</f>
        <v>0.36084391804986243</v>
      </c>
      <c r="H91" s="1">
        <f t="shared" si="10"/>
        <v>24.819578040878241</v>
      </c>
      <c r="I91" s="1">
        <f t="shared" si="11"/>
        <v>25.000000000096826</v>
      </c>
      <c r="J91" s="1">
        <f t="shared" si="12"/>
        <v>25.180421959121755</v>
      </c>
      <c r="K91" s="1">
        <f t="shared" si="13"/>
        <v>50.360843918243518</v>
      </c>
      <c r="L91" s="1">
        <f t="shared" si="14"/>
        <v>49.999999999806349</v>
      </c>
      <c r="M91" s="1">
        <f t="shared" si="15"/>
        <v>49.639156081756489</v>
      </c>
      <c r="N91" s="1">
        <f t="shared" si="16"/>
        <v>0.50360843918243514</v>
      </c>
      <c r="O91" s="1">
        <f t="shared" si="17"/>
        <v>0.49999999999806349</v>
      </c>
      <c r="P91" s="1">
        <f t="shared" si="18"/>
        <v>0.49639156081756491</v>
      </c>
    </row>
    <row r="92" spans="6:16" x14ac:dyDescent="0.3">
      <c r="F92" s="1">
        <f>G61</f>
        <v>0.51031036324513368</v>
      </c>
      <c r="G92" s="1">
        <f>-F61</f>
        <v>0.18678655647586703</v>
      </c>
      <c r="H92" s="1">
        <f t="shared" si="10"/>
        <v>24.825725770069749</v>
      </c>
      <c r="I92" s="1">
        <f t="shared" si="11"/>
        <v>25.080880951692315</v>
      </c>
      <c r="J92" s="1">
        <f t="shared" si="12"/>
        <v>25.174274229930248</v>
      </c>
      <c r="K92" s="1">
        <f t="shared" si="13"/>
        <v>50.348548459860503</v>
      </c>
      <c r="L92" s="1">
        <f t="shared" si="14"/>
        <v>49.83823809661537</v>
      </c>
      <c r="M92" s="1">
        <f t="shared" si="15"/>
        <v>49.651451540139504</v>
      </c>
      <c r="N92" s="1">
        <f t="shared" si="16"/>
        <v>0.50348548459860498</v>
      </c>
      <c r="O92" s="1">
        <f t="shared" si="17"/>
        <v>0.49838238096615373</v>
      </c>
      <c r="P92" s="1">
        <f t="shared" si="18"/>
        <v>0.49651451540139502</v>
      </c>
    </row>
  </sheetData>
  <mergeCells count="2">
    <mergeCell ref="M3:N3"/>
    <mergeCell ref="Q1:S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99A5-AB2E-4DE6-853D-CE63A2CC0E0E}">
  <dimension ref="B3:J11"/>
  <sheetViews>
    <sheetView tabSelected="1" workbookViewId="0">
      <selection activeCell="O11" sqref="O11"/>
    </sheetView>
  </sheetViews>
  <sheetFormatPr defaultRowHeight="14" x14ac:dyDescent="0.3"/>
  <cols>
    <col min="5" max="5" width="13.1640625" customWidth="1"/>
  </cols>
  <sheetData>
    <row r="3" spans="2:10" x14ac:dyDescent="0.3">
      <c r="J3">
        <v>0</v>
      </c>
    </row>
    <row r="4" spans="2:10" x14ac:dyDescent="0.3">
      <c r="F4">
        <v>0.314</v>
      </c>
      <c r="J4">
        <v>0.314</v>
      </c>
    </row>
    <row r="5" spans="2:10" x14ac:dyDescent="0.3">
      <c r="F5">
        <v>0.628</v>
      </c>
      <c r="J5">
        <v>0.628</v>
      </c>
    </row>
    <row r="9" spans="2:10" x14ac:dyDescent="0.3">
      <c r="D9" t="s">
        <v>85</v>
      </c>
    </row>
    <row r="10" spans="2:10" x14ac:dyDescent="0.3">
      <c r="B10" t="s">
        <v>86</v>
      </c>
      <c r="C10" t="s">
        <v>87</v>
      </c>
      <c r="D10" t="s">
        <v>88</v>
      </c>
      <c r="E10" t="s">
        <v>91</v>
      </c>
      <c r="F10" t="s">
        <v>89</v>
      </c>
      <c r="G10" t="s">
        <v>90</v>
      </c>
    </row>
    <row r="11" spans="2:10" x14ac:dyDescent="0.3">
      <c r="B11">
        <v>1</v>
      </c>
      <c r="C11">
        <v>0</v>
      </c>
      <c r="D11">
        <v>0</v>
      </c>
      <c r="E11">
        <f>D11*(3.1415926/180)</f>
        <v>0</v>
      </c>
      <c r="F11">
        <f>B11*COS(E11)-C11*SIN(E11)</f>
        <v>1</v>
      </c>
      <c r="G11">
        <f>B11*SIN(E11)+C11*COS(E11)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FA77-02F6-4A93-B8ED-526981006EA2}">
  <dimension ref="C5:K9"/>
  <sheetViews>
    <sheetView workbookViewId="0">
      <selection activeCell="E17" sqref="E17"/>
    </sheetView>
  </sheetViews>
  <sheetFormatPr defaultRowHeight="14" x14ac:dyDescent="0.3"/>
  <cols>
    <col min="7" max="7" width="12.83203125" customWidth="1"/>
    <col min="11" max="11" width="15.9140625" customWidth="1"/>
  </cols>
  <sheetData>
    <row r="5" spans="3:11" x14ac:dyDescent="0.3">
      <c r="D5" t="s">
        <v>75</v>
      </c>
    </row>
    <row r="7" spans="3:11" x14ac:dyDescent="0.3">
      <c r="D7" t="s">
        <v>76</v>
      </c>
      <c r="E7" t="s">
        <v>77</v>
      </c>
      <c r="F7" t="s">
        <v>78</v>
      </c>
      <c r="G7" t="s">
        <v>79</v>
      </c>
      <c r="H7" t="s">
        <v>80</v>
      </c>
      <c r="I7" t="s">
        <v>81</v>
      </c>
      <c r="J7" t="s">
        <v>82</v>
      </c>
      <c r="K7" t="s">
        <v>83</v>
      </c>
    </row>
    <row r="8" spans="3:11" x14ac:dyDescent="0.3">
      <c r="C8" t="s">
        <v>84</v>
      </c>
      <c r="D8">
        <v>30</v>
      </c>
      <c r="E8">
        <v>3.3</v>
      </c>
      <c r="F8">
        <v>4096</v>
      </c>
      <c r="G8">
        <f>D8/F8*3.3</f>
        <v>2.4169921875E-2</v>
      </c>
      <c r="H8">
        <v>5.7</v>
      </c>
      <c r="I8">
        <v>5.0000000000000001E-3</v>
      </c>
      <c r="J8">
        <v>0.6</v>
      </c>
      <c r="K8">
        <f>G8/H8/(I8+J8)</f>
        <v>7.0088217703349279E-3</v>
      </c>
    </row>
    <row r="9" spans="3:11" x14ac:dyDescent="0.3">
      <c r="D9">
        <v>30</v>
      </c>
      <c r="E9" s="17">
        <f>E8/F8/H8/(I8+J8)</f>
        <v>2.3362739234449758E-4</v>
      </c>
      <c r="F9" s="17"/>
      <c r="G9" s="17"/>
      <c r="H9" s="17"/>
      <c r="I9" s="17"/>
      <c r="J9" s="17"/>
      <c r="K9">
        <f>D9*E9</f>
        <v>7.0088217703349271E-3</v>
      </c>
    </row>
  </sheetData>
  <mergeCells count="1">
    <mergeCell ref="E9:J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B8A7-4547-44DB-A749-90D7D73AE301}">
  <dimension ref="B3:G6"/>
  <sheetViews>
    <sheetView workbookViewId="0">
      <selection activeCell="F8" sqref="F8"/>
    </sheetView>
  </sheetViews>
  <sheetFormatPr defaultRowHeight="14" x14ac:dyDescent="0.3"/>
  <cols>
    <col min="2" max="2" width="15.5" customWidth="1"/>
    <col min="3" max="3" width="28" customWidth="1"/>
    <col min="4" max="4" width="12.5" customWidth="1"/>
    <col min="5" max="5" width="8.5" customWidth="1"/>
    <col min="7" max="7" width="10.33203125" customWidth="1"/>
  </cols>
  <sheetData>
    <row r="3" spans="2:7" x14ac:dyDescent="0.3">
      <c r="B3" t="s">
        <v>10</v>
      </c>
      <c r="C3" t="s">
        <v>11</v>
      </c>
      <c r="D3" t="s">
        <v>6</v>
      </c>
      <c r="E3" t="s">
        <v>7</v>
      </c>
      <c r="F3" t="s">
        <v>8</v>
      </c>
      <c r="G3" t="s">
        <v>9</v>
      </c>
    </row>
    <row r="4" spans="2:7" x14ac:dyDescent="0.3">
      <c r="B4">
        <f xml:space="preserve"> 1/C4/1000</f>
        <v>10</v>
      </c>
      <c r="C4">
        <f>(G4*E4*F4)/D4</f>
        <v>1E-4</v>
      </c>
      <c r="D4">
        <v>84000000</v>
      </c>
      <c r="E4">
        <v>2</v>
      </c>
      <c r="F4">
        <v>2100</v>
      </c>
      <c r="G4">
        <v>2</v>
      </c>
    </row>
    <row r="5" spans="2:7" x14ac:dyDescent="0.3">
      <c r="B5">
        <f xml:space="preserve"> 1/C5/1000</f>
        <v>10</v>
      </c>
      <c r="C5">
        <f>(G5*E5*F5)/D5</f>
        <v>1E-4</v>
      </c>
      <c r="D5">
        <v>170000000</v>
      </c>
      <c r="E5">
        <v>1</v>
      </c>
      <c r="F5">
        <v>8500</v>
      </c>
      <c r="G5">
        <v>2</v>
      </c>
    </row>
    <row r="6" spans="2:7" x14ac:dyDescent="0.3">
      <c r="B6">
        <f xml:space="preserve"> 1/C6/1000</f>
        <v>10</v>
      </c>
      <c r="C6">
        <f>(G6*E6*F6)/D6</f>
        <v>1E-4</v>
      </c>
      <c r="D6">
        <v>275000000</v>
      </c>
      <c r="E6">
        <v>1</v>
      </c>
      <c r="F6">
        <v>13750</v>
      </c>
      <c r="G6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8E5E-34F3-46C0-9825-91320DD6B96F}">
  <dimension ref="A1:N24"/>
  <sheetViews>
    <sheetView zoomScale="112" workbookViewId="0">
      <selection activeCell="K18" sqref="K18"/>
    </sheetView>
  </sheetViews>
  <sheetFormatPr defaultRowHeight="14" x14ac:dyDescent="0.3"/>
  <cols>
    <col min="1" max="1" width="9.08203125" bestFit="1" customWidth="1"/>
    <col min="2" max="2" width="15.08203125" customWidth="1"/>
    <col min="3" max="3" width="19.83203125" customWidth="1"/>
    <col min="4" max="4" width="13.83203125" customWidth="1"/>
    <col min="5" max="5" width="23.58203125" customWidth="1"/>
    <col min="6" max="6" width="25.25" style="15" customWidth="1"/>
    <col min="8" max="8" width="12.33203125" bestFit="1" customWidth="1"/>
  </cols>
  <sheetData>
    <row r="1" spans="1:14" x14ac:dyDescent="0.3">
      <c r="A1" s="13"/>
      <c r="B1" s="13" t="s">
        <v>62</v>
      </c>
      <c r="C1" s="13" t="s">
        <v>63</v>
      </c>
      <c r="D1" s="13"/>
      <c r="E1" s="13"/>
      <c r="F1" s="15" t="s">
        <v>62</v>
      </c>
    </row>
    <row r="2" spans="1:14" x14ac:dyDescent="0.3">
      <c r="A2" s="13">
        <v>1</v>
      </c>
      <c r="B2" s="13">
        <f>_xlfn.BITLSHIFT(A2,15)</f>
        <v>32768</v>
      </c>
      <c r="C2" s="13">
        <f>_xlfn.BITLSHIFT(A2,31)</f>
        <v>2147483648</v>
      </c>
      <c r="D2" s="13"/>
      <c r="E2" s="13"/>
      <c r="J2" t="s">
        <v>71</v>
      </c>
      <c r="K2" t="s">
        <v>72</v>
      </c>
      <c r="L2" t="s">
        <v>73</v>
      </c>
      <c r="M2" t="s">
        <v>74</v>
      </c>
    </row>
    <row r="3" spans="1:14" x14ac:dyDescent="0.3">
      <c r="A3" s="13"/>
      <c r="B3" s="13"/>
      <c r="C3" s="13"/>
      <c r="D3" s="14" t="s">
        <v>55</v>
      </c>
      <c r="E3" s="13">
        <v>1E-3</v>
      </c>
      <c r="F3" s="15">
        <f>E3*B2</f>
        <v>32.768000000000001</v>
      </c>
      <c r="J3">
        <v>0.2</v>
      </c>
      <c r="K3">
        <f>40/1000</f>
        <v>0.04</v>
      </c>
      <c r="L3">
        <f>M3/J3/K3</f>
        <v>162.5</v>
      </c>
      <c r="M3">
        <v>1.3</v>
      </c>
    </row>
    <row r="4" spans="1:14" x14ac:dyDescent="0.3">
      <c r="A4" s="13"/>
      <c r="B4" s="13"/>
      <c r="C4" s="13"/>
      <c r="D4" s="14" t="s">
        <v>56</v>
      </c>
      <c r="E4" s="13">
        <v>1E-3</v>
      </c>
      <c r="F4" s="15">
        <f>E4*B2</f>
        <v>32.768000000000001</v>
      </c>
      <c r="L4">
        <v>5.7</v>
      </c>
      <c r="M4">
        <f>J3*K3*L4</f>
        <v>4.5600000000000002E-2</v>
      </c>
    </row>
    <row r="5" spans="1:14" x14ac:dyDescent="0.3">
      <c r="A5" s="13"/>
      <c r="B5" s="13"/>
      <c r="C5" s="13"/>
      <c r="D5" s="14" t="s">
        <v>57</v>
      </c>
      <c r="E5" s="13">
        <v>1E-3</v>
      </c>
      <c r="F5" s="15">
        <f>E5*B2</f>
        <v>32.768000000000001</v>
      </c>
    </row>
    <row r="6" spans="1:14" x14ac:dyDescent="0.3">
      <c r="A6" s="13"/>
      <c r="B6" s="13"/>
      <c r="C6" s="13"/>
      <c r="D6" s="14" t="s">
        <v>65</v>
      </c>
      <c r="E6" s="13"/>
      <c r="F6" s="15">
        <v>2216</v>
      </c>
    </row>
    <row r="7" spans="1:14" x14ac:dyDescent="0.3">
      <c r="A7" s="13"/>
      <c r="B7" s="13"/>
      <c r="C7" s="13"/>
      <c r="D7" s="14" t="s">
        <v>66</v>
      </c>
      <c r="F7" s="15">
        <f>2216+15</f>
        <v>2231</v>
      </c>
      <c r="N7">
        <f>3.3/4096</f>
        <v>8.0566406249999996E-4</v>
      </c>
    </row>
    <row r="8" spans="1:14" x14ac:dyDescent="0.3">
      <c r="A8" s="13"/>
      <c r="B8" s="13"/>
      <c r="C8" s="13"/>
      <c r="D8" s="14" t="s">
        <v>67</v>
      </c>
      <c r="F8" s="15">
        <f>2216+34</f>
        <v>2250</v>
      </c>
    </row>
    <row r="9" spans="1:14" x14ac:dyDescent="0.3">
      <c r="A9" s="13"/>
      <c r="B9" s="13"/>
      <c r="C9" s="13"/>
      <c r="D9" s="13" t="s">
        <v>58</v>
      </c>
      <c r="E9" s="13"/>
    </row>
    <row r="10" spans="1:14" x14ac:dyDescent="0.3">
      <c r="A10" s="13"/>
      <c r="B10" s="13"/>
      <c r="C10" s="13"/>
      <c r="D10" s="14" t="s">
        <v>59</v>
      </c>
      <c r="E10" s="13">
        <v>5.7</v>
      </c>
      <c r="F10" s="15">
        <f>E10*B2</f>
        <v>186777.60000000001</v>
      </c>
    </row>
    <row r="11" spans="1:14" x14ac:dyDescent="0.3">
      <c r="D11" s="14" t="s">
        <v>60</v>
      </c>
      <c r="E11" s="13">
        <v>100</v>
      </c>
      <c r="F11" s="15">
        <f>E11*B2</f>
        <v>3276800</v>
      </c>
    </row>
    <row r="12" spans="1:14" x14ac:dyDescent="0.3">
      <c r="D12" s="14" t="s">
        <v>64</v>
      </c>
      <c r="E12" s="13">
        <v>24</v>
      </c>
    </row>
    <row r="13" spans="1:14" x14ac:dyDescent="0.3">
      <c r="D13" s="14" t="s">
        <v>61</v>
      </c>
      <c r="E13" s="13">
        <f>E11/E12</f>
        <v>4.166666666666667</v>
      </c>
      <c r="F13" s="15">
        <f>E13*B2</f>
        <v>136533.33333333334</v>
      </c>
    </row>
    <row r="14" spans="1:14" x14ac:dyDescent="0.3">
      <c r="D14" s="14" t="s">
        <v>68</v>
      </c>
      <c r="E14">
        <f>3.3/4096/E3/E10</f>
        <v>0.14134457236842102</v>
      </c>
      <c r="F14" s="15">
        <f>E14*B2</f>
        <v>4631.5789473684199</v>
      </c>
    </row>
    <row r="15" spans="1:14" x14ac:dyDescent="0.3">
      <c r="D15" s="14" t="s">
        <v>69</v>
      </c>
      <c r="E15">
        <f>3.3/4096/E4/E10</f>
        <v>0.14134457236842102</v>
      </c>
      <c r="F15" s="15">
        <f>E15*B2</f>
        <v>4631.5789473684199</v>
      </c>
    </row>
    <row r="16" spans="1:14" x14ac:dyDescent="0.3">
      <c r="D16" s="14" t="s">
        <v>70</v>
      </c>
      <c r="E16">
        <f>3.3/4096/E4/E10</f>
        <v>0.14134457236842102</v>
      </c>
      <c r="F16" s="15">
        <f>E16*B2</f>
        <v>4631.5789473684199</v>
      </c>
    </row>
    <row r="20" spans="8:8" x14ac:dyDescent="0.3">
      <c r="H20" s="11"/>
    </row>
    <row r="21" spans="8:8" x14ac:dyDescent="0.3">
      <c r="H21" s="11"/>
    </row>
    <row r="22" spans="8:8" x14ac:dyDescent="0.3">
      <c r="H22" s="11"/>
    </row>
    <row r="23" spans="8:8" x14ac:dyDescent="0.3">
      <c r="H23" s="11"/>
    </row>
    <row r="24" spans="8:8" x14ac:dyDescent="0.3">
      <c r="H24" s="1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svpwm (2)</vt:lpstr>
      <vt:lpstr>角度计算</vt:lpstr>
      <vt:lpstr>电流及功率相关计算</vt:lpstr>
      <vt:lpstr>TIM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张戈</dc:creator>
  <cp:lastModifiedBy>霞 江</cp:lastModifiedBy>
  <dcterms:created xsi:type="dcterms:W3CDTF">2015-06-05T18:19:34Z</dcterms:created>
  <dcterms:modified xsi:type="dcterms:W3CDTF">2024-03-04T16:06:53Z</dcterms:modified>
</cp:coreProperties>
</file>