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zahasky\Dropbox\Writing\Peak_storage\data_and_files_for_submission\"/>
    </mc:Choice>
  </mc:AlternateContent>
  <xr:revisionPtr revIDLastSave="0" documentId="13_ncr:1_{4A0DE057-5687-41BD-805D-910175AF4551}" xr6:coauthVersionLast="45" xr6:coauthVersionMax="45" xr10:uidLastSave="{00000000-0000-0000-0000-000000000000}"/>
  <bookViews>
    <workbookView xWindow="-32100" yWindow="1310" windowWidth="30350" windowHeight="17750" tabRatio="500" activeTab="3" xr2:uid="{00000000-000D-0000-FFFF-FFFF00000000}"/>
  </bookViews>
  <sheets>
    <sheet name="Fig1_data_w_refs" sheetId="2" r:id="rId1"/>
    <sheet name="Fig1_data_sorted_by_type" sheetId="4" r:id="rId2"/>
    <sheet name="Fig1_Mt Simon data" sheetId="3" r:id="rId3"/>
    <sheet name="Fig2_Total_sequestered" sheetId="5" r:id="rId4"/>
    <sheet name="IPCC_2d_scenarios" sheetId="9" r:id="rId5"/>
    <sheet name="IPCC_1_5d_scenarios" sheetId="10" r:id="rId6"/>
  </sheets>
  <definedNames>
    <definedName name="btblfn0065" localSheetId="0">Fig1_data_w_refs!$M$36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7" i="5" l="1"/>
  <c r="N56" i="5"/>
  <c r="D125" i="9" l="1"/>
  <c r="D126" i="9" s="1"/>
  <c r="D127" i="9" s="1"/>
  <c r="D128" i="9" s="1"/>
  <c r="C26" i="2"/>
  <c r="F26" i="2"/>
  <c r="E26" i="2"/>
  <c r="R3" i="2"/>
  <c r="D129" i="9" l="1"/>
  <c r="D130" i="9" s="1"/>
  <c r="D131" i="9" s="1"/>
  <c r="D132" i="9" s="1"/>
  <c r="D133" i="9" s="1"/>
  <c r="D134" i="9" s="1"/>
  <c r="D135" i="9" s="1"/>
  <c r="E128" i="9"/>
  <c r="H5" i="5" l="1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" i="5"/>
  <c r="F51" i="5" l="1"/>
  <c r="T31" i="5"/>
  <c r="T54" i="5" s="1"/>
  <c r="F56" i="5" s="1"/>
  <c r="H56" i="5" s="1"/>
  <c r="P37" i="5"/>
  <c r="N37" i="5"/>
  <c r="N54" i="5" s="1"/>
  <c r="N31" i="5"/>
  <c r="O31" i="5"/>
  <c r="O54" i="5" s="1"/>
  <c r="P31" i="5"/>
  <c r="Q31" i="5"/>
  <c r="Q54" i="5" s="1"/>
  <c r="F53" i="5" s="1"/>
  <c r="R31" i="5"/>
  <c r="S31" i="5"/>
  <c r="S54" i="5" s="1"/>
  <c r="F55" i="5" s="1"/>
  <c r="H55" i="5" s="1"/>
  <c r="M31" i="5"/>
  <c r="V12" i="5"/>
  <c r="R54" i="5"/>
  <c r="F54" i="5" s="1"/>
  <c r="H54" i="5" s="1"/>
  <c r="U54" i="5"/>
  <c r="M30" i="5"/>
  <c r="V31" i="5"/>
  <c r="L30" i="5"/>
  <c r="L54" i="5" s="1"/>
  <c r="F48" i="5" s="1"/>
  <c r="H48" i="5" l="1"/>
  <c r="G48" i="5"/>
  <c r="G49" i="5" s="1"/>
  <c r="G50" i="5" s="1"/>
  <c r="G51" i="5" s="1"/>
  <c r="G52" i="5" s="1"/>
  <c r="G53" i="5" s="1"/>
  <c r="F50" i="5"/>
  <c r="H51" i="5" s="1"/>
  <c r="M54" i="5"/>
  <c r="F49" i="5" s="1"/>
  <c r="H49" i="5" s="1"/>
  <c r="P54" i="5"/>
  <c r="F52" i="5" s="1"/>
  <c r="H52" i="5" s="1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U13" i="4"/>
  <c r="M9" i="4"/>
  <c r="T6" i="4"/>
  <c r="C8" i="4"/>
  <c r="C55" i="4"/>
  <c r="F14" i="2"/>
  <c r="B15" i="2"/>
  <c r="F15" i="2"/>
  <c r="F16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8" i="3"/>
  <c r="W6" i="2"/>
  <c r="W7" i="2"/>
  <c r="S3" i="2"/>
  <c r="B3" i="2" s="1"/>
  <c r="T3" i="2"/>
  <c r="U3" i="2" s="1"/>
  <c r="W3" i="2" s="1"/>
  <c r="R5" i="2"/>
  <c r="R4" i="2"/>
  <c r="S4" i="2" s="1"/>
  <c r="T4" i="2" s="1"/>
  <c r="H50" i="5" l="1"/>
  <c r="H57" i="5" s="1"/>
  <c r="H53" i="5"/>
  <c r="S5" i="2"/>
  <c r="T5" i="2" s="1"/>
  <c r="U5" i="2" s="1"/>
  <c r="W5" i="2" s="1"/>
  <c r="G54" i="5"/>
  <c r="G55" i="5" s="1"/>
  <c r="G56" i="5" s="1"/>
  <c r="U4" i="2"/>
  <c r="W4" i="2" s="1"/>
</calcChain>
</file>

<file path=xl/sharedStrings.xml><?xml version="1.0" encoding="utf-8"?>
<sst xmlns="http://schemas.openxmlformats.org/spreadsheetml/2006/main" count="1393" uniqueCount="317">
  <si>
    <t>Field</t>
  </si>
  <si>
    <t>L</t>
  </si>
  <si>
    <t>M</t>
  </si>
  <si>
    <t>UpperMinnelusa</t>
  </si>
  <si>
    <t>Qingshankou</t>
  </si>
  <si>
    <t>K</t>
  </si>
  <si>
    <t>G</t>
  </si>
  <si>
    <t>E</t>
  </si>
  <si>
    <t>A</t>
  </si>
  <si>
    <t>F</t>
  </si>
  <si>
    <t>H</t>
  </si>
  <si>
    <t>Bunter</t>
  </si>
  <si>
    <t>D</t>
  </si>
  <si>
    <t>C</t>
  </si>
  <si>
    <t>MtSimon</t>
  </si>
  <si>
    <t>BasalCambrian</t>
  </si>
  <si>
    <t>Reference</t>
  </si>
  <si>
    <t>Total estimated pore volume (km^3)</t>
  </si>
  <si>
    <t>Thibeaur2014</t>
  </si>
  <si>
    <t>Rotliegend</t>
  </si>
  <si>
    <t>Notes</t>
  </si>
  <si>
    <t>Gorecki2015</t>
  </si>
  <si>
    <t>B</t>
  </si>
  <si>
    <t>pore volume estimated from gross thickness</t>
  </si>
  <si>
    <t>Szulczeski2012 and Goodman2013</t>
  </si>
  <si>
    <t>I</t>
  </si>
  <si>
    <t>J</t>
  </si>
  <si>
    <t>open</t>
  </si>
  <si>
    <t>closed</t>
  </si>
  <si>
    <t>low sim</t>
  </si>
  <si>
    <t>median sim</t>
  </si>
  <si>
    <t>high sim</t>
  </si>
  <si>
    <t>Sims from table 6 and 7</t>
  </si>
  <si>
    <t>sim</t>
  </si>
  <si>
    <t>m^2</t>
  </si>
  <si>
    <t>m^3 pv</t>
  </si>
  <si>
    <t>kg CO2</t>
  </si>
  <si>
    <t>open low</t>
  </si>
  <si>
    <t>open high</t>
  </si>
  <si>
    <t>open mid</t>
  </si>
  <si>
    <t>sim low</t>
  </si>
  <si>
    <t>estimates assumming the following number of townships</t>
  </si>
  <si>
    <t>BasalCambrianShell low</t>
  </si>
  <si>
    <t>Bunter (Williams 2013)</t>
  </si>
  <si>
    <t>Leman SS (Holloway)</t>
  </si>
  <si>
    <t>Bunter SS (Holloway)</t>
  </si>
  <si>
    <t>Utsira</t>
  </si>
  <si>
    <t>Skade 1</t>
  </si>
  <si>
    <t>Skade 2</t>
  </si>
  <si>
    <t>open (calculated from Norwegian Atlas storage eff of 4%)</t>
  </si>
  <si>
    <t>Elenius2018</t>
  </si>
  <si>
    <t>Ref</t>
  </si>
  <si>
    <t>Year</t>
  </si>
  <si>
    <t>lower</t>
  </si>
  <si>
    <t>upper</t>
  </si>
  <si>
    <t>lower is based on closed system estimate</t>
  </si>
  <si>
    <t>Bunter (Agada2017)</t>
  </si>
  <si>
    <t>Open table</t>
  </si>
  <si>
    <t>Szulczeski2012 and Goodman2014</t>
  </si>
  <si>
    <t>Szulczeski2012 and Goodman2015</t>
  </si>
  <si>
    <t>Szulczeski2012 and Goodman2016</t>
  </si>
  <si>
    <t>Szulczeski2012 and Goodman2017</t>
  </si>
  <si>
    <t>Szulczeski2012 and Goodman2018</t>
  </si>
  <si>
    <t>Szulczeski2012 and Goodman2019</t>
  </si>
  <si>
    <t>Szulczeski2012 and Goodman2020</t>
  </si>
  <si>
    <t>Szulczeski2012 and Goodman2021</t>
  </si>
  <si>
    <t>Szulczeski2012 and Goodman2022</t>
  </si>
  <si>
    <t>Szulczeski2012 and Goodman2023</t>
  </si>
  <si>
    <t>Szulczeski2012 and Goodman2024</t>
  </si>
  <si>
    <t>Szulczeski2012 and Goodman2025</t>
  </si>
  <si>
    <t>Buraica</t>
  </si>
  <si>
    <t>Name</t>
  </si>
  <si>
    <t>MT/yr</t>
  </si>
  <si>
    <t>EOR</t>
  </si>
  <si>
    <t>Boundary Dam</t>
  </si>
  <si>
    <t>EOR and Storage</t>
  </si>
  <si>
    <t>Husky Energy</t>
  </si>
  <si>
    <t>Quest</t>
  </si>
  <si>
    <t>Jilil</t>
  </si>
  <si>
    <t>Karamay</t>
  </si>
  <si>
    <t>Zhongyuan</t>
  </si>
  <si>
    <t>Shengli</t>
  </si>
  <si>
    <t>Tomokomai</t>
  </si>
  <si>
    <t>Sleipner</t>
  </si>
  <si>
    <t>Snohvit</t>
  </si>
  <si>
    <t>St</t>
  </si>
  <si>
    <t>st</t>
  </si>
  <si>
    <t>Uthmaniyah</t>
  </si>
  <si>
    <t>eor</t>
  </si>
  <si>
    <t>ended 2018</t>
  </si>
  <si>
    <t>Terrel Natural</t>
  </si>
  <si>
    <t>Enid</t>
  </si>
  <si>
    <t>Shute Creek</t>
  </si>
  <si>
    <t>Val Verde</t>
  </si>
  <si>
    <t>Great Plains</t>
  </si>
  <si>
    <t>Oakdale</t>
  </si>
  <si>
    <t>Century</t>
  </si>
  <si>
    <t>Arkalon</t>
  </si>
  <si>
    <t>Bonanza</t>
  </si>
  <si>
    <t>Air products</t>
  </si>
  <si>
    <t>Lost cabin</t>
  </si>
  <si>
    <t>PCS</t>
  </si>
  <si>
    <t>Michigan</t>
  </si>
  <si>
    <t>Bell Creek</t>
  </si>
  <si>
    <t>Ramsey Gas</t>
  </si>
  <si>
    <t>Illinois</t>
  </si>
  <si>
    <t>Petra Nova</t>
  </si>
  <si>
    <t>Zama</t>
  </si>
  <si>
    <t>total</t>
  </si>
  <si>
    <t>https://www.japanccs.com/en/</t>
  </si>
  <si>
    <t>Pemex EOR</t>
  </si>
  <si>
    <t>Drop this estimate based on Jin2017</t>
  </si>
  <si>
    <t>Data from Haszeldine et al, 2017</t>
  </si>
  <si>
    <t>Abu Dhabi Al Reyadh</t>
  </si>
  <si>
    <t>Revised down based on GCCS accessed October 10</t>
  </si>
  <si>
    <t>Changqing CTL</t>
  </si>
  <si>
    <t>Not on Haszeldine2017</t>
  </si>
  <si>
    <t>Geothermal Plant Croatia</t>
  </si>
  <si>
    <t>geo</t>
  </si>
  <si>
    <t>Increase in rate based on GCCS accessed October 10</t>
  </si>
  <si>
    <t>Sinopec Qilu Petrochemical</t>
  </si>
  <si>
    <t>Conservative estimate fromGCCS accessed on Oct 10th and information from https://actl.ca/actl-project/faqs/</t>
  </si>
  <si>
    <t>Alberta Carbon Trunk Line w/Agrium Stream</t>
  </si>
  <si>
    <t>Alberta Carbon Trunk Line w Sturgeon Refinery Stream</t>
  </si>
  <si>
    <t>Gorgon Project Australia</t>
  </si>
  <si>
    <t>Prorated from injection in Aug 2019 based on GCCS data accessed Oct 10, 2019</t>
  </si>
  <si>
    <t>Yanchang Integrated CCS Demo</t>
  </si>
  <si>
    <t>Sinopec Eastern China CCS</t>
  </si>
  <si>
    <t>Huaneng GreenGen Phase 2</t>
  </si>
  <si>
    <t>Huaneng GreenGen Phase 3</t>
  </si>
  <si>
    <t>Teesside Collective</t>
  </si>
  <si>
    <t>Huazhong</t>
  </si>
  <si>
    <t>Port of Rotterdam</t>
  </si>
  <si>
    <t>Storage</t>
  </si>
  <si>
    <t>Conservative estimate fromGCCS accessed on Oct 10, 2019</t>
  </si>
  <si>
    <t>Acorn Pilot</t>
  </si>
  <si>
    <t>Lake Charles Methanol</t>
  </si>
  <si>
    <t>Norway Full Chain CCS</t>
  </si>
  <si>
    <t>Caledonia</t>
  </si>
  <si>
    <t>Hydrogen 2 Magnum</t>
  </si>
  <si>
    <t>South West Hub</t>
  </si>
  <si>
    <t>Cumulative (MT)</t>
  </si>
  <si>
    <t>Updated based on data in table to right</t>
  </si>
  <si>
    <t>Rate (MT/yr)</t>
  </si>
  <si>
    <t>2010</t>
  </si>
  <si>
    <t>World</t>
  </si>
  <si>
    <t>cumulative</t>
  </si>
  <si>
    <t>Growth</t>
  </si>
  <si>
    <t>Fraction of current storage that is EOR</t>
  </si>
  <si>
    <t>Field/Aqifer</t>
  </si>
  <si>
    <t>Quest reservoir, calculations in table to right</t>
  </si>
  <si>
    <t>Holloway2009</t>
  </si>
  <si>
    <t>10.1016/j.ijggc.2013.06.015</t>
  </si>
  <si>
    <t>Williams2013</t>
  </si>
  <si>
    <t>10.1306/eg.11080505015</t>
  </si>
  <si>
    <t>Winkler2010 SPE</t>
  </si>
  <si>
    <t>10.1016/j.ijggc.2018.09.004</t>
  </si>
  <si>
    <t>10.1016/j.ijggc.2015.07.018</t>
  </si>
  <si>
    <t>10.1073/pnas.1115347109</t>
  </si>
  <si>
    <t>10.1016/j.ijggc.2013.07.016</t>
  </si>
  <si>
    <t>Open aquifer estmates were not available so they are estimated assuming similar efficiency factor as Bunter</t>
  </si>
  <si>
    <t>Type of analysis (open, closed, or dynamic/sim)</t>
  </si>
  <si>
    <t>closed table</t>
  </si>
  <si>
    <t>Dynamic/sim table</t>
  </si>
  <si>
    <t xml:space="preserve">Leman SS </t>
  </si>
  <si>
    <t>Mt simon capacity ranges (GT)</t>
  </si>
  <si>
    <t>Not peer reviewed</t>
  </si>
  <si>
    <t>Model</t>
  </si>
  <si>
    <t>Scenario</t>
  </si>
  <si>
    <t>Region</t>
  </si>
  <si>
    <t>Variable</t>
  </si>
  <si>
    <t>Unit</t>
  </si>
  <si>
    <t>2020</t>
  </si>
  <si>
    <t>2030</t>
  </si>
  <si>
    <t>2040</t>
  </si>
  <si>
    <t>2050</t>
  </si>
  <si>
    <t>2060</t>
  </si>
  <si>
    <t>2070</t>
  </si>
  <si>
    <t>2080</t>
  </si>
  <si>
    <t>2090</t>
  </si>
  <si>
    <t>2100</t>
  </si>
  <si>
    <t>AIM/CGE 2.0</t>
  </si>
  <si>
    <t>ADVANCE_2020_1.5C-2100</t>
  </si>
  <si>
    <t>Carbon Sequestration|CCS</t>
  </si>
  <si>
    <t>Mt CO2/yr</t>
  </si>
  <si>
    <t>SSP1-19</t>
  </si>
  <si>
    <t>SSP2-19</t>
  </si>
  <si>
    <t>AIM/CGE 2.1</t>
  </si>
  <si>
    <t>CD-LINKS_NPi2020_400</t>
  </si>
  <si>
    <t>EMF33_WB2C_cost100</t>
  </si>
  <si>
    <t>TERL_15D_LowCarbonTransportPolicy</t>
  </si>
  <si>
    <t>TERL_15D_NoTransportPolicy</t>
  </si>
  <si>
    <t>GCAM 4.2</t>
  </si>
  <si>
    <t>SSP5-19</t>
  </si>
  <si>
    <t>IMAGE 3.0.1</t>
  </si>
  <si>
    <t>IMA15-AGInt</t>
  </si>
  <si>
    <t>IMA15-Def</t>
  </si>
  <si>
    <t>IMA15-Eff</t>
  </si>
  <si>
    <t>IMA15-LiStCh</t>
  </si>
  <si>
    <t>IMA15-LoNCO2</t>
  </si>
  <si>
    <t>IMA15-Pop</t>
  </si>
  <si>
    <t>IMA15-RenElec</t>
  </si>
  <si>
    <t>IMA15-TOT</t>
  </si>
  <si>
    <t>MERGE-ETL 6.0</t>
  </si>
  <si>
    <t>DAC15_50</t>
  </si>
  <si>
    <t>MESSAGE-GLOBIOM 1.0</t>
  </si>
  <si>
    <t>ADVANCE_2030_Price1.5C</t>
  </si>
  <si>
    <t>EMF33_1.5C_cost100</t>
  </si>
  <si>
    <t>EMF33_1.5C_full</t>
  </si>
  <si>
    <t>EMF33_WB2C_full</t>
  </si>
  <si>
    <t>EMF33_WB2C_limbio</t>
  </si>
  <si>
    <t>EMF33_WB2C_nofuel</t>
  </si>
  <si>
    <t>MESSAGEix-GLOBIOM 1.0</t>
  </si>
  <si>
    <t>LowEnergyDemand</t>
  </si>
  <si>
    <t>POLES ADVANCE</t>
  </si>
  <si>
    <t>ADVANCE_2020_WB2C</t>
  </si>
  <si>
    <t>ADVANCE_2030_1.5C-2100</t>
  </si>
  <si>
    <t>ADVANCE_2030_WB2C</t>
  </si>
  <si>
    <t>POLES CD-LINKS</t>
  </si>
  <si>
    <t>POLES EMF33</t>
  </si>
  <si>
    <t>EMF33_WB2C_nobeccs</t>
  </si>
  <si>
    <t>EMF33_WB2C_none</t>
  </si>
  <si>
    <t>REMIND 1.5</t>
  </si>
  <si>
    <t>EMC_Def_100$</t>
  </si>
  <si>
    <t>EMC_LimSW_100$</t>
  </si>
  <si>
    <t>EMC_NucPO_100$</t>
  </si>
  <si>
    <t>EMC_lowEI_100$</t>
  </si>
  <si>
    <t>REMIND 1.7</t>
  </si>
  <si>
    <t>CEMICS-1.5-CDR12</t>
  </si>
  <si>
    <t>CEMICS-1.5-CDR20</t>
  </si>
  <si>
    <t>CEMICS-1.5-CDR8</t>
  </si>
  <si>
    <t>REMIND-MAgPIE 1.5</t>
  </si>
  <si>
    <t>REMIND-MAgPIE 1.7-3.0</t>
  </si>
  <si>
    <t>EMF33_1.5C_nofuel</t>
  </si>
  <si>
    <t>PEP_1p5C_full_NDC</t>
  </si>
  <si>
    <t>PEP_1p5C_full_eff</t>
  </si>
  <si>
    <t>PEP_1p5C_full_goodpractice</t>
  </si>
  <si>
    <t>PEP_1p5C_full_netzero</t>
  </si>
  <si>
    <t>PEP_1p5C_red_eff</t>
  </si>
  <si>
    <t>SMP_1p5C_Def</t>
  </si>
  <si>
    <t>SMP_1p5C_lifesty</t>
  </si>
  <si>
    <t>SMP_1p5C_regul</t>
  </si>
  <si>
    <t>SMP_2C_Sust</t>
  </si>
  <si>
    <t>SMP_2C_lifesty</t>
  </si>
  <si>
    <t>SMP_2C_regul</t>
  </si>
  <si>
    <t>WITCH-GLOBIOM 3.1</t>
  </si>
  <si>
    <t>SSP4-19</t>
  </si>
  <si>
    <t>WITCH-GLOBIOM 4.2</t>
  </si>
  <si>
    <t>WITCH-GLOBIOM 4.4</t>
  </si>
  <si>
    <t>CD-LINKS_NPi2020_1000</t>
  </si>
  <si>
    <t>ADVANCE_2020_Med2C</t>
  </si>
  <si>
    <t>SSP1-26</t>
  </si>
  <si>
    <t>SSP2-26</t>
  </si>
  <si>
    <t>SSP4-26</t>
  </si>
  <si>
    <t>SSP5-26</t>
  </si>
  <si>
    <t>EMF33_Med2C_cost100</t>
  </si>
  <si>
    <t>EMF33_Med2C_full</t>
  </si>
  <si>
    <t>EMF33_Med2C_nobeccs</t>
  </si>
  <si>
    <t>EMF33_Med2C_nofuel</t>
  </si>
  <si>
    <t>EMF33_Med2C_none</t>
  </si>
  <si>
    <t>TERL_2D_LowCarbonTransportPolicy</t>
  </si>
  <si>
    <t>TERL_2D_NoTransportPolicy</t>
  </si>
  <si>
    <t>ADVANCE_2030_Med2C</t>
  </si>
  <si>
    <t>CD-LINKS_NPi2020_1600</t>
  </si>
  <si>
    <t>IMAGE 3.0.2</t>
  </si>
  <si>
    <t>EMF33_tax_hi_full</t>
  </si>
  <si>
    <t>DAC2_66</t>
  </si>
  <si>
    <t>MESSAGE V.3</t>
  </si>
  <si>
    <t>GEA_Eff_1p5C</t>
  </si>
  <si>
    <t>GEA_Eff_1p5C_Delay2020</t>
  </si>
  <si>
    <t>GEA_Eff_2C_Delay2020</t>
  </si>
  <si>
    <t>GEA_Eff_AdvNCO2_1p5C</t>
  </si>
  <si>
    <t>GEA_Mix_1p5C_AdvNCO2_PartialDelay2020</t>
  </si>
  <si>
    <t>GEA_Mix_1p5C_AdvTrans_PartialDelay2020</t>
  </si>
  <si>
    <t>GEA_Mix_2C_AdvNCO2_PartialDelay2020</t>
  </si>
  <si>
    <t>GEA_Mix_2C_AdvTrans_PartialDelay2020</t>
  </si>
  <si>
    <t>EMF33_Med2C_limbio</t>
  </si>
  <si>
    <t>EMF33_tax_hi_none</t>
  </si>
  <si>
    <t>EMC_Def_30$</t>
  </si>
  <si>
    <t>EMC_NucPO_30$</t>
  </si>
  <si>
    <t>EMC_lowEI_30$</t>
  </si>
  <si>
    <t>CEMICS-2.0-CDR12</t>
  </si>
  <si>
    <t>CEMICS-2.0-CDR20</t>
  </si>
  <si>
    <t>CEMICS-2.0-CDR8</t>
  </si>
  <si>
    <t>PEP_2C_full_NDC</t>
  </si>
  <si>
    <t>PEP_2C_full_eff</t>
  </si>
  <si>
    <t>PEP_2C_full_goodpractice</t>
  </si>
  <si>
    <t>PEP_2C_full_netzero</t>
  </si>
  <si>
    <t>PEP_2C_red_NDC</t>
  </si>
  <si>
    <t>PEP_2C_red_eff</t>
  </si>
  <si>
    <t>PEP_2C_red_goodpractice</t>
  </si>
  <si>
    <t>PEP_2C_red_netzero</t>
  </si>
  <si>
    <t>SMP_2C_Def</t>
  </si>
  <si>
    <t>SMP_2C_early</t>
  </si>
  <si>
    <t>median</t>
  </si>
  <si>
    <t>mean</t>
  </si>
  <si>
    <t>IAMC 1.5°C Scenario Explorer and Data hosted by IIASA.</t>
  </si>
  <si>
    <r>
      <t>doi: </t>
    </r>
    <r>
      <rPr>
        <sz val="16"/>
        <color rgb="FF007BFF"/>
        <rFont val="Segoe UI"/>
        <family val="2"/>
      </rPr>
      <t>10.5281/zenodo.3363345</t>
    </r>
    <r>
      <rPr>
        <sz val="16"/>
        <color rgb="FF212529"/>
        <rFont val="Segoe UI"/>
        <family val="2"/>
      </rPr>
      <t> | url: </t>
    </r>
    <r>
      <rPr>
        <sz val="16"/>
        <color rgb="FF007BFF"/>
        <rFont val="Segoe UI"/>
        <family val="2"/>
      </rPr>
      <t>data.ene.iiasa.ac.at/iamc-1.5c-explorer</t>
    </r>
  </si>
  <si>
    <t>Based on GCCS accessed October 10, 2019</t>
  </si>
  <si>
    <r>
      <t xml:space="preserve">National Energy Technology Laboratory. (2007). </t>
    </r>
    <r>
      <rPr>
        <i/>
        <sz val="12"/>
        <color theme="1"/>
        <rFont val="Calibri"/>
        <family val="2"/>
        <scheme val="minor"/>
      </rPr>
      <t>Carbon Sequestration Atlas of the United States and Canada</t>
    </r>
    <r>
      <rPr>
        <sz val="12"/>
        <color theme="1"/>
        <rFont val="Calibri"/>
        <family val="2"/>
        <scheme val="minor"/>
      </rPr>
      <t>.</t>
    </r>
  </si>
  <si>
    <r>
      <t xml:space="preserve">National Energy Technology Laboratory. (2010). </t>
    </r>
    <r>
      <rPr>
        <i/>
        <sz val="12"/>
        <color theme="1"/>
        <rFont val="Calibri"/>
        <family val="2"/>
        <scheme val="minor"/>
      </rPr>
      <t>Carbon Sequestration Atlas of the United States and Canada</t>
    </r>
    <r>
      <rPr>
        <sz val="12"/>
        <color theme="1"/>
        <rFont val="Calibri"/>
        <family val="2"/>
        <scheme val="minor"/>
      </rPr>
      <t xml:space="preserve"> (Vol. Third Edit). https://doi.org/10.1017/CBO9781107415324.004</t>
    </r>
  </si>
  <si>
    <r>
      <t xml:space="preserve">National Energy Technology Laboratory. (2012). </t>
    </r>
    <r>
      <rPr>
        <i/>
        <sz val="12"/>
        <color theme="1"/>
        <rFont val="Calibri"/>
        <family val="2"/>
        <scheme val="minor"/>
      </rPr>
      <t>Carbon Sequestration Atlas of the United States and Canada</t>
    </r>
    <r>
      <rPr>
        <sz val="12"/>
        <color theme="1"/>
        <rFont val="Calibri"/>
        <family val="2"/>
        <scheme val="minor"/>
      </rPr>
      <t xml:space="preserve"> (Vol. Fourth Edi). https://doi.org/10.1017/CBO9781107415324.004</t>
    </r>
  </si>
  <si>
    <r>
      <t xml:space="preserve">National Energy Technology Laboratory. (2015). </t>
    </r>
    <r>
      <rPr>
        <i/>
        <sz val="12"/>
        <color theme="1"/>
        <rFont val="Calibri"/>
        <family val="2"/>
        <scheme val="minor"/>
      </rPr>
      <t>Carbon Storage Atlas: Fifth Edition</t>
    </r>
    <r>
      <rPr>
        <sz val="12"/>
        <color theme="1"/>
        <rFont val="Calibri"/>
        <family val="2"/>
        <scheme val="minor"/>
      </rPr>
      <t>. Retrieved from http://www.netl.doe.gov/technologies/carbon_seq/FAQs/carboncapture1.html</t>
    </r>
  </si>
  <si>
    <r>
      <t xml:space="preserve">Birkholzer, J. T., &amp; Zhou, Q. (2009). Basin-scale hydrogeologic impacts of CO2 storage: Capacity and regulatory implications. </t>
    </r>
    <r>
      <rPr>
        <i/>
        <sz val="12"/>
        <color theme="1"/>
        <rFont val="Calibri"/>
        <family val="2"/>
        <scheme val="minor"/>
      </rPr>
      <t>International Journal of Greenhouse Gas Control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(6), 745–756. https://doi.org/10.1016/j.ijggc.2009.07.002</t>
    </r>
  </si>
  <si>
    <r>
      <t xml:space="preserve">Medina, C. R., Rupp, J. A., &amp; Barnes, D. A. (2011). Effects of reduction in porosity and permeability with depth on storage capacity and injectivity in deep saline aquifers: A case study from the Mount Simon Sandstone aquifer. </t>
    </r>
    <r>
      <rPr>
        <i/>
        <sz val="12"/>
        <color theme="1"/>
        <rFont val="Calibri"/>
        <family val="2"/>
        <scheme val="minor"/>
      </rPr>
      <t>International Journal of Greenhouse Gas Control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>(1), 146–156. https://doi.org/10.1016/j.ijggc.2010.03.001</t>
    </r>
  </si>
  <si>
    <r>
      <t xml:space="preserve">Liu, F., Lu, P., Zhu, C., &amp; Xiao, Y. (2011). Coupled reactive flow and transport modeling of CO2 sequestration in the Mt. Simon sandstone formation, Midwest U.S.A. In </t>
    </r>
    <r>
      <rPr>
        <i/>
        <sz val="12"/>
        <color theme="1"/>
        <rFont val="Calibri"/>
        <family val="2"/>
        <scheme val="minor"/>
      </rPr>
      <t>AAPG Annual Convention and Exhibition</t>
    </r>
    <r>
      <rPr>
        <sz val="12"/>
        <color theme="1"/>
        <rFont val="Calibri"/>
        <family val="2"/>
        <scheme val="minor"/>
      </rPr>
      <t xml:space="preserve"> (Vol. April 10-1). Houston, Tx. https://doi.org/10.1016/j.ijggc.2010.08.008</t>
    </r>
  </si>
  <si>
    <r>
      <t xml:space="preserve">Zhou, Q., &amp; Birkholzer, J. T. (2011). On scale and magnitude of pressure build-up induced by large-scale geologic storage of CO2. </t>
    </r>
    <r>
      <rPr>
        <i/>
        <sz val="12"/>
        <color theme="1"/>
        <rFont val="Calibri"/>
        <family val="2"/>
        <scheme val="minor"/>
      </rPr>
      <t>Greenhous Gases Science and Technology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(1), 11–20. https://doi.org/10.1002/ghg3.001</t>
    </r>
  </si>
  <si>
    <r>
      <t xml:space="preserve">U.S. Geological Survey Carbon Dioxide Storage Resources Assessment Team. (2013). </t>
    </r>
    <r>
      <rPr>
        <i/>
        <sz val="12"/>
        <color theme="1"/>
        <rFont val="Calibri"/>
        <family val="2"/>
        <scheme val="minor"/>
      </rPr>
      <t>National assessment of geologic carbon dioxide storage resources — Results: U.S. Geological Survey Circular 1386</t>
    </r>
    <r>
      <rPr>
        <sz val="12"/>
        <color theme="1"/>
        <rFont val="Calibri"/>
        <family val="2"/>
        <scheme val="minor"/>
      </rPr>
      <t>. Retrieved from https://pubs.usgs.gov/circ/1386/</t>
    </r>
  </si>
  <si>
    <r>
      <t xml:space="preserve">Thibeau, S., Bachu, S., Birkholzer, J., Holloway, S., Neele, F., &amp; Zhou, Q. (2014). Using pressure and volumetric approaches to estimate CO2 storage capacity in deep saline aquifers. </t>
    </r>
    <r>
      <rPr>
        <i/>
        <sz val="12"/>
        <color theme="1"/>
        <rFont val="Calibri"/>
        <family val="2"/>
        <scheme val="minor"/>
      </rPr>
      <t>Energy Procedia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63</t>
    </r>
    <r>
      <rPr>
        <sz val="12"/>
        <color theme="1"/>
        <rFont val="Calibri"/>
        <family val="2"/>
        <scheme val="minor"/>
      </rPr>
      <t>, 5294–5304. https://doi.org/10.1016/j.egypro.2014.11.560</t>
    </r>
  </si>
  <si>
    <r>
      <t xml:space="preserve">Winkler, M., Abernethy, R., Nicolo, M., Huang, H., Wang, A., Zhang, S., … Hugonet, V. (2010). The dynamic aspect of formation storage use for CO2 sequestration. </t>
    </r>
    <r>
      <rPr>
        <i/>
        <sz val="12"/>
        <color theme="1"/>
        <rFont val="Calibri"/>
        <family val="2"/>
        <scheme val="minor"/>
      </rPr>
      <t>Society of Petroleum Engineers - SPE International Conference on CO2 Capture, Storage, and Utilization 2010</t>
    </r>
    <r>
      <rPr>
        <sz val="12"/>
        <color theme="1"/>
        <rFont val="Calibri"/>
        <family val="2"/>
        <scheme val="minor"/>
      </rPr>
      <t>, (March 2009), 695–706.</t>
    </r>
  </si>
  <si>
    <r>
      <t xml:space="preserve">Williams, J. D. O., Jin, M., Bentham, M., Pickup, G. E., Hannis, S. D., &amp; Mackay, E. J. (2013). Modelling carbon dioxide storage within closed structures in the UK Bunter Sandstone Formation. </t>
    </r>
    <r>
      <rPr>
        <i/>
        <sz val="12"/>
        <color theme="1"/>
        <rFont val="Calibri"/>
        <family val="2"/>
        <scheme val="minor"/>
      </rPr>
      <t>International Journal of Greenhouse Gas Control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18</t>
    </r>
    <r>
      <rPr>
        <sz val="12"/>
        <color theme="1"/>
        <rFont val="Calibri"/>
        <family val="2"/>
        <scheme val="minor"/>
      </rPr>
      <t>, 38–50. https://doi.org/10.1016/j.ijggc.2013.06.015</t>
    </r>
  </si>
  <si>
    <r>
      <t xml:space="preserve">Holloway, S., Vincent, C. J., Bentham, M. S., &amp; Kirk, K. L. (2006). Top-down and bottom-up estimates of CO2 storage capacity in the United Kingdom sector of the southern North Sea basin. </t>
    </r>
    <r>
      <rPr>
        <i/>
        <sz val="12"/>
        <color theme="1"/>
        <rFont val="Calibri"/>
        <family val="2"/>
        <scheme val="minor"/>
      </rPr>
      <t>Environmental Geosciences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(2), 71–84. https://doi.org/10.1306/eg.11080505015</t>
    </r>
  </si>
  <si>
    <r>
      <t xml:space="preserve">Gorecki, C. D., Ayash, S. C., Liu, G., Braunberger, J. R., &amp; Dotzenrod, N. W. (2015). A comparison of volumetric and dynamic CO2 storage resource and efficiency in deep saline formations. </t>
    </r>
    <r>
      <rPr>
        <i/>
        <sz val="12"/>
        <color theme="1"/>
        <rFont val="Calibri"/>
        <family val="2"/>
        <scheme val="minor"/>
      </rPr>
      <t>International Journal of Greenhouse Gas Control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42</t>
    </r>
    <r>
      <rPr>
        <sz val="12"/>
        <color theme="1"/>
        <rFont val="Calibri"/>
        <family val="2"/>
        <scheme val="minor"/>
      </rPr>
      <t>, 213–225. https://doi.org/10.1016/j.ijggc.2015.07.018</t>
    </r>
  </si>
  <si>
    <r>
      <t xml:space="preserve">Elenius, M., Skurtveit, E., Yarushina, V., Baig, I., Sundal, A., Wangen, M., … Gasda, S. E. (2018). Assessment of CO2 storage capacity based on sparse data: Skade Formation. </t>
    </r>
    <r>
      <rPr>
        <i/>
        <sz val="12"/>
        <color theme="1"/>
        <rFont val="Calibri"/>
        <family val="2"/>
        <scheme val="minor"/>
      </rPr>
      <t>International Journal of Greenhouse Gas Control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79</t>
    </r>
    <r>
      <rPr>
        <sz val="12"/>
        <color theme="1"/>
        <rFont val="Calibri"/>
        <family val="2"/>
        <scheme val="minor"/>
      </rPr>
      <t>(September), 252–271. https://doi.org/10.1016/j.ijggc.2018.09.004</t>
    </r>
  </si>
  <si>
    <r>
      <t xml:space="preserve">Szulczewski, M. L., MacMinn, C. W., Herzog, H. J., &amp; Juanes, R. (2012). Lifetime of carbon capture and storage as a climate-change mitigation technology. </t>
    </r>
    <r>
      <rPr>
        <i/>
        <sz val="12"/>
        <color theme="1"/>
        <rFont val="Calibri"/>
        <family val="2"/>
        <scheme val="minor"/>
      </rPr>
      <t>Proceedings of the National Academy of Sciences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109</t>
    </r>
    <r>
      <rPr>
        <sz val="12"/>
        <color theme="1"/>
        <rFont val="Calibri"/>
        <family val="2"/>
        <scheme val="minor"/>
      </rPr>
      <t>(14), 5185–5189. https://doi.org/10.1073/pnas.1115347109</t>
    </r>
  </si>
  <si>
    <r>
      <t xml:space="preserve">Goodman, A., Bromhal, G., Strazisar, B., Rodosta, T., Guthrie, W. F., Allen, D., &amp; Guthrie, G. (2013). Comparison of methods for geologic storage of carbon dioxide in saline formations. </t>
    </r>
    <r>
      <rPr>
        <i/>
        <sz val="12"/>
        <color theme="1"/>
        <rFont val="Calibri"/>
        <family val="2"/>
        <scheme val="minor"/>
      </rPr>
      <t>International Journal of Greenhouse Gas Control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18</t>
    </r>
    <r>
      <rPr>
        <sz val="12"/>
        <color theme="1"/>
        <rFont val="Calibri"/>
        <family val="2"/>
        <scheme val="minor"/>
      </rPr>
      <t>, 329–342. https://doi.org/10.1016/j.ijggc.2013.07.016</t>
    </r>
  </si>
  <si>
    <t>Fraction of current storage that is pilot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</si>
</sst>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2"/>
      <color theme="1"/>
      <name val="Calibri"/>
      <family val="2"/>
      <scheme val="minor"/>
    </font>
    <font>
      <sz val="11"/>
      <color rgb="FF2E2E2E"/>
      <name val="Georgia"/>
      <family val="1"/>
    </font>
    <font>
      <u/>
      <sz val="12"/>
      <color theme="10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6"/>
      <color rgb="FF212529"/>
      <name val="Segoe UI"/>
      <family val="2"/>
    </font>
    <font>
      <sz val="16"/>
      <color rgb="FF212529"/>
      <name val="Segoe UI"/>
      <family val="2"/>
    </font>
    <font>
      <sz val="16"/>
      <color rgb="FF007BFF"/>
      <name val="Segoe UI"/>
      <family val="2"/>
    </font>
    <font>
      <i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rgb="FFEBEBEB"/>
      </top>
      <bottom/>
      <diagonal/>
    </border>
    <border>
      <left/>
      <right/>
      <top/>
      <bottom style="medium">
        <color rgb="FFEBEBEB"/>
      </bottom>
      <diagonal/>
    </border>
    <border>
      <left/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/>
  </cellStyleXfs>
  <cellXfs count="52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2" borderId="0" xfId="0" applyFill="1"/>
    <xf numFmtId="0" fontId="0" fillId="0" borderId="0" xfId="0" applyFill="1"/>
    <xf numFmtId="0" fontId="2" fillId="0" borderId="0" xfId="1"/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5" fillId="0" borderId="0" xfId="0" applyFont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0" xfId="0" applyAlignment="1">
      <alignment wrapText="1"/>
    </xf>
    <xf numFmtId="0" fontId="0" fillId="5" borderId="0" xfId="0" applyFill="1"/>
    <xf numFmtId="0" fontId="5" fillId="0" borderId="0" xfId="0" applyFont="1" applyAlignment="1">
      <alignment wrapText="1"/>
    </xf>
    <xf numFmtId="0" fontId="5" fillId="2" borderId="0" xfId="0" applyFont="1" applyFill="1"/>
    <xf numFmtId="0" fontId="5" fillId="0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6" fillId="0" borderId="0" xfId="0" applyFont="1"/>
    <xf numFmtId="0" fontId="6" fillId="0" borderId="0" xfId="0" applyFont="1" applyFill="1"/>
    <xf numFmtId="0" fontId="6" fillId="3" borderId="0" xfId="0" applyFont="1" applyFill="1"/>
    <xf numFmtId="0" fontId="5" fillId="3" borderId="0" xfId="0" applyFont="1" applyFill="1"/>
    <xf numFmtId="0" fontId="7" fillId="0" borderId="0" xfId="0" applyFont="1"/>
    <xf numFmtId="0" fontId="8" fillId="0" borderId="0" xfId="0" applyFont="1"/>
    <xf numFmtId="0" fontId="5" fillId="4" borderId="0" xfId="0" applyFont="1" applyFill="1"/>
    <xf numFmtId="164" fontId="5" fillId="0" borderId="0" xfId="0" applyNumberFormat="1" applyFont="1"/>
    <xf numFmtId="0" fontId="0" fillId="0" borderId="0" xfId="0" applyNumberFormat="1"/>
    <xf numFmtId="0" fontId="9" fillId="0" borderId="0" xfId="0" applyFont="1"/>
    <xf numFmtId="0" fontId="10" fillId="0" borderId="0" xfId="0" applyFont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horizontal="center" wrapText="1"/>
    </xf>
    <xf numFmtId="0" fontId="0" fillId="9" borderId="0" xfId="0" applyFill="1" applyAlignment="1">
      <alignment horizontal="center" wrapText="1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4">
    <cellStyle name="Hyperlink" xfId="1" builtinId="8"/>
    <cellStyle name="Normal" xfId="0" builtinId="0"/>
    <cellStyle name="Normal 150" xfId="2" xr:uid="{BC9F16B9-11EB-4578-A0A4-3150702F8C64}"/>
    <cellStyle name="Table headers" xfId="3" xr:uid="{21ADE05F-05CC-4762-A0C9-4CED2421B6FE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Double check Matlab calc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330927384076992E-2"/>
          <c:y val="0.19486111111111112"/>
          <c:w val="0.8458912948381451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9.4444444444444442E-2"/>
                  <c:y val="-0.116157407407407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Fig2_Total_sequestered!$E$27:$E$51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xVal>
          <c:yVal>
            <c:numRef>
              <c:f>Fig2_Total_sequestered!$G$27:$G$51</c:f>
              <c:numCache>
                <c:formatCode>0.0</c:formatCode>
                <c:ptCount val="25"/>
                <c:pt idx="0">
                  <c:v>67.5</c:v>
                </c:pt>
                <c:pt idx="1">
                  <c:v>74.099999999999994</c:v>
                </c:pt>
                <c:pt idx="2">
                  <c:v>82.4</c:v>
                </c:pt>
                <c:pt idx="3">
                  <c:v>90.7</c:v>
                </c:pt>
                <c:pt idx="4">
                  <c:v>102</c:v>
                </c:pt>
                <c:pt idx="5">
                  <c:v>113.3</c:v>
                </c:pt>
                <c:pt idx="6">
                  <c:v>124.6</c:v>
                </c:pt>
                <c:pt idx="7">
                  <c:v>135.9</c:v>
                </c:pt>
                <c:pt idx="8">
                  <c:v>148.4</c:v>
                </c:pt>
                <c:pt idx="9">
                  <c:v>161.30000000000001</c:v>
                </c:pt>
                <c:pt idx="10">
                  <c:v>173.9</c:v>
                </c:pt>
                <c:pt idx="11">
                  <c:v>186.9</c:v>
                </c:pt>
                <c:pt idx="12">
                  <c:v>200.7</c:v>
                </c:pt>
                <c:pt idx="13">
                  <c:v>214.5</c:v>
                </c:pt>
                <c:pt idx="14">
                  <c:v>233.7</c:v>
                </c:pt>
                <c:pt idx="15">
                  <c:v>256.3</c:v>
                </c:pt>
                <c:pt idx="16">
                  <c:v>278.60000000000002</c:v>
                </c:pt>
                <c:pt idx="17">
                  <c:v>310.2</c:v>
                </c:pt>
                <c:pt idx="18">
                  <c:v>342.7</c:v>
                </c:pt>
                <c:pt idx="19">
                  <c:v>376.9</c:v>
                </c:pt>
                <c:pt idx="20">
                  <c:v>407.8</c:v>
                </c:pt>
                <c:pt idx="21">
                  <c:v>440.91258500000004</c:v>
                </c:pt>
                <c:pt idx="22">
                  <c:v>472.77375500000005</c:v>
                </c:pt>
                <c:pt idx="23">
                  <c:v>505.25142166666672</c:v>
                </c:pt>
                <c:pt idx="24">
                  <c:v>541.56242166666675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B-4D5C-ADDD-76BB0049D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640744"/>
        <c:axId val="735859072"/>
      </c:scatterChart>
      <c:valAx>
        <c:axId val="97964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859072"/>
        <c:crosses val="autoZero"/>
        <c:crossBetween val="midCat"/>
      </c:valAx>
      <c:valAx>
        <c:axId val="7358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640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61</xdr:row>
      <xdr:rowOff>95250</xdr:rowOff>
    </xdr:from>
    <xdr:to>
      <xdr:col>17</xdr:col>
      <xdr:colOff>104775</xdr:colOff>
      <xdr:row>75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674643-024A-4D96-B4F9-F54ADA214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japanccs.com/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6FD99-D3B8-42D4-9B9D-7090E5338B7C}">
  <dimension ref="A1:W42"/>
  <sheetViews>
    <sheetView topLeftCell="A11" zoomScale="85" zoomScaleNormal="85" workbookViewId="0">
      <selection activeCell="C62" sqref="C62"/>
    </sheetView>
  </sheetViews>
  <sheetFormatPr defaultRowHeight="15.5" x14ac:dyDescent="0.35"/>
  <cols>
    <col min="1" max="1" width="29.08203125" bestFit="1" customWidth="1"/>
    <col min="2" max="2" width="24.5" bestFit="1" customWidth="1"/>
    <col min="10" max="10" width="10.25" bestFit="1" customWidth="1"/>
    <col min="13" max="13" width="93.6640625" style="39" customWidth="1"/>
    <col min="14" max="14" width="70.9140625" customWidth="1"/>
    <col min="19" max="19" width="9.83203125" bestFit="1" customWidth="1"/>
    <col min="20" max="20" width="11.83203125" bestFit="1" customWidth="1"/>
    <col min="22" max="22" width="9.58203125" customWidth="1"/>
    <col min="23" max="23" width="26.08203125" customWidth="1"/>
  </cols>
  <sheetData>
    <row r="1" spans="1:23" ht="46.5" x14ac:dyDescent="0.35">
      <c r="A1" s="10" t="s">
        <v>149</v>
      </c>
      <c r="B1" s="16" t="s">
        <v>17</v>
      </c>
      <c r="C1" s="48" t="s">
        <v>161</v>
      </c>
      <c r="D1" s="48"/>
      <c r="E1" s="48"/>
      <c r="F1" s="48"/>
      <c r="J1" s="5"/>
      <c r="K1" s="5"/>
      <c r="L1" s="18"/>
      <c r="M1" s="47" t="s">
        <v>16</v>
      </c>
      <c r="N1" s="18" t="s">
        <v>20</v>
      </c>
      <c r="W1" s="14" t="s">
        <v>41</v>
      </c>
    </row>
    <row r="2" spans="1:23" x14ac:dyDescent="0.35">
      <c r="A2" s="4"/>
      <c r="B2" s="4"/>
      <c r="C2" s="4" t="s">
        <v>27</v>
      </c>
      <c r="D2" s="4" t="s">
        <v>27</v>
      </c>
      <c r="E2" s="4" t="s">
        <v>27</v>
      </c>
      <c r="F2" s="4" t="s">
        <v>28</v>
      </c>
      <c r="G2" s="4" t="s">
        <v>33</v>
      </c>
      <c r="H2" s="4" t="s">
        <v>33</v>
      </c>
      <c r="I2" s="4" t="s">
        <v>33</v>
      </c>
      <c r="J2" s="17"/>
      <c r="K2" s="17"/>
      <c r="L2" s="4"/>
      <c r="M2" s="40" t="s">
        <v>309</v>
      </c>
      <c r="N2" s="4"/>
      <c r="R2" t="s">
        <v>34</v>
      </c>
      <c r="S2" t="s">
        <v>35</v>
      </c>
      <c r="T2" t="s">
        <v>36</v>
      </c>
      <c r="W2">
        <v>100</v>
      </c>
    </row>
    <row r="3" spans="1:23" x14ac:dyDescent="0.35">
      <c r="A3" s="4" t="s">
        <v>42</v>
      </c>
      <c r="B3" s="4">
        <f>S3/1000^3*W2</f>
        <v>47.832120000000003</v>
      </c>
      <c r="C3" s="4">
        <v>322</v>
      </c>
      <c r="D3" s="4">
        <v>670</v>
      </c>
      <c r="E3" s="4">
        <v>1016</v>
      </c>
      <c r="F3" s="4">
        <v>130</v>
      </c>
      <c r="G3" s="4">
        <v>35</v>
      </c>
      <c r="H3" s="4">
        <v>130</v>
      </c>
      <c r="I3" s="4">
        <v>670</v>
      </c>
      <c r="J3" s="4"/>
      <c r="K3" s="4"/>
      <c r="L3" s="4"/>
      <c r="M3" s="40"/>
      <c r="N3" s="4" t="s">
        <v>150</v>
      </c>
      <c r="R3">
        <f>93.24*1000^2</f>
        <v>93240000</v>
      </c>
      <c r="S3">
        <f>R3*0.135*38</f>
        <v>478321200</v>
      </c>
      <c r="T3">
        <f>S3*700*0.02</f>
        <v>6696496800</v>
      </c>
      <c r="U3">
        <f>T3/1000000/1000</f>
        <v>6.6964968000000002</v>
      </c>
      <c r="V3" t="s">
        <v>39</v>
      </c>
      <c r="W3" s="4">
        <f>U3*$W$2</f>
        <v>669.64967999999999</v>
      </c>
    </row>
    <row r="4" spans="1:23" x14ac:dyDescent="0.35">
      <c r="R4">
        <f>93.24*1000^2</f>
        <v>93240000</v>
      </c>
      <c r="S4">
        <f>R4*0.19*41</f>
        <v>726339600</v>
      </c>
      <c r="T4">
        <f t="shared" ref="T4:T5" si="0">S4*700*0.02</f>
        <v>10168754400</v>
      </c>
      <c r="U4">
        <f>T4/1000000/1000</f>
        <v>10.168754399999999</v>
      </c>
      <c r="V4" t="s">
        <v>38</v>
      </c>
      <c r="W4" s="4">
        <f t="shared" ref="W4:W7" si="1">U4*$W$2</f>
        <v>1016.8754399999999</v>
      </c>
    </row>
    <row r="5" spans="1:23" x14ac:dyDescent="0.35">
      <c r="A5" s="15"/>
      <c r="B5" s="15"/>
      <c r="C5" s="15" t="s">
        <v>33</v>
      </c>
      <c r="D5" s="15" t="s">
        <v>33</v>
      </c>
      <c r="E5" s="15" t="s">
        <v>33</v>
      </c>
      <c r="F5" s="15" t="s">
        <v>33</v>
      </c>
      <c r="G5" s="15" t="s">
        <v>33</v>
      </c>
      <c r="H5" s="15" t="s">
        <v>33</v>
      </c>
      <c r="I5" s="15" t="s">
        <v>33</v>
      </c>
      <c r="J5" s="15" t="s">
        <v>33</v>
      </c>
      <c r="K5" s="15" t="s">
        <v>33</v>
      </c>
      <c r="L5" s="15" t="s">
        <v>33</v>
      </c>
      <c r="M5" s="41" t="s">
        <v>310</v>
      </c>
      <c r="N5" s="15"/>
      <c r="R5">
        <f>93.24*1000^2</f>
        <v>93240000</v>
      </c>
      <c r="S5">
        <f>R5*0.088*28</f>
        <v>229743359.99999997</v>
      </c>
      <c r="T5">
        <f t="shared" si="0"/>
        <v>3216407039.9999995</v>
      </c>
      <c r="U5">
        <f>T5/1000000/1000</f>
        <v>3.2164070399999996</v>
      </c>
      <c r="V5" t="s">
        <v>37</v>
      </c>
      <c r="W5" s="4">
        <f t="shared" si="1"/>
        <v>321.64070399999997</v>
      </c>
    </row>
    <row r="6" spans="1:23" x14ac:dyDescent="0.35">
      <c r="A6" s="15" t="s">
        <v>43</v>
      </c>
      <c r="B6" s="15">
        <v>280</v>
      </c>
      <c r="C6" s="15">
        <v>331</v>
      </c>
      <c r="D6" s="15">
        <v>426</v>
      </c>
      <c r="E6" s="15">
        <v>328</v>
      </c>
      <c r="F6" s="15">
        <v>344</v>
      </c>
      <c r="G6" s="15">
        <v>297</v>
      </c>
      <c r="H6" s="15">
        <v>303</v>
      </c>
      <c r="I6" s="15">
        <v>484</v>
      </c>
      <c r="J6" s="15">
        <v>501</v>
      </c>
      <c r="K6" s="15">
        <v>318</v>
      </c>
      <c r="L6" s="15">
        <v>237</v>
      </c>
      <c r="M6" s="41" t="s">
        <v>152</v>
      </c>
      <c r="N6" s="15"/>
      <c r="U6">
        <v>1.3</v>
      </c>
      <c r="V6" t="s">
        <v>28</v>
      </c>
      <c r="W6" s="4">
        <f t="shared" si="1"/>
        <v>130</v>
      </c>
    </row>
    <row r="7" spans="1:23" x14ac:dyDescent="0.35">
      <c r="U7">
        <v>0.35</v>
      </c>
      <c r="V7" t="s">
        <v>40</v>
      </c>
      <c r="W7" s="4">
        <f t="shared" si="1"/>
        <v>35</v>
      </c>
    </row>
    <row r="8" spans="1:23" x14ac:dyDescent="0.35">
      <c r="A8" s="19"/>
      <c r="B8" s="19"/>
      <c r="C8" s="19" t="s">
        <v>27</v>
      </c>
      <c r="D8" s="19"/>
      <c r="E8" s="19"/>
      <c r="F8" s="19"/>
      <c r="G8" s="19"/>
      <c r="H8" s="19"/>
      <c r="I8" s="19"/>
      <c r="J8" s="19"/>
      <c r="K8" s="19"/>
      <c r="L8" s="19"/>
      <c r="M8" s="42" t="s">
        <v>311</v>
      </c>
      <c r="N8" s="19"/>
    </row>
    <row r="9" spans="1:23" x14ac:dyDescent="0.35">
      <c r="A9" s="19" t="s">
        <v>44</v>
      </c>
      <c r="B9" s="19">
        <v>435</v>
      </c>
      <c r="C9" s="19">
        <v>3100</v>
      </c>
      <c r="D9" s="19"/>
      <c r="E9" s="19"/>
      <c r="F9" s="19"/>
      <c r="G9" s="19"/>
      <c r="H9" s="19"/>
      <c r="I9" s="19"/>
      <c r="J9" s="19"/>
      <c r="K9" s="19"/>
      <c r="L9" s="19"/>
      <c r="M9" s="42" t="s">
        <v>154</v>
      </c>
      <c r="N9" s="19"/>
    </row>
    <row r="10" spans="1:23" x14ac:dyDescent="0.35">
      <c r="A10" s="19" t="s">
        <v>45</v>
      </c>
      <c r="B10" s="19">
        <v>1396</v>
      </c>
      <c r="C10" s="19">
        <v>14200</v>
      </c>
      <c r="D10" s="19"/>
      <c r="E10" s="19"/>
      <c r="F10" s="19"/>
      <c r="G10" s="19"/>
      <c r="H10" s="19"/>
      <c r="I10" s="19"/>
      <c r="J10" s="19"/>
      <c r="K10" s="19"/>
      <c r="L10" s="19"/>
      <c r="M10" s="42"/>
      <c r="N10" s="19"/>
    </row>
    <row r="11" spans="1:23" x14ac:dyDescent="0.35">
      <c r="A11" s="19" t="s">
        <v>46</v>
      </c>
      <c r="B11" s="19">
        <v>600</v>
      </c>
      <c r="C11" s="19">
        <v>1200</v>
      </c>
      <c r="D11" s="19"/>
      <c r="E11" s="19"/>
      <c r="F11" s="19"/>
      <c r="G11" s="19"/>
      <c r="H11" s="19"/>
      <c r="I11" s="19"/>
      <c r="J11" s="19"/>
      <c r="K11" s="19"/>
      <c r="L11" s="19"/>
      <c r="M11" s="42"/>
      <c r="N11" s="19"/>
    </row>
    <row r="13" spans="1:23" x14ac:dyDescent="0.35">
      <c r="A13" s="20"/>
      <c r="B13" s="20"/>
      <c r="C13" s="20" t="s">
        <v>33</v>
      </c>
      <c r="D13" s="20" t="s">
        <v>33</v>
      </c>
      <c r="E13" s="20" t="s">
        <v>33</v>
      </c>
      <c r="F13" s="20" t="s">
        <v>49</v>
      </c>
      <c r="G13" s="20"/>
      <c r="H13" s="20"/>
      <c r="I13" s="20"/>
      <c r="J13" s="20"/>
      <c r="K13" s="20"/>
      <c r="L13" s="20"/>
      <c r="M13" s="43" t="s">
        <v>313</v>
      </c>
      <c r="N13" s="20"/>
    </row>
    <row r="14" spans="1:23" x14ac:dyDescent="0.35">
      <c r="A14" s="20" t="s">
        <v>47</v>
      </c>
      <c r="B14" s="20">
        <v>650</v>
      </c>
      <c r="C14" s="20">
        <v>500</v>
      </c>
      <c r="D14" s="20">
        <v>2800</v>
      </c>
      <c r="E14" s="20">
        <v>5000</v>
      </c>
      <c r="F14" s="20">
        <f>E14*4/1.7</f>
        <v>11764.705882352942</v>
      </c>
      <c r="G14" s="20"/>
      <c r="H14" s="20"/>
      <c r="I14" s="20"/>
      <c r="J14" s="20"/>
      <c r="K14" s="20"/>
      <c r="L14" s="20"/>
      <c r="M14" s="43" t="s">
        <v>156</v>
      </c>
      <c r="N14" s="20"/>
    </row>
    <row r="15" spans="1:23" x14ac:dyDescent="0.35">
      <c r="A15" s="20" t="s">
        <v>48</v>
      </c>
      <c r="B15" s="20">
        <f>0.59*1000</f>
        <v>590</v>
      </c>
      <c r="C15" s="20">
        <v>230</v>
      </c>
      <c r="D15" s="20">
        <v>1200</v>
      </c>
      <c r="E15" s="20">
        <v>2300</v>
      </c>
      <c r="F15" s="20">
        <f t="shared" ref="F15:F16" si="2">E15*4/1.7</f>
        <v>5411.7647058823532</v>
      </c>
      <c r="G15" s="20"/>
      <c r="H15" s="20"/>
      <c r="I15" s="20"/>
      <c r="J15" s="20"/>
      <c r="K15" s="20"/>
      <c r="L15" s="20"/>
      <c r="M15" s="43"/>
      <c r="N15" s="20"/>
    </row>
    <row r="16" spans="1:23" x14ac:dyDescent="0.35">
      <c r="A16" s="20" t="s">
        <v>46</v>
      </c>
      <c r="B16" s="20">
        <v>1700</v>
      </c>
      <c r="C16" s="20">
        <v>210</v>
      </c>
      <c r="D16" s="20">
        <v>1300</v>
      </c>
      <c r="E16" s="20">
        <v>2100</v>
      </c>
      <c r="F16" s="20">
        <f t="shared" si="2"/>
        <v>4941.1764705882351</v>
      </c>
      <c r="G16" s="20"/>
      <c r="H16" s="20"/>
      <c r="I16" s="20"/>
      <c r="J16" s="20"/>
      <c r="K16" s="20"/>
      <c r="L16" s="20"/>
      <c r="M16" s="43"/>
      <c r="N16" s="20"/>
    </row>
    <row r="18" spans="1:20" x14ac:dyDescent="0.35">
      <c r="A18" s="21"/>
      <c r="B18" s="21"/>
      <c r="C18" s="21" t="s">
        <v>27</v>
      </c>
      <c r="D18" s="21" t="s">
        <v>27</v>
      </c>
      <c r="E18" s="21" t="s">
        <v>27</v>
      </c>
      <c r="F18" s="21" t="s">
        <v>28</v>
      </c>
      <c r="G18" s="21" t="s">
        <v>28</v>
      </c>
      <c r="H18" s="21" t="s">
        <v>28</v>
      </c>
      <c r="I18" s="21" t="s">
        <v>29</v>
      </c>
      <c r="J18" s="21" t="s">
        <v>30</v>
      </c>
      <c r="K18" s="21" t="s">
        <v>31</v>
      </c>
      <c r="L18" s="21"/>
      <c r="M18" s="44" t="s">
        <v>312</v>
      </c>
      <c r="N18" s="21"/>
    </row>
    <row r="19" spans="1:20" x14ac:dyDescent="0.35">
      <c r="A19" s="21" t="s">
        <v>3</v>
      </c>
      <c r="B19" s="21">
        <v>174</v>
      </c>
      <c r="C19" s="21">
        <v>4090</v>
      </c>
      <c r="D19" s="21">
        <v>10043</v>
      </c>
      <c r="E19" s="21">
        <v>21638</v>
      </c>
      <c r="F19" s="21">
        <v>1351</v>
      </c>
      <c r="G19" s="21">
        <v>1545</v>
      </c>
      <c r="H19" s="21">
        <v>1876</v>
      </c>
      <c r="I19" s="21">
        <v>742</v>
      </c>
      <c r="J19" s="21">
        <v>1714.5</v>
      </c>
      <c r="K19" s="21">
        <v>3774</v>
      </c>
      <c r="L19" s="21"/>
      <c r="M19" s="44" t="s">
        <v>157</v>
      </c>
      <c r="N19" s="21" t="s">
        <v>32</v>
      </c>
    </row>
    <row r="20" spans="1:20" x14ac:dyDescent="0.35">
      <c r="A20" s="21" t="s">
        <v>4</v>
      </c>
      <c r="B20" s="21">
        <v>1290</v>
      </c>
      <c r="C20" s="21">
        <v>7362</v>
      </c>
      <c r="D20" s="21">
        <v>45237</v>
      </c>
      <c r="E20" s="21">
        <v>137895</v>
      </c>
      <c r="F20" s="21">
        <v>3047</v>
      </c>
      <c r="G20" s="21">
        <v>5291</v>
      </c>
      <c r="H20" s="21">
        <v>7420</v>
      </c>
      <c r="I20" s="21">
        <v>1402</v>
      </c>
      <c r="J20" s="21">
        <v>3267</v>
      </c>
      <c r="K20" s="21">
        <v>17625</v>
      </c>
      <c r="L20" s="21"/>
      <c r="M20" s="44"/>
      <c r="N20" s="21" t="s">
        <v>32</v>
      </c>
    </row>
    <row r="22" spans="1:20" x14ac:dyDescent="0.35">
      <c r="A22" s="22"/>
      <c r="B22" s="22"/>
      <c r="C22" s="22" t="s">
        <v>27</v>
      </c>
      <c r="D22" s="22" t="s">
        <v>27</v>
      </c>
      <c r="E22" s="22" t="s">
        <v>28</v>
      </c>
      <c r="F22" s="22" t="s">
        <v>33</v>
      </c>
      <c r="G22" s="22"/>
      <c r="H22" s="22"/>
      <c r="I22" s="22"/>
      <c r="J22" s="22"/>
      <c r="K22" s="22"/>
      <c r="L22" s="22"/>
      <c r="M22" s="45" t="s">
        <v>308</v>
      </c>
      <c r="N22" s="49" t="s">
        <v>160</v>
      </c>
    </row>
    <row r="23" spans="1:20" x14ac:dyDescent="0.35">
      <c r="A23" s="22" t="s">
        <v>11</v>
      </c>
      <c r="B23" s="22">
        <v>350</v>
      </c>
      <c r="C23" s="22">
        <v>4200</v>
      </c>
      <c r="D23" s="22"/>
      <c r="E23" s="22">
        <v>2230</v>
      </c>
      <c r="F23" s="22">
        <v>16500</v>
      </c>
      <c r="G23" s="22"/>
      <c r="H23" s="22"/>
      <c r="I23" s="22"/>
      <c r="J23" s="22"/>
      <c r="K23" s="22"/>
      <c r="L23" s="22"/>
      <c r="M23" s="45"/>
      <c r="N23" s="49"/>
    </row>
    <row r="24" spans="1:20" x14ac:dyDescent="0.35">
      <c r="A24" s="22" t="s">
        <v>14</v>
      </c>
      <c r="B24" s="22">
        <v>1620</v>
      </c>
      <c r="C24" s="22">
        <v>11000</v>
      </c>
      <c r="D24" s="22">
        <v>150000</v>
      </c>
      <c r="E24" s="22">
        <v>13300</v>
      </c>
      <c r="F24" s="22">
        <v>18100</v>
      </c>
      <c r="G24" s="22"/>
      <c r="H24" s="22"/>
      <c r="I24" s="22"/>
      <c r="J24" s="22"/>
      <c r="K24" s="22"/>
      <c r="L24" s="22"/>
      <c r="M24" s="45"/>
      <c r="N24" s="49"/>
    </row>
    <row r="25" spans="1:20" x14ac:dyDescent="0.35">
      <c r="A25" s="22" t="s">
        <v>15</v>
      </c>
      <c r="B25" s="22">
        <v>3260</v>
      </c>
      <c r="C25" s="22">
        <v>57000</v>
      </c>
      <c r="D25" s="22">
        <v>193000</v>
      </c>
      <c r="E25" s="22">
        <v>16200</v>
      </c>
      <c r="F25" s="22">
        <v>25000</v>
      </c>
      <c r="G25" s="22"/>
      <c r="H25" s="22"/>
      <c r="I25" s="22"/>
      <c r="J25" s="22"/>
      <c r="K25" s="22"/>
      <c r="L25" s="22"/>
      <c r="M25" s="45"/>
      <c r="N25" s="49"/>
    </row>
    <row r="26" spans="1:20" x14ac:dyDescent="0.35">
      <c r="A26" s="22" t="s">
        <v>19</v>
      </c>
      <c r="B26" s="22">
        <v>70</v>
      </c>
      <c r="C26" s="22">
        <f>B26*12</f>
        <v>840</v>
      </c>
      <c r="D26" s="22"/>
      <c r="E26" s="22">
        <f>0.33*1000</f>
        <v>330</v>
      </c>
      <c r="F26" s="22">
        <f>0.06*1000</f>
        <v>60</v>
      </c>
      <c r="G26" s="22"/>
      <c r="H26" s="22"/>
      <c r="I26" s="22"/>
      <c r="J26" s="22"/>
      <c r="K26" s="22"/>
      <c r="L26" s="22"/>
      <c r="M26" s="45"/>
      <c r="N26" s="49"/>
    </row>
    <row r="27" spans="1:20" ht="16" thickBot="1" x14ac:dyDescent="0.4"/>
    <row r="28" spans="1:20" x14ac:dyDescent="0.35">
      <c r="A28" s="23"/>
      <c r="B28" s="23" t="s">
        <v>17</v>
      </c>
      <c r="C28" s="23"/>
      <c r="D28" s="23"/>
      <c r="E28" s="23" t="s">
        <v>23</v>
      </c>
      <c r="F28" s="23"/>
      <c r="G28" s="23"/>
      <c r="H28" s="23"/>
      <c r="I28" s="23"/>
      <c r="J28" s="23"/>
      <c r="K28" s="23"/>
      <c r="L28" s="23"/>
      <c r="M28" s="46" t="s">
        <v>314</v>
      </c>
      <c r="N28" s="23"/>
      <c r="T28" s="2"/>
    </row>
    <row r="29" spans="1:20" x14ac:dyDescent="0.35">
      <c r="A29" s="23"/>
      <c r="B29" s="23"/>
      <c r="C29" s="23" t="s">
        <v>27</v>
      </c>
      <c r="D29" s="23" t="s">
        <v>27</v>
      </c>
      <c r="E29" s="23" t="s">
        <v>27</v>
      </c>
      <c r="F29" s="23" t="s">
        <v>27</v>
      </c>
      <c r="G29" s="23" t="s">
        <v>28</v>
      </c>
      <c r="H29" s="23" t="s">
        <v>28</v>
      </c>
      <c r="I29" s="23"/>
      <c r="J29" s="23"/>
      <c r="K29" s="23"/>
      <c r="L29" s="23"/>
      <c r="M29" s="46" t="s">
        <v>158</v>
      </c>
      <c r="N29" s="23"/>
      <c r="T29" s="1"/>
    </row>
    <row r="30" spans="1:20" x14ac:dyDescent="0.35">
      <c r="A30" s="23" t="s">
        <v>8</v>
      </c>
      <c r="B30" s="23">
        <f>200*200*0.416*0.2</f>
        <v>3328</v>
      </c>
      <c r="C30" s="23">
        <v>72000</v>
      </c>
      <c r="D30" s="23">
        <v>55000</v>
      </c>
      <c r="E30" s="23">
        <v>52000</v>
      </c>
      <c r="F30" s="23">
        <v>95000</v>
      </c>
      <c r="G30" s="23">
        <v>10000</v>
      </c>
      <c r="H30" s="23">
        <v>17000</v>
      </c>
      <c r="I30" s="23"/>
      <c r="J30" s="23"/>
      <c r="K30" s="23"/>
      <c r="L30" s="23"/>
      <c r="M30" s="46" t="s">
        <v>315</v>
      </c>
      <c r="N30" s="23"/>
      <c r="T30" s="1"/>
    </row>
    <row r="31" spans="1:20" x14ac:dyDescent="0.35">
      <c r="A31" s="23" t="s">
        <v>22</v>
      </c>
      <c r="B31" s="23">
        <f>100*200*0.831*0.2</f>
        <v>3324</v>
      </c>
      <c r="C31" s="23">
        <v>63000</v>
      </c>
      <c r="D31" s="23">
        <v>48000</v>
      </c>
      <c r="E31" s="23">
        <v>46000</v>
      </c>
      <c r="F31" s="23">
        <v>84000</v>
      </c>
      <c r="G31" s="23">
        <v>88000</v>
      </c>
      <c r="H31" s="23">
        <v>15000</v>
      </c>
      <c r="I31" s="23"/>
      <c r="J31" s="23"/>
      <c r="K31" s="23"/>
      <c r="L31" s="23"/>
      <c r="M31" s="46" t="s">
        <v>159</v>
      </c>
      <c r="N31" s="23"/>
      <c r="T31" s="1"/>
    </row>
    <row r="32" spans="1:20" x14ac:dyDescent="0.35">
      <c r="A32" s="23" t="s">
        <v>13</v>
      </c>
      <c r="B32" s="23">
        <f>50*100*4.156*0.2</f>
        <v>4156</v>
      </c>
      <c r="C32" s="23">
        <v>56000</v>
      </c>
      <c r="D32" s="23">
        <v>43000</v>
      </c>
      <c r="E32" s="23">
        <v>41000</v>
      </c>
      <c r="F32" s="23">
        <v>75000</v>
      </c>
      <c r="G32" s="23">
        <v>18000</v>
      </c>
      <c r="H32" s="23">
        <v>9000</v>
      </c>
      <c r="I32" s="23"/>
      <c r="J32" s="23"/>
      <c r="K32" s="23"/>
      <c r="L32" s="23"/>
      <c r="M32" s="46"/>
      <c r="N32" s="23"/>
      <c r="T32" s="1"/>
    </row>
    <row r="33" spans="1:20" x14ac:dyDescent="0.35">
      <c r="A33" s="23" t="s">
        <v>12</v>
      </c>
      <c r="B33" s="23">
        <f>300*200*0.208*0.2</f>
        <v>2496</v>
      </c>
      <c r="C33" s="23">
        <v>47000</v>
      </c>
      <c r="D33" s="23">
        <v>36000</v>
      </c>
      <c r="E33" s="23">
        <v>34000</v>
      </c>
      <c r="F33" s="23">
        <v>63000</v>
      </c>
      <c r="G33" s="23">
        <v>17000</v>
      </c>
      <c r="H33" s="23">
        <v>6000</v>
      </c>
      <c r="I33" s="23"/>
      <c r="J33" s="23"/>
      <c r="K33" s="23"/>
      <c r="L33" s="23"/>
      <c r="M33" s="46"/>
      <c r="N33" s="23"/>
      <c r="T33" s="1"/>
    </row>
    <row r="34" spans="1:20" x14ac:dyDescent="0.35">
      <c r="A34" s="23" t="s">
        <v>7</v>
      </c>
      <c r="B34" s="23">
        <f>40*100*1.87*0.2</f>
        <v>1496</v>
      </c>
      <c r="C34" s="23">
        <v>20000</v>
      </c>
      <c r="D34" s="23">
        <v>15000</v>
      </c>
      <c r="E34" s="23">
        <v>15000</v>
      </c>
      <c r="F34" s="23">
        <v>27000</v>
      </c>
      <c r="G34" s="23">
        <v>9000</v>
      </c>
      <c r="H34" s="23">
        <v>3000</v>
      </c>
      <c r="I34" s="23"/>
      <c r="J34" s="23"/>
      <c r="K34" s="23"/>
      <c r="L34" s="23"/>
      <c r="M34" s="46"/>
      <c r="N34" s="23"/>
      <c r="T34" s="1"/>
    </row>
    <row r="35" spans="1:20" x14ac:dyDescent="0.35">
      <c r="A35" s="23" t="s">
        <v>9</v>
      </c>
      <c r="B35" s="23">
        <f>50*100*1.455*0.2</f>
        <v>1455</v>
      </c>
      <c r="C35" s="23">
        <v>20000</v>
      </c>
      <c r="D35" s="23">
        <v>15000</v>
      </c>
      <c r="E35" s="23">
        <v>14000</v>
      </c>
      <c r="F35" s="23">
        <v>26000</v>
      </c>
      <c r="G35" s="23">
        <v>12000</v>
      </c>
      <c r="H35" s="23">
        <v>2000</v>
      </c>
      <c r="I35" s="23"/>
      <c r="J35" s="23"/>
      <c r="K35" s="23"/>
      <c r="L35" s="23"/>
      <c r="M35" s="46"/>
      <c r="N35" s="23"/>
      <c r="T35" s="1"/>
    </row>
    <row r="36" spans="1:20" x14ac:dyDescent="0.35">
      <c r="A36" s="23" t="s">
        <v>6</v>
      </c>
      <c r="B36" s="23">
        <f>90*200*1.412*0.08</f>
        <v>2033.28</v>
      </c>
      <c r="C36" s="23">
        <v>21000</v>
      </c>
      <c r="D36" s="23">
        <v>21000</v>
      </c>
      <c r="E36" s="23">
        <v>15000</v>
      </c>
      <c r="F36" s="23">
        <v>27000</v>
      </c>
      <c r="G36" s="23">
        <v>7000</v>
      </c>
      <c r="H36" s="23">
        <v>8000</v>
      </c>
      <c r="I36" s="23"/>
      <c r="J36" s="23"/>
      <c r="K36" s="23"/>
      <c r="L36" s="23"/>
      <c r="M36" s="46"/>
      <c r="N36" s="23"/>
      <c r="T36" s="1"/>
    </row>
    <row r="37" spans="1:20" x14ac:dyDescent="0.35">
      <c r="A37" s="23" t="s">
        <v>10</v>
      </c>
      <c r="B37" s="23">
        <f>90*100*0.416*0.2</f>
        <v>748.80000000000007</v>
      </c>
      <c r="C37" s="23">
        <v>14000</v>
      </c>
      <c r="D37" s="23">
        <v>11000</v>
      </c>
      <c r="E37" s="23">
        <v>10000</v>
      </c>
      <c r="F37" s="23">
        <v>19000</v>
      </c>
      <c r="G37" s="23">
        <v>14000</v>
      </c>
      <c r="H37" s="23">
        <v>2000</v>
      </c>
      <c r="I37" s="23"/>
      <c r="J37" s="23"/>
      <c r="K37" s="23"/>
      <c r="L37" s="23"/>
      <c r="M37" s="46"/>
      <c r="N37" s="23"/>
      <c r="T37" s="1"/>
    </row>
    <row r="38" spans="1:20" x14ac:dyDescent="0.35">
      <c r="A38" s="23" t="s">
        <v>25</v>
      </c>
      <c r="B38" s="23">
        <f>30*200*0.416*0.2</f>
        <v>499.20000000000005</v>
      </c>
      <c r="C38" s="23">
        <v>8000</v>
      </c>
      <c r="D38" s="23">
        <v>6000</v>
      </c>
      <c r="E38" s="23">
        <v>6000</v>
      </c>
      <c r="F38" s="23">
        <v>11000</v>
      </c>
      <c r="G38" s="23">
        <v>5000</v>
      </c>
      <c r="H38" s="23">
        <v>4000</v>
      </c>
      <c r="I38" s="23"/>
      <c r="J38" s="23"/>
      <c r="K38" s="23"/>
      <c r="L38" s="23"/>
      <c r="M38" s="46"/>
      <c r="N38" s="23"/>
      <c r="T38" s="1"/>
    </row>
    <row r="39" spans="1:20" ht="16" thickBot="1" x14ac:dyDescent="0.4">
      <c r="A39" s="23" t="s">
        <v>26</v>
      </c>
      <c r="B39" s="23">
        <f>60*100*1.694*0.8</f>
        <v>8131.2000000000007</v>
      </c>
      <c r="C39" s="23">
        <v>8000</v>
      </c>
      <c r="D39" s="23">
        <v>8000</v>
      </c>
      <c r="E39" s="23">
        <v>6000</v>
      </c>
      <c r="F39" s="23">
        <v>11000</v>
      </c>
      <c r="G39" s="23">
        <v>5000</v>
      </c>
      <c r="H39" s="23">
        <v>5000</v>
      </c>
      <c r="I39" s="23"/>
      <c r="J39" s="23"/>
      <c r="K39" s="23"/>
      <c r="L39" s="23"/>
      <c r="M39" s="46"/>
      <c r="N39" s="23"/>
      <c r="T39" s="3"/>
    </row>
    <row r="40" spans="1:20" x14ac:dyDescent="0.35">
      <c r="A40" s="23" t="s">
        <v>5</v>
      </c>
      <c r="B40" s="23">
        <f>50*100*0.416*0.2</f>
        <v>416</v>
      </c>
      <c r="C40" s="23">
        <v>7000</v>
      </c>
      <c r="D40" s="23">
        <v>5000</v>
      </c>
      <c r="E40" s="23">
        <v>5000</v>
      </c>
      <c r="F40" s="23">
        <v>9000</v>
      </c>
      <c r="G40" s="23">
        <v>4000</v>
      </c>
      <c r="H40" s="23">
        <v>3000</v>
      </c>
      <c r="I40" s="23"/>
      <c r="J40" s="23"/>
      <c r="K40" s="23"/>
      <c r="L40" s="23"/>
      <c r="M40" s="46"/>
      <c r="N40" s="23"/>
    </row>
    <row r="41" spans="1:20" x14ac:dyDescent="0.35">
      <c r="A41" s="23" t="s">
        <v>1</v>
      </c>
      <c r="B41" s="23">
        <f>70*80*0.031*0.2</f>
        <v>34.72</v>
      </c>
      <c r="C41" s="23">
        <v>1000</v>
      </c>
      <c r="D41" s="23">
        <v>400</v>
      </c>
      <c r="E41" s="23">
        <v>400</v>
      </c>
      <c r="F41" s="23">
        <v>1000</v>
      </c>
      <c r="G41" s="23">
        <v>2000</v>
      </c>
      <c r="H41" s="23">
        <v>100</v>
      </c>
      <c r="I41" s="23"/>
      <c r="J41" s="23"/>
      <c r="K41" s="23"/>
      <c r="L41" s="23"/>
      <c r="M41" s="46"/>
      <c r="N41" s="23"/>
    </row>
    <row r="42" spans="1:20" x14ac:dyDescent="0.35">
      <c r="A42" s="23" t="s">
        <v>2</v>
      </c>
      <c r="B42" s="23">
        <f>100*100*0.083*0.06</f>
        <v>49.8</v>
      </c>
      <c r="C42" s="23">
        <v>1000</v>
      </c>
      <c r="D42" s="23">
        <v>1000</v>
      </c>
      <c r="E42" s="23">
        <v>1000</v>
      </c>
      <c r="F42" s="23">
        <v>1000</v>
      </c>
      <c r="G42" s="23">
        <v>2000</v>
      </c>
      <c r="H42" s="23">
        <v>300</v>
      </c>
      <c r="I42" s="23"/>
      <c r="J42" s="23"/>
      <c r="K42" s="23"/>
      <c r="L42" s="23"/>
      <c r="M42" s="46"/>
      <c r="N42" s="23"/>
    </row>
  </sheetData>
  <mergeCells count="2">
    <mergeCell ref="C1:F1"/>
    <mergeCell ref="N22:N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7FC8E-A847-4E3A-89A4-E545D2147D91}">
  <dimension ref="A1:AD55"/>
  <sheetViews>
    <sheetView workbookViewId="0">
      <selection activeCell="J25" sqref="J25"/>
    </sheetView>
  </sheetViews>
  <sheetFormatPr defaultRowHeight="15.5" x14ac:dyDescent="0.35"/>
  <cols>
    <col min="2" max="2" width="21.5" customWidth="1"/>
    <col min="3" max="3" width="9.58203125" customWidth="1"/>
    <col min="8" max="8" width="2.58203125" style="8" customWidth="1"/>
    <col min="11" max="11" width="20.58203125" bestFit="1" customWidth="1"/>
    <col min="12" max="12" width="7.08203125" customWidth="1"/>
    <col min="15" max="15" width="9.83203125" bestFit="1" customWidth="1"/>
    <col min="16" max="16" width="2.33203125" style="8" customWidth="1"/>
    <col min="17" max="17" width="9.83203125" style="5" customWidth="1"/>
    <col min="18" max="18" width="11.83203125" bestFit="1" customWidth="1"/>
    <col min="19" max="19" width="20.58203125" style="5" bestFit="1" customWidth="1"/>
    <col min="20" max="20" width="7" customWidth="1"/>
  </cols>
  <sheetData>
    <row r="1" spans="1:30" s="28" customFormat="1" ht="23.5" x14ac:dyDescent="0.55000000000000004">
      <c r="D1" s="28" t="s">
        <v>57</v>
      </c>
      <c r="H1" s="30"/>
      <c r="M1" s="28" t="s">
        <v>162</v>
      </c>
      <c r="P1" s="30"/>
      <c r="Q1" s="29"/>
      <c r="S1" s="29"/>
      <c r="U1" s="28" t="s">
        <v>163</v>
      </c>
    </row>
    <row r="2" spans="1:30" s="10" customFormat="1" x14ac:dyDescent="0.35">
      <c r="A2" s="10" t="s">
        <v>51</v>
      </c>
      <c r="B2" s="10" t="s">
        <v>0</v>
      </c>
      <c r="C2" s="10" t="s">
        <v>17</v>
      </c>
      <c r="H2" s="31"/>
      <c r="J2" s="10" t="s">
        <v>51</v>
      </c>
      <c r="K2" s="10" t="s">
        <v>0</v>
      </c>
      <c r="L2" s="10" t="s">
        <v>17</v>
      </c>
      <c r="P2" s="31"/>
      <c r="Q2" s="18"/>
      <c r="R2" s="10" t="s">
        <v>51</v>
      </c>
      <c r="S2" s="18" t="s">
        <v>0</v>
      </c>
      <c r="T2" s="10" t="s">
        <v>17</v>
      </c>
    </row>
    <row r="3" spans="1:30" x14ac:dyDescent="0.35">
      <c r="A3" s="4" t="s">
        <v>155</v>
      </c>
      <c r="B3" t="s">
        <v>42</v>
      </c>
      <c r="C3">
        <v>47.8</v>
      </c>
      <c r="D3" s="24">
        <v>322</v>
      </c>
      <c r="E3" s="24">
        <v>670</v>
      </c>
      <c r="F3" s="24">
        <v>1016</v>
      </c>
      <c r="G3" s="24"/>
      <c r="J3" s="4" t="s">
        <v>155</v>
      </c>
      <c r="K3" t="s">
        <v>42</v>
      </c>
      <c r="L3">
        <v>47.8</v>
      </c>
      <c r="M3" s="9">
        <v>130</v>
      </c>
      <c r="N3" s="9"/>
      <c r="O3" s="9"/>
      <c r="R3" s="4" t="s">
        <v>155</v>
      </c>
      <c r="S3" s="5" t="s">
        <v>42</v>
      </c>
      <c r="T3">
        <v>47.8</v>
      </c>
      <c r="U3" s="25">
        <v>35</v>
      </c>
      <c r="V3" s="25">
        <v>130</v>
      </c>
      <c r="W3" s="25">
        <v>670</v>
      </c>
      <c r="X3" s="25"/>
      <c r="Y3" s="25"/>
      <c r="Z3" s="25"/>
      <c r="AA3" s="25"/>
      <c r="AB3" s="25"/>
      <c r="AC3" s="25"/>
      <c r="AD3" s="25"/>
    </row>
    <row r="4" spans="1:30" x14ac:dyDescent="0.35">
      <c r="A4" s="19" t="s">
        <v>151</v>
      </c>
      <c r="B4" t="s">
        <v>164</v>
      </c>
      <c r="C4">
        <v>435</v>
      </c>
      <c r="D4" s="24">
        <v>3100</v>
      </c>
      <c r="E4" s="24"/>
      <c r="F4" s="24"/>
      <c r="G4" s="24"/>
      <c r="J4" s="21" t="s">
        <v>21</v>
      </c>
      <c r="K4" t="s">
        <v>3</v>
      </c>
      <c r="L4">
        <v>174</v>
      </c>
      <c r="M4" s="9">
        <v>1351</v>
      </c>
      <c r="N4" s="9">
        <v>1545</v>
      </c>
      <c r="O4" s="9">
        <v>1876</v>
      </c>
      <c r="R4" s="15" t="s">
        <v>153</v>
      </c>
      <c r="S4" s="5" t="s">
        <v>11</v>
      </c>
      <c r="T4">
        <v>280</v>
      </c>
      <c r="U4" s="25">
        <v>331</v>
      </c>
      <c r="V4" s="25">
        <v>426</v>
      </c>
      <c r="W4" s="25">
        <v>328</v>
      </c>
      <c r="X4" s="25">
        <v>344</v>
      </c>
      <c r="Y4" s="25">
        <v>297</v>
      </c>
      <c r="Z4" s="25">
        <v>303</v>
      </c>
      <c r="AA4" s="25">
        <v>484</v>
      </c>
      <c r="AB4" s="25">
        <v>501</v>
      </c>
      <c r="AC4" s="25">
        <v>318</v>
      </c>
      <c r="AD4" s="25">
        <v>237</v>
      </c>
    </row>
    <row r="5" spans="1:30" x14ac:dyDescent="0.35">
      <c r="A5" s="19" t="s">
        <v>151</v>
      </c>
      <c r="B5" t="s">
        <v>45</v>
      </c>
      <c r="C5">
        <v>1396</v>
      </c>
      <c r="D5" s="24">
        <v>14200</v>
      </c>
      <c r="E5" s="24"/>
      <c r="F5" s="24"/>
      <c r="G5" s="24"/>
      <c r="J5" s="21" t="s">
        <v>21</v>
      </c>
      <c r="K5" t="s">
        <v>4</v>
      </c>
      <c r="L5">
        <v>1290</v>
      </c>
      <c r="M5" s="9">
        <v>3047</v>
      </c>
      <c r="N5" s="9">
        <v>5291</v>
      </c>
      <c r="O5" s="9">
        <v>7420</v>
      </c>
      <c r="R5" s="20" t="s">
        <v>50</v>
      </c>
      <c r="S5" s="5" t="s">
        <v>47</v>
      </c>
      <c r="T5">
        <v>650</v>
      </c>
      <c r="U5" s="25">
        <v>500</v>
      </c>
      <c r="V5" s="25">
        <v>2800</v>
      </c>
      <c r="W5" s="25">
        <v>5000</v>
      </c>
      <c r="X5" s="25"/>
      <c r="Y5" s="25"/>
      <c r="Z5" s="25"/>
      <c r="AA5" s="25"/>
      <c r="AB5" s="25"/>
      <c r="AC5" s="25"/>
      <c r="AD5" s="25"/>
    </row>
    <row r="6" spans="1:30" x14ac:dyDescent="0.35">
      <c r="A6" s="19" t="s">
        <v>151</v>
      </c>
      <c r="B6" t="s">
        <v>46</v>
      </c>
      <c r="C6">
        <v>600</v>
      </c>
      <c r="D6" s="24">
        <v>1200</v>
      </c>
      <c r="E6" s="24"/>
      <c r="F6" s="24"/>
      <c r="G6" s="24"/>
      <c r="J6" s="22" t="s">
        <v>18</v>
      </c>
      <c r="K6" t="s">
        <v>11</v>
      </c>
      <c r="L6">
        <v>350</v>
      </c>
      <c r="M6" s="9">
        <v>2230</v>
      </c>
      <c r="N6" s="9"/>
      <c r="O6" s="9"/>
      <c r="R6" s="20" t="s">
        <v>50</v>
      </c>
      <c r="S6" s="5" t="s">
        <v>48</v>
      </c>
      <c r="T6">
        <f>0.59*1000</f>
        <v>590</v>
      </c>
      <c r="U6" s="25">
        <v>230</v>
      </c>
      <c r="V6" s="25">
        <v>1200</v>
      </c>
      <c r="W6" s="25">
        <v>2300</v>
      </c>
      <c r="X6" s="25"/>
      <c r="Y6" s="25"/>
      <c r="Z6" s="25"/>
      <c r="AA6" s="25"/>
      <c r="AB6" s="25"/>
      <c r="AC6" s="25"/>
      <c r="AD6" s="25"/>
    </row>
    <row r="7" spans="1:30" x14ac:dyDescent="0.35">
      <c r="A7" s="20" t="s">
        <v>50</v>
      </c>
      <c r="B7" t="s">
        <v>47</v>
      </c>
      <c r="C7">
        <v>650</v>
      </c>
      <c r="D7" s="24">
        <v>11764.705882352942</v>
      </c>
      <c r="E7" s="24"/>
      <c r="F7" s="24"/>
      <c r="G7" s="24"/>
      <c r="J7" s="22" t="s">
        <v>18</v>
      </c>
      <c r="K7" t="s">
        <v>14</v>
      </c>
      <c r="L7">
        <v>1620</v>
      </c>
      <c r="M7" s="9">
        <v>13300</v>
      </c>
      <c r="N7" s="9"/>
      <c r="O7" s="9"/>
      <c r="R7" s="20" t="s">
        <v>50</v>
      </c>
      <c r="S7" s="5" t="s">
        <v>46</v>
      </c>
      <c r="T7">
        <v>1700</v>
      </c>
      <c r="U7" s="25">
        <v>210</v>
      </c>
      <c r="V7" s="25">
        <v>1300</v>
      </c>
      <c r="W7" s="25">
        <v>2100</v>
      </c>
      <c r="X7" s="25"/>
      <c r="Y7" s="25"/>
      <c r="Z7" s="25"/>
      <c r="AA7" s="25"/>
      <c r="AB7" s="25"/>
      <c r="AC7" s="25"/>
      <c r="AD7" s="25"/>
    </row>
    <row r="8" spans="1:30" x14ac:dyDescent="0.35">
      <c r="A8" s="20" t="s">
        <v>50</v>
      </c>
      <c r="B8" t="s">
        <v>48</v>
      </c>
      <c r="C8">
        <f>0.59*1000</f>
        <v>590</v>
      </c>
      <c r="D8" s="24">
        <v>5411.7647058823532</v>
      </c>
      <c r="E8" s="24"/>
      <c r="F8" s="24"/>
      <c r="G8" s="24"/>
      <c r="J8" s="22" t="s">
        <v>18</v>
      </c>
      <c r="K8" t="s">
        <v>15</v>
      </c>
      <c r="L8">
        <v>3260</v>
      </c>
      <c r="M8" s="9">
        <v>16200</v>
      </c>
      <c r="N8" s="9"/>
      <c r="O8" s="9"/>
      <c r="R8" s="21" t="s">
        <v>21</v>
      </c>
      <c r="S8" s="5" t="s">
        <v>3</v>
      </c>
      <c r="T8">
        <v>174</v>
      </c>
      <c r="U8" s="25">
        <v>742</v>
      </c>
      <c r="V8" s="25">
        <v>1714.5</v>
      </c>
      <c r="W8" s="25">
        <v>3774</v>
      </c>
      <c r="X8" s="25"/>
      <c r="Y8" s="25"/>
      <c r="Z8" s="25"/>
      <c r="AA8" s="25"/>
      <c r="AB8" s="25"/>
      <c r="AC8" s="25"/>
      <c r="AD8" s="25"/>
    </row>
    <row r="9" spans="1:30" x14ac:dyDescent="0.35">
      <c r="A9" s="20" t="s">
        <v>50</v>
      </c>
      <c r="B9" t="s">
        <v>46</v>
      </c>
      <c r="C9">
        <v>1700</v>
      </c>
      <c r="D9" s="24">
        <v>4941.1764705882351</v>
      </c>
      <c r="E9" s="24"/>
      <c r="F9" s="24"/>
      <c r="G9" s="24"/>
      <c r="J9" s="22" t="s">
        <v>18</v>
      </c>
      <c r="K9" t="s">
        <v>19</v>
      </c>
      <c r="L9">
        <v>70</v>
      </c>
      <c r="M9" s="9">
        <f>0.33*1000</f>
        <v>330</v>
      </c>
      <c r="N9" s="9"/>
      <c r="O9" s="9"/>
      <c r="R9" s="21" t="s">
        <v>21</v>
      </c>
      <c r="S9" s="5" t="s">
        <v>4</v>
      </c>
      <c r="T9">
        <v>1290</v>
      </c>
      <c r="U9" s="25">
        <v>1402</v>
      </c>
      <c r="V9" s="25">
        <v>3267</v>
      </c>
      <c r="W9" s="25">
        <v>17625</v>
      </c>
      <c r="X9" s="25"/>
      <c r="Y9" s="25"/>
      <c r="Z9" s="25"/>
      <c r="AA9" s="25"/>
      <c r="AB9" s="25"/>
      <c r="AC9" s="25"/>
      <c r="AD9" s="25"/>
    </row>
    <row r="10" spans="1:30" x14ac:dyDescent="0.35">
      <c r="A10" s="21" t="s">
        <v>21</v>
      </c>
      <c r="B10" t="s">
        <v>3</v>
      </c>
      <c r="C10">
        <v>174</v>
      </c>
      <c r="D10" s="24">
        <v>4090</v>
      </c>
      <c r="E10" s="24">
        <v>10043</v>
      </c>
      <c r="F10" s="24">
        <v>21638</v>
      </c>
      <c r="G10" s="24"/>
      <c r="J10" s="23" t="s">
        <v>24</v>
      </c>
      <c r="K10" t="s">
        <v>8</v>
      </c>
      <c r="L10">
        <f>200*200*0.416*0.2</f>
        <v>3328</v>
      </c>
      <c r="M10" s="9">
        <v>10000</v>
      </c>
      <c r="N10" s="9">
        <v>17000</v>
      </c>
      <c r="O10" s="9"/>
      <c r="R10" s="22" t="s">
        <v>18</v>
      </c>
      <c r="S10" s="5" t="s">
        <v>11</v>
      </c>
      <c r="T10">
        <v>350</v>
      </c>
      <c r="U10" s="25">
        <v>16500</v>
      </c>
      <c r="V10" s="25"/>
      <c r="W10" s="25"/>
      <c r="X10" s="25"/>
      <c r="Y10" s="25"/>
      <c r="Z10" s="25"/>
      <c r="AA10" s="25"/>
      <c r="AB10" s="25"/>
      <c r="AC10" s="25"/>
      <c r="AD10" s="25"/>
    </row>
    <row r="11" spans="1:30" x14ac:dyDescent="0.35">
      <c r="A11" s="21" t="s">
        <v>21</v>
      </c>
      <c r="B11" t="s">
        <v>4</v>
      </c>
      <c r="C11">
        <v>1290</v>
      </c>
      <c r="D11" s="24">
        <v>7362</v>
      </c>
      <c r="E11" s="24">
        <v>45237</v>
      </c>
      <c r="F11" s="24">
        <v>137895</v>
      </c>
      <c r="G11" s="24"/>
      <c r="J11" s="23" t="s">
        <v>58</v>
      </c>
      <c r="K11" t="s">
        <v>22</v>
      </c>
      <c r="L11">
        <f>100*200*0.831*0.2</f>
        <v>3324</v>
      </c>
      <c r="M11" s="9">
        <v>88000</v>
      </c>
      <c r="N11" s="9">
        <v>15000</v>
      </c>
      <c r="O11" s="9"/>
      <c r="R11" s="22" t="s">
        <v>18</v>
      </c>
      <c r="S11" s="5" t="s">
        <v>14</v>
      </c>
      <c r="T11">
        <v>1620</v>
      </c>
      <c r="U11" s="25">
        <v>18100</v>
      </c>
      <c r="V11" s="25"/>
      <c r="W11" s="25"/>
      <c r="X11" s="25"/>
      <c r="Y11" s="25"/>
      <c r="Z11" s="25"/>
      <c r="AA11" s="25"/>
      <c r="AB11" s="25"/>
      <c r="AC11" s="25"/>
      <c r="AD11" s="25"/>
    </row>
    <row r="12" spans="1:30" x14ac:dyDescent="0.35">
      <c r="A12" s="22" t="s">
        <v>18</v>
      </c>
      <c r="B12" t="s">
        <v>11</v>
      </c>
      <c r="C12">
        <v>350</v>
      </c>
      <c r="D12" s="24">
        <v>4200</v>
      </c>
      <c r="E12" s="24"/>
      <c r="F12" s="24"/>
      <c r="G12" s="24"/>
      <c r="J12" s="23" t="s">
        <v>59</v>
      </c>
      <c r="K12" t="s">
        <v>13</v>
      </c>
      <c r="L12">
        <f>50*100*4.156*0.2</f>
        <v>4156</v>
      </c>
      <c r="M12" s="9">
        <v>18000</v>
      </c>
      <c r="N12" s="9">
        <v>9000</v>
      </c>
      <c r="O12" s="9"/>
      <c r="R12" s="22" t="s">
        <v>18</v>
      </c>
      <c r="S12" s="5" t="s">
        <v>15</v>
      </c>
      <c r="T12">
        <v>3260</v>
      </c>
      <c r="U12" s="25">
        <v>25000</v>
      </c>
      <c r="V12" s="25"/>
      <c r="W12" s="25"/>
      <c r="X12" s="25"/>
      <c r="Y12" s="25"/>
      <c r="Z12" s="25"/>
      <c r="AA12" s="25"/>
      <c r="AB12" s="25"/>
      <c r="AC12" s="25"/>
      <c r="AD12" s="25"/>
    </row>
    <row r="13" spans="1:30" x14ac:dyDescent="0.35">
      <c r="A13" s="22" t="s">
        <v>18</v>
      </c>
      <c r="B13" t="s">
        <v>14</v>
      </c>
      <c r="C13">
        <v>1620</v>
      </c>
      <c r="D13" s="24">
        <v>11000</v>
      </c>
      <c r="E13" s="24">
        <v>150000</v>
      </c>
      <c r="F13" s="24"/>
      <c r="G13" s="24"/>
      <c r="J13" s="23" t="s">
        <v>60</v>
      </c>
      <c r="K13" t="s">
        <v>12</v>
      </c>
      <c r="L13">
        <f>300*200*0.208*0.2</f>
        <v>2496</v>
      </c>
      <c r="M13" s="9">
        <v>17000</v>
      </c>
      <c r="N13" s="9">
        <v>6000</v>
      </c>
      <c r="O13" s="9"/>
      <c r="R13" s="22" t="s">
        <v>18</v>
      </c>
      <c r="S13" s="5" t="s">
        <v>19</v>
      </c>
      <c r="T13">
        <v>70</v>
      </c>
      <c r="U13" s="25">
        <f>0.06*1000</f>
        <v>60</v>
      </c>
      <c r="V13" s="25"/>
      <c r="W13" s="25"/>
      <c r="X13" s="25"/>
      <c r="Y13" s="25"/>
      <c r="Z13" s="25"/>
      <c r="AA13" s="25"/>
      <c r="AB13" s="25"/>
      <c r="AC13" s="25"/>
      <c r="AD13" s="25"/>
    </row>
    <row r="14" spans="1:30" x14ac:dyDescent="0.35">
      <c r="A14" s="22" t="s">
        <v>18</v>
      </c>
      <c r="B14" t="s">
        <v>15</v>
      </c>
      <c r="C14">
        <v>3260</v>
      </c>
      <c r="D14" s="24">
        <v>57000</v>
      </c>
      <c r="E14" s="24">
        <v>193000</v>
      </c>
      <c r="F14" s="24"/>
      <c r="G14" s="24"/>
      <c r="J14" s="23" t="s">
        <v>61</v>
      </c>
      <c r="K14" t="s">
        <v>7</v>
      </c>
      <c r="L14">
        <f>40*100*1.87*0.2</f>
        <v>1496</v>
      </c>
      <c r="M14" s="9">
        <v>9000</v>
      </c>
      <c r="N14" s="9">
        <v>3000</v>
      </c>
      <c r="O14" s="9"/>
    </row>
    <row r="15" spans="1:30" x14ac:dyDescent="0.35">
      <c r="A15" s="22" t="s">
        <v>18</v>
      </c>
      <c r="B15" t="s">
        <v>19</v>
      </c>
      <c r="C15">
        <v>70</v>
      </c>
      <c r="D15" s="24">
        <v>840</v>
      </c>
      <c r="E15" s="24"/>
      <c r="F15" s="24"/>
      <c r="G15" s="24"/>
      <c r="J15" s="23" t="s">
        <v>62</v>
      </c>
      <c r="K15" t="s">
        <v>9</v>
      </c>
      <c r="L15">
        <f>50*100*1.455*0.2</f>
        <v>1455</v>
      </c>
      <c r="M15" s="9">
        <v>12000</v>
      </c>
      <c r="N15" s="9">
        <v>2000</v>
      </c>
      <c r="O15" s="9"/>
    </row>
    <row r="16" spans="1:30" x14ac:dyDescent="0.35">
      <c r="A16" s="23" t="s">
        <v>24</v>
      </c>
      <c r="B16" t="s">
        <v>8</v>
      </c>
      <c r="C16">
        <f>200*200*0.416*0.2</f>
        <v>3328</v>
      </c>
      <c r="D16" s="24">
        <v>72000</v>
      </c>
      <c r="E16" s="24">
        <v>55000</v>
      </c>
      <c r="F16" s="24">
        <v>52000</v>
      </c>
      <c r="G16" s="24">
        <v>95000</v>
      </c>
      <c r="J16" s="23" t="s">
        <v>63</v>
      </c>
      <c r="K16" t="s">
        <v>6</v>
      </c>
      <c r="L16">
        <f>90*200*1.412*0.08</f>
        <v>2033.28</v>
      </c>
      <c r="M16" s="9">
        <v>7000</v>
      </c>
      <c r="N16" s="9">
        <v>8000</v>
      </c>
      <c r="O16" s="9"/>
    </row>
    <row r="17" spans="1:15" x14ac:dyDescent="0.35">
      <c r="A17" s="23" t="s">
        <v>58</v>
      </c>
      <c r="B17" t="s">
        <v>22</v>
      </c>
      <c r="C17">
        <f>100*200*0.831*0.2</f>
        <v>3324</v>
      </c>
      <c r="D17" s="24">
        <v>63000</v>
      </c>
      <c r="E17" s="24">
        <v>48000</v>
      </c>
      <c r="F17" s="24">
        <v>46000</v>
      </c>
      <c r="G17" s="24">
        <v>84000</v>
      </c>
      <c r="J17" s="23" t="s">
        <v>64</v>
      </c>
      <c r="K17" t="s">
        <v>10</v>
      </c>
      <c r="L17">
        <f>90*100*0.416*0.2</f>
        <v>748.80000000000007</v>
      </c>
      <c r="M17" s="9">
        <v>14000</v>
      </c>
      <c r="N17" s="9">
        <v>2000</v>
      </c>
      <c r="O17" s="9"/>
    </row>
    <row r="18" spans="1:15" x14ac:dyDescent="0.35">
      <c r="A18" s="23" t="s">
        <v>59</v>
      </c>
      <c r="B18" t="s">
        <v>13</v>
      </c>
      <c r="C18">
        <f>50*100*4.156*0.2</f>
        <v>4156</v>
      </c>
      <c r="D18" s="24">
        <v>56000</v>
      </c>
      <c r="E18" s="24">
        <v>43000</v>
      </c>
      <c r="F18" s="24">
        <v>41000</v>
      </c>
      <c r="G18" s="24">
        <v>75000</v>
      </c>
      <c r="J18" s="23" t="s">
        <v>65</v>
      </c>
      <c r="K18" t="s">
        <v>25</v>
      </c>
      <c r="L18">
        <f>30*200*0.416*0.2</f>
        <v>499.20000000000005</v>
      </c>
      <c r="M18" s="9">
        <v>5000</v>
      </c>
      <c r="N18" s="9">
        <v>4000</v>
      </c>
      <c r="O18" s="9"/>
    </row>
    <row r="19" spans="1:15" x14ac:dyDescent="0.35">
      <c r="A19" s="23" t="s">
        <v>60</v>
      </c>
      <c r="B19" t="s">
        <v>12</v>
      </c>
      <c r="C19">
        <f>300*200*0.208*0.2</f>
        <v>2496</v>
      </c>
      <c r="D19" s="24">
        <v>47000</v>
      </c>
      <c r="E19" s="24">
        <v>36000</v>
      </c>
      <c r="F19" s="24">
        <v>34000</v>
      </c>
      <c r="G19" s="24">
        <v>63000</v>
      </c>
      <c r="J19" s="23" t="s">
        <v>66</v>
      </c>
      <c r="K19" t="s">
        <v>26</v>
      </c>
      <c r="L19">
        <f>60*100*1.694*0.8</f>
        <v>8131.2000000000007</v>
      </c>
      <c r="M19" s="9">
        <v>5000</v>
      </c>
      <c r="N19" s="9">
        <v>5000</v>
      </c>
      <c r="O19" s="9"/>
    </row>
    <row r="20" spans="1:15" x14ac:dyDescent="0.35">
      <c r="A20" s="23" t="s">
        <v>61</v>
      </c>
      <c r="B20" t="s">
        <v>7</v>
      </c>
      <c r="C20">
        <f>40*100*1.87*0.2</f>
        <v>1496</v>
      </c>
      <c r="D20" s="24">
        <v>20000</v>
      </c>
      <c r="E20" s="24">
        <v>15000</v>
      </c>
      <c r="F20" s="24">
        <v>15000</v>
      </c>
      <c r="G20" s="24">
        <v>27000</v>
      </c>
      <c r="J20" s="23" t="s">
        <v>67</v>
      </c>
      <c r="K20" t="s">
        <v>5</v>
      </c>
      <c r="L20">
        <f>50*100*0.416*0.2</f>
        <v>416</v>
      </c>
      <c r="M20" s="9">
        <v>4000</v>
      </c>
      <c r="N20" s="9">
        <v>3000</v>
      </c>
      <c r="O20" s="9"/>
    </row>
    <row r="21" spans="1:15" x14ac:dyDescent="0.35">
      <c r="A21" s="23" t="s">
        <v>62</v>
      </c>
      <c r="B21" t="s">
        <v>9</v>
      </c>
      <c r="C21">
        <f>50*100*1.455*0.2</f>
        <v>1455</v>
      </c>
      <c r="D21" s="24">
        <v>20000</v>
      </c>
      <c r="E21" s="24">
        <v>15000</v>
      </c>
      <c r="F21" s="24">
        <v>14000</v>
      </c>
      <c r="G21" s="24">
        <v>26000</v>
      </c>
      <c r="J21" s="23" t="s">
        <v>68</v>
      </c>
      <c r="K21" t="s">
        <v>1</v>
      </c>
      <c r="L21">
        <f>70*80*0.031*0.2</f>
        <v>34.72</v>
      </c>
      <c r="M21" s="9">
        <v>2000</v>
      </c>
      <c r="N21" s="9">
        <v>100</v>
      </c>
      <c r="O21" s="9"/>
    </row>
    <row r="22" spans="1:15" x14ac:dyDescent="0.35">
      <c r="A22" s="23" t="s">
        <v>63</v>
      </c>
      <c r="B22" t="s">
        <v>6</v>
      </c>
      <c r="C22">
        <f>90*200*1.412*0.08</f>
        <v>2033.28</v>
      </c>
      <c r="D22" s="24">
        <v>21000</v>
      </c>
      <c r="E22" s="24">
        <v>21000</v>
      </c>
      <c r="F22" s="24">
        <v>15000</v>
      </c>
      <c r="G22" s="24">
        <v>27000</v>
      </c>
      <c r="J22" s="23" t="s">
        <v>69</v>
      </c>
      <c r="K22" t="s">
        <v>2</v>
      </c>
      <c r="L22">
        <f>100*100*0.083*0.06</f>
        <v>49.8</v>
      </c>
      <c r="M22" s="9">
        <v>2000</v>
      </c>
      <c r="N22" s="9">
        <v>300</v>
      </c>
      <c r="O22" s="9"/>
    </row>
    <row r="23" spans="1:15" x14ac:dyDescent="0.35">
      <c r="A23" s="23" t="s">
        <v>64</v>
      </c>
      <c r="B23" t="s">
        <v>10</v>
      </c>
      <c r="C23">
        <f>90*100*0.416*0.2</f>
        <v>748.80000000000007</v>
      </c>
      <c r="D23" s="24">
        <v>14000</v>
      </c>
      <c r="E23" s="24">
        <v>11000</v>
      </c>
      <c r="F23" s="24">
        <v>10000</v>
      </c>
      <c r="G23" s="24">
        <v>19000</v>
      </c>
    </row>
    <row r="24" spans="1:15" x14ac:dyDescent="0.35">
      <c r="A24" s="23" t="s">
        <v>65</v>
      </c>
      <c r="B24" t="s">
        <v>25</v>
      </c>
      <c r="C24">
        <f>30*200*0.416*0.2</f>
        <v>499.20000000000005</v>
      </c>
      <c r="D24" s="24">
        <v>8000</v>
      </c>
      <c r="E24" s="24">
        <v>6000</v>
      </c>
      <c r="F24" s="24">
        <v>6000</v>
      </c>
      <c r="G24" s="24">
        <v>11000</v>
      </c>
    </row>
    <row r="25" spans="1:15" x14ac:dyDescent="0.35">
      <c r="A25" s="23" t="s">
        <v>66</v>
      </c>
      <c r="B25" t="s">
        <v>26</v>
      </c>
      <c r="C25">
        <f>60*100*1.694*0.8</f>
        <v>8131.2000000000007</v>
      </c>
      <c r="D25" s="24">
        <v>8000</v>
      </c>
      <c r="E25" s="24">
        <v>8000</v>
      </c>
      <c r="F25" s="24">
        <v>6000</v>
      </c>
      <c r="G25" s="24">
        <v>11000</v>
      </c>
    </row>
    <row r="26" spans="1:15" x14ac:dyDescent="0.35">
      <c r="A26" s="23" t="s">
        <v>67</v>
      </c>
      <c r="B26" t="s">
        <v>5</v>
      </c>
      <c r="C26">
        <f>50*100*0.416*0.2</f>
        <v>416</v>
      </c>
      <c r="D26" s="24">
        <v>7000</v>
      </c>
      <c r="E26" s="24">
        <v>5000</v>
      </c>
      <c r="F26" s="24">
        <v>5000</v>
      </c>
      <c r="G26" s="24">
        <v>9000</v>
      </c>
    </row>
    <row r="27" spans="1:15" x14ac:dyDescent="0.35">
      <c r="A27" s="23" t="s">
        <v>68</v>
      </c>
      <c r="B27" t="s">
        <v>1</v>
      </c>
      <c r="C27">
        <f>70*80*0.031*0.2</f>
        <v>34.72</v>
      </c>
      <c r="D27" s="24">
        <v>1000</v>
      </c>
      <c r="E27" s="24">
        <v>400</v>
      </c>
      <c r="F27" s="24">
        <v>400</v>
      </c>
      <c r="G27" s="24">
        <v>1000</v>
      </c>
    </row>
    <row r="28" spans="1:15" x14ac:dyDescent="0.35">
      <c r="A28" s="23" t="s">
        <v>69</v>
      </c>
      <c r="B28" t="s">
        <v>2</v>
      </c>
      <c r="C28">
        <f>100*100*0.083*0.06</f>
        <v>49.8</v>
      </c>
      <c r="D28" s="24">
        <v>1000</v>
      </c>
      <c r="E28" s="24">
        <v>1000</v>
      </c>
      <c r="F28" s="24">
        <v>1000</v>
      </c>
      <c r="G28" s="24">
        <v>1000</v>
      </c>
    </row>
    <row r="33" spans="18:19" ht="16" thickBot="1" x14ac:dyDescent="0.4"/>
    <row r="34" spans="18:19" x14ac:dyDescent="0.35">
      <c r="R34" s="2"/>
      <c r="S34" s="26"/>
    </row>
    <row r="35" spans="18:19" x14ac:dyDescent="0.35">
      <c r="R35" s="1"/>
      <c r="S35" s="27"/>
    </row>
    <row r="36" spans="18:19" x14ac:dyDescent="0.35">
      <c r="R36" s="1"/>
      <c r="S36" s="27"/>
    </row>
    <row r="37" spans="18:19" x14ac:dyDescent="0.35">
      <c r="R37" s="1"/>
      <c r="S37" s="27"/>
    </row>
    <row r="38" spans="18:19" x14ac:dyDescent="0.35">
      <c r="R38" s="1"/>
      <c r="S38" s="27"/>
    </row>
    <row r="39" spans="18:19" x14ac:dyDescent="0.35">
      <c r="R39" s="1"/>
      <c r="S39" s="27"/>
    </row>
    <row r="40" spans="18:19" x14ac:dyDescent="0.35">
      <c r="R40" s="1"/>
      <c r="S40" s="27"/>
    </row>
    <row r="41" spans="18:19" x14ac:dyDescent="0.35">
      <c r="R41" s="1"/>
      <c r="S41" s="27"/>
    </row>
    <row r="42" spans="18:19" x14ac:dyDescent="0.35">
      <c r="R42" s="1"/>
      <c r="S42" s="27"/>
    </row>
    <row r="43" spans="18:19" x14ac:dyDescent="0.35">
      <c r="R43" s="1"/>
      <c r="S43" s="27"/>
    </row>
    <row r="44" spans="18:19" x14ac:dyDescent="0.35">
      <c r="R44" s="1"/>
      <c r="S44" s="27"/>
    </row>
    <row r="45" spans="18:19" ht="16" thickBot="1" x14ac:dyDescent="0.4">
      <c r="R45" s="3"/>
      <c r="S45" s="26"/>
    </row>
    <row r="54" spans="2:5" x14ac:dyDescent="0.35">
      <c r="D54" t="s">
        <v>33</v>
      </c>
    </row>
    <row r="55" spans="2:5" x14ac:dyDescent="0.35">
      <c r="B55" t="s">
        <v>56</v>
      </c>
      <c r="C55">
        <f>143*125*1.8*0.2</f>
        <v>6435</v>
      </c>
      <c r="D55">
        <v>16000</v>
      </c>
      <c r="E55">
        <v>3700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F3B9-7C71-4359-B58E-9266E252443A}">
  <dimension ref="A1:E12"/>
  <sheetViews>
    <sheetView zoomScale="70" zoomScaleNormal="70" workbookViewId="0">
      <selection activeCell="E18" sqref="E18"/>
    </sheetView>
  </sheetViews>
  <sheetFormatPr defaultRowHeight="15.5" x14ac:dyDescent="0.35"/>
  <cols>
    <col min="4" max="4" width="36" bestFit="1" customWidth="1"/>
  </cols>
  <sheetData>
    <row r="1" spans="1:5" s="33" customFormat="1" ht="23.5" x14ac:dyDescent="0.55000000000000004">
      <c r="A1" s="28" t="s">
        <v>165</v>
      </c>
    </row>
    <row r="2" spans="1:5" s="10" customFormat="1" x14ac:dyDescent="0.35">
      <c r="A2" s="10" t="s">
        <v>52</v>
      </c>
      <c r="B2" s="10" t="s">
        <v>53</v>
      </c>
      <c r="C2" s="10" t="s">
        <v>54</v>
      </c>
      <c r="D2" s="10" t="s">
        <v>20</v>
      </c>
      <c r="E2" s="10" t="s">
        <v>51</v>
      </c>
    </row>
    <row r="3" spans="1:5" x14ac:dyDescent="0.35">
      <c r="A3">
        <v>2008</v>
      </c>
      <c r="B3">
        <v>27</v>
      </c>
      <c r="C3">
        <v>109</v>
      </c>
      <c r="E3" s="39" t="s">
        <v>299</v>
      </c>
    </row>
    <row r="4" spans="1:5" x14ac:dyDescent="0.35">
      <c r="A4">
        <v>2009</v>
      </c>
      <c r="B4">
        <v>5</v>
      </c>
      <c r="C4">
        <v>13</v>
      </c>
      <c r="E4" s="39" t="s">
        <v>303</v>
      </c>
    </row>
    <row r="5" spans="1:5" x14ac:dyDescent="0.35">
      <c r="A5">
        <v>2010</v>
      </c>
      <c r="B5">
        <v>11</v>
      </c>
      <c r="C5">
        <v>151</v>
      </c>
      <c r="E5" s="39" t="s">
        <v>300</v>
      </c>
    </row>
    <row r="6" spans="1:5" x14ac:dyDescent="0.35">
      <c r="A6">
        <v>2011</v>
      </c>
      <c r="B6">
        <v>23.68</v>
      </c>
      <c r="C6">
        <v>355.24200000000002</v>
      </c>
      <c r="E6" s="39" t="s">
        <v>304</v>
      </c>
    </row>
    <row r="7" spans="1:5" x14ac:dyDescent="0.35">
      <c r="A7">
        <v>2011</v>
      </c>
      <c r="B7">
        <v>22</v>
      </c>
      <c r="C7">
        <v>89</v>
      </c>
      <c r="D7" t="s">
        <v>166</v>
      </c>
      <c r="E7" s="39" t="s">
        <v>305</v>
      </c>
    </row>
    <row r="8" spans="1:5" x14ac:dyDescent="0.35">
      <c r="A8">
        <v>2012</v>
      </c>
      <c r="B8">
        <f>C8*0.63/1.38</f>
        <v>8.2630434782608706</v>
      </c>
      <c r="C8">
        <v>18.100000000000001</v>
      </c>
      <c r="D8" t="s">
        <v>55</v>
      </c>
      <c r="E8" s="39" t="s">
        <v>306</v>
      </c>
    </row>
    <row r="9" spans="1:5" x14ac:dyDescent="0.35">
      <c r="A9">
        <v>2012</v>
      </c>
      <c r="B9">
        <v>11</v>
      </c>
      <c r="C9">
        <v>150</v>
      </c>
      <c r="E9" s="39" t="s">
        <v>301</v>
      </c>
    </row>
    <row r="10" spans="1:5" x14ac:dyDescent="0.35">
      <c r="A10">
        <v>2013</v>
      </c>
      <c r="B10">
        <v>62</v>
      </c>
      <c r="C10">
        <v>130</v>
      </c>
      <c r="E10" s="39" t="s">
        <v>307</v>
      </c>
    </row>
    <row r="11" spans="1:5" x14ac:dyDescent="0.35">
      <c r="A11">
        <v>2014</v>
      </c>
      <c r="B11">
        <v>11</v>
      </c>
      <c r="C11">
        <v>150</v>
      </c>
      <c r="E11" s="39" t="s">
        <v>308</v>
      </c>
    </row>
    <row r="12" spans="1:5" x14ac:dyDescent="0.35">
      <c r="A12">
        <v>2015</v>
      </c>
      <c r="B12">
        <v>12</v>
      </c>
      <c r="C12">
        <v>172</v>
      </c>
      <c r="E12" s="39" t="s">
        <v>302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4A117-8992-4170-B44E-79621E94AC17}">
  <dimension ref="A1:W57"/>
  <sheetViews>
    <sheetView tabSelected="1" topLeftCell="A10" zoomScale="85" zoomScaleNormal="85" workbookViewId="0">
      <selection activeCell="N58" sqref="N58"/>
    </sheetView>
  </sheetViews>
  <sheetFormatPr defaultRowHeight="15.5" x14ac:dyDescent="0.35"/>
  <cols>
    <col min="2" max="2" width="11.25" bestFit="1" customWidth="1"/>
    <col min="3" max="3" width="14.5" bestFit="1" customWidth="1"/>
    <col min="4" max="4" width="1.33203125" style="9" customWidth="1"/>
    <col min="6" max="6" width="12" style="7" bestFit="1" customWidth="1"/>
    <col min="7" max="7" width="14.5" style="7" bestFit="1" customWidth="1"/>
    <col min="9" max="9" width="1.33203125" style="8" customWidth="1"/>
    <col min="11" max="11" width="16.75" bestFit="1" customWidth="1"/>
  </cols>
  <sheetData>
    <row r="1" spans="1:23" s="10" customFormat="1" x14ac:dyDescent="0.35">
      <c r="A1" s="10" t="s">
        <v>112</v>
      </c>
      <c r="D1" s="34"/>
      <c r="E1" s="10" t="s">
        <v>142</v>
      </c>
      <c r="F1" s="35"/>
      <c r="G1" s="35"/>
      <c r="H1" s="10" t="s">
        <v>147</v>
      </c>
      <c r="I1" s="31"/>
      <c r="L1" s="10">
        <v>2017</v>
      </c>
      <c r="M1" s="10">
        <v>2018</v>
      </c>
      <c r="N1" s="10">
        <v>2019</v>
      </c>
      <c r="O1" s="10">
        <v>2020</v>
      </c>
      <c r="P1" s="10">
        <v>2021</v>
      </c>
      <c r="Q1" s="10">
        <v>2022</v>
      </c>
      <c r="R1" s="10">
        <v>2023</v>
      </c>
      <c r="S1" s="10">
        <v>2024</v>
      </c>
      <c r="T1" s="10">
        <v>2025</v>
      </c>
    </row>
    <row r="2" spans="1:23" s="10" customFormat="1" x14ac:dyDescent="0.35">
      <c r="A2" s="10" t="s">
        <v>52</v>
      </c>
      <c r="B2" s="10" t="s">
        <v>143</v>
      </c>
      <c r="C2" s="10" t="s">
        <v>141</v>
      </c>
      <c r="D2" s="34"/>
      <c r="E2" s="10" t="s">
        <v>52</v>
      </c>
      <c r="F2" s="35" t="s">
        <v>143</v>
      </c>
      <c r="G2" s="35" t="s">
        <v>141</v>
      </c>
      <c r="I2" s="31"/>
      <c r="K2" s="10" t="s">
        <v>71</v>
      </c>
      <c r="L2" s="10" t="s">
        <v>72</v>
      </c>
      <c r="M2" s="10" t="s">
        <v>72</v>
      </c>
      <c r="N2" s="10" t="s">
        <v>72</v>
      </c>
      <c r="O2" s="10" t="s">
        <v>72</v>
      </c>
      <c r="P2" s="10" t="s">
        <v>72</v>
      </c>
      <c r="Q2" s="10" t="s">
        <v>72</v>
      </c>
      <c r="R2" s="10" t="s">
        <v>72</v>
      </c>
      <c r="S2" s="10" t="s">
        <v>72</v>
      </c>
      <c r="T2" s="10" t="s">
        <v>72</v>
      </c>
    </row>
    <row r="3" spans="1:23" x14ac:dyDescent="0.35">
      <c r="A3">
        <v>1972</v>
      </c>
      <c r="B3">
        <v>0.45</v>
      </c>
      <c r="C3">
        <v>0.5</v>
      </c>
      <c r="E3">
        <v>1972</v>
      </c>
      <c r="F3" s="7">
        <v>0.45</v>
      </c>
      <c r="G3" s="7">
        <v>0.5</v>
      </c>
      <c r="K3" t="s">
        <v>70</v>
      </c>
      <c r="L3">
        <v>0.35</v>
      </c>
      <c r="M3">
        <v>0.35</v>
      </c>
      <c r="N3">
        <v>0.35</v>
      </c>
      <c r="O3">
        <v>0.35</v>
      </c>
      <c r="P3">
        <v>0.35</v>
      </c>
      <c r="Q3">
        <v>0.35</v>
      </c>
      <c r="R3">
        <v>0.35</v>
      </c>
      <c r="S3">
        <v>0.35</v>
      </c>
      <c r="T3">
        <v>0.35</v>
      </c>
      <c r="U3" t="s">
        <v>73</v>
      </c>
    </row>
    <row r="4" spans="1:23" x14ac:dyDescent="0.35">
      <c r="A4">
        <v>1973</v>
      </c>
      <c r="B4">
        <v>0.45</v>
      </c>
      <c r="C4">
        <v>0.9</v>
      </c>
      <c r="E4">
        <v>1973</v>
      </c>
      <c r="F4" s="7">
        <v>0.45</v>
      </c>
      <c r="G4" s="7">
        <v>0.9</v>
      </c>
      <c r="H4">
        <f>(F4/F3)-1</f>
        <v>0</v>
      </c>
      <c r="K4" t="s">
        <v>107</v>
      </c>
      <c r="L4">
        <v>2.5000000000000001E-2</v>
      </c>
      <c r="M4">
        <v>2.5000000000000001E-2</v>
      </c>
      <c r="N4">
        <v>2.5000000000000001E-2</v>
      </c>
      <c r="O4">
        <v>2.5000000000000001E-2</v>
      </c>
      <c r="P4">
        <v>2.5000000000000001E-2</v>
      </c>
      <c r="Q4">
        <v>2.5000000000000001E-2</v>
      </c>
      <c r="R4">
        <v>2.5000000000000001E-2</v>
      </c>
      <c r="S4">
        <v>2.5000000000000001E-2</v>
      </c>
      <c r="T4">
        <v>2.5000000000000001E-2</v>
      </c>
      <c r="U4" t="s">
        <v>73</v>
      </c>
    </row>
    <row r="5" spans="1:23" x14ac:dyDescent="0.35">
      <c r="A5">
        <v>1974</v>
      </c>
      <c r="B5">
        <v>0.45</v>
      </c>
      <c r="C5">
        <v>1.4</v>
      </c>
      <c r="E5">
        <v>1974</v>
      </c>
      <c r="F5" s="7">
        <v>0.45</v>
      </c>
      <c r="G5" s="7">
        <v>1.4</v>
      </c>
      <c r="H5">
        <f t="shared" ref="H5:H56" si="0">(F5/F4)-1</f>
        <v>0</v>
      </c>
      <c r="K5" t="s">
        <v>74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 t="s">
        <v>75</v>
      </c>
    </row>
    <row r="6" spans="1:23" x14ac:dyDescent="0.35">
      <c r="A6">
        <v>1975</v>
      </c>
      <c r="B6">
        <v>0.45</v>
      </c>
      <c r="C6">
        <v>1.8</v>
      </c>
      <c r="E6">
        <v>1975</v>
      </c>
      <c r="F6" s="7">
        <v>0.45</v>
      </c>
      <c r="G6" s="7">
        <v>1.8</v>
      </c>
      <c r="H6">
        <f t="shared" si="0"/>
        <v>0</v>
      </c>
      <c r="K6" t="s">
        <v>76</v>
      </c>
      <c r="L6">
        <v>0.08</v>
      </c>
      <c r="M6">
        <v>0.08</v>
      </c>
      <c r="N6">
        <v>0.08</v>
      </c>
      <c r="O6">
        <v>0.08</v>
      </c>
      <c r="P6">
        <v>0.08</v>
      </c>
      <c r="Q6">
        <v>0.08</v>
      </c>
      <c r="R6">
        <v>0.08</v>
      </c>
      <c r="S6">
        <v>0.08</v>
      </c>
      <c r="T6">
        <v>0.08</v>
      </c>
      <c r="U6" t="s">
        <v>73</v>
      </c>
      <c r="V6" t="s">
        <v>114</v>
      </c>
    </row>
    <row r="7" spans="1:23" x14ac:dyDescent="0.35">
      <c r="A7">
        <v>1976</v>
      </c>
      <c r="B7">
        <v>0.45</v>
      </c>
      <c r="C7">
        <v>2.2999999999999998</v>
      </c>
      <c r="E7">
        <v>1976</v>
      </c>
      <c r="F7" s="7">
        <v>0.45</v>
      </c>
      <c r="G7" s="7">
        <v>2.2999999999999998</v>
      </c>
      <c r="H7">
        <f t="shared" si="0"/>
        <v>0</v>
      </c>
      <c r="K7" t="s">
        <v>77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 t="s">
        <v>73</v>
      </c>
    </row>
    <row r="8" spans="1:23" x14ac:dyDescent="0.35">
      <c r="A8">
        <v>1977</v>
      </c>
      <c r="B8">
        <v>0.45</v>
      </c>
      <c r="C8">
        <v>2.7</v>
      </c>
      <c r="E8">
        <v>1977</v>
      </c>
      <c r="F8" s="7">
        <v>0.45</v>
      </c>
      <c r="G8" s="7">
        <v>2.7</v>
      </c>
      <c r="H8">
        <f t="shared" si="0"/>
        <v>0</v>
      </c>
      <c r="K8" t="s">
        <v>78</v>
      </c>
      <c r="L8">
        <v>0.35</v>
      </c>
      <c r="M8">
        <v>0.6</v>
      </c>
      <c r="N8">
        <v>0.6</v>
      </c>
      <c r="O8">
        <v>0.6</v>
      </c>
      <c r="P8">
        <v>0.6</v>
      </c>
      <c r="Q8">
        <v>0.6</v>
      </c>
      <c r="R8">
        <v>0.6</v>
      </c>
      <c r="S8">
        <v>0.6</v>
      </c>
      <c r="T8">
        <v>0.6</v>
      </c>
      <c r="U8" t="s">
        <v>73</v>
      </c>
      <c r="V8" t="s">
        <v>119</v>
      </c>
    </row>
    <row r="9" spans="1:23" x14ac:dyDescent="0.35">
      <c r="A9">
        <v>1978</v>
      </c>
      <c r="B9">
        <v>0.45</v>
      </c>
      <c r="C9">
        <v>3.2</v>
      </c>
      <c r="E9">
        <v>1978</v>
      </c>
      <c r="F9" s="7">
        <v>0.45</v>
      </c>
      <c r="G9" s="7">
        <v>3.2</v>
      </c>
      <c r="H9">
        <f t="shared" si="0"/>
        <v>0</v>
      </c>
      <c r="K9" t="s">
        <v>79</v>
      </c>
      <c r="L9">
        <v>0.1</v>
      </c>
      <c r="M9">
        <v>0.1</v>
      </c>
      <c r="N9">
        <v>0.1</v>
      </c>
      <c r="O9">
        <v>0.1</v>
      </c>
      <c r="P9">
        <v>0.1</v>
      </c>
      <c r="Q9">
        <v>0.1</v>
      </c>
      <c r="R9">
        <v>0.1</v>
      </c>
      <c r="S9">
        <v>0.1</v>
      </c>
      <c r="T9">
        <v>0.1</v>
      </c>
      <c r="U9" t="s">
        <v>73</v>
      </c>
    </row>
    <row r="10" spans="1:23" x14ac:dyDescent="0.35">
      <c r="A10">
        <v>1979</v>
      </c>
      <c r="B10">
        <v>0.45</v>
      </c>
      <c r="C10">
        <v>3.6</v>
      </c>
      <c r="E10">
        <v>1979</v>
      </c>
      <c r="F10" s="7">
        <v>0.45</v>
      </c>
      <c r="G10" s="7">
        <v>3.6</v>
      </c>
      <c r="H10">
        <f t="shared" si="0"/>
        <v>0</v>
      </c>
      <c r="K10" t="s">
        <v>80</v>
      </c>
      <c r="L10">
        <v>0.11</v>
      </c>
      <c r="M10">
        <v>0.11</v>
      </c>
      <c r="N10">
        <v>0.11</v>
      </c>
      <c r="O10">
        <v>0.11</v>
      </c>
      <c r="P10">
        <v>0.11</v>
      </c>
      <c r="Q10">
        <v>0.11</v>
      </c>
      <c r="R10">
        <v>0.11</v>
      </c>
      <c r="S10">
        <v>0.11</v>
      </c>
      <c r="T10">
        <v>0.11</v>
      </c>
      <c r="U10" t="s">
        <v>73</v>
      </c>
    </row>
    <row r="11" spans="1:23" x14ac:dyDescent="0.35">
      <c r="A11">
        <v>1980</v>
      </c>
      <c r="B11">
        <v>0.45</v>
      </c>
      <c r="C11">
        <v>4.0999999999999996</v>
      </c>
      <c r="E11">
        <v>1980</v>
      </c>
      <c r="F11" s="7">
        <v>0.45</v>
      </c>
      <c r="G11" s="7">
        <v>4.0999999999999996</v>
      </c>
      <c r="H11">
        <f t="shared" si="0"/>
        <v>0</v>
      </c>
      <c r="K11" t="s">
        <v>81</v>
      </c>
      <c r="L11">
        <v>0.35</v>
      </c>
      <c r="M11">
        <v>0.35</v>
      </c>
      <c r="N11">
        <v>0.35</v>
      </c>
      <c r="O11">
        <v>0.35</v>
      </c>
      <c r="P11">
        <v>0.35</v>
      </c>
      <c r="Q11">
        <v>0.35</v>
      </c>
      <c r="R11">
        <v>0.35</v>
      </c>
      <c r="S11">
        <v>0.35</v>
      </c>
      <c r="T11">
        <v>0.35</v>
      </c>
      <c r="U11" t="s">
        <v>73</v>
      </c>
    </row>
    <row r="12" spans="1:23" x14ac:dyDescent="0.35">
      <c r="A12">
        <v>1981</v>
      </c>
      <c r="B12">
        <v>0.45</v>
      </c>
      <c r="C12">
        <v>4.5</v>
      </c>
      <c r="E12">
        <v>1981</v>
      </c>
      <c r="F12" s="7">
        <v>0.45</v>
      </c>
      <c r="G12" s="7">
        <v>4.5</v>
      </c>
      <c r="H12">
        <f t="shared" si="0"/>
        <v>0</v>
      </c>
      <c r="K12" t="s">
        <v>82</v>
      </c>
      <c r="L12">
        <v>0.05</v>
      </c>
      <c r="M12">
        <v>0.05</v>
      </c>
      <c r="N12">
        <v>0.05</v>
      </c>
      <c r="U12" t="s">
        <v>85</v>
      </c>
      <c r="V12">
        <f>0.2/4</f>
        <v>0.05</v>
      </c>
      <c r="W12" s="6" t="s">
        <v>109</v>
      </c>
    </row>
    <row r="13" spans="1:23" x14ac:dyDescent="0.35">
      <c r="A13">
        <v>1982</v>
      </c>
      <c r="B13">
        <v>1.1499999999999999</v>
      </c>
      <c r="C13">
        <v>5.7</v>
      </c>
      <c r="E13">
        <v>1982</v>
      </c>
      <c r="F13" s="7">
        <v>1.1499999999999999</v>
      </c>
      <c r="G13" s="7">
        <v>5.7</v>
      </c>
      <c r="H13">
        <f t="shared" si="0"/>
        <v>1.5555555555555554</v>
      </c>
      <c r="K13" t="s">
        <v>110</v>
      </c>
      <c r="L13">
        <v>0.85</v>
      </c>
      <c r="M13">
        <v>0.85</v>
      </c>
      <c r="N13">
        <v>0.85</v>
      </c>
      <c r="O13">
        <v>0.85</v>
      </c>
      <c r="P13">
        <v>0.85</v>
      </c>
      <c r="Q13">
        <v>0.85</v>
      </c>
      <c r="R13">
        <v>0.85</v>
      </c>
      <c r="S13">
        <v>0.85</v>
      </c>
      <c r="T13">
        <v>0.85</v>
      </c>
      <c r="W13" s="6"/>
    </row>
    <row r="14" spans="1:23" x14ac:dyDescent="0.35">
      <c r="A14">
        <v>1983</v>
      </c>
      <c r="B14">
        <v>1.1499999999999999</v>
      </c>
      <c r="C14">
        <v>6.8</v>
      </c>
      <c r="E14">
        <v>1983</v>
      </c>
      <c r="F14" s="7">
        <v>1.1499999999999999</v>
      </c>
      <c r="G14" s="7">
        <v>6.8</v>
      </c>
      <c r="H14">
        <f t="shared" si="0"/>
        <v>0</v>
      </c>
      <c r="K14" t="s">
        <v>83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 t="s">
        <v>86</v>
      </c>
    </row>
    <row r="15" spans="1:23" x14ac:dyDescent="0.35">
      <c r="A15">
        <v>1984</v>
      </c>
      <c r="B15">
        <v>1.1499999999999999</v>
      </c>
      <c r="C15">
        <v>8</v>
      </c>
      <c r="E15">
        <v>1984</v>
      </c>
      <c r="F15" s="7">
        <v>1.1499999999999999</v>
      </c>
      <c r="G15" s="7">
        <v>8</v>
      </c>
      <c r="H15">
        <f t="shared" si="0"/>
        <v>0</v>
      </c>
      <c r="K15" t="s">
        <v>84</v>
      </c>
      <c r="L15">
        <v>0.7</v>
      </c>
      <c r="M15">
        <v>0.7</v>
      </c>
      <c r="N15">
        <v>0.7</v>
      </c>
      <c r="O15">
        <v>0.7</v>
      </c>
      <c r="P15">
        <v>0.7</v>
      </c>
      <c r="Q15">
        <v>0.7</v>
      </c>
      <c r="R15">
        <v>0.7</v>
      </c>
      <c r="S15">
        <v>0.7</v>
      </c>
      <c r="T15">
        <v>0.7</v>
      </c>
      <c r="U15" t="s">
        <v>86</v>
      </c>
    </row>
    <row r="16" spans="1:23" x14ac:dyDescent="0.35">
      <c r="A16">
        <v>1985</v>
      </c>
      <c r="B16">
        <v>1.1499999999999999</v>
      </c>
      <c r="C16">
        <v>9.1</v>
      </c>
      <c r="E16">
        <v>1985</v>
      </c>
      <c r="F16" s="7">
        <v>1.1499999999999999</v>
      </c>
      <c r="G16" s="7">
        <v>9.1</v>
      </c>
      <c r="H16">
        <f t="shared" si="0"/>
        <v>0</v>
      </c>
      <c r="K16" t="s">
        <v>87</v>
      </c>
      <c r="L16">
        <v>0.8</v>
      </c>
      <c r="M16">
        <v>0.8</v>
      </c>
      <c r="U16" t="s">
        <v>88</v>
      </c>
      <c r="V16" t="s">
        <v>89</v>
      </c>
    </row>
    <row r="17" spans="1:23" x14ac:dyDescent="0.35">
      <c r="A17">
        <v>1986</v>
      </c>
      <c r="B17">
        <v>5.15</v>
      </c>
      <c r="C17">
        <v>14.3</v>
      </c>
      <c r="E17">
        <v>1986</v>
      </c>
      <c r="F17" s="7">
        <v>5.15</v>
      </c>
      <c r="G17" s="7">
        <v>14.3</v>
      </c>
      <c r="H17">
        <f t="shared" si="0"/>
        <v>3.4782608695652177</v>
      </c>
      <c r="K17" t="s">
        <v>113</v>
      </c>
      <c r="L17">
        <v>0.8</v>
      </c>
      <c r="M17">
        <v>0.8</v>
      </c>
      <c r="N17">
        <v>0.8</v>
      </c>
      <c r="O17">
        <v>0.8</v>
      </c>
      <c r="P17">
        <v>0.8</v>
      </c>
      <c r="Q17">
        <v>0.8</v>
      </c>
      <c r="R17">
        <v>0.8</v>
      </c>
      <c r="S17">
        <v>0.8</v>
      </c>
      <c r="T17">
        <v>0.8</v>
      </c>
      <c r="U17" t="s">
        <v>88</v>
      </c>
    </row>
    <row r="18" spans="1:23" x14ac:dyDescent="0.35">
      <c r="A18">
        <v>1987</v>
      </c>
      <c r="B18">
        <v>5.15</v>
      </c>
      <c r="C18">
        <v>19.399999999999999</v>
      </c>
      <c r="E18">
        <v>1987</v>
      </c>
      <c r="F18" s="7">
        <v>5.15</v>
      </c>
      <c r="G18" s="7">
        <v>19.399999999999999</v>
      </c>
      <c r="H18">
        <f t="shared" si="0"/>
        <v>0</v>
      </c>
      <c r="K18" t="s">
        <v>90</v>
      </c>
      <c r="L18">
        <v>0.45</v>
      </c>
      <c r="M18">
        <v>0.45</v>
      </c>
      <c r="N18">
        <v>0.45</v>
      </c>
      <c r="O18">
        <v>0.45</v>
      </c>
      <c r="P18">
        <v>0.45</v>
      </c>
      <c r="Q18">
        <v>0.45</v>
      </c>
      <c r="R18">
        <v>0.45</v>
      </c>
      <c r="S18">
        <v>0.45</v>
      </c>
      <c r="T18">
        <v>0.45</v>
      </c>
      <c r="U18" t="s">
        <v>88</v>
      </c>
    </row>
    <row r="19" spans="1:23" x14ac:dyDescent="0.35">
      <c r="A19">
        <v>1988</v>
      </c>
      <c r="B19">
        <v>5.15</v>
      </c>
      <c r="C19">
        <v>24.6</v>
      </c>
      <c r="E19">
        <v>1988</v>
      </c>
      <c r="F19" s="7">
        <v>5.15</v>
      </c>
      <c r="G19" s="7">
        <v>24.6</v>
      </c>
      <c r="H19">
        <f t="shared" si="0"/>
        <v>0</v>
      </c>
      <c r="K19" t="s">
        <v>91</v>
      </c>
      <c r="L19">
        <v>0.7</v>
      </c>
      <c r="M19">
        <v>0.7</v>
      </c>
      <c r="N19">
        <v>0.7</v>
      </c>
      <c r="O19">
        <v>0.7</v>
      </c>
      <c r="P19">
        <v>0.7</v>
      </c>
      <c r="Q19">
        <v>0.7</v>
      </c>
      <c r="R19">
        <v>0.7</v>
      </c>
      <c r="S19">
        <v>0.7</v>
      </c>
      <c r="T19">
        <v>0.7</v>
      </c>
      <c r="U19" t="s">
        <v>88</v>
      </c>
    </row>
    <row r="20" spans="1:23" x14ac:dyDescent="0.35">
      <c r="A20">
        <v>1989</v>
      </c>
      <c r="B20">
        <v>5.15</v>
      </c>
      <c r="C20">
        <v>29.7</v>
      </c>
      <c r="E20">
        <v>1989</v>
      </c>
      <c r="F20" s="7">
        <v>5.15</v>
      </c>
      <c r="G20" s="7">
        <v>29.7</v>
      </c>
      <c r="H20">
        <f t="shared" si="0"/>
        <v>0</v>
      </c>
      <c r="K20" t="s">
        <v>92</v>
      </c>
      <c r="L20">
        <v>7</v>
      </c>
      <c r="M20">
        <v>7</v>
      </c>
      <c r="N20">
        <v>7</v>
      </c>
      <c r="O20">
        <v>7</v>
      </c>
      <c r="P20">
        <v>7</v>
      </c>
      <c r="Q20">
        <v>7</v>
      </c>
      <c r="R20">
        <v>7</v>
      </c>
      <c r="S20">
        <v>7</v>
      </c>
      <c r="T20">
        <v>7</v>
      </c>
      <c r="U20" t="s">
        <v>88</v>
      </c>
    </row>
    <row r="21" spans="1:23" x14ac:dyDescent="0.35">
      <c r="A21">
        <v>1990</v>
      </c>
      <c r="B21">
        <v>5.15</v>
      </c>
      <c r="C21">
        <v>34.9</v>
      </c>
      <c r="E21">
        <v>1990</v>
      </c>
      <c r="F21" s="7">
        <v>5.15</v>
      </c>
      <c r="G21" s="7">
        <v>34.9</v>
      </c>
      <c r="H21">
        <f t="shared" si="0"/>
        <v>0</v>
      </c>
      <c r="K21" t="s">
        <v>93</v>
      </c>
      <c r="L21">
        <v>0.85</v>
      </c>
      <c r="M21">
        <v>0.85</v>
      </c>
      <c r="N21">
        <v>0.85</v>
      </c>
      <c r="O21">
        <v>0.85</v>
      </c>
      <c r="P21">
        <v>0.85</v>
      </c>
      <c r="Q21">
        <v>0.85</v>
      </c>
      <c r="R21">
        <v>0.85</v>
      </c>
      <c r="S21">
        <v>0.85</v>
      </c>
      <c r="T21">
        <v>0.85</v>
      </c>
      <c r="U21" t="s">
        <v>88</v>
      </c>
    </row>
    <row r="22" spans="1:23" x14ac:dyDescent="0.35">
      <c r="A22">
        <v>1991</v>
      </c>
      <c r="B22">
        <v>5.15</v>
      </c>
      <c r="C22">
        <v>40</v>
      </c>
      <c r="E22">
        <v>1991</v>
      </c>
      <c r="F22" s="7">
        <v>5.15</v>
      </c>
      <c r="G22" s="7">
        <v>40</v>
      </c>
      <c r="H22">
        <f t="shared" si="0"/>
        <v>0</v>
      </c>
      <c r="K22" t="s">
        <v>94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 t="s">
        <v>88</v>
      </c>
    </row>
    <row r="23" spans="1:23" x14ac:dyDescent="0.35">
      <c r="A23">
        <v>1992</v>
      </c>
      <c r="B23">
        <v>5.15</v>
      </c>
      <c r="C23">
        <v>45.2</v>
      </c>
      <c r="E23">
        <v>1992</v>
      </c>
      <c r="F23" s="7">
        <v>5.15</v>
      </c>
      <c r="G23" s="7">
        <v>45.2</v>
      </c>
      <c r="H23">
        <f t="shared" si="0"/>
        <v>0</v>
      </c>
      <c r="K23" t="s">
        <v>95</v>
      </c>
      <c r="L23">
        <v>0.4</v>
      </c>
      <c r="M23">
        <v>0.4</v>
      </c>
      <c r="N23">
        <v>0.4</v>
      </c>
      <c r="O23">
        <v>0.4</v>
      </c>
      <c r="P23">
        <v>0.4</v>
      </c>
      <c r="Q23">
        <v>0.4</v>
      </c>
      <c r="R23">
        <v>0.4</v>
      </c>
      <c r="S23">
        <v>0.4</v>
      </c>
      <c r="T23">
        <v>0.4</v>
      </c>
      <c r="U23" t="s">
        <v>88</v>
      </c>
    </row>
    <row r="24" spans="1:23" x14ac:dyDescent="0.35">
      <c r="A24">
        <v>1993</v>
      </c>
      <c r="B24">
        <v>5.15</v>
      </c>
      <c r="C24">
        <v>50.3</v>
      </c>
      <c r="E24">
        <v>1993</v>
      </c>
      <c r="F24" s="7">
        <v>5.15</v>
      </c>
      <c r="G24" s="7">
        <v>50.3</v>
      </c>
      <c r="H24">
        <f t="shared" si="0"/>
        <v>0</v>
      </c>
      <c r="K24" t="s">
        <v>96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5</v>
      </c>
      <c r="U24" t="s">
        <v>88</v>
      </c>
    </row>
    <row r="25" spans="1:23" x14ac:dyDescent="0.35">
      <c r="A25">
        <v>1994</v>
      </c>
      <c r="B25">
        <v>5.15</v>
      </c>
      <c r="C25">
        <v>55.5</v>
      </c>
      <c r="E25">
        <v>1994</v>
      </c>
      <c r="F25" s="7">
        <v>5.15</v>
      </c>
      <c r="G25" s="7">
        <v>55.5</v>
      </c>
      <c r="H25">
        <f t="shared" si="0"/>
        <v>0</v>
      </c>
      <c r="K25" t="s">
        <v>97</v>
      </c>
      <c r="L25">
        <v>0.14499999999999999</v>
      </c>
      <c r="M25">
        <v>0.14499999999999999</v>
      </c>
      <c r="N25">
        <v>0.14499999999999999</v>
      </c>
      <c r="O25">
        <v>0.14499999999999999</v>
      </c>
      <c r="P25">
        <v>0.14499999999999999</v>
      </c>
      <c r="Q25">
        <v>0.14499999999999999</v>
      </c>
      <c r="R25">
        <v>0.14499999999999999</v>
      </c>
      <c r="S25">
        <v>0.14499999999999999</v>
      </c>
      <c r="T25">
        <v>0.14499999999999999</v>
      </c>
      <c r="U25" t="s">
        <v>88</v>
      </c>
    </row>
    <row r="26" spans="1:23" x14ac:dyDescent="0.35">
      <c r="A26">
        <v>1995</v>
      </c>
      <c r="B26">
        <v>5.5</v>
      </c>
      <c r="C26">
        <v>61</v>
      </c>
      <c r="E26">
        <v>1995</v>
      </c>
      <c r="F26" s="7">
        <v>5.5</v>
      </c>
      <c r="G26" s="7">
        <v>61</v>
      </c>
      <c r="H26">
        <f t="shared" si="0"/>
        <v>6.7961165048543659E-2</v>
      </c>
      <c r="K26" t="s">
        <v>98</v>
      </c>
      <c r="L26">
        <v>0.1</v>
      </c>
      <c r="M26">
        <v>0.1</v>
      </c>
      <c r="N26">
        <v>0.1</v>
      </c>
      <c r="O26">
        <v>0.1</v>
      </c>
      <c r="P26">
        <v>0.1</v>
      </c>
      <c r="Q26">
        <v>0.1</v>
      </c>
      <c r="R26">
        <v>0.1</v>
      </c>
      <c r="S26">
        <v>0.1</v>
      </c>
      <c r="T26">
        <v>0.1</v>
      </c>
      <c r="U26" t="s">
        <v>88</v>
      </c>
    </row>
    <row r="27" spans="1:23" x14ac:dyDescent="0.35">
      <c r="A27">
        <v>1996</v>
      </c>
      <c r="B27">
        <v>6.5910000000000002</v>
      </c>
      <c r="C27">
        <v>67.5</v>
      </c>
      <c r="E27">
        <v>1996</v>
      </c>
      <c r="F27" s="7">
        <v>6.5910000000000002</v>
      </c>
      <c r="G27" s="7">
        <v>67.5</v>
      </c>
      <c r="H27">
        <f t="shared" si="0"/>
        <v>0.1983636363636363</v>
      </c>
      <c r="K27" t="s">
        <v>99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 t="s">
        <v>88</v>
      </c>
    </row>
    <row r="28" spans="1:23" x14ac:dyDescent="0.35">
      <c r="A28">
        <v>1997</v>
      </c>
      <c r="B28">
        <v>6.5910000000000002</v>
      </c>
      <c r="C28">
        <v>74.099999999999994</v>
      </c>
      <c r="E28">
        <v>1997</v>
      </c>
      <c r="F28" s="7">
        <v>6.5910000000000002</v>
      </c>
      <c r="G28" s="7">
        <v>74.099999999999994</v>
      </c>
      <c r="H28">
        <f t="shared" si="0"/>
        <v>0</v>
      </c>
      <c r="K28" t="s">
        <v>100</v>
      </c>
      <c r="L28">
        <v>0.95</v>
      </c>
      <c r="M28">
        <v>0.95</v>
      </c>
      <c r="N28">
        <v>0.95</v>
      </c>
      <c r="O28">
        <v>0.95</v>
      </c>
      <c r="P28">
        <v>0.95</v>
      </c>
      <c r="Q28">
        <v>0.95</v>
      </c>
      <c r="R28">
        <v>0.95</v>
      </c>
      <c r="S28">
        <v>0.95</v>
      </c>
      <c r="T28">
        <v>0.95</v>
      </c>
      <c r="U28" t="s">
        <v>88</v>
      </c>
    </row>
    <row r="29" spans="1:23" x14ac:dyDescent="0.35">
      <c r="A29">
        <v>1998</v>
      </c>
      <c r="B29">
        <v>8.2870000000000008</v>
      </c>
      <c r="C29">
        <v>82.4</v>
      </c>
      <c r="E29">
        <v>1998</v>
      </c>
      <c r="F29" s="7">
        <v>8.2870000000000008</v>
      </c>
      <c r="G29" s="7">
        <v>82.4</v>
      </c>
      <c r="H29">
        <f t="shared" si="0"/>
        <v>0.25732058868153551</v>
      </c>
      <c r="K29" t="s">
        <v>101</v>
      </c>
      <c r="L29">
        <v>0.4</v>
      </c>
      <c r="M29">
        <v>0.4</v>
      </c>
      <c r="N29">
        <v>0.4</v>
      </c>
      <c r="O29">
        <v>0.4</v>
      </c>
      <c r="P29">
        <v>0.4</v>
      </c>
      <c r="Q29">
        <v>0.4</v>
      </c>
      <c r="R29">
        <v>0.4</v>
      </c>
      <c r="S29">
        <v>0.4</v>
      </c>
      <c r="T29">
        <v>0.4</v>
      </c>
      <c r="U29" t="s">
        <v>88</v>
      </c>
    </row>
    <row r="30" spans="1:23" x14ac:dyDescent="0.35">
      <c r="A30">
        <v>1999</v>
      </c>
      <c r="B30">
        <v>8.2870000000000008</v>
      </c>
      <c r="C30">
        <v>90.7</v>
      </c>
      <c r="E30">
        <v>1999</v>
      </c>
      <c r="F30" s="7">
        <v>8.2870000000000008</v>
      </c>
      <c r="G30" s="7">
        <v>90.7</v>
      </c>
      <c r="H30">
        <f t="shared" si="0"/>
        <v>0</v>
      </c>
      <c r="K30" t="s">
        <v>102</v>
      </c>
      <c r="L30">
        <f>0.17/1000</f>
        <v>1.7000000000000001E-4</v>
      </c>
      <c r="M30">
        <f t="shared" ref="M30" si="1">0.17/1000</f>
        <v>1.7000000000000001E-4</v>
      </c>
      <c r="U30" t="s">
        <v>86</v>
      </c>
    </row>
    <row r="31" spans="1:23" x14ac:dyDescent="0.35">
      <c r="A31">
        <v>2000</v>
      </c>
      <c r="B31">
        <v>11.29</v>
      </c>
      <c r="C31">
        <v>102</v>
      </c>
      <c r="E31">
        <v>2000</v>
      </c>
      <c r="F31" s="7">
        <v>11.29</v>
      </c>
      <c r="G31" s="7">
        <v>102</v>
      </c>
      <c r="H31">
        <f t="shared" si="0"/>
        <v>0.36237480390973786</v>
      </c>
      <c r="K31" t="s">
        <v>103</v>
      </c>
      <c r="L31">
        <v>1.85</v>
      </c>
      <c r="M31">
        <f>1.386</f>
        <v>1.3859999999999999</v>
      </c>
      <c r="N31">
        <f t="shared" ref="N31:T31" si="2">1.386</f>
        <v>1.3859999999999999</v>
      </c>
      <c r="O31">
        <f t="shared" si="2"/>
        <v>1.3859999999999999</v>
      </c>
      <c r="P31">
        <f t="shared" si="2"/>
        <v>1.3859999999999999</v>
      </c>
      <c r="Q31">
        <f t="shared" si="2"/>
        <v>1.3859999999999999</v>
      </c>
      <c r="R31">
        <f t="shared" si="2"/>
        <v>1.3859999999999999</v>
      </c>
      <c r="S31">
        <f t="shared" si="2"/>
        <v>1.3859999999999999</v>
      </c>
      <c r="T31">
        <f t="shared" si="2"/>
        <v>1.3859999999999999</v>
      </c>
      <c r="U31" t="s">
        <v>88</v>
      </c>
      <c r="V31">
        <f>195*12/1000*(3.2/5.4)</f>
        <v>1.3866666666666665</v>
      </c>
      <c r="W31" t="s">
        <v>111</v>
      </c>
    </row>
    <row r="32" spans="1:23" x14ac:dyDescent="0.35">
      <c r="A32">
        <v>2001</v>
      </c>
      <c r="B32">
        <v>11.29</v>
      </c>
      <c r="C32">
        <v>113.3</v>
      </c>
      <c r="E32">
        <v>2001</v>
      </c>
      <c r="F32" s="7">
        <v>11.29</v>
      </c>
      <c r="G32" s="7">
        <v>113.3</v>
      </c>
      <c r="H32">
        <f t="shared" si="0"/>
        <v>0</v>
      </c>
      <c r="K32" t="s">
        <v>104</v>
      </c>
      <c r="L32">
        <v>0.115</v>
      </c>
      <c r="M32">
        <v>0.115</v>
      </c>
      <c r="N32">
        <v>0.115</v>
      </c>
      <c r="O32">
        <v>0.115</v>
      </c>
      <c r="P32">
        <v>0.115</v>
      </c>
      <c r="Q32">
        <v>0.115</v>
      </c>
      <c r="R32">
        <v>0.115</v>
      </c>
      <c r="S32">
        <v>0.115</v>
      </c>
      <c r="T32">
        <v>0.115</v>
      </c>
      <c r="U32" t="s">
        <v>88</v>
      </c>
    </row>
    <row r="33" spans="1:22" x14ac:dyDescent="0.35">
      <c r="A33">
        <v>2002</v>
      </c>
      <c r="B33">
        <v>11.29</v>
      </c>
      <c r="C33">
        <v>124.6</v>
      </c>
      <c r="E33">
        <v>2002</v>
      </c>
      <c r="F33" s="7">
        <v>11.29</v>
      </c>
      <c r="G33" s="7">
        <v>124.6</v>
      </c>
      <c r="H33">
        <f t="shared" si="0"/>
        <v>0</v>
      </c>
      <c r="K33" t="s">
        <v>105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 t="s">
        <v>86</v>
      </c>
    </row>
    <row r="34" spans="1:22" x14ac:dyDescent="0.35">
      <c r="A34">
        <v>2003</v>
      </c>
      <c r="B34">
        <v>11.29</v>
      </c>
      <c r="C34">
        <v>135.9</v>
      </c>
      <c r="E34">
        <v>2003</v>
      </c>
      <c r="F34" s="7">
        <v>11.29</v>
      </c>
      <c r="G34" s="7">
        <v>135.9</v>
      </c>
      <c r="H34">
        <f t="shared" si="0"/>
        <v>0</v>
      </c>
      <c r="K34" t="s">
        <v>106</v>
      </c>
      <c r="L34">
        <v>1.4</v>
      </c>
      <c r="M34">
        <v>1.4</v>
      </c>
      <c r="N34">
        <v>1.4</v>
      </c>
      <c r="O34">
        <v>1.4</v>
      </c>
      <c r="P34">
        <v>1.4</v>
      </c>
      <c r="Q34">
        <v>1.4</v>
      </c>
      <c r="R34">
        <v>1.4</v>
      </c>
      <c r="S34">
        <v>1.4</v>
      </c>
      <c r="T34">
        <v>1.4</v>
      </c>
      <c r="U34" t="s">
        <v>88</v>
      </c>
      <c r="V34" t="s">
        <v>114</v>
      </c>
    </row>
    <row r="35" spans="1:22" x14ac:dyDescent="0.35">
      <c r="A35">
        <v>2004</v>
      </c>
      <c r="B35">
        <v>12.51</v>
      </c>
      <c r="C35">
        <v>148.4</v>
      </c>
      <c r="E35">
        <v>2004</v>
      </c>
      <c r="F35" s="7">
        <v>12.51</v>
      </c>
      <c r="G35" s="7">
        <v>148.4</v>
      </c>
      <c r="H35">
        <f t="shared" si="0"/>
        <v>0.10806023029229417</v>
      </c>
      <c r="K35" t="s">
        <v>115</v>
      </c>
      <c r="L35">
        <v>0.05</v>
      </c>
      <c r="M35">
        <v>0.1</v>
      </c>
      <c r="N35">
        <v>0.1</v>
      </c>
      <c r="O35">
        <v>0.1</v>
      </c>
      <c r="P35">
        <v>0.1</v>
      </c>
      <c r="Q35">
        <v>0.1</v>
      </c>
      <c r="R35">
        <v>0.1</v>
      </c>
      <c r="S35">
        <v>0.1</v>
      </c>
      <c r="T35">
        <v>0.1</v>
      </c>
      <c r="U35" t="s">
        <v>88</v>
      </c>
      <c r="V35" t="s">
        <v>116</v>
      </c>
    </row>
    <row r="36" spans="1:22" x14ac:dyDescent="0.35">
      <c r="A36">
        <v>2005</v>
      </c>
      <c r="B36">
        <v>12.92</v>
      </c>
      <c r="C36">
        <v>161.30000000000001</v>
      </c>
      <c r="E36">
        <v>2005</v>
      </c>
      <c r="F36" s="7">
        <v>12.92</v>
      </c>
      <c r="G36" s="7">
        <v>161.30000000000001</v>
      </c>
      <c r="H36">
        <f t="shared" si="0"/>
        <v>3.2773780975219768E-2</v>
      </c>
      <c r="K36" t="s">
        <v>117</v>
      </c>
      <c r="M36">
        <v>0.05</v>
      </c>
      <c r="N36">
        <v>0.05</v>
      </c>
      <c r="O36">
        <v>0.05</v>
      </c>
      <c r="P36">
        <v>0.05</v>
      </c>
      <c r="Q36">
        <v>0.05</v>
      </c>
      <c r="R36">
        <v>0.05</v>
      </c>
      <c r="S36">
        <v>0.05</v>
      </c>
      <c r="T36">
        <v>0.05</v>
      </c>
      <c r="U36" t="s">
        <v>118</v>
      </c>
    </row>
    <row r="37" spans="1:22" x14ac:dyDescent="0.35">
      <c r="A37">
        <v>2006</v>
      </c>
      <c r="B37">
        <v>12.59</v>
      </c>
      <c r="C37">
        <v>173.9</v>
      </c>
      <c r="E37">
        <v>2006</v>
      </c>
      <c r="F37" s="7">
        <v>12.59</v>
      </c>
      <c r="G37" s="7">
        <v>173.9</v>
      </c>
      <c r="H37">
        <f t="shared" si="0"/>
        <v>-2.5541795665634637E-2</v>
      </c>
      <c r="K37" t="s">
        <v>124</v>
      </c>
      <c r="N37">
        <f>3.4*(5/12)</f>
        <v>1.4166666666666667</v>
      </c>
      <c r="O37">
        <v>3.4</v>
      </c>
      <c r="P37">
        <f>AVERAGE(3.4,4)</f>
        <v>3.7</v>
      </c>
      <c r="Q37">
        <v>4</v>
      </c>
      <c r="R37">
        <v>4</v>
      </c>
      <c r="S37">
        <v>4</v>
      </c>
      <c r="T37">
        <v>4</v>
      </c>
      <c r="U37" t="s">
        <v>118</v>
      </c>
      <c r="V37" t="s">
        <v>125</v>
      </c>
    </row>
    <row r="38" spans="1:22" x14ac:dyDescent="0.35">
      <c r="A38">
        <v>2007</v>
      </c>
      <c r="B38">
        <v>13.04</v>
      </c>
      <c r="C38">
        <v>186.9</v>
      </c>
      <c r="E38">
        <v>2007</v>
      </c>
      <c r="F38" s="7">
        <v>13.04</v>
      </c>
      <c r="G38" s="7">
        <v>186.9</v>
      </c>
      <c r="H38">
        <f t="shared" si="0"/>
        <v>3.5742652899126259E-2</v>
      </c>
      <c r="K38" t="s">
        <v>120</v>
      </c>
      <c r="O38">
        <v>0.4</v>
      </c>
      <c r="P38">
        <v>0.4</v>
      </c>
      <c r="Q38">
        <v>0.4</v>
      </c>
      <c r="R38">
        <v>0.4</v>
      </c>
      <c r="S38">
        <v>0.4</v>
      </c>
      <c r="T38">
        <v>0.4</v>
      </c>
      <c r="U38" t="s">
        <v>73</v>
      </c>
    </row>
    <row r="39" spans="1:22" x14ac:dyDescent="0.35">
      <c r="A39">
        <v>2008</v>
      </c>
      <c r="B39">
        <v>13.75</v>
      </c>
      <c r="C39">
        <v>200.7</v>
      </c>
      <c r="E39">
        <v>2008</v>
      </c>
      <c r="F39" s="7">
        <v>13.75</v>
      </c>
      <c r="G39" s="7">
        <v>200.7</v>
      </c>
      <c r="H39">
        <f t="shared" si="0"/>
        <v>5.444785276073616E-2</v>
      </c>
      <c r="K39" t="s">
        <v>123</v>
      </c>
      <c r="O39">
        <v>1.2</v>
      </c>
      <c r="P39">
        <v>1.3</v>
      </c>
      <c r="Q39">
        <v>1.4</v>
      </c>
      <c r="R39">
        <v>1.4</v>
      </c>
      <c r="S39">
        <v>1.4</v>
      </c>
      <c r="T39">
        <v>1.4</v>
      </c>
      <c r="U39" t="s">
        <v>73</v>
      </c>
      <c r="V39" t="s">
        <v>121</v>
      </c>
    </row>
    <row r="40" spans="1:22" x14ac:dyDescent="0.35">
      <c r="A40">
        <v>2009</v>
      </c>
      <c r="B40">
        <v>13.81</v>
      </c>
      <c r="C40">
        <v>214.5</v>
      </c>
      <c r="E40">
        <v>2009</v>
      </c>
      <c r="F40" s="7">
        <v>13.81</v>
      </c>
      <c r="G40" s="7">
        <v>214.5</v>
      </c>
      <c r="H40">
        <f t="shared" si="0"/>
        <v>4.3636363636363473E-3</v>
      </c>
      <c r="K40" t="s">
        <v>122</v>
      </c>
      <c r="O40">
        <v>0.3</v>
      </c>
      <c r="P40">
        <v>0.4</v>
      </c>
      <c r="Q40">
        <v>0.5</v>
      </c>
      <c r="R40">
        <v>0.6</v>
      </c>
      <c r="S40">
        <v>0.6</v>
      </c>
      <c r="T40">
        <v>0.6</v>
      </c>
    </row>
    <row r="41" spans="1:22" x14ac:dyDescent="0.35">
      <c r="A41">
        <v>2010</v>
      </c>
      <c r="B41">
        <v>19.239999999999998</v>
      </c>
      <c r="C41">
        <v>233.7</v>
      </c>
      <c r="E41">
        <v>2010</v>
      </c>
      <c r="F41" s="7">
        <v>19.239999999999998</v>
      </c>
      <c r="G41" s="7">
        <v>233.7</v>
      </c>
      <c r="H41">
        <f t="shared" si="0"/>
        <v>0.39319333816075286</v>
      </c>
      <c r="K41" t="s">
        <v>126</v>
      </c>
      <c r="P41">
        <v>0.41</v>
      </c>
      <c r="Q41">
        <v>0.41</v>
      </c>
      <c r="R41">
        <v>0.41</v>
      </c>
      <c r="S41">
        <v>0.41</v>
      </c>
      <c r="T41">
        <v>0.41</v>
      </c>
      <c r="U41" t="s">
        <v>73</v>
      </c>
      <c r="V41" t="s">
        <v>298</v>
      </c>
    </row>
    <row r="42" spans="1:22" x14ac:dyDescent="0.35">
      <c r="A42">
        <v>2011</v>
      </c>
      <c r="B42">
        <v>22.59</v>
      </c>
      <c r="C42">
        <v>256.3</v>
      </c>
      <c r="E42">
        <v>2011</v>
      </c>
      <c r="F42" s="7">
        <v>22.59</v>
      </c>
      <c r="G42" s="7">
        <v>256.3</v>
      </c>
      <c r="H42">
        <f t="shared" si="0"/>
        <v>0.17411642411642414</v>
      </c>
      <c r="K42" t="s">
        <v>127</v>
      </c>
      <c r="P42">
        <v>0.5</v>
      </c>
      <c r="Q42">
        <v>0.5</v>
      </c>
      <c r="R42">
        <v>0.5</v>
      </c>
      <c r="S42">
        <v>0.5</v>
      </c>
      <c r="T42">
        <v>0.5</v>
      </c>
      <c r="U42" t="s">
        <v>73</v>
      </c>
      <c r="V42" t="s">
        <v>298</v>
      </c>
    </row>
    <row r="43" spans="1:22" x14ac:dyDescent="0.35">
      <c r="A43">
        <v>2012</v>
      </c>
      <c r="B43">
        <v>22.34</v>
      </c>
      <c r="C43">
        <v>278.60000000000002</v>
      </c>
      <c r="E43">
        <v>2012</v>
      </c>
      <c r="F43" s="7">
        <v>22.34</v>
      </c>
      <c r="G43" s="7">
        <v>278.60000000000002</v>
      </c>
      <c r="H43">
        <f t="shared" si="0"/>
        <v>-1.1066843736166398E-2</v>
      </c>
      <c r="K43" t="s">
        <v>132</v>
      </c>
      <c r="Q43">
        <v>2</v>
      </c>
      <c r="R43">
        <v>2</v>
      </c>
      <c r="S43">
        <v>2</v>
      </c>
      <c r="T43">
        <v>2</v>
      </c>
      <c r="U43" t="s">
        <v>133</v>
      </c>
      <c r="V43" t="s">
        <v>134</v>
      </c>
    </row>
    <row r="44" spans="1:22" x14ac:dyDescent="0.35">
      <c r="A44">
        <v>2013</v>
      </c>
      <c r="B44">
        <v>31.59</v>
      </c>
      <c r="C44">
        <v>310.2</v>
      </c>
      <c r="E44">
        <v>2013</v>
      </c>
      <c r="F44" s="7">
        <v>31.59</v>
      </c>
      <c r="G44" s="7">
        <v>310.2</v>
      </c>
      <c r="H44">
        <f t="shared" si="0"/>
        <v>0.4140555058191584</v>
      </c>
      <c r="K44" t="s">
        <v>135</v>
      </c>
      <c r="Q44">
        <v>0.2</v>
      </c>
      <c r="R44">
        <v>0.2</v>
      </c>
      <c r="S44">
        <v>0.2</v>
      </c>
      <c r="T44">
        <v>0.2</v>
      </c>
      <c r="U44" t="s">
        <v>133</v>
      </c>
      <c r="V44" t="s">
        <v>298</v>
      </c>
    </row>
    <row r="45" spans="1:22" x14ac:dyDescent="0.35">
      <c r="A45">
        <v>2014</v>
      </c>
      <c r="B45">
        <v>32.47</v>
      </c>
      <c r="C45">
        <v>342.7</v>
      </c>
      <c r="E45">
        <v>2014</v>
      </c>
      <c r="F45" s="7">
        <v>32.47</v>
      </c>
      <c r="G45" s="7">
        <v>342.7</v>
      </c>
      <c r="H45">
        <f t="shared" si="0"/>
        <v>2.7856916745805593E-2</v>
      </c>
      <c r="K45" t="s">
        <v>136</v>
      </c>
      <c r="R45">
        <v>4.2</v>
      </c>
      <c r="S45">
        <v>4.2</v>
      </c>
      <c r="T45">
        <v>4.2</v>
      </c>
      <c r="U45" t="s">
        <v>73</v>
      </c>
      <c r="V45" t="s">
        <v>298</v>
      </c>
    </row>
    <row r="46" spans="1:22" x14ac:dyDescent="0.35">
      <c r="A46">
        <v>2015</v>
      </c>
      <c r="B46">
        <v>34.24</v>
      </c>
      <c r="C46">
        <v>376.9</v>
      </c>
      <c r="E46">
        <v>2015</v>
      </c>
      <c r="F46" s="7">
        <v>34.24</v>
      </c>
      <c r="G46" s="7">
        <v>376.9</v>
      </c>
      <c r="H46">
        <f t="shared" si="0"/>
        <v>5.4511857098860528E-2</v>
      </c>
      <c r="K46" t="s">
        <v>128</v>
      </c>
      <c r="R46">
        <v>0.06</v>
      </c>
      <c r="S46">
        <v>0.06</v>
      </c>
      <c r="T46">
        <v>0.06</v>
      </c>
      <c r="V46" t="s">
        <v>298</v>
      </c>
    </row>
    <row r="47" spans="1:22" x14ac:dyDescent="0.35">
      <c r="A47">
        <v>2016</v>
      </c>
      <c r="B47">
        <v>30.86</v>
      </c>
      <c r="C47">
        <v>407.8</v>
      </c>
      <c r="E47">
        <v>2016</v>
      </c>
      <c r="F47" s="7">
        <v>30.86</v>
      </c>
      <c r="G47" s="7">
        <v>407.8</v>
      </c>
      <c r="H47">
        <f t="shared" si="0"/>
        <v>-9.8714953271028083E-2</v>
      </c>
      <c r="K47" t="s">
        <v>129</v>
      </c>
      <c r="S47">
        <v>2</v>
      </c>
      <c r="T47">
        <v>2</v>
      </c>
      <c r="V47" t="s">
        <v>298</v>
      </c>
    </row>
    <row r="48" spans="1:22" x14ac:dyDescent="0.35">
      <c r="A48">
        <v>2017</v>
      </c>
      <c r="B48">
        <v>34.25</v>
      </c>
      <c r="C48">
        <v>442</v>
      </c>
      <c r="E48">
        <v>2017</v>
      </c>
      <c r="F48" s="7">
        <f>AVERAGE(B48,L54)</f>
        <v>33.112584999999996</v>
      </c>
      <c r="G48" s="7">
        <f>G47+F48</f>
        <v>440.91258500000004</v>
      </c>
      <c r="H48">
        <f t="shared" si="0"/>
        <v>7.2993681140635092E-2</v>
      </c>
      <c r="K48" t="s">
        <v>137</v>
      </c>
      <c r="S48">
        <v>0.8</v>
      </c>
      <c r="T48">
        <v>0.8</v>
      </c>
      <c r="V48" t="s">
        <v>298</v>
      </c>
    </row>
    <row r="49" spans="5:22" x14ac:dyDescent="0.35">
      <c r="E49">
        <v>2018</v>
      </c>
      <c r="F49" s="7">
        <f>M54</f>
        <v>31.861169999999994</v>
      </c>
      <c r="G49" s="7">
        <f t="shared" ref="G49:G56" si="3">G48+F49</f>
        <v>472.77375500000005</v>
      </c>
      <c r="H49">
        <f t="shared" si="0"/>
        <v>-3.7792730467887115E-2</v>
      </c>
      <c r="K49" t="s">
        <v>130</v>
      </c>
      <c r="T49">
        <v>0.8</v>
      </c>
      <c r="V49" t="s">
        <v>298</v>
      </c>
    </row>
    <row r="50" spans="5:22" x14ac:dyDescent="0.35">
      <c r="E50">
        <v>2019</v>
      </c>
      <c r="F50" s="7">
        <f>N54</f>
        <v>32.477666666666664</v>
      </c>
      <c r="G50" s="7">
        <f t="shared" si="3"/>
        <v>505.25142166666672</v>
      </c>
      <c r="H50">
        <f t="shared" si="0"/>
        <v>1.9349467287819833E-2</v>
      </c>
      <c r="K50" t="s">
        <v>131</v>
      </c>
      <c r="T50">
        <v>0.1</v>
      </c>
      <c r="V50" t="s">
        <v>298</v>
      </c>
    </row>
    <row r="51" spans="5:22" x14ac:dyDescent="0.35">
      <c r="E51">
        <v>2020</v>
      </c>
      <c r="F51" s="7">
        <f>O54</f>
        <v>36.310999999999993</v>
      </c>
      <c r="G51" s="7">
        <f t="shared" si="3"/>
        <v>541.56242166666675</v>
      </c>
      <c r="H51">
        <f t="shared" si="0"/>
        <v>0.11802982562376174</v>
      </c>
      <c r="K51" t="s">
        <v>138</v>
      </c>
      <c r="T51">
        <v>3</v>
      </c>
      <c r="V51" t="s">
        <v>298</v>
      </c>
    </row>
    <row r="52" spans="5:22" x14ac:dyDescent="0.35">
      <c r="E52">
        <v>2021</v>
      </c>
      <c r="F52" s="7">
        <f>P54</f>
        <v>37.720999999999989</v>
      </c>
      <c r="G52" s="7">
        <f t="shared" si="3"/>
        <v>579.28342166666675</v>
      </c>
      <c r="H52">
        <f t="shared" si="0"/>
        <v>3.8831208173831566E-2</v>
      </c>
      <c r="K52" t="s">
        <v>139</v>
      </c>
      <c r="T52">
        <v>2</v>
      </c>
      <c r="V52" t="s">
        <v>298</v>
      </c>
    </row>
    <row r="53" spans="5:22" x14ac:dyDescent="0.35">
      <c r="E53">
        <v>2022</v>
      </c>
      <c r="F53" s="7">
        <f>Q54</f>
        <v>40.420999999999992</v>
      </c>
      <c r="G53" s="7">
        <f t="shared" si="3"/>
        <v>619.7044216666668</v>
      </c>
      <c r="H53">
        <f t="shared" si="0"/>
        <v>7.157816600832434E-2</v>
      </c>
      <c r="K53" t="s">
        <v>140</v>
      </c>
      <c r="T53">
        <v>2.5</v>
      </c>
      <c r="V53" t="s">
        <v>298</v>
      </c>
    </row>
    <row r="54" spans="5:22" x14ac:dyDescent="0.35">
      <c r="E54">
        <v>2023</v>
      </c>
      <c r="F54" s="7">
        <f>R54</f>
        <v>44.780999999999999</v>
      </c>
      <c r="G54" s="7">
        <f>G53+F54</f>
        <v>664.48542166666675</v>
      </c>
      <c r="H54">
        <f t="shared" si="0"/>
        <v>0.10786472378219258</v>
      </c>
      <c r="K54" t="s">
        <v>108</v>
      </c>
      <c r="L54">
        <f t="shared" ref="L54:U54" si="4">SUM(L3:L53)</f>
        <v>31.975169999999995</v>
      </c>
      <c r="M54">
        <f t="shared" si="4"/>
        <v>31.861169999999994</v>
      </c>
      <c r="N54">
        <f t="shared" si="4"/>
        <v>32.477666666666664</v>
      </c>
      <c r="O54">
        <f t="shared" si="4"/>
        <v>36.310999999999993</v>
      </c>
      <c r="P54">
        <f t="shared" si="4"/>
        <v>37.720999999999989</v>
      </c>
      <c r="Q54">
        <f t="shared" si="4"/>
        <v>40.420999999999992</v>
      </c>
      <c r="R54">
        <f t="shared" si="4"/>
        <v>44.780999999999999</v>
      </c>
      <c r="S54">
        <f t="shared" si="4"/>
        <v>47.580999999999996</v>
      </c>
      <c r="T54">
        <f t="shared" si="4"/>
        <v>55.980999999999995</v>
      </c>
      <c r="U54">
        <f t="shared" si="4"/>
        <v>0</v>
      </c>
    </row>
    <row r="55" spans="5:22" x14ac:dyDescent="0.35">
      <c r="E55">
        <v>2024</v>
      </c>
      <c r="F55" s="7">
        <f>S54</f>
        <v>47.580999999999996</v>
      </c>
      <c r="G55" s="7">
        <f t="shared" si="3"/>
        <v>712.06642166666677</v>
      </c>
      <c r="H55">
        <f t="shared" si="0"/>
        <v>6.2526517942877557E-2</v>
      </c>
      <c r="K55" s="12"/>
      <c r="L55" s="12"/>
    </row>
    <row r="56" spans="5:22" x14ac:dyDescent="0.35">
      <c r="E56">
        <v>2025</v>
      </c>
      <c r="F56" s="7">
        <f>T54</f>
        <v>55.980999999999995</v>
      </c>
      <c r="G56" s="7">
        <f t="shared" si="3"/>
        <v>768.04742166666676</v>
      </c>
      <c r="H56">
        <f t="shared" si="0"/>
        <v>0.17654105630398687</v>
      </c>
      <c r="K56" s="50" t="s">
        <v>148</v>
      </c>
      <c r="L56" s="51"/>
      <c r="M56" s="51"/>
      <c r="N56" s="11">
        <f>1-(SUM(N12,N5,N14,N15,N33,N36,N37)/N54)</f>
        <v>0.83937680252070646</v>
      </c>
      <c r="O56" s="13"/>
    </row>
    <row r="57" spans="5:22" x14ac:dyDescent="0.35">
      <c r="H57">
        <f>AVERAGE(H27:H51)</f>
        <v>8.6177515003936958E-2</v>
      </c>
      <c r="K57" s="50" t="s">
        <v>316</v>
      </c>
      <c r="L57" s="51"/>
      <c r="M57" s="51"/>
      <c r="N57" s="11">
        <f>1-(SUM(N12)/N54)</f>
        <v>0.9984604805353422</v>
      </c>
    </row>
  </sheetData>
  <mergeCells count="2">
    <mergeCell ref="K56:M56"/>
    <mergeCell ref="K57:M57"/>
  </mergeCells>
  <hyperlinks>
    <hyperlink ref="W12" r:id="rId1" xr:uid="{6229E36B-18DF-45E4-A1C7-07C6EBE17D74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41DD7-D53A-4156-B67E-717774891BD3}">
  <dimension ref="A1:O135"/>
  <sheetViews>
    <sheetView topLeftCell="A107" workbookViewId="0">
      <selection activeCell="D128" sqref="D128"/>
    </sheetView>
  </sheetViews>
  <sheetFormatPr defaultRowHeight="15.5" x14ac:dyDescent="0.35"/>
  <cols>
    <col min="1" max="1" width="22.25" customWidth="1"/>
  </cols>
  <sheetData>
    <row r="1" spans="1:15" s="32" customFormat="1" ht="25" x14ac:dyDescent="0.7">
      <c r="A1" s="37" t="s">
        <v>296</v>
      </c>
      <c r="E1" s="38"/>
      <c r="J1" s="38" t="s">
        <v>297</v>
      </c>
    </row>
    <row r="2" spans="1:15" x14ac:dyDescent="0.35">
      <c r="A2" s="36" t="s">
        <v>167</v>
      </c>
      <c r="B2" s="36" t="s">
        <v>168</v>
      </c>
      <c r="C2" s="36" t="s">
        <v>169</v>
      </c>
      <c r="D2" s="36" t="s">
        <v>170</v>
      </c>
      <c r="E2" s="36" t="s">
        <v>171</v>
      </c>
      <c r="F2" s="36" t="s">
        <v>144</v>
      </c>
      <c r="G2" s="36" t="s">
        <v>172</v>
      </c>
      <c r="H2" s="36" t="s">
        <v>173</v>
      </c>
      <c r="I2" s="36" t="s">
        <v>174</v>
      </c>
      <c r="J2" s="36" t="s">
        <v>175</v>
      </c>
      <c r="K2" s="36" t="s">
        <v>176</v>
      </c>
      <c r="L2" s="36" t="s">
        <v>177</v>
      </c>
      <c r="M2" s="36" t="s">
        <v>178</v>
      </c>
      <c r="N2" s="36" t="s">
        <v>179</v>
      </c>
      <c r="O2" s="36" t="s">
        <v>180</v>
      </c>
    </row>
    <row r="3" spans="1:15" x14ac:dyDescent="0.35">
      <c r="A3" s="36" t="s">
        <v>181</v>
      </c>
      <c r="B3" s="36" t="s">
        <v>250</v>
      </c>
      <c r="C3" s="36" t="s">
        <v>145</v>
      </c>
      <c r="D3" s="36" t="s">
        <v>183</v>
      </c>
      <c r="E3" s="36" t="s">
        <v>184</v>
      </c>
      <c r="F3" s="36">
        <v>0</v>
      </c>
      <c r="G3" s="36">
        <v>0</v>
      </c>
      <c r="H3" s="36">
        <v>1084.1578999999999</v>
      </c>
      <c r="I3" s="36">
        <v>6512.9017000000003</v>
      </c>
      <c r="J3" s="36">
        <v>13708.9413</v>
      </c>
      <c r="K3" s="36">
        <v>17683.284299999999</v>
      </c>
      <c r="L3" s="36">
        <v>20072.654600000002</v>
      </c>
      <c r="M3" s="36">
        <v>21326.651000000002</v>
      </c>
      <c r="N3" s="36">
        <v>22946.324199999999</v>
      </c>
      <c r="O3" s="36">
        <v>25830.697700000001</v>
      </c>
    </row>
    <row r="4" spans="1:15" x14ac:dyDescent="0.35">
      <c r="A4" s="36" t="s">
        <v>181</v>
      </c>
      <c r="B4" s="36" t="s">
        <v>215</v>
      </c>
      <c r="C4" s="36" t="s">
        <v>145</v>
      </c>
      <c r="D4" s="36" t="s">
        <v>183</v>
      </c>
      <c r="E4" s="36" t="s">
        <v>184</v>
      </c>
      <c r="F4" s="36">
        <v>0</v>
      </c>
      <c r="G4" s="36">
        <v>0</v>
      </c>
      <c r="H4" s="36">
        <v>954.96810000000005</v>
      </c>
      <c r="I4" s="36">
        <v>5165.0023000000001</v>
      </c>
      <c r="J4" s="36">
        <v>13317.3272</v>
      </c>
      <c r="K4" s="36">
        <v>17205.558199999999</v>
      </c>
      <c r="L4" s="36">
        <v>18166.983499999998</v>
      </c>
      <c r="M4" s="36">
        <v>20644.5232</v>
      </c>
      <c r="N4" s="36">
        <v>22514.797200000001</v>
      </c>
      <c r="O4" s="36">
        <v>22347.4532</v>
      </c>
    </row>
    <row r="5" spans="1:15" x14ac:dyDescent="0.35">
      <c r="A5" s="36" t="s">
        <v>181</v>
      </c>
      <c r="B5" s="36" t="s">
        <v>206</v>
      </c>
      <c r="C5" s="36" t="s">
        <v>145</v>
      </c>
      <c r="D5" s="36" t="s">
        <v>183</v>
      </c>
      <c r="E5" s="36" t="s">
        <v>184</v>
      </c>
      <c r="F5" s="36">
        <v>0</v>
      </c>
      <c r="G5" s="36">
        <v>0</v>
      </c>
      <c r="H5" s="36">
        <v>414.0179</v>
      </c>
      <c r="I5" s="36">
        <v>2567.5698000000002</v>
      </c>
      <c r="J5" s="36">
        <v>7455.9912000000004</v>
      </c>
      <c r="K5" s="36">
        <v>13844.5656</v>
      </c>
      <c r="L5" s="36">
        <v>15388.420099999999</v>
      </c>
      <c r="M5" s="36">
        <v>16049.515799999999</v>
      </c>
      <c r="N5" s="36">
        <v>16081.611800000001</v>
      </c>
      <c r="O5" s="36">
        <v>20086.355500000001</v>
      </c>
    </row>
    <row r="6" spans="1:15" x14ac:dyDescent="0.35">
      <c r="A6" s="36" t="s">
        <v>181</v>
      </c>
      <c r="B6" s="36" t="s">
        <v>217</v>
      </c>
      <c r="C6" s="36" t="s">
        <v>145</v>
      </c>
      <c r="D6" s="36" t="s">
        <v>183</v>
      </c>
      <c r="E6" s="36" t="s">
        <v>184</v>
      </c>
      <c r="F6" s="36">
        <v>0</v>
      </c>
      <c r="G6" s="36">
        <v>0</v>
      </c>
      <c r="H6" s="36">
        <v>435.71460000000002</v>
      </c>
      <c r="I6" s="36">
        <v>2530.0191</v>
      </c>
      <c r="J6" s="36">
        <v>6835.1836999999996</v>
      </c>
      <c r="K6" s="36">
        <v>12382.319</v>
      </c>
      <c r="L6" s="36">
        <v>11965.1626</v>
      </c>
      <c r="M6" s="36">
        <v>14812.6926</v>
      </c>
      <c r="N6" s="36">
        <v>16432.959900000002</v>
      </c>
      <c r="O6" s="36">
        <v>15195.933000000001</v>
      </c>
    </row>
    <row r="7" spans="1:15" x14ac:dyDescent="0.35">
      <c r="A7" s="36" t="s">
        <v>181</v>
      </c>
      <c r="B7" s="36" t="s">
        <v>251</v>
      </c>
      <c r="C7" s="36" t="s">
        <v>145</v>
      </c>
      <c r="D7" s="36" t="s">
        <v>183</v>
      </c>
      <c r="E7" s="36" t="s">
        <v>184</v>
      </c>
      <c r="F7" s="36">
        <v>0</v>
      </c>
      <c r="G7" s="36">
        <v>0</v>
      </c>
      <c r="H7" s="36">
        <v>0</v>
      </c>
      <c r="I7" s="36">
        <v>1336.2654</v>
      </c>
      <c r="J7" s="36">
        <v>4553.8002999999999</v>
      </c>
      <c r="K7" s="36">
        <v>7639.6963999999998</v>
      </c>
      <c r="L7" s="36">
        <v>8715.8678</v>
      </c>
      <c r="M7" s="36">
        <v>9110.8832999999995</v>
      </c>
      <c r="N7" s="36">
        <v>9117.6700999999994</v>
      </c>
      <c r="O7" s="36">
        <v>9219.4938999999995</v>
      </c>
    </row>
    <row r="8" spans="1:15" x14ac:dyDescent="0.35">
      <c r="A8" s="36" t="s">
        <v>181</v>
      </c>
      <c r="B8" s="36" t="s">
        <v>252</v>
      </c>
      <c r="C8" s="36" t="s">
        <v>145</v>
      </c>
      <c r="D8" s="36" t="s">
        <v>183</v>
      </c>
      <c r="E8" s="36" t="s">
        <v>184</v>
      </c>
      <c r="F8" s="36">
        <v>0</v>
      </c>
      <c r="G8" s="36">
        <v>0</v>
      </c>
      <c r="H8" s="36">
        <v>1648.83</v>
      </c>
      <c r="I8" s="36">
        <v>6617.7628999999997</v>
      </c>
      <c r="J8" s="36">
        <v>15156.0442</v>
      </c>
      <c r="K8" s="36">
        <v>18482.166300000001</v>
      </c>
      <c r="L8" s="36">
        <v>19702.785599999999</v>
      </c>
      <c r="M8" s="36">
        <v>20608.173699999999</v>
      </c>
      <c r="N8" s="36">
        <v>21272.321</v>
      </c>
      <c r="O8" s="36">
        <v>22286.870699999999</v>
      </c>
    </row>
    <row r="9" spans="1:15" x14ac:dyDescent="0.35">
      <c r="A9" s="36" t="s">
        <v>181</v>
      </c>
      <c r="B9" s="36" t="s">
        <v>253</v>
      </c>
      <c r="C9" s="36" t="s">
        <v>145</v>
      </c>
      <c r="D9" s="36" t="s">
        <v>183</v>
      </c>
      <c r="E9" s="36" t="s">
        <v>184</v>
      </c>
      <c r="F9" s="36">
        <v>0</v>
      </c>
      <c r="G9" s="36">
        <v>0</v>
      </c>
      <c r="H9" s="36">
        <v>587.58460000000002</v>
      </c>
      <c r="I9" s="36">
        <v>5483.0043999999998</v>
      </c>
      <c r="J9" s="36">
        <v>12470.7935</v>
      </c>
      <c r="K9" s="36">
        <v>18040.688200000001</v>
      </c>
      <c r="L9" s="36">
        <v>20236.2297</v>
      </c>
      <c r="M9" s="36">
        <v>19918.002899999999</v>
      </c>
      <c r="N9" s="36">
        <v>19086.244699999999</v>
      </c>
      <c r="O9" s="36">
        <v>18279.342400000001</v>
      </c>
    </row>
    <row r="10" spans="1:15" x14ac:dyDescent="0.35">
      <c r="A10" s="36" t="s">
        <v>181</v>
      </c>
      <c r="B10" s="36" t="s">
        <v>254</v>
      </c>
      <c r="C10" s="36" t="s">
        <v>145</v>
      </c>
      <c r="D10" s="36" t="s">
        <v>183</v>
      </c>
      <c r="E10" s="36" t="s">
        <v>184</v>
      </c>
      <c r="F10" s="36">
        <v>0</v>
      </c>
      <c r="G10" s="36">
        <v>0</v>
      </c>
      <c r="H10" s="36">
        <v>0</v>
      </c>
      <c r="I10" s="36">
        <v>4765.1179000000002</v>
      </c>
      <c r="J10" s="36">
        <v>17885.513999999999</v>
      </c>
      <c r="K10" s="36">
        <v>28892.115399999999</v>
      </c>
      <c r="L10" s="36">
        <v>32608.5242</v>
      </c>
      <c r="M10" s="36">
        <v>35245.240899999997</v>
      </c>
      <c r="N10" s="36">
        <v>38005.796900000001</v>
      </c>
      <c r="O10" s="36">
        <v>41348.825799999999</v>
      </c>
    </row>
    <row r="11" spans="1:15" x14ac:dyDescent="0.35">
      <c r="A11" s="36" t="s">
        <v>187</v>
      </c>
      <c r="B11" s="36" t="s">
        <v>249</v>
      </c>
      <c r="C11" s="36" t="s">
        <v>145</v>
      </c>
      <c r="D11" s="36" t="s">
        <v>183</v>
      </c>
      <c r="E11" s="36" t="s">
        <v>184</v>
      </c>
      <c r="F11" s="36">
        <v>0</v>
      </c>
      <c r="G11" s="36">
        <v>0</v>
      </c>
      <c r="H11" s="36">
        <v>165.12289999999999</v>
      </c>
      <c r="I11" s="36">
        <v>5486.5234</v>
      </c>
      <c r="J11" s="36">
        <v>12110.7327</v>
      </c>
      <c r="K11" s="36">
        <v>17195.986799999999</v>
      </c>
      <c r="L11" s="36">
        <v>20372.931</v>
      </c>
      <c r="M11" s="36">
        <v>22123.5069</v>
      </c>
      <c r="N11" s="36">
        <v>23485.8285</v>
      </c>
      <c r="O11" s="36">
        <v>25642.075700000001</v>
      </c>
    </row>
    <row r="12" spans="1:15" x14ac:dyDescent="0.35">
      <c r="A12" s="36" t="s">
        <v>187</v>
      </c>
      <c r="B12" s="36" t="s">
        <v>255</v>
      </c>
      <c r="C12" s="36" t="s">
        <v>145</v>
      </c>
      <c r="D12" s="36" t="s">
        <v>183</v>
      </c>
      <c r="E12" s="36" t="s">
        <v>184</v>
      </c>
      <c r="F12" s="36">
        <v>0</v>
      </c>
      <c r="G12" s="36">
        <v>0</v>
      </c>
      <c r="H12" s="36">
        <v>630.98609999999996</v>
      </c>
      <c r="I12" s="36">
        <v>5259.9291999999996</v>
      </c>
      <c r="J12" s="36">
        <v>12192.525299999999</v>
      </c>
      <c r="K12" s="36">
        <v>17685.5344</v>
      </c>
      <c r="L12" s="36">
        <v>21715.3279</v>
      </c>
      <c r="M12" s="36">
        <v>23738.093400000002</v>
      </c>
      <c r="N12" s="36">
        <v>24949.790300000001</v>
      </c>
      <c r="O12" s="36">
        <v>26120.018400000001</v>
      </c>
    </row>
    <row r="13" spans="1:15" x14ac:dyDescent="0.35">
      <c r="A13" s="36" t="s">
        <v>187</v>
      </c>
      <c r="B13" s="36" t="s">
        <v>256</v>
      </c>
      <c r="C13" s="36" t="s">
        <v>145</v>
      </c>
      <c r="D13" s="36" t="s">
        <v>183</v>
      </c>
      <c r="E13" s="36" t="s">
        <v>184</v>
      </c>
      <c r="F13" s="36">
        <v>0</v>
      </c>
      <c r="G13" s="36">
        <v>0</v>
      </c>
      <c r="H13" s="36">
        <v>635.69200000000001</v>
      </c>
      <c r="I13" s="36">
        <v>5543.3873000000003</v>
      </c>
      <c r="J13" s="36">
        <v>12105.3202</v>
      </c>
      <c r="K13" s="36">
        <v>17326.4028</v>
      </c>
      <c r="L13" s="36">
        <v>22057.714199999999</v>
      </c>
      <c r="M13" s="36">
        <v>23371.3894</v>
      </c>
      <c r="N13" s="36">
        <v>24482.252899999999</v>
      </c>
      <c r="O13" s="36">
        <v>25406.812399999999</v>
      </c>
    </row>
    <row r="14" spans="1:15" x14ac:dyDescent="0.35">
      <c r="A14" s="36" t="s">
        <v>187</v>
      </c>
      <c r="B14" s="36" t="s">
        <v>257</v>
      </c>
      <c r="C14" s="36" t="s">
        <v>145</v>
      </c>
      <c r="D14" s="36" t="s">
        <v>183</v>
      </c>
      <c r="E14" s="36" t="s">
        <v>184</v>
      </c>
      <c r="F14" s="36">
        <v>0</v>
      </c>
      <c r="G14" s="36">
        <v>0</v>
      </c>
      <c r="H14" s="36">
        <v>629.58770000000004</v>
      </c>
      <c r="I14" s="36">
        <v>4713.1103000000003</v>
      </c>
      <c r="J14" s="36">
        <v>10942.0322</v>
      </c>
      <c r="K14" s="36">
        <v>14727.030699999999</v>
      </c>
      <c r="L14" s="36">
        <v>13556.1603</v>
      </c>
      <c r="M14" s="36">
        <v>15732.735500000001</v>
      </c>
      <c r="N14" s="36">
        <v>17641.913700000001</v>
      </c>
      <c r="O14" s="36">
        <v>19220.164499999999</v>
      </c>
    </row>
    <row r="15" spans="1:15" x14ac:dyDescent="0.35">
      <c r="A15" s="36" t="s">
        <v>187</v>
      </c>
      <c r="B15" s="36" t="s">
        <v>258</v>
      </c>
      <c r="C15" s="36" t="s">
        <v>145</v>
      </c>
      <c r="D15" s="36" t="s">
        <v>183</v>
      </c>
      <c r="E15" s="36" t="s">
        <v>184</v>
      </c>
      <c r="F15" s="36">
        <v>0</v>
      </c>
      <c r="G15" s="36">
        <v>0</v>
      </c>
      <c r="H15" s="36">
        <v>767.26589999999999</v>
      </c>
      <c r="I15" s="36">
        <v>5069.9103999999998</v>
      </c>
      <c r="J15" s="36">
        <v>12665.261500000001</v>
      </c>
      <c r="K15" s="36">
        <v>16745.975900000001</v>
      </c>
      <c r="L15" s="36">
        <v>15180.4476</v>
      </c>
      <c r="M15" s="36">
        <v>17672.302800000001</v>
      </c>
      <c r="N15" s="36">
        <v>19958.955399999999</v>
      </c>
      <c r="O15" s="36">
        <v>21946.255700000002</v>
      </c>
    </row>
    <row r="16" spans="1:15" x14ac:dyDescent="0.35">
      <c r="A16" s="36" t="s">
        <v>187</v>
      </c>
      <c r="B16" s="36" t="s">
        <v>259</v>
      </c>
      <c r="C16" s="36" t="s">
        <v>145</v>
      </c>
      <c r="D16" s="36" t="s">
        <v>183</v>
      </c>
      <c r="E16" s="36" t="s">
        <v>184</v>
      </c>
      <c r="F16" s="36">
        <v>0</v>
      </c>
      <c r="G16" s="36">
        <v>0</v>
      </c>
      <c r="H16" s="36">
        <v>759.93129999999996</v>
      </c>
      <c r="I16" s="36">
        <v>4989.1140999999998</v>
      </c>
      <c r="J16" s="36">
        <v>12674.656499999999</v>
      </c>
      <c r="K16" s="36">
        <v>16856.241900000001</v>
      </c>
      <c r="L16" s="36">
        <v>14573.1412</v>
      </c>
      <c r="M16" s="36">
        <v>16920.522199999999</v>
      </c>
      <c r="N16" s="36">
        <v>19258.055400000001</v>
      </c>
      <c r="O16" s="36">
        <v>21349.788499999999</v>
      </c>
    </row>
    <row r="17" spans="1:15" x14ac:dyDescent="0.35">
      <c r="A17" s="36" t="s">
        <v>187</v>
      </c>
      <c r="B17" s="36" t="s">
        <v>209</v>
      </c>
      <c r="C17" s="36" t="s">
        <v>145</v>
      </c>
      <c r="D17" s="36" t="s">
        <v>183</v>
      </c>
      <c r="E17" s="36" t="s">
        <v>184</v>
      </c>
      <c r="F17" s="36">
        <v>0</v>
      </c>
      <c r="G17" s="36">
        <v>0</v>
      </c>
      <c r="H17" s="36">
        <v>635.69200000000001</v>
      </c>
      <c r="I17" s="36">
        <v>4665.4494999999997</v>
      </c>
      <c r="J17" s="36">
        <v>13801.137000000001</v>
      </c>
      <c r="K17" s="36">
        <v>21294.948499999999</v>
      </c>
      <c r="L17" s="36">
        <v>19648.836800000001</v>
      </c>
      <c r="M17" s="36">
        <v>22562.207600000002</v>
      </c>
      <c r="N17" s="36">
        <v>25714.0563</v>
      </c>
      <c r="O17" s="36">
        <v>28534.501799999998</v>
      </c>
    </row>
    <row r="18" spans="1:15" x14ac:dyDescent="0.35">
      <c r="A18" s="36" t="s">
        <v>187</v>
      </c>
      <c r="B18" s="36" t="s">
        <v>260</v>
      </c>
      <c r="C18" s="36" t="s">
        <v>145</v>
      </c>
      <c r="D18" s="36" t="s">
        <v>183</v>
      </c>
      <c r="E18" s="36" t="s">
        <v>184</v>
      </c>
      <c r="F18" s="36">
        <v>0</v>
      </c>
      <c r="G18" s="36">
        <v>0</v>
      </c>
      <c r="H18" s="36">
        <v>807.34479999999996</v>
      </c>
      <c r="I18" s="36">
        <v>5383.3590000000004</v>
      </c>
      <c r="J18" s="36">
        <v>11145.003000000001</v>
      </c>
      <c r="K18" s="36">
        <v>17492.511399999999</v>
      </c>
      <c r="L18" s="36">
        <v>22252.444299999999</v>
      </c>
      <c r="M18" s="36">
        <v>25862.554800000002</v>
      </c>
      <c r="N18" s="36">
        <v>27101.634300000002</v>
      </c>
      <c r="O18" s="36">
        <v>25823.849900000001</v>
      </c>
    </row>
    <row r="19" spans="1:15" x14ac:dyDescent="0.35">
      <c r="A19" s="36" t="s">
        <v>187</v>
      </c>
      <c r="B19" s="36" t="s">
        <v>261</v>
      </c>
      <c r="C19" s="36" t="s">
        <v>145</v>
      </c>
      <c r="D19" s="36" t="s">
        <v>183</v>
      </c>
      <c r="E19" s="36" t="s">
        <v>184</v>
      </c>
      <c r="F19" s="36">
        <v>0</v>
      </c>
      <c r="G19" s="36">
        <v>0</v>
      </c>
      <c r="H19" s="36">
        <v>920.20100000000002</v>
      </c>
      <c r="I19" s="36">
        <v>5944.4285</v>
      </c>
      <c r="J19" s="36">
        <v>12812.6139</v>
      </c>
      <c r="K19" s="36">
        <v>19086.918099999999</v>
      </c>
      <c r="L19" s="36">
        <v>24045.5252</v>
      </c>
      <c r="M19" s="36">
        <v>25486.839899999999</v>
      </c>
      <c r="N19" s="36">
        <v>24764.719000000001</v>
      </c>
      <c r="O19" s="36">
        <v>21203.113700000002</v>
      </c>
    </row>
    <row r="20" spans="1:15" x14ac:dyDescent="0.35">
      <c r="A20" s="36" t="s">
        <v>192</v>
      </c>
      <c r="B20" s="36" t="s">
        <v>251</v>
      </c>
      <c r="C20" s="36" t="s">
        <v>145</v>
      </c>
      <c r="D20" s="36" t="s">
        <v>183</v>
      </c>
      <c r="E20" s="36" t="s">
        <v>184</v>
      </c>
      <c r="F20" s="36">
        <v>1813.3150310000001</v>
      </c>
      <c r="G20" s="36">
        <v>2360.500853</v>
      </c>
      <c r="H20" s="36">
        <v>3368.0323779999999</v>
      </c>
      <c r="I20" s="36">
        <v>4188.2699460000003</v>
      </c>
      <c r="J20" s="36">
        <v>5118.5441860000001</v>
      </c>
      <c r="K20" s="36">
        <v>6943.8937889999997</v>
      </c>
      <c r="L20" s="36">
        <v>9416.9315179999994</v>
      </c>
      <c r="M20" s="36">
        <v>12292.086499999999</v>
      </c>
      <c r="N20" s="36">
        <v>14457.37098</v>
      </c>
      <c r="O20" s="36">
        <v>16216.80975</v>
      </c>
    </row>
    <row r="21" spans="1:15" x14ac:dyDescent="0.35">
      <c r="A21" s="36" t="s">
        <v>192</v>
      </c>
      <c r="B21" s="36" t="s">
        <v>252</v>
      </c>
      <c r="C21" s="36" t="s">
        <v>145</v>
      </c>
      <c r="D21" s="36" t="s">
        <v>183</v>
      </c>
      <c r="E21" s="36" t="s">
        <v>184</v>
      </c>
      <c r="F21" s="36">
        <v>1813.3150310000001</v>
      </c>
      <c r="G21" s="36">
        <v>2539.362044</v>
      </c>
      <c r="H21" s="36">
        <v>3488.420595</v>
      </c>
      <c r="I21" s="36">
        <v>11325.58958</v>
      </c>
      <c r="J21" s="36">
        <v>17059.037469999999</v>
      </c>
      <c r="K21" s="36">
        <v>20813.645100000002</v>
      </c>
      <c r="L21" s="36">
        <v>23464.155869999999</v>
      </c>
      <c r="M21" s="36">
        <v>24849.41936</v>
      </c>
      <c r="N21" s="36">
        <v>26751.416679999998</v>
      </c>
      <c r="O21" s="36">
        <v>32139.9663</v>
      </c>
    </row>
    <row r="22" spans="1:15" x14ac:dyDescent="0.35">
      <c r="A22" s="36" t="s">
        <v>192</v>
      </c>
      <c r="B22" s="36" t="s">
        <v>253</v>
      </c>
      <c r="C22" s="36" t="s">
        <v>145</v>
      </c>
      <c r="D22" s="36" t="s">
        <v>183</v>
      </c>
      <c r="E22" s="36" t="s">
        <v>184</v>
      </c>
      <c r="F22" s="36">
        <v>1813.3150310000001</v>
      </c>
      <c r="G22" s="36">
        <v>2566.1121910000002</v>
      </c>
      <c r="H22" s="36">
        <v>9776.8254489999999</v>
      </c>
      <c r="I22" s="36">
        <v>15773.641439999999</v>
      </c>
      <c r="J22" s="36">
        <v>20061.98098</v>
      </c>
      <c r="K22" s="36">
        <v>23252.746749999998</v>
      </c>
      <c r="L22" s="36">
        <v>24568.90885</v>
      </c>
      <c r="M22" s="36">
        <v>24992.356640000002</v>
      </c>
      <c r="N22" s="36">
        <v>26883.717840000001</v>
      </c>
      <c r="O22" s="36">
        <v>31790.89516</v>
      </c>
    </row>
    <row r="23" spans="1:15" x14ac:dyDescent="0.35">
      <c r="A23" s="36" t="s">
        <v>192</v>
      </c>
      <c r="B23" s="36" t="s">
        <v>254</v>
      </c>
      <c r="C23" s="36" t="s">
        <v>145</v>
      </c>
      <c r="D23" s="36" t="s">
        <v>183</v>
      </c>
      <c r="E23" s="36" t="s">
        <v>184</v>
      </c>
      <c r="F23" s="36">
        <v>1813.3150310000001</v>
      </c>
      <c r="G23" s="36">
        <v>2638.2807349999998</v>
      </c>
      <c r="H23" s="36">
        <v>4086.3107970000001</v>
      </c>
      <c r="I23" s="36">
        <v>20541.37054</v>
      </c>
      <c r="J23" s="36">
        <v>29957.615849999998</v>
      </c>
      <c r="K23" s="36">
        <v>34654.339290000004</v>
      </c>
      <c r="L23" s="36">
        <v>37637.276080000003</v>
      </c>
      <c r="M23" s="36">
        <v>37708.877480000003</v>
      </c>
      <c r="N23" s="36">
        <v>33732.060319999997</v>
      </c>
      <c r="O23" s="36">
        <v>33297.195820000001</v>
      </c>
    </row>
    <row r="24" spans="1:15" x14ac:dyDescent="0.35">
      <c r="A24" s="36" t="s">
        <v>194</v>
      </c>
      <c r="B24" s="36" t="s">
        <v>250</v>
      </c>
      <c r="C24" s="36" t="s">
        <v>145</v>
      </c>
      <c r="D24" s="36" t="s">
        <v>183</v>
      </c>
      <c r="E24" s="36" t="s">
        <v>184</v>
      </c>
      <c r="F24" s="36">
        <v>0</v>
      </c>
      <c r="G24" s="36">
        <v>40.079026579999997</v>
      </c>
      <c r="H24" s="36">
        <v>1068.1406489999999</v>
      </c>
      <c r="I24" s="36">
        <v>4199.8535169999996</v>
      </c>
      <c r="J24" s="36">
        <v>8774.6136349999997</v>
      </c>
      <c r="K24" s="36">
        <v>11061.746580000001</v>
      </c>
      <c r="L24" s="36">
        <v>13172.72409</v>
      </c>
      <c r="M24" s="36">
        <v>16812.852289999999</v>
      </c>
      <c r="N24" s="36">
        <v>20460.18663</v>
      </c>
      <c r="O24" s="36">
        <v>23445.92683</v>
      </c>
    </row>
    <row r="25" spans="1:15" x14ac:dyDescent="0.35">
      <c r="A25" s="36" t="s">
        <v>194</v>
      </c>
      <c r="B25" s="36" t="s">
        <v>215</v>
      </c>
      <c r="C25" s="36" t="s">
        <v>145</v>
      </c>
      <c r="D25" s="36" t="s">
        <v>183</v>
      </c>
      <c r="E25" s="36" t="s">
        <v>184</v>
      </c>
      <c r="F25" s="36">
        <v>0</v>
      </c>
      <c r="G25" s="36">
        <v>117.5451814</v>
      </c>
      <c r="H25" s="36">
        <v>1180.6170320000001</v>
      </c>
      <c r="I25" s="36">
        <v>6306.3599270000004</v>
      </c>
      <c r="J25" s="36">
        <v>10180.31582</v>
      </c>
      <c r="K25" s="36">
        <v>12899.5677</v>
      </c>
      <c r="L25" s="36">
        <v>16472.783100000001</v>
      </c>
      <c r="M25" s="36">
        <v>19641.987229999999</v>
      </c>
      <c r="N25" s="36">
        <v>21362.343990000001</v>
      </c>
      <c r="O25" s="36">
        <v>21579.883119999999</v>
      </c>
    </row>
    <row r="26" spans="1:15" x14ac:dyDescent="0.35">
      <c r="A26" s="36" t="s">
        <v>194</v>
      </c>
      <c r="B26" s="36" t="s">
        <v>262</v>
      </c>
      <c r="C26" s="36" t="s">
        <v>145</v>
      </c>
      <c r="D26" s="36" t="s">
        <v>183</v>
      </c>
      <c r="E26" s="36" t="s">
        <v>184</v>
      </c>
      <c r="F26" s="36">
        <v>0</v>
      </c>
      <c r="G26" s="36">
        <v>52.637311510000004</v>
      </c>
      <c r="H26" s="36">
        <v>407.96644350000003</v>
      </c>
      <c r="I26" s="36">
        <v>2163.2260620000002</v>
      </c>
      <c r="J26" s="36">
        <v>5050.4927619999999</v>
      </c>
      <c r="K26" s="36">
        <v>10948.26656</v>
      </c>
      <c r="L26" s="36">
        <v>14356.1576</v>
      </c>
      <c r="M26" s="36">
        <v>17388.882089999999</v>
      </c>
      <c r="N26" s="36">
        <v>21569.162380000002</v>
      </c>
      <c r="O26" s="36">
        <v>23490.151699999999</v>
      </c>
    </row>
    <row r="27" spans="1:15" x14ac:dyDescent="0.35">
      <c r="A27" s="36" t="s">
        <v>194</v>
      </c>
      <c r="B27" s="36" t="s">
        <v>217</v>
      </c>
      <c r="C27" s="36" t="s">
        <v>145</v>
      </c>
      <c r="D27" s="36" t="s">
        <v>183</v>
      </c>
      <c r="E27" s="36" t="s">
        <v>184</v>
      </c>
      <c r="F27" s="36">
        <v>0</v>
      </c>
      <c r="G27" s="36">
        <v>54.142986409999999</v>
      </c>
      <c r="H27" s="36">
        <v>355.48349780000001</v>
      </c>
      <c r="I27" s="36">
        <v>2849.5266339999998</v>
      </c>
      <c r="J27" s="36">
        <v>9056.76908</v>
      </c>
      <c r="K27" s="36">
        <v>11539.7443</v>
      </c>
      <c r="L27" s="36">
        <v>13329.78147</v>
      </c>
      <c r="M27" s="36">
        <v>16088.54588</v>
      </c>
      <c r="N27" s="36">
        <v>20042.443080000001</v>
      </c>
      <c r="O27" s="36">
        <v>21029.365679999999</v>
      </c>
    </row>
    <row r="28" spans="1:15" x14ac:dyDescent="0.35">
      <c r="A28" s="36" t="s">
        <v>194</v>
      </c>
      <c r="B28" s="36" t="s">
        <v>249</v>
      </c>
      <c r="C28" s="36" t="s">
        <v>145</v>
      </c>
      <c r="D28" s="36" t="s">
        <v>183</v>
      </c>
      <c r="E28" s="36" t="s">
        <v>184</v>
      </c>
      <c r="F28" s="36">
        <v>0</v>
      </c>
      <c r="G28" s="36">
        <v>0</v>
      </c>
      <c r="H28" s="36">
        <v>772.80926499999998</v>
      </c>
      <c r="I28" s="36">
        <v>4911.4989169999999</v>
      </c>
      <c r="J28" s="36">
        <v>9610.4319240000004</v>
      </c>
      <c r="K28" s="36">
        <v>12185.40029</v>
      </c>
      <c r="L28" s="36">
        <v>15963.518899999999</v>
      </c>
      <c r="M28" s="36">
        <v>20343.181049999999</v>
      </c>
      <c r="N28" s="36">
        <v>21677.195019999999</v>
      </c>
      <c r="O28" s="36">
        <v>21604.278910000001</v>
      </c>
    </row>
    <row r="29" spans="1:15" x14ac:dyDescent="0.35">
      <c r="A29" s="36" t="s">
        <v>194</v>
      </c>
      <c r="B29" s="36" t="s">
        <v>263</v>
      </c>
      <c r="C29" s="36" t="s">
        <v>145</v>
      </c>
      <c r="D29" s="36" t="s">
        <v>183</v>
      </c>
      <c r="E29" s="36" t="s">
        <v>184</v>
      </c>
      <c r="F29" s="36">
        <v>0</v>
      </c>
      <c r="G29" s="36">
        <v>0</v>
      </c>
      <c r="H29" s="36">
        <v>834.04400459999999</v>
      </c>
      <c r="I29" s="36">
        <v>3939.8390429999999</v>
      </c>
      <c r="J29" s="36">
        <v>8463.2168060000004</v>
      </c>
      <c r="K29" s="36">
        <v>10421.66316</v>
      </c>
      <c r="L29" s="36">
        <v>13635.24388</v>
      </c>
      <c r="M29" s="36">
        <v>18500.6708</v>
      </c>
      <c r="N29" s="36">
        <v>20962.307860000001</v>
      </c>
      <c r="O29" s="36">
        <v>22924.306830000001</v>
      </c>
    </row>
    <row r="30" spans="1:15" x14ac:dyDescent="0.35">
      <c r="A30" s="36" t="s">
        <v>194</v>
      </c>
      <c r="B30" s="36" t="s">
        <v>251</v>
      </c>
      <c r="C30" s="36" t="s">
        <v>145</v>
      </c>
      <c r="D30" s="36" t="s">
        <v>183</v>
      </c>
      <c r="E30" s="36" t="s">
        <v>184</v>
      </c>
      <c r="F30" s="36">
        <v>0</v>
      </c>
      <c r="G30" s="36">
        <v>9.8888099999999991E-10</v>
      </c>
      <c r="H30" s="36">
        <v>524.06501500000002</v>
      </c>
      <c r="I30" s="36">
        <v>3298.166839</v>
      </c>
      <c r="J30" s="36">
        <v>5549.699388</v>
      </c>
      <c r="K30" s="36">
        <v>8620.2015360000005</v>
      </c>
      <c r="L30" s="36">
        <v>11074.01072</v>
      </c>
      <c r="M30" s="36">
        <v>14819.4514</v>
      </c>
      <c r="N30" s="36">
        <v>17942.193080000001</v>
      </c>
      <c r="O30" s="36">
        <v>16210.222529999999</v>
      </c>
    </row>
    <row r="31" spans="1:15" x14ac:dyDescent="0.35">
      <c r="A31" s="36" t="s">
        <v>194</v>
      </c>
      <c r="B31" s="36" t="s">
        <v>252</v>
      </c>
      <c r="C31" s="36" t="s">
        <v>145</v>
      </c>
      <c r="D31" s="36" t="s">
        <v>183</v>
      </c>
      <c r="E31" s="36" t="s">
        <v>184</v>
      </c>
      <c r="F31" s="36">
        <v>0</v>
      </c>
      <c r="G31" s="36">
        <v>61.924628460000001</v>
      </c>
      <c r="H31" s="36">
        <v>1499.2690789999999</v>
      </c>
      <c r="I31" s="36">
        <v>5862.1182159999998</v>
      </c>
      <c r="J31" s="36">
        <v>8160.1195230000003</v>
      </c>
      <c r="K31" s="36">
        <v>11001.179969999999</v>
      </c>
      <c r="L31" s="36">
        <v>14904.477790000001</v>
      </c>
      <c r="M31" s="36">
        <v>17387.877380000002</v>
      </c>
      <c r="N31" s="36">
        <v>19001.751609999999</v>
      </c>
      <c r="O31" s="36">
        <v>19232.413550000001</v>
      </c>
    </row>
    <row r="32" spans="1:15" x14ac:dyDescent="0.35">
      <c r="A32" s="36" t="s">
        <v>194</v>
      </c>
      <c r="B32" s="36" t="s">
        <v>253</v>
      </c>
      <c r="C32" s="36" t="s">
        <v>145</v>
      </c>
      <c r="D32" s="36" t="s">
        <v>183</v>
      </c>
      <c r="E32" s="36" t="s">
        <v>184</v>
      </c>
      <c r="F32" s="36">
        <v>0</v>
      </c>
      <c r="G32" s="36">
        <v>70.009270430000001</v>
      </c>
      <c r="H32" s="36">
        <v>1739.1451589999999</v>
      </c>
      <c r="I32" s="36">
        <v>5998.0485669999998</v>
      </c>
      <c r="J32" s="36">
        <v>6852.8959910000003</v>
      </c>
      <c r="K32" s="36">
        <v>7677.8127469999999</v>
      </c>
      <c r="L32" s="36">
        <v>9082.7672779999994</v>
      </c>
      <c r="M32" s="36">
        <v>10189.23214</v>
      </c>
      <c r="N32" s="36">
        <v>9664.0512419999995</v>
      </c>
      <c r="O32" s="36">
        <v>10278.248460000001</v>
      </c>
    </row>
    <row r="33" spans="1:15" x14ac:dyDescent="0.35">
      <c r="A33" s="36" t="s">
        <v>264</v>
      </c>
      <c r="B33" s="36" t="s">
        <v>189</v>
      </c>
      <c r="C33" s="36" t="s">
        <v>145</v>
      </c>
      <c r="D33" s="36" t="s">
        <v>183</v>
      </c>
      <c r="E33" s="36" t="s">
        <v>184</v>
      </c>
      <c r="F33" s="36">
        <v>0</v>
      </c>
      <c r="G33" s="36">
        <v>19.279479930000001</v>
      </c>
      <c r="H33" s="36">
        <v>1349.6616369999999</v>
      </c>
      <c r="I33" s="36">
        <v>5384.3252140000004</v>
      </c>
      <c r="J33" s="36">
        <v>11401.2209</v>
      </c>
      <c r="K33" s="36">
        <v>13739.184880000001</v>
      </c>
      <c r="L33" s="36">
        <v>15897.514859999999</v>
      </c>
      <c r="M33" s="36">
        <v>18948.251459999999</v>
      </c>
      <c r="N33" s="36">
        <v>21333.287100000001</v>
      </c>
      <c r="O33" s="36">
        <v>22569.526829999999</v>
      </c>
    </row>
    <row r="34" spans="1:15" x14ac:dyDescent="0.35">
      <c r="A34" s="36" t="s">
        <v>264</v>
      </c>
      <c r="B34" s="36" t="s">
        <v>209</v>
      </c>
      <c r="C34" s="36" t="s">
        <v>145</v>
      </c>
      <c r="D34" s="36" t="s">
        <v>183</v>
      </c>
      <c r="E34" s="36" t="s">
        <v>184</v>
      </c>
      <c r="F34" s="36">
        <v>0</v>
      </c>
      <c r="G34" s="36">
        <v>19.515175589999998</v>
      </c>
      <c r="H34" s="36">
        <v>1428.5280909999999</v>
      </c>
      <c r="I34" s="36">
        <v>7452.4662200000002</v>
      </c>
      <c r="J34" s="36">
        <v>10688.442510000001</v>
      </c>
      <c r="K34" s="36">
        <v>12744.454180000001</v>
      </c>
      <c r="L34" s="36">
        <v>15377.702230000001</v>
      </c>
      <c r="M34" s="36">
        <v>18584.139060000001</v>
      </c>
      <c r="N34" s="36">
        <v>20875.65422</v>
      </c>
      <c r="O34" s="36">
        <v>21939.238229999999</v>
      </c>
    </row>
    <row r="35" spans="1:15" x14ac:dyDescent="0.35">
      <c r="A35" s="36" t="s">
        <v>264</v>
      </c>
      <c r="B35" s="36" t="s">
        <v>210</v>
      </c>
      <c r="C35" s="36" t="s">
        <v>145</v>
      </c>
      <c r="D35" s="36" t="s">
        <v>183</v>
      </c>
      <c r="E35" s="36" t="s">
        <v>184</v>
      </c>
      <c r="F35" s="36">
        <v>0</v>
      </c>
      <c r="G35" s="36">
        <v>51.533507669999999</v>
      </c>
      <c r="H35" s="36">
        <v>1566.708361</v>
      </c>
      <c r="I35" s="36">
        <v>7329.7138599999998</v>
      </c>
      <c r="J35" s="36">
        <v>9533.5103139999992</v>
      </c>
      <c r="K35" s="36">
        <v>10999.43059</v>
      </c>
      <c r="L35" s="36">
        <v>14556.88161</v>
      </c>
      <c r="M35" s="36">
        <v>16270.199210000001</v>
      </c>
      <c r="N35" s="36">
        <v>15761.76425</v>
      </c>
      <c r="O35" s="36">
        <v>15340.25117</v>
      </c>
    </row>
    <row r="36" spans="1:15" x14ac:dyDescent="0.35">
      <c r="A36" s="36" t="s">
        <v>264</v>
      </c>
      <c r="B36" s="36" t="s">
        <v>220</v>
      </c>
      <c r="C36" s="36" t="s">
        <v>145</v>
      </c>
      <c r="D36" s="36" t="s">
        <v>183</v>
      </c>
      <c r="E36" s="36" t="s">
        <v>184</v>
      </c>
      <c r="F36" s="36">
        <v>0</v>
      </c>
      <c r="G36" s="36">
        <v>27.369117490000001</v>
      </c>
      <c r="H36" s="36">
        <v>1180.8129819999999</v>
      </c>
      <c r="I36" s="36">
        <v>2508.4098939999999</v>
      </c>
      <c r="J36" s="36">
        <v>5381.3844369999997</v>
      </c>
      <c r="K36" s="36">
        <v>6242.5204819999999</v>
      </c>
      <c r="L36" s="36">
        <v>8467.4223880000009</v>
      </c>
      <c r="M36" s="36">
        <v>12006.008980000001</v>
      </c>
      <c r="N36" s="36">
        <v>12794.767970000001</v>
      </c>
      <c r="O36" s="36">
        <v>12700.208430000001</v>
      </c>
    </row>
    <row r="37" spans="1:15" x14ac:dyDescent="0.35">
      <c r="A37" s="36" t="s">
        <v>264</v>
      </c>
      <c r="B37" s="36" t="s">
        <v>211</v>
      </c>
      <c r="C37" s="36" t="s">
        <v>145</v>
      </c>
      <c r="D37" s="36" t="s">
        <v>183</v>
      </c>
      <c r="E37" s="36" t="s">
        <v>184</v>
      </c>
      <c r="F37" s="36">
        <v>0</v>
      </c>
      <c r="G37" s="36">
        <v>20.36675353</v>
      </c>
      <c r="H37" s="36">
        <v>1585.72189</v>
      </c>
      <c r="I37" s="36">
        <v>6412.4079490000004</v>
      </c>
      <c r="J37" s="36">
        <v>10281.40503</v>
      </c>
      <c r="K37" s="36">
        <v>12776.856089999999</v>
      </c>
      <c r="L37" s="36">
        <v>15809.896119999999</v>
      </c>
      <c r="M37" s="36">
        <v>19530.916669999999</v>
      </c>
      <c r="N37" s="36">
        <v>21474.640520000001</v>
      </c>
      <c r="O37" s="36">
        <v>21862.388719999999</v>
      </c>
    </row>
    <row r="38" spans="1:15" x14ac:dyDescent="0.35">
      <c r="A38" s="36" t="s">
        <v>264</v>
      </c>
      <c r="B38" s="36" t="s">
        <v>265</v>
      </c>
      <c r="C38" s="36" t="s">
        <v>145</v>
      </c>
      <c r="D38" s="36" t="s">
        <v>183</v>
      </c>
      <c r="E38" s="36" t="s">
        <v>184</v>
      </c>
      <c r="F38" s="36">
        <v>0</v>
      </c>
      <c r="G38" s="36">
        <v>0</v>
      </c>
      <c r="H38" s="36">
        <v>868.72834929999999</v>
      </c>
      <c r="I38" s="36">
        <v>5483.3547879999996</v>
      </c>
      <c r="J38" s="36">
        <v>9937.072107</v>
      </c>
      <c r="K38" s="36">
        <v>12179.0905</v>
      </c>
      <c r="L38" s="36">
        <v>14440.91625</v>
      </c>
      <c r="M38" s="36">
        <v>16764.495940000001</v>
      </c>
      <c r="N38" s="36">
        <v>20627.81956</v>
      </c>
      <c r="O38" s="36">
        <v>22850.434300000001</v>
      </c>
    </row>
    <row r="39" spans="1:15" x14ac:dyDescent="0.35">
      <c r="A39" s="36" t="s">
        <v>203</v>
      </c>
      <c r="B39" s="36" t="s">
        <v>266</v>
      </c>
      <c r="C39" s="36" t="s">
        <v>145</v>
      </c>
      <c r="D39" s="36" t="s">
        <v>183</v>
      </c>
      <c r="E39" s="36" t="s">
        <v>184</v>
      </c>
      <c r="F39" s="36">
        <v>0</v>
      </c>
      <c r="G39" s="36">
        <v>0</v>
      </c>
      <c r="H39" s="36">
        <v>121.1</v>
      </c>
      <c r="I39" s="36">
        <v>2441.9</v>
      </c>
      <c r="J39" s="36">
        <v>9384</v>
      </c>
      <c r="K39" s="36">
        <v>12868.2</v>
      </c>
      <c r="L39" s="36">
        <v>14557.8</v>
      </c>
      <c r="M39" s="36">
        <v>15819.7</v>
      </c>
      <c r="N39" s="36">
        <v>18187.599999999999</v>
      </c>
      <c r="O39" s="36">
        <v>21496</v>
      </c>
    </row>
    <row r="40" spans="1:15" x14ac:dyDescent="0.35">
      <c r="A40" s="36" t="s">
        <v>267</v>
      </c>
      <c r="B40" s="36" t="s">
        <v>268</v>
      </c>
      <c r="C40" s="36" t="s">
        <v>145</v>
      </c>
      <c r="D40" s="36" t="s">
        <v>183</v>
      </c>
      <c r="E40" s="36" t="s">
        <v>184</v>
      </c>
      <c r="F40" s="36">
        <v>0</v>
      </c>
      <c r="G40" s="36">
        <v>791.09799999999996</v>
      </c>
      <c r="H40" s="36">
        <v>2790.806333</v>
      </c>
      <c r="I40" s="36">
        <v>5231.7723329999999</v>
      </c>
      <c r="J40" s="36">
        <v>6872.9979999999996</v>
      </c>
      <c r="K40" s="36">
        <v>6705.9703330000002</v>
      </c>
      <c r="L40" s="36">
        <v>6051.5546670000003</v>
      </c>
      <c r="M40" s="36">
        <v>6963.0403329999999</v>
      </c>
      <c r="N40" s="36">
        <v>8852.3490000000002</v>
      </c>
      <c r="O40" s="36">
        <v>11101.394329999999</v>
      </c>
    </row>
    <row r="41" spans="1:15" x14ac:dyDescent="0.35">
      <c r="A41" s="36" t="s">
        <v>267</v>
      </c>
      <c r="B41" s="36" t="s">
        <v>269</v>
      </c>
      <c r="C41" s="36" t="s">
        <v>145</v>
      </c>
      <c r="D41" s="36" t="s">
        <v>183</v>
      </c>
      <c r="E41" s="36" t="s">
        <v>184</v>
      </c>
      <c r="F41" s="36">
        <v>0</v>
      </c>
      <c r="G41" s="36">
        <v>0</v>
      </c>
      <c r="H41" s="36">
        <v>3252.04</v>
      </c>
      <c r="I41" s="36">
        <v>9439.2943329999998</v>
      </c>
      <c r="J41" s="36">
        <v>15832.74733</v>
      </c>
      <c r="K41" s="36">
        <v>13625.81367</v>
      </c>
      <c r="L41" s="36">
        <v>10836.880999999999</v>
      </c>
      <c r="M41" s="36">
        <v>10104.768669999999</v>
      </c>
      <c r="N41" s="36">
        <v>10730.44867</v>
      </c>
      <c r="O41" s="36">
        <v>11390.056329999999</v>
      </c>
    </row>
    <row r="42" spans="1:15" x14ac:dyDescent="0.35">
      <c r="A42" s="36" t="s">
        <v>267</v>
      </c>
      <c r="B42" s="36" t="s">
        <v>270</v>
      </c>
      <c r="C42" s="36" t="s">
        <v>145</v>
      </c>
      <c r="D42" s="36" t="s">
        <v>183</v>
      </c>
      <c r="E42" s="36" t="s">
        <v>184</v>
      </c>
      <c r="F42" s="36">
        <v>0</v>
      </c>
      <c r="G42" s="36">
        <v>0</v>
      </c>
      <c r="H42" s="36">
        <v>1193.2836669999999</v>
      </c>
      <c r="I42" s="36">
        <v>5577.2163330000003</v>
      </c>
      <c r="J42" s="36">
        <v>13029.21767</v>
      </c>
      <c r="K42" s="36">
        <v>17264.28</v>
      </c>
      <c r="L42" s="36">
        <v>17920.902999999998</v>
      </c>
      <c r="M42" s="36">
        <v>16243.271000000001</v>
      </c>
      <c r="N42" s="36">
        <v>15022.802669999999</v>
      </c>
      <c r="O42" s="36">
        <v>13653.266</v>
      </c>
    </row>
    <row r="43" spans="1:15" x14ac:dyDescent="0.35">
      <c r="A43" s="36" t="s">
        <v>267</v>
      </c>
      <c r="B43" s="36" t="s">
        <v>271</v>
      </c>
      <c r="C43" s="36" t="s">
        <v>145</v>
      </c>
      <c r="D43" s="36" t="s">
        <v>183</v>
      </c>
      <c r="E43" s="36" t="s">
        <v>184</v>
      </c>
      <c r="F43" s="36">
        <v>0</v>
      </c>
      <c r="G43" s="36">
        <v>369.35066669999998</v>
      </c>
      <c r="H43" s="36">
        <v>2046.8983330000001</v>
      </c>
      <c r="I43" s="36">
        <v>5119.9426670000003</v>
      </c>
      <c r="J43" s="36">
        <v>7589.7213330000004</v>
      </c>
      <c r="K43" s="36">
        <v>8541.5403330000008</v>
      </c>
      <c r="L43" s="36">
        <v>8498.856667</v>
      </c>
      <c r="M43" s="36">
        <v>9541.0920000000006</v>
      </c>
      <c r="N43" s="36">
        <v>10706.728999999999</v>
      </c>
      <c r="O43" s="36">
        <v>11801.29867</v>
      </c>
    </row>
    <row r="44" spans="1:15" x14ac:dyDescent="0.35">
      <c r="A44" s="36" t="s">
        <v>267</v>
      </c>
      <c r="B44" s="36" t="s">
        <v>272</v>
      </c>
      <c r="C44" s="36" t="s">
        <v>145</v>
      </c>
      <c r="D44" s="36" t="s">
        <v>183</v>
      </c>
      <c r="E44" s="36" t="s">
        <v>184</v>
      </c>
      <c r="F44" s="36">
        <v>0</v>
      </c>
      <c r="G44" s="36">
        <v>229.23266670000001</v>
      </c>
      <c r="H44" s="36">
        <v>3765.0983329999999</v>
      </c>
      <c r="I44" s="36">
        <v>11367.092000000001</v>
      </c>
      <c r="J44" s="36">
        <v>18608.648669999999</v>
      </c>
      <c r="K44" s="36">
        <v>14747.54233</v>
      </c>
      <c r="L44" s="36">
        <v>13308.70933</v>
      </c>
      <c r="M44" s="36">
        <v>13506.595670000001</v>
      </c>
      <c r="N44" s="36">
        <v>14660.635</v>
      </c>
      <c r="O44" s="36">
        <v>15680.98033</v>
      </c>
    </row>
    <row r="45" spans="1:15" x14ac:dyDescent="0.35">
      <c r="A45" s="36" t="s">
        <v>267</v>
      </c>
      <c r="B45" s="36" t="s">
        <v>273</v>
      </c>
      <c r="C45" s="36" t="s">
        <v>145</v>
      </c>
      <c r="D45" s="36" t="s">
        <v>183</v>
      </c>
      <c r="E45" s="36" t="s">
        <v>184</v>
      </c>
      <c r="F45" s="36">
        <v>0</v>
      </c>
      <c r="G45" s="36">
        <v>229.23266670000001</v>
      </c>
      <c r="H45" s="36">
        <v>3469.5356670000001</v>
      </c>
      <c r="I45" s="36">
        <v>10483.740669999999</v>
      </c>
      <c r="J45" s="36">
        <v>18691.863669999999</v>
      </c>
      <c r="K45" s="36">
        <v>19404.374</v>
      </c>
      <c r="L45" s="36">
        <v>17286.477999999999</v>
      </c>
      <c r="M45" s="36">
        <v>14596.38767</v>
      </c>
      <c r="N45" s="36">
        <v>13451.262000000001</v>
      </c>
      <c r="O45" s="36">
        <v>14088.425999999999</v>
      </c>
    </row>
    <row r="46" spans="1:15" x14ac:dyDescent="0.35">
      <c r="A46" s="36" t="s">
        <v>267</v>
      </c>
      <c r="B46" s="36" t="s">
        <v>274</v>
      </c>
      <c r="C46" s="36" t="s">
        <v>145</v>
      </c>
      <c r="D46" s="36" t="s">
        <v>183</v>
      </c>
      <c r="E46" s="36" t="s">
        <v>184</v>
      </c>
      <c r="F46" s="36">
        <v>0</v>
      </c>
      <c r="G46" s="36">
        <v>229.13366669999999</v>
      </c>
      <c r="H46" s="36">
        <v>2326.221333</v>
      </c>
      <c r="I46" s="36">
        <v>8831.9660000000003</v>
      </c>
      <c r="J46" s="36">
        <v>20545.20967</v>
      </c>
      <c r="K46" s="36">
        <v>27196.348669999999</v>
      </c>
      <c r="L46" s="36">
        <v>28236.46833</v>
      </c>
      <c r="M46" s="36">
        <v>25692.92367</v>
      </c>
      <c r="N46" s="36">
        <v>22199.78933</v>
      </c>
      <c r="O46" s="36">
        <v>17570.127670000002</v>
      </c>
    </row>
    <row r="47" spans="1:15" x14ac:dyDescent="0.35">
      <c r="A47" s="36" t="s">
        <v>267</v>
      </c>
      <c r="B47" s="36" t="s">
        <v>275</v>
      </c>
      <c r="C47" s="36" t="s">
        <v>145</v>
      </c>
      <c r="D47" s="36" t="s">
        <v>183</v>
      </c>
      <c r="E47" s="36" t="s">
        <v>184</v>
      </c>
      <c r="F47" s="36">
        <v>0</v>
      </c>
      <c r="G47" s="36">
        <v>229.1263333</v>
      </c>
      <c r="H47" s="36">
        <v>2251.498333</v>
      </c>
      <c r="I47" s="36">
        <v>8436.5416669999995</v>
      </c>
      <c r="J47" s="36">
        <v>19911.936000000002</v>
      </c>
      <c r="K47" s="36">
        <v>26040.13133</v>
      </c>
      <c r="L47" s="36">
        <v>27830.792000000001</v>
      </c>
      <c r="M47" s="36">
        <v>25234.711329999998</v>
      </c>
      <c r="N47" s="36">
        <v>23491.431329999999</v>
      </c>
      <c r="O47" s="36">
        <v>20087.400669999999</v>
      </c>
    </row>
    <row r="48" spans="1:15" x14ac:dyDescent="0.35">
      <c r="A48" s="36" t="s">
        <v>205</v>
      </c>
      <c r="B48" s="36" t="s">
        <v>250</v>
      </c>
      <c r="C48" s="36" t="s">
        <v>145</v>
      </c>
      <c r="D48" s="36" t="s">
        <v>183</v>
      </c>
      <c r="E48" s="36" t="s">
        <v>184</v>
      </c>
      <c r="F48" s="36">
        <v>0</v>
      </c>
      <c r="G48" s="36">
        <v>9.9073333330000004</v>
      </c>
      <c r="H48" s="36">
        <v>1403.7760000000001</v>
      </c>
      <c r="I48" s="36">
        <v>8027.0630000000001</v>
      </c>
      <c r="J48" s="36">
        <v>21857.308000000001</v>
      </c>
      <c r="K48" s="36">
        <v>29922.350330000001</v>
      </c>
      <c r="L48" s="36">
        <v>38177.872329999998</v>
      </c>
      <c r="M48" s="36">
        <v>43530.267</v>
      </c>
      <c r="N48" s="36">
        <v>44253.737000000001</v>
      </c>
      <c r="O48" s="36">
        <v>44252.937669999999</v>
      </c>
    </row>
    <row r="49" spans="1:15" x14ac:dyDescent="0.35">
      <c r="A49" s="36" t="s">
        <v>205</v>
      </c>
      <c r="B49" s="36" t="s">
        <v>215</v>
      </c>
      <c r="C49" s="36" t="s">
        <v>145</v>
      </c>
      <c r="D49" s="36" t="s">
        <v>183</v>
      </c>
      <c r="E49" s="36" t="s">
        <v>184</v>
      </c>
      <c r="F49" s="36">
        <v>0</v>
      </c>
      <c r="G49" s="36">
        <v>9.9073333330000004</v>
      </c>
      <c r="H49" s="36">
        <v>4561.8356670000003</v>
      </c>
      <c r="I49" s="36">
        <v>13738.545330000001</v>
      </c>
      <c r="J49" s="36">
        <v>24627.254669999998</v>
      </c>
      <c r="K49" s="36">
        <v>30446.988000000001</v>
      </c>
      <c r="L49" s="36">
        <v>36689.953670000003</v>
      </c>
      <c r="M49" s="36">
        <v>37244.650670000003</v>
      </c>
      <c r="N49" s="36">
        <v>33496.220999999998</v>
      </c>
      <c r="O49" s="36">
        <v>31037.658670000001</v>
      </c>
    </row>
    <row r="50" spans="1:15" x14ac:dyDescent="0.35">
      <c r="A50" s="36" t="s">
        <v>205</v>
      </c>
      <c r="B50" s="36" t="s">
        <v>262</v>
      </c>
      <c r="C50" s="36" t="s">
        <v>145</v>
      </c>
      <c r="D50" s="36" t="s">
        <v>183</v>
      </c>
      <c r="E50" s="36" t="s">
        <v>184</v>
      </c>
      <c r="F50" s="36">
        <v>0</v>
      </c>
      <c r="G50" s="36">
        <v>9.9073333330000004</v>
      </c>
      <c r="H50" s="36">
        <v>1536.2086670000001</v>
      </c>
      <c r="I50" s="36">
        <v>6072.6049999999996</v>
      </c>
      <c r="J50" s="36">
        <v>15602.70433</v>
      </c>
      <c r="K50" s="36">
        <v>28120.821670000001</v>
      </c>
      <c r="L50" s="36">
        <v>34890.643329999999</v>
      </c>
      <c r="M50" s="36">
        <v>40405.383329999997</v>
      </c>
      <c r="N50" s="36">
        <v>40888.364000000001</v>
      </c>
      <c r="O50" s="36">
        <v>38366.129999999997</v>
      </c>
    </row>
    <row r="51" spans="1:15" x14ac:dyDescent="0.35">
      <c r="A51" s="36" t="s">
        <v>205</v>
      </c>
      <c r="B51" s="36" t="s">
        <v>217</v>
      </c>
      <c r="C51" s="36" t="s">
        <v>145</v>
      </c>
      <c r="D51" s="36" t="s">
        <v>183</v>
      </c>
      <c r="E51" s="36" t="s">
        <v>184</v>
      </c>
      <c r="F51" s="36">
        <v>0</v>
      </c>
      <c r="G51" s="36">
        <v>9.9073333330000004</v>
      </c>
      <c r="H51" s="36">
        <v>1537.103333</v>
      </c>
      <c r="I51" s="36">
        <v>7031.6729999999998</v>
      </c>
      <c r="J51" s="36">
        <v>15188.550670000001</v>
      </c>
      <c r="K51" s="36">
        <v>22308.854329999998</v>
      </c>
      <c r="L51" s="36">
        <v>23787.067330000002</v>
      </c>
      <c r="M51" s="36">
        <v>24079.725999999999</v>
      </c>
      <c r="N51" s="36">
        <v>27236.85067</v>
      </c>
      <c r="O51" s="36">
        <v>27989.463329999999</v>
      </c>
    </row>
    <row r="52" spans="1:15" x14ac:dyDescent="0.35">
      <c r="A52" s="36" t="s">
        <v>205</v>
      </c>
      <c r="B52" s="36" t="s">
        <v>255</v>
      </c>
      <c r="C52" s="36" t="s">
        <v>145</v>
      </c>
      <c r="D52" s="36" t="s">
        <v>183</v>
      </c>
      <c r="E52" s="36" t="s">
        <v>184</v>
      </c>
      <c r="F52" s="36">
        <v>0</v>
      </c>
      <c r="G52" s="36">
        <v>0</v>
      </c>
      <c r="H52" s="36">
        <v>872.34222720000002</v>
      </c>
      <c r="I52" s="36">
        <v>3862.624468</v>
      </c>
      <c r="J52" s="36">
        <v>9447.5964509999994</v>
      </c>
      <c r="K52" s="36">
        <v>16599.48273</v>
      </c>
      <c r="L52" s="36">
        <v>23296.417969999999</v>
      </c>
      <c r="M52" s="36">
        <v>26845.25029</v>
      </c>
      <c r="N52" s="36">
        <v>25502.26455</v>
      </c>
      <c r="O52" s="36">
        <v>22236.310580000001</v>
      </c>
    </row>
    <row r="53" spans="1:15" x14ac:dyDescent="0.35">
      <c r="A53" s="36" t="s">
        <v>205</v>
      </c>
      <c r="B53" s="36" t="s">
        <v>256</v>
      </c>
      <c r="C53" s="36" t="s">
        <v>145</v>
      </c>
      <c r="D53" s="36" t="s">
        <v>183</v>
      </c>
      <c r="E53" s="36" t="s">
        <v>184</v>
      </c>
      <c r="F53" s="36">
        <v>0</v>
      </c>
      <c r="G53" s="36">
        <v>0</v>
      </c>
      <c r="H53" s="36">
        <v>744.71266230000003</v>
      </c>
      <c r="I53" s="36">
        <v>3799.5236049999999</v>
      </c>
      <c r="J53" s="36">
        <v>10616.193590000001</v>
      </c>
      <c r="K53" s="36">
        <v>18598.68175</v>
      </c>
      <c r="L53" s="36">
        <v>24249.523130000001</v>
      </c>
      <c r="M53" s="36">
        <v>27333.59346</v>
      </c>
      <c r="N53" s="36">
        <v>26189.230230000001</v>
      </c>
      <c r="O53" s="36">
        <v>22971.611140000001</v>
      </c>
    </row>
    <row r="54" spans="1:15" x14ac:dyDescent="0.35">
      <c r="A54" s="36" t="s">
        <v>205</v>
      </c>
      <c r="B54" s="36" t="s">
        <v>276</v>
      </c>
      <c r="C54" s="36" t="s">
        <v>145</v>
      </c>
      <c r="D54" s="36" t="s">
        <v>183</v>
      </c>
      <c r="E54" s="36" t="s">
        <v>184</v>
      </c>
      <c r="F54" s="36">
        <v>0</v>
      </c>
      <c r="G54" s="36">
        <v>0</v>
      </c>
      <c r="H54" s="36">
        <v>1251.5511759999999</v>
      </c>
      <c r="I54" s="36">
        <v>5280.2779680000003</v>
      </c>
      <c r="J54" s="36">
        <v>12522.11573</v>
      </c>
      <c r="K54" s="36">
        <v>19228.465749999999</v>
      </c>
      <c r="L54" s="36">
        <v>24027.185369999999</v>
      </c>
      <c r="M54" s="36">
        <v>25060.721140000001</v>
      </c>
      <c r="N54" s="36">
        <v>21697.294870000002</v>
      </c>
      <c r="O54" s="36">
        <v>15552.11594</v>
      </c>
    </row>
    <row r="55" spans="1:15" x14ac:dyDescent="0.35">
      <c r="A55" s="36" t="s">
        <v>205</v>
      </c>
      <c r="B55" s="36" t="s">
        <v>257</v>
      </c>
      <c r="C55" s="36" t="s">
        <v>145</v>
      </c>
      <c r="D55" s="36" t="s">
        <v>183</v>
      </c>
      <c r="E55" s="36" t="s">
        <v>184</v>
      </c>
      <c r="F55" s="36">
        <v>0</v>
      </c>
      <c r="G55" s="36">
        <v>0</v>
      </c>
      <c r="H55" s="36">
        <v>1901.8116319999999</v>
      </c>
      <c r="I55" s="36">
        <v>6625.5305660000004</v>
      </c>
      <c r="J55" s="36">
        <v>11522.85749</v>
      </c>
      <c r="K55" s="36">
        <v>14551.030710000001</v>
      </c>
      <c r="L55" s="36">
        <v>16381.725130000001</v>
      </c>
      <c r="M55" s="36">
        <v>13538.861349999999</v>
      </c>
      <c r="N55" s="36">
        <v>8732.049293</v>
      </c>
      <c r="O55" s="36">
        <v>4024.278229</v>
      </c>
    </row>
    <row r="56" spans="1:15" x14ac:dyDescent="0.35">
      <c r="A56" s="36" t="s">
        <v>205</v>
      </c>
      <c r="B56" s="36" t="s">
        <v>258</v>
      </c>
      <c r="C56" s="36" t="s">
        <v>145</v>
      </c>
      <c r="D56" s="36" t="s">
        <v>183</v>
      </c>
      <c r="E56" s="36" t="s">
        <v>184</v>
      </c>
      <c r="F56" s="36">
        <v>0</v>
      </c>
      <c r="G56" s="36">
        <v>0</v>
      </c>
      <c r="H56" s="36">
        <v>906.28232709999997</v>
      </c>
      <c r="I56" s="36">
        <v>4133.8275039999999</v>
      </c>
      <c r="J56" s="36">
        <v>11116.365690000001</v>
      </c>
      <c r="K56" s="36">
        <v>18257.5108</v>
      </c>
      <c r="L56" s="36">
        <v>21733.716230000002</v>
      </c>
      <c r="M56" s="36">
        <v>22883.440289999999</v>
      </c>
      <c r="N56" s="36">
        <v>20717.09074</v>
      </c>
      <c r="O56" s="36">
        <v>17474.201730000001</v>
      </c>
    </row>
    <row r="57" spans="1:15" x14ac:dyDescent="0.35">
      <c r="A57" s="36" t="s">
        <v>205</v>
      </c>
      <c r="B57" s="36" t="s">
        <v>259</v>
      </c>
      <c r="C57" s="36" t="s">
        <v>145</v>
      </c>
      <c r="D57" s="36" t="s">
        <v>183</v>
      </c>
      <c r="E57" s="36" t="s">
        <v>184</v>
      </c>
      <c r="F57" s="36">
        <v>0</v>
      </c>
      <c r="G57" s="36">
        <v>0</v>
      </c>
      <c r="H57" s="36">
        <v>2526.361832</v>
      </c>
      <c r="I57" s="36">
        <v>8103.7893910000003</v>
      </c>
      <c r="J57" s="36">
        <v>11858.30531</v>
      </c>
      <c r="K57" s="36">
        <v>14552.066220000001</v>
      </c>
      <c r="L57" s="36">
        <v>14932.6559</v>
      </c>
      <c r="M57" s="36">
        <v>10688.07509</v>
      </c>
      <c r="N57" s="36">
        <v>5167.9545680000001</v>
      </c>
      <c r="O57" s="36">
        <v>2785.8663710000001</v>
      </c>
    </row>
    <row r="58" spans="1:15" x14ac:dyDescent="0.35">
      <c r="A58" s="36" t="s">
        <v>205</v>
      </c>
      <c r="B58" s="36" t="s">
        <v>265</v>
      </c>
      <c r="C58" s="36" t="s">
        <v>145</v>
      </c>
      <c r="D58" s="36" t="s">
        <v>183</v>
      </c>
      <c r="E58" s="36" t="s">
        <v>184</v>
      </c>
      <c r="F58" s="36">
        <v>0</v>
      </c>
      <c r="G58" s="36">
        <v>0</v>
      </c>
      <c r="H58" s="36">
        <v>1609.732225</v>
      </c>
      <c r="I58" s="36">
        <v>6464.6875399999999</v>
      </c>
      <c r="J58" s="36">
        <v>14268.25964</v>
      </c>
      <c r="K58" s="36">
        <v>20668.962439999999</v>
      </c>
      <c r="L58" s="36">
        <v>25245.024130000002</v>
      </c>
      <c r="M58" s="36">
        <v>25465.558079999999</v>
      </c>
      <c r="N58" s="36">
        <v>21999.26038</v>
      </c>
      <c r="O58" s="36">
        <v>17585.046320000001</v>
      </c>
    </row>
    <row r="59" spans="1:15" x14ac:dyDescent="0.35">
      <c r="A59" s="36" t="s">
        <v>205</v>
      </c>
      <c r="B59" s="36" t="s">
        <v>277</v>
      </c>
      <c r="C59" s="36" t="s">
        <v>145</v>
      </c>
      <c r="D59" s="36" t="s">
        <v>183</v>
      </c>
      <c r="E59" s="36" t="s">
        <v>184</v>
      </c>
      <c r="F59" s="36">
        <v>0</v>
      </c>
      <c r="G59" s="36">
        <v>0</v>
      </c>
      <c r="H59" s="36">
        <v>1500.5472090000001</v>
      </c>
      <c r="I59" s="36">
        <v>5555.0473300000003</v>
      </c>
      <c r="J59" s="36">
        <v>10643.14482</v>
      </c>
      <c r="K59" s="36">
        <v>13624.704400000001</v>
      </c>
      <c r="L59" s="36">
        <v>16653.051790000001</v>
      </c>
      <c r="M59" s="36">
        <v>15759.842130000001</v>
      </c>
      <c r="N59" s="36">
        <v>11186.57539</v>
      </c>
      <c r="O59" s="36">
        <v>5788.4872649999998</v>
      </c>
    </row>
    <row r="60" spans="1:15" x14ac:dyDescent="0.35">
      <c r="A60" s="36" t="s">
        <v>205</v>
      </c>
      <c r="B60" s="36" t="s">
        <v>251</v>
      </c>
      <c r="C60" s="36" t="s">
        <v>145</v>
      </c>
      <c r="D60" s="36" t="s">
        <v>183</v>
      </c>
      <c r="E60" s="36" t="s">
        <v>184</v>
      </c>
      <c r="F60" s="36">
        <v>0</v>
      </c>
      <c r="G60" s="36">
        <v>0</v>
      </c>
      <c r="H60" s="36">
        <v>608.08366669999998</v>
      </c>
      <c r="I60" s="36">
        <v>2901.3820000000001</v>
      </c>
      <c r="J60" s="36">
        <v>7909.5940000000001</v>
      </c>
      <c r="K60" s="36">
        <v>14259.828</v>
      </c>
      <c r="L60" s="36">
        <v>19077.36967</v>
      </c>
      <c r="M60" s="36">
        <v>20955.410670000001</v>
      </c>
      <c r="N60" s="36">
        <v>20112.557669999998</v>
      </c>
      <c r="O60" s="36">
        <v>17274.125</v>
      </c>
    </row>
    <row r="61" spans="1:15" x14ac:dyDescent="0.35">
      <c r="A61" s="36" t="s">
        <v>205</v>
      </c>
      <c r="B61" s="36" t="s">
        <v>252</v>
      </c>
      <c r="C61" s="36" t="s">
        <v>145</v>
      </c>
      <c r="D61" s="36" t="s">
        <v>183</v>
      </c>
      <c r="E61" s="36" t="s">
        <v>184</v>
      </c>
      <c r="F61" s="36">
        <v>0</v>
      </c>
      <c r="G61" s="36">
        <v>14.798666669999999</v>
      </c>
      <c r="H61" s="36">
        <v>1149.261667</v>
      </c>
      <c r="I61" s="36">
        <v>4564.6406669999997</v>
      </c>
      <c r="J61" s="36">
        <v>11005.45967</v>
      </c>
      <c r="K61" s="36">
        <v>16585.477330000002</v>
      </c>
      <c r="L61" s="36">
        <v>22888.701000000001</v>
      </c>
      <c r="M61" s="36">
        <v>24607.289669999998</v>
      </c>
      <c r="N61" s="36">
        <v>23031.107</v>
      </c>
      <c r="O61" s="36">
        <v>20883.863000000001</v>
      </c>
    </row>
    <row r="62" spans="1:15" x14ac:dyDescent="0.35">
      <c r="A62" s="36" t="s">
        <v>212</v>
      </c>
      <c r="B62" s="36" t="s">
        <v>249</v>
      </c>
      <c r="C62" s="36" t="s">
        <v>145</v>
      </c>
      <c r="D62" s="36" t="s">
        <v>183</v>
      </c>
      <c r="E62" s="36" t="s">
        <v>184</v>
      </c>
      <c r="F62" s="36">
        <v>0</v>
      </c>
      <c r="G62" s="36">
        <v>0</v>
      </c>
      <c r="H62" s="36">
        <v>1884.760653</v>
      </c>
      <c r="I62" s="36">
        <v>6850.2226520000004</v>
      </c>
      <c r="J62" s="36">
        <v>14658.0082</v>
      </c>
      <c r="K62" s="36">
        <v>21424.246729999999</v>
      </c>
      <c r="L62" s="36">
        <v>25525.65395</v>
      </c>
      <c r="M62" s="36">
        <v>25322.979899999998</v>
      </c>
      <c r="N62" s="36">
        <v>22004.294750000001</v>
      </c>
      <c r="O62" s="36">
        <v>18836.467909999999</v>
      </c>
    </row>
    <row r="63" spans="1:15" x14ac:dyDescent="0.35">
      <c r="A63" s="36" t="s">
        <v>212</v>
      </c>
      <c r="B63" s="36" t="s">
        <v>263</v>
      </c>
      <c r="C63" s="36" t="s">
        <v>145</v>
      </c>
      <c r="D63" s="36" t="s">
        <v>183</v>
      </c>
      <c r="E63" s="36" t="s">
        <v>184</v>
      </c>
      <c r="F63" s="36">
        <v>0</v>
      </c>
      <c r="G63" s="36">
        <v>0</v>
      </c>
      <c r="H63" s="36">
        <v>679.68090129999996</v>
      </c>
      <c r="I63" s="36">
        <v>3289.2063800000001</v>
      </c>
      <c r="J63" s="36">
        <v>8136.2565420000001</v>
      </c>
      <c r="K63" s="36">
        <v>16681.721529999999</v>
      </c>
      <c r="L63" s="36">
        <v>24296.000960000001</v>
      </c>
      <c r="M63" s="36">
        <v>28058.936280000002</v>
      </c>
      <c r="N63" s="36">
        <v>28996.682359999999</v>
      </c>
      <c r="O63" s="36">
        <v>26531.486720000001</v>
      </c>
    </row>
    <row r="64" spans="1:15" x14ac:dyDescent="0.35">
      <c r="A64" s="36" t="s">
        <v>214</v>
      </c>
      <c r="B64" s="36" t="s">
        <v>250</v>
      </c>
      <c r="C64" s="36" t="s">
        <v>145</v>
      </c>
      <c r="D64" s="36" t="s">
        <v>183</v>
      </c>
      <c r="E64" s="36" t="s">
        <v>184</v>
      </c>
      <c r="F64" s="36">
        <v>7.9500109999999999E-3</v>
      </c>
      <c r="G64" s="36">
        <v>1.530901227</v>
      </c>
      <c r="H64" s="36">
        <v>495.67620060000002</v>
      </c>
      <c r="I64" s="36">
        <v>4427.2999540000001</v>
      </c>
      <c r="J64" s="36">
        <v>13996.27209</v>
      </c>
      <c r="K64" s="36">
        <v>21459.793669999999</v>
      </c>
      <c r="L64" s="36">
        <v>24477.53469</v>
      </c>
      <c r="M64" s="36">
        <v>28932.433079999999</v>
      </c>
      <c r="N64" s="36">
        <v>34951.807139999997</v>
      </c>
      <c r="O64" s="36">
        <v>38440.233820000001</v>
      </c>
    </row>
    <row r="65" spans="1:15" x14ac:dyDescent="0.35">
      <c r="A65" s="36" t="s">
        <v>214</v>
      </c>
      <c r="B65" s="36" t="s">
        <v>262</v>
      </c>
      <c r="C65" s="36" t="s">
        <v>145</v>
      </c>
      <c r="D65" s="36" t="s">
        <v>183</v>
      </c>
      <c r="E65" s="36" t="s">
        <v>184</v>
      </c>
      <c r="F65" s="36">
        <v>7.9500109999999999E-3</v>
      </c>
      <c r="G65" s="36">
        <v>1.530901227</v>
      </c>
      <c r="H65" s="36">
        <v>468.53036800000001</v>
      </c>
      <c r="I65" s="36">
        <v>4666.4303099999997</v>
      </c>
      <c r="J65" s="36">
        <v>15543.835359999999</v>
      </c>
      <c r="K65" s="36">
        <v>21716.178889999999</v>
      </c>
      <c r="L65" s="36">
        <v>24422.774590000001</v>
      </c>
      <c r="M65" s="36">
        <v>28544.049180000002</v>
      </c>
      <c r="N65" s="36">
        <v>33721.989820000003</v>
      </c>
      <c r="O65" s="36">
        <v>38024.66648</v>
      </c>
    </row>
    <row r="66" spans="1:15" x14ac:dyDescent="0.35">
      <c r="A66" s="36" t="s">
        <v>218</v>
      </c>
      <c r="B66" s="36" t="s">
        <v>249</v>
      </c>
      <c r="C66" s="36" t="s">
        <v>145</v>
      </c>
      <c r="D66" s="36" t="s">
        <v>183</v>
      </c>
      <c r="E66" s="36" t="s">
        <v>184</v>
      </c>
      <c r="F66" s="36">
        <v>1.9196400000000001E-5</v>
      </c>
      <c r="G66" s="36">
        <v>3.0436191560000001</v>
      </c>
      <c r="H66" s="36">
        <v>46.212181090000001</v>
      </c>
      <c r="I66" s="36">
        <v>1187.4414059999999</v>
      </c>
      <c r="J66" s="36">
        <v>5855.9692379999997</v>
      </c>
      <c r="K66" s="36">
        <v>11756.11328</v>
      </c>
      <c r="L66" s="36">
        <v>15856.561519999999</v>
      </c>
      <c r="M66" s="36">
        <v>19994.371090000001</v>
      </c>
      <c r="N66" s="36">
        <v>25492.970700000002</v>
      </c>
      <c r="O66" s="36">
        <v>31213.703130000002</v>
      </c>
    </row>
    <row r="67" spans="1:15" x14ac:dyDescent="0.35">
      <c r="A67" s="36" t="s">
        <v>218</v>
      </c>
      <c r="B67" s="36" t="s">
        <v>263</v>
      </c>
      <c r="C67" s="36" t="s">
        <v>145</v>
      </c>
      <c r="D67" s="36" t="s">
        <v>183</v>
      </c>
      <c r="E67" s="36" t="s">
        <v>184</v>
      </c>
      <c r="F67" s="36">
        <v>1.9196400000000001E-5</v>
      </c>
      <c r="G67" s="36">
        <v>3.0436191560000001</v>
      </c>
      <c r="H67" s="36">
        <v>35.179809570000003</v>
      </c>
      <c r="I67" s="36">
        <v>461.83163450000001</v>
      </c>
      <c r="J67" s="36">
        <v>3595.4316410000001</v>
      </c>
      <c r="K67" s="36">
        <v>10825.410159999999</v>
      </c>
      <c r="L67" s="36">
        <v>15821.58008</v>
      </c>
      <c r="M67" s="36">
        <v>21227.978520000001</v>
      </c>
      <c r="N67" s="36">
        <v>26882.03125</v>
      </c>
      <c r="O67" s="36">
        <v>32671.974610000001</v>
      </c>
    </row>
    <row r="68" spans="1:15" x14ac:dyDescent="0.35">
      <c r="A68" s="36" t="s">
        <v>219</v>
      </c>
      <c r="B68" s="36" t="s">
        <v>255</v>
      </c>
      <c r="C68" s="36" t="s">
        <v>145</v>
      </c>
      <c r="D68" s="36" t="s">
        <v>183</v>
      </c>
      <c r="E68" s="36" t="s">
        <v>184</v>
      </c>
      <c r="F68" s="36">
        <v>8.4294090000000006E-3</v>
      </c>
      <c r="G68" s="36">
        <v>0.88242554699999998</v>
      </c>
      <c r="H68" s="36">
        <v>280.34127810000001</v>
      </c>
      <c r="I68" s="36">
        <v>2040.5455320000001</v>
      </c>
      <c r="J68" s="36">
        <v>6855.1147460000002</v>
      </c>
      <c r="K68" s="36">
        <v>12853.028319999999</v>
      </c>
      <c r="L68" s="36">
        <v>16707.066409999999</v>
      </c>
      <c r="M68" s="36">
        <v>18337.480469999999</v>
      </c>
      <c r="N68" s="36">
        <v>18322.785159999999</v>
      </c>
      <c r="O68" s="36">
        <v>18309.464840000001</v>
      </c>
    </row>
    <row r="69" spans="1:15" x14ac:dyDescent="0.35">
      <c r="A69" s="36" t="s">
        <v>219</v>
      </c>
      <c r="B69" s="36" t="s">
        <v>256</v>
      </c>
      <c r="C69" s="36" t="s">
        <v>145</v>
      </c>
      <c r="D69" s="36" t="s">
        <v>183</v>
      </c>
      <c r="E69" s="36" t="s">
        <v>184</v>
      </c>
      <c r="F69" s="36">
        <v>8.4294090000000006E-3</v>
      </c>
      <c r="G69" s="36">
        <v>0.88220238699999998</v>
      </c>
      <c r="H69" s="36">
        <v>260.79959109999999</v>
      </c>
      <c r="I69" s="36">
        <v>2338.1301269999999</v>
      </c>
      <c r="J69" s="36">
        <v>7366.1411129999997</v>
      </c>
      <c r="K69" s="36">
        <v>13839.764649999999</v>
      </c>
      <c r="L69" s="36">
        <v>17632.474610000001</v>
      </c>
      <c r="M69" s="36">
        <v>19717.150389999999</v>
      </c>
      <c r="N69" s="36">
        <v>19902.314450000002</v>
      </c>
      <c r="O69" s="36">
        <v>20071.953130000002</v>
      </c>
    </row>
    <row r="70" spans="1:15" x14ac:dyDescent="0.35">
      <c r="A70" s="36" t="s">
        <v>219</v>
      </c>
      <c r="B70" s="36" t="s">
        <v>276</v>
      </c>
      <c r="C70" s="36" t="s">
        <v>145</v>
      </c>
      <c r="D70" s="36" t="s">
        <v>183</v>
      </c>
      <c r="E70" s="36" t="s">
        <v>184</v>
      </c>
      <c r="F70" s="36">
        <v>8.4294090000000006E-3</v>
      </c>
      <c r="G70" s="36">
        <v>0.88220131400000001</v>
      </c>
      <c r="H70" s="36">
        <v>367.49822999999998</v>
      </c>
      <c r="I70" s="36">
        <v>2490.1892090000001</v>
      </c>
      <c r="J70" s="36">
        <v>6806.7241210000002</v>
      </c>
      <c r="K70" s="36">
        <v>10380.02051</v>
      </c>
      <c r="L70" s="36">
        <v>12280.81738</v>
      </c>
      <c r="M70" s="36">
        <v>12815.12305</v>
      </c>
      <c r="N70" s="36">
        <v>12672.1582</v>
      </c>
      <c r="O70" s="36">
        <v>12216.10059</v>
      </c>
    </row>
    <row r="71" spans="1:15" x14ac:dyDescent="0.35">
      <c r="A71" s="36" t="s">
        <v>219</v>
      </c>
      <c r="B71" s="36" t="s">
        <v>257</v>
      </c>
      <c r="C71" s="36" t="s">
        <v>145</v>
      </c>
      <c r="D71" s="36" t="s">
        <v>183</v>
      </c>
      <c r="E71" s="36" t="s">
        <v>184</v>
      </c>
      <c r="F71" s="36">
        <v>8.4294090000000006E-3</v>
      </c>
      <c r="G71" s="36">
        <v>0.88219964500000003</v>
      </c>
      <c r="H71" s="36">
        <v>363.3779907</v>
      </c>
      <c r="I71" s="36">
        <v>1408.2655030000001</v>
      </c>
      <c r="J71" s="36">
        <v>2517.5241700000001</v>
      </c>
      <c r="K71" s="36">
        <v>3636.5690920000002</v>
      </c>
      <c r="L71" s="36">
        <v>4221.0170900000003</v>
      </c>
      <c r="M71" s="36">
        <v>4227.6025390000004</v>
      </c>
      <c r="N71" s="36">
        <v>3913.5073240000002</v>
      </c>
      <c r="O71" s="36">
        <v>3620.6655270000001</v>
      </c>
    </row>
    <row r="72" spans="1:15" x14ac:dyDescent="0.35">
      <c r="A72" s="36" t="s">
        <v>219</v>
      </c>
      <c r="B72" s="36" t="s">
        <v>258</v>
      </c>
      <c r="C72" s="36" t="s">
        <v>145</v>
      </c>
      <c r="D72" s="36" t="s">
        <v>183</v>
      </c>
      <c r="E72" s="36" t="s">
        <v>184</v>
      </c>
      <c r="F72" s="36">
        <v>8.4294090000000006E-3</v>
      </c>
      <c r="G72" s="36">
        <v>0.88289499299999996</v>
      </c>
      <c r="H72" s="36">
        <v>260.6931763</v>
      </c>
      <c r="I72" s="36">
        <v>2224.2121579999998</v>
      </c>
      <c r="J72" s="36">
        <v>6661.810547</v>
      </c>
      <c r="K72" s="36">
        <v>12402.552729999999</v>
      </c>
      <c r="L72" s="36">
        <v>15612.481449999999</v>
      </c>
      <c r="M72" s="36">
        <v>16904.162110000001</v>
      </c>
      <c r="N72" s="36">
        <v>16613.039059999999</v>
      </c>
      <c r="O72" s="36">
        <v>16606.660159999999</v>
      </c>
    </row>
    <row r="73" spans="1:15" x14ac:dyDescent="0.35">
      <c r="A73" s="36" t="s">
        <v>219</v>
      </c>
      <c r="B73" s="36" t="s">
        <v>259</v>
      </c>
      <c r="C73" s="36" t="s">
        <v>145</v>
      </c>
      <c r="D73" s="36" t="s">
        <v>183</v>
      </c>
      <c r="E73" s="36" t="s">
        <v>184</v>
      </c>
      <c r="F73" s="36">
        <v>8.4294090000000006E-3</v>
      </c>
      <c r="G73" s="36">
        <v>0.88289332399999998</v>
      </c>
      <c r="H73" s="36">
        <v>369.08358759999999</v>
      </c>
      <c r="I73" s="36">
        <v>1405.442139</v>
      </c>
      <c r="J73" s="36">
        <v>2499.3107909999999</v>
      </c>
      <c r="K73" s="36">
        <v>3553.986328</v>
      </c>
      <c r="L73" s="36">
        <v>4042.4721679999998</v>
      </c>
      <c r="M73" s="36">
        <v>4006.3625489999999</v>
      </c>
      <c r="N73" s="36">
        <v>3653.900635</v>
      </c>
      <c r="O73" s="36">
        <v>3331.3996579999998</v>
      </c>
    </row>
    <row r="74" spans="1:15" x14ac:dyDescent="0.35">
      <c r="A74" s="36" t="s">
        <v>219</v>
      </c>
      <c r="B74" s="36" t="s">
        <v>265</v>
      </c>
      <c r="C74" s="36" t="s">
        <v>145</v>
      </c>
      <c r="D74" s="36" t="s">
        <v>183</v>
      </c>
      <c r="E74" s="36" t="s">
        <v>184</v>
      </c>
      <c r="F74" s="36">
        <v>2.6614469999999999E-3</v>
      </c>
      <c r="G74" s="36">
        <v>0.29915922900000003</v>
      </c>
      <c r="H74" s="36">
        <v>135.9313507</v>
      </c>
      <c r="I74" s="36">
        <v>1085.9860839999999</v>
      </c>
      <c r="J74" s="36">
        <v>4053.7238769999999</v>
      </c>
      <c r="K74" s="36">
        <v>11575.67578</v>
      </c>
      <c r="L74" s="36">
        <v>16837.0625</v>
      </c>
      <c r="M74" s="36">
        <v>19482.810549999998</v>
      </c>
      <c r="N74" s="36">
        <v>19077.708979999999</v>
      </c>
      <c r="O74" s="36">
        <v>18622.160159999999</v>
      </c>
    </row>
    <row r="75" spans="1:15" x14ac:dyDescent="0.35">
      <c r="A75" s="36" t="s">
        <v>219</v>
      </c>
      <c r="B75" s="36" t="s">
        <v>277</v>
      </c>
      <c r="C75" s="36" t="s">
        <v>145</v>
      </c>
      <c r="D75" s="36" t="s">
        <v>183</v>
      </c>
      <c r="E75" s="36" t="s">
        <v>184</v>
      </c>
      <c r="F75" s="36">
        <v>2.6614469999999999E-3</v>
      </c>
      <c r="G75" s="36">
        <v>0.29963025500000001</v>
      </c>
      <c r="H75" s="36">
        <v>135.76713559999999</v>
      </c>
      <c r="I75" s="36">
        <v>957.38757320000002</v>
      </c>
      <c r="J75" s="36">
        <v>2374.915039</v>
      </c>
      <c r="K75" s="36">
        <v>4286.796875</v>
      </c>
      <c r="L75" s="36">
        <v>5304.7475590000004</v>
      </c>
      <c r="M75" s="36">
        <v>5231.826172</v>
      </c>
      <c r="N75" s="36">
        <v>4452.6020509999998</v>
      </c>
      <c r="O75" s="36">
        <v>3579.8420409999999</v>
      </c>
    </row>
    <row r="76" spans="1:15" x14ac:dyDescent="0.35">
      <c r="A76" s="36" t="s">
        <v>222</v>
      </c>
      <c r="B76" s="36" t="s">
        <v>278</v>
      </c>
      <c r="C76" s="36" t="s">
        <v>145</v>
      </c>
      <c r="D76" s="36" t="s">
        <v>183</v>
      </c>
      <c r="E76" s="36" t="s">
        <v>184</v>
      </c>
      <c r="F76" s="36">
        <v>0</v>
      </c>
      <c r="G76" s="36">
        <v>53.653999329999998</v>
      </c>
      <c r="H76" s="36">
        <v>1100.8289789999999</v>
      </c>
      <c r="I76" s="36">
        <v>4513.9160160000001</v>
      </c>
      <c r="J76" s="36">
        <v>9081.7548829999996</v>
      </c>
      <c r="K76" s="36">
        <v>13445.068359999999</v>
      </c>
      <c r="L76" s="36">
        <v>15597.95313</v>
      </c>
      <c r="M76" s="36">
        <v>15567.35059</v>
      </c>
      <c r="N76" s="36">
        <v>16131.880859999999</v>
      </c>
      <c r="O76" s="36">
        <v>16877.6875</v>
      </c>
    </row>
    <row r="77" spans="1:15" x14ac:dyDescent="0.35">
      <c r="A77" s="36" t="s">
        <v>222</v>
      </c>
      <c r="B77" s="36" t="s">
        <v>279</v>
      </c>
      <c r="C77" s="36" t="s">
        <v>145</v>
      </c>
      <c r="D77" s="36" t="s">
        <v>183</v>
      </c>
      <c r="E77" s="36" t="s">
        <v>184</v>
      </c>
      <c r="F77" s="36">
        <v>0</v>
      </c>
      <c r="G77" s="36">
        <v>62.332000729999997</v>
      </c>
      <c r="H77" s="36">
        <v>1356.4320070000001</v>
      </c>
      <c r="I77" s="36">
        <v>5607.3427730000003</v>
      </c>
      <c r="J77" s="36">
        <v>10095.884770000001</v>
      </c>
      <c r="K77" s="36">
        <v>13810.85547</v>
      </c>
      <c r="L77" s="36">
        <v>15710.072270000001</v>
      </c>
      <c r="M77" s="36">
        <v>15603.91797</v>
      </c>
      <c r="N77" s="36">
        <v>16063.63184</v>
      </c>
      <c r="O77" s="36">
        <v>16828.835940000001</v>
      </c>
    </row>
    <row r="78" spans="1:15" x14ac:dyDescent="0.35">
      <c r="A78" s="36" t="s">
        <v>222</v>
      </c>
      <c r="B78" s="36" t="s">
        <v>280</v>
      </c>
      <c r="C78" s="36" t="s">
        <v>145</v>
      </c>
      <c r="D78" s="36" t="s">
        <v>183</v>
      </c>
      <c r="E78" s="36" t="s">
        <v>184</v>
      </c>
      <c r="F78" s="36">
        <v>0</v>
      </c>
      <c r="G78" s="36">
        <v>44.611999509999997</v>
      </c>
      <c r="H78" s="36">
        <v>908.24499509999998</v>
      </c>
      <c r="I78" s="36">
        <v>3524.6040039999998</v>
      </c>
      <c r="J78" s="36">
        <v>6889.1508789999998</v>
      </c>
      <c r="K78" s="36">
        <v>11225.648440000001</v>
      </c>
      <c r="L78" s="36">
        <v>14272.47754</v>
      </c>
      <c r="M78" s="36">
        <v>15315.414059999999</v>
      </c>
      <c r="N78" s="36">
        <v>16260.38184</v>
      </c>
      <c r="O78" s="36">
        <v>16973.310549999998</v>
      </c>
    </row>
    <row r="79" spans="1:15" x14ac:dyDescent="0.35">
      <c r="A79" s="36" t="s">
        <v>227</v>
      </c>
      <c r="B79" s="36" t="s">
        <v>250</v>
      </c>
      <c r="C79" s="36" t="s">
        <v>145</v>
      </c>
      <c r="D79" s="36" t="s">
        <v>183</v>
      </c>
      <c r="E79" s="36" t="s">
        <v>184</v>
      </c>
      <c r="F79" s="36">
        <v>0</v>
      </c>
      <c r="G79" s="36">
        <v>0.77800000000000002</v>
      </c>
      <c r="H79" s="36">
        <v>183.40289999999999</v>
      </c>
      <c r="I79" s="36">
        <v>2160.4484000000002</v>
      </c>
      <c r="J79" s="36">
        <v>5566.9322000000002</v>
      </c>
      <c r="K79" s="36">
        <v>8787.2625000000007</v>
      </c>
      <c r="L79" s="36">
        <v>11245.402899999999</v>
      </c>
      <c r="M79" s="36">
        <v>12492.4588</v>
      </c>
      <c r="N79" s="36">
        <v>13049.998</v>
      </c>
      <c r="O79" s="36">
        <v>13686.1276</v>
      </c>
    </row>
    <row r="80" spans="1:15" x14ac:dyDescent="0.35">
      <c r="A80" s="36" t="s">
        <v>227</v>
      </c>
      <c r="B80" s="36" t="s">
        <v>215</v>
      </c>
      <c r="C80" s="36" t="s">
        <v>145</v>
      </c>
      <c r="D80" s="36" t="s">
        <v>183</v>
      </c>
      <c r="E80" s="36" t="s">
        <v>184</v>
      </c>
      <c r="F80" s="36">
        <v>0</v>
      </c>
      <c r="G80" s="36">
        <v>0.77800000000000002</v>
      </c>
      <c r="H80" s="36">
        <v>592.02840000000003</v>
      </c>
      <c r="I80" s="36">
        <v>3556.5933</v>
      </c>
      <c r="J80" s="36">
        <v>6757.4564</v>
      </c>
      <c r="K80" s="36">
        <v>10001.6366</v>
      </c>
      <c r="L80" s="36">
        <v>11967.2369</v>
      </c>
      <c r="M80" s="36">
        <v>12997.6456</v>
      </c>
      <c r="N80" s="36">
        <v>13645.546200000001</v>
      </c>
      <c r="O80" s="36">
        <v>14527.265799999999</v>
      </c>
    </row>
    <row r="81" spans="1:15" x14ac:dyDescent="0.35">
      <c r="A81" s="36" t="s">
        <v>227</v>
      </c>
      <c r="B81" s="36" t="s">
        <v>217</v>
      </c>
      <c r="C81" s="36" t="s">
        <v>145</v>
      </c>
      <c r="D81" s="36" t="s">
        <v>183</v>
      </c>
      <c r="E81" s="36" t="s">
        <v>184</v>
      </c>
      <c r="F81" s="36">
        <v>0</v>
      </c>
      <c r="G81" s="36">
        <v>0.77800000000000002</v>
      </c>
      <c r="H81" s="36">
        <v>69.616399999999999</v>
      </c>
      <c r="I81" s="36">
        <v>2318.7899000000002</v>
      </c>
      <c r="J81" s="36">
        <v>7049.5567000000001</v>
      </c>
      <c r="K81" s="36">
        <v>11047.4863</v>
      </c>
      <c r="L81" s="36">
        <v>13017.9642</v>
      </c>
      <c r="M81" s="36">
        <v>14257.4663</v>
      </c>
      <c r="N81" s="36">
        <v>14900.1613</v>
      </c>
      <c r="O81" s="36">
        <v>15432.155000000001</v>
      </c>
    </row>
    <row r="82" spans="1:15" x14ac:dyDescent="0.35">
      <c r="A82" s="36" t="s">
        <v>227</v>
      </c>
      <c r="B82" s="36" t="s">
        <v>281</v>
      </c>
      <c r="C82" s="36" t="s">
        <v>145</v>
      </c>
      <c r="D82" s="36" t="s">
        <v>183</v>
      </c>
      <c r="E82" s="36" t="s">
        <v>184</v>
      </c>
      <c r="F82" s="36">
        <v>0</v>
      </c>
      <c r="G82" s="36">
        <v>0</v>
      </c>
      <c r="H82" s="36">
        <v>359.7353</v>
      </c>
      <c r="I82" s="36">
        <v>2360.2550000000001</v>
      </c>
      <c r="J82" s="36">
        <v>5851.7929999999997</v>
      </c>
      <c r="K82" s="36">
        <v>9612.9269999999997</v>
      </c>
      <c r="L82" s="36">
        <v>11267.46</v>
      </c>
      <c r="M82" s="36">
        <v>10966.07</v>
      </c>
      <c r="N82" s="36">
        <v>10275.17</v>
      </c>
      <c r="O82" s="36">
        <v>8770.1389999999992</v>
      </c>
    </row>
    <row r="83" spans="1:15" x14ac:dyDescent="0.35">
      <c r="A83" s="36" t="s">
        <v>227</v>
      </c>
      <c r="B83" s="36" t="s">
        <v>282</v>
      </c>
      <c r="C83" s="36" t="s">
        <v>145</v>
      </c>
      <c r="D83" s="36" t="s">
        <v>183</v>
      </c>
      <c r="E83" s="36" t="s">
        <v>184</v>
      </c>
      <c r="F83" s="36">
        <v>0</v>
      </c>
      <c r="G83" s="36">
        <v>0</v>
      </c>
      <c r="H83" s="36">
        <v>246.1557</v>
      </c>
      <c r="I83" s="36">
        <v>1644.201</v>
      </c>
      <c r="J83" s="36">
        <v>4495.8729999999996</v>
      </c>
      <c r="K83" s="36">
        <v>9342.3430000000008</v>
      </c>
      <c r="L83" s="36">
        <v>14853.07</v>
      </c>
      <c r="M83" s="36">
        <v>16787.009999999998</v>
      </c>
      <c r="N83" s="36">
        <v>14672.5</v>
      </c>
      <c r="O83" s="36">
        <v>11610.79</v>
      </c>
    </row>
    <row r="84" spans="1:15" x14ac:dyDescent="0.35">
      <c r="A84" s="36" t="s">
        <v>227</v>
      </c>
      <c r="B84" s="36" t="s">
        <v>283</v>
      </c>
      <c r="C84" s="36" t="s">
        <v>145</v>
      </c>
      <c r="D84" s="36" t="s">
        <v>183</v>
      </c>
      <c r="E84" s="36" t="s">
        <v>184</v>
      </c>
      <c r="F84" s="36">
        <v>0</v>
      </c>
      <c r="G84" s="36">
        <v>0</v>
      </c>
      <c r="H84" s="36">
        <v>447.77969999999999</v>
      </c>
      <c r="I84" s="36">
        <v>2644.0010000000002</v>
      </c>
      <c r="J84" s="36">
        <v>5455.6840000000002</v>
      </c>
      <c r="K84" s="36">
        <v>7042.2640000000001</v>
      </c>
      <c r="L84" s="36">
        <v>7583.2539999999999</v>
      </c>
      <c r="M84" s="36">
        <v>7105.1610000000001</v>
      </c>
      <c r="N84" s="36">
        <v>6769.0190000000002</v>
      </c>
      <c r="O84" s="36">
        <v>6474.2709999999997</v>
      </c>
    </row>
    <row r="85" spans="1:15" x14ac:dyDescent="0.35">
      <c r="A85" s="36" t="s">
        <v>231</v>
      </c>
      <c r="B85" s="36" t="s">
        <v>251</v>
      </c>
      <c r="C85" s="36" t="s">
        <v>145</v>
      </c>
      <c r="D85" s="36" t="s">
        <v>183</v>
      </c>
      <c r="E85" s="36" t="s">
        <v>184</v>
      </c>
      <c r="F85" s="36">
        <v>0</v>
      </c>
      <c r="G85" s="36">
        <v>0.377</v>
      </c>
      <c r="H85" s="36">
        <v>61.4</v>
      </c>
      <c r="I85" s="36">
        <v>611</v>
      </c>
      <c r="J85" s="36">
        <v>2600</v>
      </c>
      <c r="K85" s="36">
        <v>5970</v>
      </c>
      <c r="L85" s="36">
        <v>8840</v>
      </c>
      <c r="M85" s="36">
        <v>10200</v>
      </c>
      <c r="N85" s="36">
        <v>10700</v>
      </c>
      <c r="O85" s="36">
        <v>11000</v>
      </c>
    </row>
    <row r="86" spans="1:15" x14ac:dyDescent="0.35">
      <c r="A86" s="36" t="s">
        <v>231</v>
      </c>
      <c r="B86" s="36" t="s">
        <v>252</v>
      </c>
      <c r="C86" s="36" t="s">
        <v>145</v>
      </c>
      <c r="D86" s="36" t="s">
        <v>183</v>
      </c>
      <c r="E86" s="36" t="s">
        <v>184</v>
      </c>
      <c r="F86" s="36">
        <v>0</v>
      </c>
      <c r="G86" s="36">
        <v>2.4900000000000002</v>
      </c>
      <c r="H86" s="36">
        <v>163</v>
      </c>
      <c r="I86" s="36">
        <v>1490</v>
      </c>
      <c r="J86" s="36">
        <v>5080</v>
      </c>
      <c r="K86" s="36">
        <v>9310</v>
      </c>
      <c r="L86" s="36">
        <v>12100</v>
      </c>
      <c r="M86" s="36">
        <v>14000</v>
      </c>
      <c r="N86" s="36">
        <v>15100</v>
      </c>
      <c r="O86" s="36">
        <v>15600</v>
      </c>
    </row>
    <row r="87" spans="1:15" x14ac:dyDescent="0.35">
      <c r="A87" s="36" t="s">
        <v>232</v>
      </c>
      <c r="B87" s="36" t="s">
        <v>249</v>
      </c>
      <c r="C87" s="36" t="s">
        <v>145</v>
      </c>
      <c r="D87" s="36" t="s">
        <v>183</v>
      </c>
      <c r="E87" s="36" t="s">
        <v>184</v>
      </c>
      <c r="F87" s="36">
        <v>0</v>
      </c>
      <c r="G87" s="36">
        <v>2.1840000000000002</v>
      </c>
      <c r="H87" s="36">
        <v>456.14800000000002</v>
      </c>
      <c r="I87" s="36">
        <v>3740.326</v>
      </c>
      <c r="J87" s="36">
        <v>7053.5519999999997</v>
      </c>
      <c r="K87" s="36">
        <v>10195.219999999999</v>
      </c>
      <c r="L87" s="36">
        <v>12082.31</v>
      </c>
      <c r="M87" s="36">
        <v>12981.93</v>
      </c>
      <c r="N87" s="36">
        <v>13684.3</v>
      </c>
      <c r="O87" s="36">
        <v>14214.11</v>
      </c>
    </row>
    <row r="88" spans="1:15" x14ac:dyDescent="0.35">
      <c r="A88" s="36" t="s">
        <v>232</v>
      </c>
      <c r="B88" s="36" t="s">
        <v>263</v>
      </c>
      <c r="C88" s="36" t="s">
        <v>145</v>
      </c>
      <c r="D88" s="36" t="s">
        <v>183</v>
      </c>
      <c r="E88" s="36" t="s">
        <v>184</v>
      </c>
      <c r="F88" s="36">
        <v>0</v>
      </c>
      <c r="G88" s="36">
        <v>2.1840000000000002</v>
      </c>
      <c r="H88" s="36">
        <v>196.2526</v>
      </c>
      <c r="I88" s="36">
        <v>1897.251</v>
      </c>
      <c r="J88" s="36">
        <v>5465.91</v>
      </c>
      <c r="K88" s="36">
        <v>8252.2890000000007</v>
      </c>
      <c r="L88" s="36">
        <v>10477.81</v>
      </c>
      <c r="M88" s="36">
        <v>11723.05</v>
      </c>
      <c r="N88" s="36">
        <v>11938.4</v>
      </c>
      <c r="O88" s="36">
        <v>12186.27</v>
      </c>
    </row>
    <row r="89" spans="1:15" x14ac:dyDescent="0.35">
      <c r="A89" s="36" t="s">
        <v>232</v>
      </c>
      <c r="B89" s="36" t="s">
        <v>276</v>
      </c>
      <c r="C89" s="36" t="s">
        <v>145</v>
      </c>
      <c r="D89" s="36" t="s">
        <v>183</v>
      </c>
      <c r="E89" s="36" t="s">
        <v>184</v>
      </c>
      <c r="F89" s="36">
        <v>0</v>
      </c>
      <c r="G89" s="36">
        <v>15.244199999999999</v>
      </c>
      <c r="H89" s="36">
        <v>447.90690000000001</v>
      </c>
      <c r="I89" s="36">
        <v>3041.4540000000002</v>
      </c>
      <c r="J89" s="36">
        <v>7852.2280000000001</v>
      </c>
      <c r="K89" s="36">
        <v>11362.77</v>
      </c>
      <c r="L89" s="36">
        <v>12695.02</v>
      </c>
      <c r="M89" s="36">
        <v>11908.77</v>
      </c>
      <c r="N89" s="36">
        <v>9769.6959999999999</v>
      </c>
      <c r="O89" s="36">
        <v>7954.3469999999998</v>
      </c>
    </row>
    <row r="90" spans="1:15" x14ac:dyDescent="0.35">
      <c r="A90" s="36" t="s">
        <v>232</v>
      </c>
      <c r="B90" s="36" t="s">
        <v>259</v>
      </c>
      <c r="C90" s="36" t="s">
        <v>145</v>
      </c>
      <c r="D90" s="36" t="s">
        <v>183</v>
      </c>
      <c r="E90" s="36" t="s">
        <v>184</v>
      </c>
      <c r="F90" s="36">
        <v>0</v>
      </c>
      <c r="G90" s="36">
        <v>15.244199999999999</v>
      </c>
      <c r="H90" s="36">
        <v>461.87860000000001</v>
      </c>
      <c r="I90" s="36">
        <v>2702.7109999999998</v>
      </c>
      <c r="J90" s="36">
        <v>6256.8040000000001</v>
      </c>
      <c r="K90" s="36">
        <v>8939.0244999999995</v>
      </c>
      <c r="L90" s="36">
        <v>9748.4120999999996</v>
      </c>
      <c r="M90" s="36">
        <v>8311.5151000000005</v>
      </c>
      <c r="N90" s="36">
        <v>5302.6259</v>
      </c>
      <c r="O90" s="36">
        <v>2623.3548999999998</v>
      </c>
    </row>
    <row r="91" spans="1:15" x14ac:dyDescent="0.35">
      <c r="A91" s="36" t="s">
        <v>232</v>
      </c>
      <c r="B91" s="36" t="s">
        <v>189</v>
      </c>
      <c r="C91" s="36" t="s">
        <v>145</v>
      </c>
      <c r="D91" s="36" t="s">
        <v>183</v>
      </c>
      <c r="E91" s="36" t="s">
        <v>184</v>
      </c>
      <c r="F91" s="36">
        <v>0</v>
      </c>
      <c r="G91" s="36">
        <v>15.244199999999999</v>
      </c>
      <c r="H91" s="36">
        <v>322.6755</v>
      </c>
      <c r="I91" s="36">
        <v>1987.0050000000001</v>
      </c>
      <c r="J91" s="36">
        <v>5482.3220000000001</v>
      </c>
      <c r="K91" s="36">
        <v>10471.51</v>
      </c>
      <c r="L91" s="36">
        <v>14375.18</v>
      </c>
      <c r="M91" s="36">
        <v>15800.13</v>
      </c>
      <c r="N91" s="36">
        <v>16035.06</v>
      </c>
      <c r="O91" s="36">
        <v>16179.59</v>
      </c>
    </row>
    <row r="92" spans="1:15" x14ac:dyDescent="0.35">
      <c r="A92" s="36" t="s">
        <v>232</v>
      </c>
      <c r="B92" s="36" t="s">
        <v>209</v>
      </c>
      <c r="C92" s="36" t="s">
        <v>145</v>
      </c>
      <c r="D92" s="36" t="s">
        <v>183</v>
      </c>
      <c r="E92" s="36" t="s">
        <v>184</v>
      </c>
      <c r="F92" s="36">
        <v>0</v>
      </c>
      <c r="G92" s="36">
        <v>15.244199999999999</v>
      </c>
      <c r="H92" s="36">
        <v>377.03339999999997</v>
      </c>
      <c r="I92" s="36">
        <v>2665.01</v>
      </c>
      <c r="J92" s="36">
        <v>7833.1949999999997</v>
      </c>
      <c r="K92" s="36">
        <v>12500.84</v>
      </c>
      <c r="L92" s="36">
        <v>14768.52</v>
      </c>
      <c r="M92" s="36">
        <v>15880.24</v>
      </c>
      <c r="N92" s="36">
        <v>16029.77</v>
      </c>
      <c r="O92" s="36">
        <v>16186.97</v>
      </c>
    </row>
    <row r="93" spans="1:15" x14ac:dyDescent="0.35">
      <c r="A93" s="36" t="s">
        <v>232</v>
      </c>
      <c r="B93" s="36" t="s">
        <v>210</v>
      </c>
      <c r="C93" s="36" t="s">
        <v>145</v>
      </c>
      <c r="D93" s="36" t="s">
        <v>183</v>
      </c>
      <c r="E93" s="36" t="s">
        <v>184</v>
      </c>
      <c r="F93" s="36">
        <v>0</v>
      </c>
      <c r="G93" s="36">
        <v>15.244199999999999</v>
      </c>
      <c r="H93" s="36">
        <v>1019.076</v>
      </c>
      <c r="I93" s="36">
        <v>6909.0360000000001</v>
      </c>
      <c r="J93" s="36">
        <v>11989.98</v>
      </c>
      <c r="K93" s="36">
        <v>14054.98</v>
      </c>
      <c r="L93" s="36">
        <v>14030.88</v>
      </c>
      <c r="M93" s="36">
        <v>12229.27</v>
      </c>
      <c r="N93" s="36">
        <v>9954.3289999999997</v>
      </c>
      <c r="O93" s="36">
        <v>8439.0249999999996</v>
      </c>
    </row>
    <row r="94" spans="1:15" x14ac:dyDescent="0.35">
      <c r="A94" s="36" t="s">
        <v>232</v>
      </c>
      <c r="B94" s="36" t="s">
        <v>220</v>
      </c>
      <c r="C94" s="36" t="s">
        <v>145</v>
      </c>
      <c r="D94" s="36" t="s">
        <v>183</v>
      </c>
      <c r="E94" s="36" t="s">
        <v>184</v>
      </c>
      <c r="F94" s="36">
        <v>0</v>
      </c>
      <c r="G94" s="36">
        <v>15.244199999999999</v>
      </c>
      <c r="H94" s="36">
        <v>814.13289999999995</v>
      </c>
      <c r="I94" s="36">
        <v>4487.6962999999996</v>
      </c>
      <c r="J94" s="36">
        <v>8662.5198999999993</v>
      </c>
      <c r="K94" s="36">
        <v>11875.2754</v>
      </c>
      <c r="L94" s="36">
        <v>12900.741099999999</v>
      </c>
      <c r="M94" s="36">
        <v>11054.193600000001</v>
      </c>
      <c r="N94" s="36">
        <v>7507.0087000000003</v>
      </c>
      <c r="O94" s="36">
        <v>4099.8078999999998</v>
      </c>
    </row>
    <row r="95" spans="1:15" x14ac:dyDescent="0.35">
      <c r="A95" s="36" t="s">
        <v>232</v>
      </c>
      <c r="B95" s="36" t="s">
        <v>211</v>
      </c>
      <c r="C95" s="36" t="s">
        <v>145</v>
      </c>
      <c r="D95" s="36" t="s">
        <v>183</v>
      </c>
      <c r="E95" s="36" t="s">
        <v>184</v>
      </c>
      <c r="F95" s="36">
        <v>0</v>
      </c>
      <c r="G95" s="36">
        <v>15.244199999999999</v>
      </c>
      <c r="H95" s="36">
        <v>377.11340000000001</v>
      </c>
      <c r="I95" s="36">
        <v>2940.0439999999999</v>
      </c>
      <c r="J95" s="36">
        <v>8881.5329999999994</v>
      </c>
      <c r="K95" s="36">
        <v>13740.17</v>
      </c>
      <c r="L95" s="36">
        <v>15661.65</v>
      </c>
      <c r="M95" s="36">
        <v>16192.98</v>
      </c>
      <c r="N95" s="36">
        <v>16178.65</v>
      </c>
      <c r="O95" s="36">
        <v>16240.63</v>
      </c>
    </row>
    <row r="96" spans="1:15" x14ac:dyDescent="0.35">
      <c r="A96" s="36" t="s">
        <v>232</v>
      </c>
      <c r="B96" s="36" t="s">
        <v>221</v>
      </c>
      <c r="C96" s="36" t="s">
        <v>145</v>
      </c>
      <c r="D96" s="36" t="s">
        <v>183</v>
      </c>
      <c r="E96" s="36" t="s">
        <v>184</v>
      </c>
      <c r="F96" s="36">
        <v>0</v>
      </c>
      <c r="G96" s="36">
        <v>15.244199999999999</v>
      </c>
      <c r="H96" s="36">
        <v>473.61559999999997</v>
      </c>
      <c r="I96" s="36">
        <v>1971.5649000000001</v>
      </c>
      <c r="J96" s="36">
        <v>2445.2908000000002</v>
      </c>
      <c r="K96" s="36">
        <v>2457.6678999999999</v>
      </c>
      <c r="L96" s="36">
        <v>1931.5564999999999</v>
      </c>
      <c r="M96" s="36">
        <v>1091.1885</v>
      </c>
      <c r="N96" s="36">
        <v>633.11019999999996</v>
      </c>
      <c r="O96" s="36">
        <v>457.43819999999999</v>
      </c>
    </row>
    <row r="97" spans="1:15" x14ac:dyDescent="0.35">
      <c r="A97" s="36" t="s">
        <v>232</v>
      </c>
      <c r="B97" s="36" t="s">
        <v>265</v>
      </c>
      <c r="C97" s="36" t="s">
        <v>145</v>
      </c>
      <c r="D97" s="36" t="s">
        <v>183</v>
      </c>
      <c r="E97" s="36" t="s">
        <v>184</v>
      </c>
      <c r="F97" s="36">
        <v>0</v>
      </c>
      <c r="G97" s="36">
        <v>0</v>
      </c>
      <c r="H97" s="36">
        <v>255.02459999999999</v>
      </c>
      <c r="I97" s="36">
        <v>2258.7840000000001</v>
      </c>
      <c r="J97" s="36">
        <v>7040.8689999999997</v>
      </c>
      <c r="K97" s="36">
        <v>11694.72</v>
      </c>
      <c r="L97" s="36">
        <v>14375.88</v>
      </c>
      <c r="M97" s="36">
        <v>15701.68</v>
      </c>
      <c r="N97" s="36">
        <v>15939.89</v>
      </c>
      <c r="O97" s="36">
        <v>16138.62</v>
      </c>
    </row>
    <row r="98" spans="1:15" x14ac:dyDescent="0.35">
      <c r="A98" s="36" t="s">
        <v>232</v>
      </c>
      <c r="B98" s="36" t="s">
        <v>284</v>
      </c>
      <c r="C98" s="36" t="s">
        <v>145</v>
      </c>
      <c r="D98" s="36" t="s">
        <v>183</v>
      </c>
      <c r="E98" s="36" t="s">
        <v>184</v>
      </c>
      <c r="F98" s="36">
        <v>0</v>
      </c>
      <c r="G98" s="36">
        <v>1.6950000000000001</v>
      </c>
      <c r="H98" s="36">
        <v>101.3186</v>
      </c>
      <c r="I98" s="36">
        <v>2420.9659999999999</v>
      </c>
      <c r="J98" s="36">
        <v>7407.2179999999998</v>
      </c>
      <c r="K98" s="36">
        <v>11336.58</v>
      </c>
      <c r="L98" s="36">
        <v>13474.55</v>
      </c>
      <c r="M98" s="36">
        <v>14648.66</v>
      </c>
      <c r="N98" s="36">
        <v>15261.06</v>
      </c>
      <c r="O98" s="36">
        <v>15466.22</v>
      </c>
    </row>
    <row r="99" spans="1:15" x14ac:dyDescent="0.35">
      <c r="A99" s="36" t="s">
        <v>232</v>
      </c>
      <c r="B99" s="36" t="s">
        <v>285</v>
      </c>
      <c r="C99" s="36" t="s">
        <v>145</v>
      </c>
      <c r="D99" s="36" t="s">
        <v>183</v>
      </c>
      <c r="E99" s="36" t="s">
        <v>184</v>
      </c>
      <c r="F99" s="36">
        <v>0</v>
      </c>
      <c r="G99" s="36">
        <v>26.3855</v>
      </c>
      <c r="H99" s="36">
        <v>527.17600000000004</v>
      </c>
      <c r="I99" s="36">
        <v>3879.4259999999999</v>
      </c>
      <c r="J99" s="36">
        <v>7685.3760000000002</v>
      </c>
      <c r="K99" s="36">
        <v>10510.58</v>
      </c>
      <c r="L99" s="36">
        <v>12464.84</v>
      </c>
      <c r="M99" s="36">
        <v>13259.87</v>
      </c>
      <c r="N99" s="36">
        <v>13818.83</v>
      </c>
      <c r="O99" s="36">
        <v>14212.84</v>
      </c>
    </row>
    <row r="100" spans="1:15" x14ac:dyDescent="0.35">
      <c r="A100" s="36" t="s">
        <v>232</v>
      </c>
      <c r="B100" s="36" t="s">
        <v>286</v>
      </c>
      <c r="C100" s="36" t="s">
        <v>145</v>
      </c>
      <c r="D100" s="36" t="s">
        <v>183</v>
      </c>
      <c r="E100" s="36" t="s">
        <v>184</v>
      </c>
      <c r="F100" s="36">
        <v>0</v>
      </c>
      <c r="G100" s="36">
        <v>10.2546</v>
      </c>
      <c r="H100" s="36">
        <v>439.26609999999999</v>
      </c>
      <c r="I100" s="36">
        <v>2869.84</v>
      </c>
      <c r="J100" s="36">
        <v>7657.0990000000002</v>
      </c>
      <c r="K100" s="36">
        <v>11235.02</v>
      </c>
      <c r="L100" s="36">
        <v>13216.22</v>
      </c>
      <c r="M100" s="36">
        <v>14228.63</v>
      </c>
      <c r="N100" s="36">
        <v>14839.91</v>
      </c>
      <c r="O100" s="36">
        <v>15134.74</v>
      </c>
    </row>
    <row r="101" spans="1:15" x14ac:dyDescent="0.35">
      <c r="A101" s="36" t="s">
        <v>232</v>
      </c>
      <c r="B101" s="36" t="s">
        <v>287</v>
      </c>
      <c r="C101" s="36" t="s">
        <v>145</v>
      </c>
      <c r="D101" s="36" t="s">
        <v>183</v>
      </c>
      <c r="E101" s="36" t="s">
        <v>184</v>
      </c>
      <c r="F101" s="36">
        <v>0</v>
      </c>
      <c r="G101" s="36">
        <v>26.3855</v>
      </c>
      <c r="H101" s="36">
        <v>974.65909999999997</v>
      </c>
      <c r="I101" s="36">
        <v>3455.9349999999999</v>
      </c>
      <c r="J101" s="36">
        <v>8108.0410000000002</v>
      </c>
      <c r="K101" s="36">
        <v>11275.16</v>
      </c>
      <c r="L101" s="36">
        <v>13025.75</v>
      </c>
      <c r="M101" s="36">
        <v>13689.44</v>
      </c>
      <c r="N101" s="36">
        <v>14173.41</v>
      </c>
      <c r="O101" s="36">
        <v>14384.68</v>
      </c>
    </row>
    <row r="102" spans="1:15" x14ac:dyDescent="0.35">
      <c r="A102" s="36" t="s">
        <v>232</v>
      </c>
      <c r="B102" s="36" t="s">
        <v>288</v>
      </c>
      <c r="C102" s="36" t="s">
        <v>145</v>
      </c>
      <c r="D102" s="36" t="s">
        <v>183</v>
      </c>
      <c r="E102" s="36" t="s">
        <v>184</v>
      </c>
      <c r="F102" s="36">
        <v>0</v>
      </c>
      <c r="G102" s="36">
        <v>1.6950000000000001</v>
      </c>
      <c r="H102" s="36">
        <v>101.3186</v>
      </c>
      <c r="I102" s="36">
        <v>3444.375</v>
      </c>
      <c r="J102" s="36">
        <v>7843.6880000000001</v>
      </c>
      <c r="K102" s="36">
        <v>7969.5410000000002</v>
      </c>
      <c r="L102" s="36">
        <v>7855.9679999999998</v>
      </c>
      <c r="M102" s="36">
        <v>7661.8450000000003</v>
      </c>
      <c r="N102" s="36">
        <v>7179.0510000000004</v>
      </c>
      <c r="O102" s="36">
        <v>7398.0280000000002</v>
      </c>
    </row>
    <row r="103" spans="1:15" x14ac:dyDescent="0.35">
      <c r="A103" s="36" t="s">
        <v>232</v>
      </c>
      <c r="B103" s="36" t="s">
        <v>289</v>
      </c>
      <c r="C103" s="36" t="s">
        <v>145</v>
      </c>
      <c r="D103" s="36" t="s">
        <v>183</v>
      </c>
      <c r="E103" s="36" t="s">
        <v>184</v>
      </c>
      <c r="F103" s="36">
        <v>0</v>
      </c>
      <c r="G103" s="36">
        <v>26.3855</v>
      </c>
      <c r="H103" s="36">
        <v>578.18520000000001</v>
      </c>
      <c r="I103" s="36">
        <v>4527.0140000000001</v>
      </c>
      <c r="J103" s="36">
        <v>6862.12</v>
      </c>
      <c r="K103" s="36">
        <v>7416.7740000000003</v>
      </c>
      <c r="L103" s="36">
        <v>7592.9679999999998</v>
      </c>
      <c r="M103" s="36">
        <v>7495.9880000000003</v>
      </c>
      <c r="N103" s="36">
        <v>7262.4080000000004</v>
      </c>
      <c r="O103" s="36">
        <v>7249.701</v>
      </c>
    </row>
    <row r="104" spans="1:15" x14ac:dyDescent="0.35">
      <c r="A104" s="36" t="s">
        <v>232</v>
      </c>
      <c r="B104" s="36" t="s">
        <v>290</v>
      </c>
      <c r="C104" s="36" t="s">
        <v>145</v>
      </c>
      <c r="D104" s="36" t="s">
        <v>183</v>
      </c>
      <c r="E104" s="36" t="s">
        <v>184</v>
      </c>
      <c r="F104" s="36">
        <v>0</v>
      </c>
      <c r="G104" s="36">
        <v>10.2546</v>
      </c>
      <c r="H104" s="36">
        <v>439.26609999999999</v>
      </c>
      <c r="I104" s="36">
        <v>3290.616</v>
      </c>
      <c r="J104" s="36">
        <v>7588.2139999999999</v>
      </c>
      <c r="K104" s="36">
        <v>7796.3149999999996</v>
      </c>
      <c r="L104" s="36">
        <v>7669.1570000000002</v>
      </c>
      <c r="M104" s="36">
        <v>7523.0789999999997</v>
      </c>
      <c r="N104" s="36">
        <v>7129.79</v>
      </c>
      <c r="O104" s="36">
        <v>7296.0060000000003</v>
      </c>
    </row>
    <row r="105" spans="1:15" x14ac:dyDescent="0.35">
      <c r="A105" s="36" t="s">
        <v>232</v>
      </c>
      <c r="B105" s="36" t="s">
        <v>291</v>
      </c>
      <c r="C105" s="36" t="s">
        <v>145</v>
      </c>
      <c r="D105" s="36" t="s">
        <v>183</v>
      </c>
      <c r="E105" s="36" t="s">
        <v>184</v>
      </c>
      <c r="F105" s="36">
        <v>0</v>
      </c>
      <c r="G105" s="36">
        <v>26.3855</v>
      </c>
      <c r="H105" s="36">
        <v>974.65909999999997</v>
      </c>
      <c r="I105" s="36">
        <v>3555.5459999999998</v>
      </c>
      <c r="J105" s="36">
        <v>7503.558</v>
      </c>
      <c r="K105" s="36">
        <v>7792.924</v>
      </c>
      <c r="L105" s="36">
        <v>7654.8310000000001</v>
      </c>
      <c r="M105" s="36">
        <v>7492.63</v>
      </c>
      <c r="N105" s="36">
        <v>7116.17</v>
      </c>
      <c r="O105" s="36">
        <v>7222.0150000000003</v>
      </c>
    </row>
    <row r="106" spans="1:15" x14ac:dyDescent="0.35">
      <c r="A106" s="36" t="s">
        <v>232</v>
      </c>
      <c r="B106" s="36" t="s">
        <v>292</v>
      </c>
      <c r="C106" s="36" t="s">
        <v>145</v>
      </c>
      <c r="D106" s="36" t="s">
        <v>183</v>
      </c>
      <c r="E106" s="36" t="s">
        <v>184</v>
      </c>
      <c r="F106" s="36">
        <v>0</v>
      </c>
      <c r="G106" s="36">
        <v>13.3942</v>
      </c>
      <c r="H106" s="36">
        <v>503.31529999999998</v>
      </c>
      <c r="I106" s="36">
        <v>3850.97</v>
      </c>
      <c r="J106" s="36">
        <v>7915.6670000000004</v>
      </c>
      <c r="K106" s="36">
        <v>11175.1</v>
      </c>
      <c r="L106" s="36">
        <v>13360.58</v>
      </c>
      <c r="M106" s="36">
        <v>14291.38</v>
      </c>
      <c r="N106" s="36">
        <v>15042.69</v>
      </c>
      <c r="O106" s="36">
        <v>15336.92</v>
      </c>
    </row>
    <row r="107" spans="1:15" x14ac:dyDescent="0.35">
      <c r="A107" s="36" t="s">
        <v>232</v>
      </c>
      <c r="B107" s="36" t="s">
        <v>293</v>
      </c>
      <c r="C107" s="36" t="s">
        <v>145</v>
      </c>
      <c r="D107" s="36" t="s">
        <v>183</v>
      </c>
      <c r="E107" s="36" t="s">
        <v>184</v>
      </c>
      <c r="F107" s="36">
        <v>0</v>
      </c>
      <c r="G107" s="36">
        <v>89.274900000000002</v>
      </c>
      <c r="H107" s="36">
        <v>1601.01</v>
      </c>
      <c r="I107" s="36">
        <v>5652.6450000000004</v>
      </c>
      <c r="J107" s="36">
        <v>9543.4570000000003</v>
      </c>
      <c r="K107" s="36">
        <v>11570.23</v>
      </c>
      <c r="L107" s="36">
        <v>12418.98</v>
      </c>
      <c r="M107" s="36">
        <v>12387.32</v>
      </c>
      <c r="N107" s="36">
        <v>12232.29</v>
      </c>
      <c r="O107" s="36">
        <v>12500.88</v>
      </c>
    </row>
    <row r="108" spans="1:15" x14ac:dyDescent="0.35">
      <c r="A108" s="36" t="s">
        <v>245</v>
      </c>
      <c r="B108" s="36" t="s">
        <v>251</v>
      </c>
      <c r="C108" s="36" t="s">
        <v>145</v>
      </c>
      <c r="D108" s="36" t="s">
        <v>183</v>
      </c>
      <c r="E108" s="36" t="s">
        <v>184</v>
      </c>
      <c r="F108" s="36">
        <v>1.358057477</v>
      </c>
      <c r="G108" s="36">
        <v>418.78448429999997</v>
      </c>
      <c r="H108" s="36">
        <v>2886.3025090000001</v>
      </c>
      <c r="I108" s="36">
        <v>4858.1487980000002</v>
      </c>
      <c r="J108" s="36">
        <v>7227.8211469999997</v>
      </c>
      <c r="K108" s="36">
        <v>8366.6641199999995</v>
      </c>
      <c r="L108" s="36">
        <v>10633.59727</v>
      </c>
      <c r="M108" s="36">
        <v>11430.534390000001</v>
      </c>
      <c r="N108" s="36">
        <v>11179.21602</v>
      </c>
      <c r="O108" s="36">
        <v>12975.196110000001</v>
      </c>
    </row>
    <row r="109" spans="1:15" x14ac:dyDescent="0.35">
      <c r="A109" s="36" t="s">
        <v>245</v>
      </c>
      <c r="B109" s="36" t="s">
        <v>252</v>
      </c>
      <c r="C109" s="36" t="s">
        <v>145</v>
      </c>
      <c r="D109" s="36" t="s">
        <v>183</v>
      </c>
      <c r="E109" s="36" t="s">
        <v>184</v>
      </c>
      <c r="F109" s="36">
        <v>1.358057477</v>
      </c>
      <c r="G109" s="36">
        <v>600.23158850000004</v>
      </c>
      <c r="H109" s="36">
        <v>4233.2984560000004</v>
      </c>
      <c r="I109" s="36">
        <v>6178.4117690000003</v>
      </c>
      <c r="J109" s="36">
        <v>7611.40744</v>
      </c>
      <c r="K109" s="36">
        <v>10260.3159</v>
      </c>
      <c r="L109" s="36">
        <v>14476.58484</v>
      </c>
      <c r="M109" s="36">
        <v>19243.722239999999</v>
      </c>
      <c r="N109" s="36">
        <v>17506.38033</v>
      </c>
      <c r="O109" s="36">
        <v>15895.038979999999</v>
      </c>
    </row>
    <row r="110" spans="1:15" x14ac:dyDescent="0.35">
      <c r="A110" s="36" t="s">
        <v>245</v>
      </c>
      <c r="B110" s="36" t="s">
        <v>253</v>
      </c>
      <c r="C110" s="36" t="s">
        <v>145</v>
      </c>
      <c r="D110" s="36" t="s">
        <v>183</v>
      </c>
      <c r="E110" s="36" t="s">
        <v>184</v>
      </c>
      <c r="F110" s="36">
        <v>1.358057477</v>
      </c>
      <c r="G110" s="36">
        <v>350.66862980000002</v>
      </c>
      <c r="H110" s="36">
        <v>3110.6093380000002</v>
      </c>
      <c r="I110" s="36">
        <v>6468.7451540000002</v>
      </c>
      <c r="J110" s="36">
        <v>10135.18276</v>
      </c>
      <c r="K110" s="36">
        <v>15333.31619</v>
      </c>
      <c r="L110" s="36">
        <v>16845.052220000001</v>
      </c>
      <c r="M110" s="36">
        <v>17681.79277</v>
      </c>
      <c r="N110" s="36">
        <v>16378.085429999999</v>
      </c>
      <c r="O110" s="36">
        <v>14846.705169999999</v>
      </c>
    </row>
    <row r="111" spans="1:15" x14ac:dyDescent="0.35">
      <c r="A111" s="36" t="s">
        <v>247</v>
      </c>
      <c r="B111" s="36" t="s">
        <v>250</v>
      </c>
      <c r="C111" s="36" t="s">
        <v>145</v>
      </c>
      <c r="D111" s="36" t="s">
        <v>183</v>
      </c>
      <c r="E111" s="36" t="s">
        <v>184</v>
      </c>
      <c r="F111" s="36">
        <v>0.124171269</v>
      </c>
      <c r="G111" s="36">
        <v>282.266368</v>
      </c>
      <c r="H111" s="36">
        <v>2056.7207870000002</v>
      </c>
      <c r="I111" s="36">
        <v>4435.3308610000004</v>
      </c>
      <c r="J111" s="36">
        <v>6934.8141159999996</v>
      </c>
      <c r="K111" s="36">
        <v>10017.262220000001</v>
      </c>
      <c r="L111" s="36">
        <v>15897.505370000001</v>
      </c>
      <c r="M111" s="36">
        <v>20521.86406</v>
      </c>
      <c r="N111" s="36">
        <v>24081.99754</v>
      </c>
      <c r="O111" s="36">
        <v>24915.568480000002</v>
      </c>
    </row>
    <row r="112" spans="1:15" x14ac:dyDescent="0.35">
      <c r="A112" s="36" t="s">
        <v>247</v>
      </c>
      <c r="B112" s="36" t="s">
        <v>215</v>
      </c>
      <c r="C112" s="36" t="s">
        <v>145</v>
      </c>
      <c r="D112" s="36" t="s">
        <v>183</v>
      </c>
      <c r="E112" s="36" t="s">
        <v>184</v>
      </c>
      <c r="F112" s="36">
        <v>0.124171269</v>
      </c>
      <c r="G112" s="36">
        <v>282.266368</v>
      </c>
      <c r="H112" s="36">
        <v>2618.1888939999999</v>
      </c>
      <c r="I112" s="36">
        <v>4697.3427510000001</v>
      </c>
      <c r="J112" s="36">
        <v>7749.6493360000004</v>
      </c>
      <c r="K112" s="36">
        <v>10829.48389</v>
      </c>
      <c r="L112" s="36">
        <v>15400.476629999999</v>
      </c>
      <c r="M112" s="36">
        <v>20578.4244</v>
      </c>
      <c r="N112" s="36">
        <v>24093.649359999999</v>
      </c>
      <c r="O112" s="36">
        <v>24757.697619999999</v>
      </c>
    </row>
    <row r="113" spans="1:15" x14ac:dyDescent="0.35">
      <c r="A113" s="36" t="s">
        <v>247</v>
      </c>
      <c r="B113" s="36" t="s">
        <v>262</v>
      </c>
      <c r="C113" s="36" t="s">
        <v>145</v>
      </c>
      <c r="D113" s="36" t="s">
        <v>183</v>
      </c>
      <c r="E113" s="36" t="s">
        <v>184</v>
      </c>
      <c r="F113" s="36">
        <v>0.124171269</v>
      </c>
      <c r="G113" s="36">
        <v>282.266368</v>
      </c>
      <c r="H113" s="36">
        <v>1672.1018039999999</v>
      </c>
      <c r="I113" s="36">
        <v>4136.504387</v>
      </c>
      <c r="J113" s="36">
        <v>6464.0909929999998</v>
      </c>
      <c r="K113" s="36">
        <v>9938.5538579999993</v>
      </c>
      <c r="L113" s="36">
        <v>14479.6234</v>
      </c>
      <c r="M113" s="36">
        <v>19444.478760000002</v>
      </c>
      <c r="N113" s="36">
        <v>23322.646499999999</v>
      </c>
      <c r="O113" s="36">
        <v>24492.607650000002</v>
      </c>
    </row>
    <row r="114" spans="1:15" x14ac:dyDescent="0.35">
      <c r="A114" s="36" t="s">
        <v>247</v>
      </c>
      <c r="B114" s="36" t="s">
        <v>206</v>
      </c>
      <c r="C114" s="36" t="s">
        <v>145</v>
      </c>
      <c r="D114" s="36" t="s">
        <v>183</v>
      </c>
      <c r="E114" s="36" t="s">
        <v>184</v>
      </c>
      <c r="F114" s="36">
        <v>0.124171269</v>
      </c>
      <c r="G114" s="36">
        <v>282.266368</v>
      </c>
      <c r="H114" s="36">
        <v>1672.1018039999999</v>
      </c>
      <c r="I114" s="36">
        <v>4434.1101699999999</v>
      </c>
      <c r="J114" s="36">
        <v>6960.8346030000002</v>
      </c>
      <c r="K114" s="36">
        <v>10152.349260000001</v>
      </c>
      <c r="L114" s="36">
        <v>14716.14566</v>
      </c>
      <c r="M114" s="36">
        <v>19262.795340000001</v>
      </c>
      <c r="N114" s="36">
        <v>22232.628059999999</v>
      </c>
      <c r="O114" s="36">
        <v>23542.069650000001</v>
      </c>
    </row>
    <row r="115" spans="1:15" x14ac:dyDescent="0.35">
      <c r="A115" s="36" t="s">
        <v>247</v>
      </c>
      <c r="B115" s="36" t="s">
        <v>217</v>
      </c>
      <c r="C115" s="36" t="s">
        <v>145</v>
      </c>
      <c r="D115" s="36" t="s">
        <v>183</v>
      </c>
      <c r="E115" s="36" t="s">
        <v>184</v>
      </c>
      <c r="F115" s="36">
        <v>0.124171269</v>
      </c>
      <c r="G115" s="36">
        <v>282.266368</v>
      </c>
      <c r="H115" s="36">
        <v>1672.1018039999999</v>
      </c>
      <c r="I115" s="36">
        <v>4435.9821499999998</v>
      </c>
      <c r="J115" s="36">
        <v>6797.592568</v>
      </c>
      <c r="K115" s="36">
        <v>9698.2474629999997</v>
      </c>
      <c r="L115" s="36">
        <v>14150.40065</v>
      </c>
      <c r="M115" s="36">
        <v>19340.532480000002</v>
      </c>
      <c r="N115" s="36">
        <v>23247.693149999999</v>
      </c>
      <c r="O115" s="36">
        <v>24376.192480000002</v>
      </c>
    </row>
    <row r="116" spans="1:15" x14ac:dyDescent="0.35">
      <c r="A116" s="36" t="s">
        <v>248</v>
      </c>
      <c r="B116" s="36" t="s">
        <v>263</v>
      </c>
      <c r="C116" s="36" t="s">
        <v>145</v>
      </c>
      <c r="D116" s="36" t="s">
        <v>183</v>
      </c>
      <c r="E116" s="36" t="s">
        <v>184</v>
      </c>
      <c r="F116" s="36">
        <v>5.8895383000000003E-2</v>
      </c>
      <c r="G116" s="36">
        <v>6.7625492999999995E-2</v>
      </c>
      <c r="H116" s="36">
        <v>1327.770313</v>
      </c>
      <c r="I116" s="36">
        <v>4841.2467470000001</v>
      </c>
      <c r="J116" s="36">
        <v>7537.0523309999999</v>
      </c>
      <c r="K116" s="36">
        <v>10014.341969999999</v>
      </c>
      <c r="L116" s="36">
        <v>11874.11463</v>
      </c>
      <c r="M116" s="36">
        <v>12875.34643</v>
      </c>
      <c r="N116" s="36">
        <v>14329.45902</v>
      </c>
      <c r="O116" s="36">
        <v>15436.777690000001</v>
      </c>
    </row>
    <row r="117" spans="1:15" x14ac:dyDescent="0.3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</row>
    <row r="118" spans="1:15" x14ac:dyDescent="0.35">
      <c r="A118" s="36"/>
      <c r="B118" s="36"/>
      <c r="C118" s="36"/>
      <c r="D118" s="36"/>
      <c r="E118" s="36"/>
      <c r="F118" s="36" t="s">
        <v>144</v>
      </c>
      <c r="G118" s="36" t="s">
        <v>172</v>
      </c>
      <c r="H118" s="36" t="s">
        <v>173</v>
      </c>
      <c r="I118" s="36" t="s">
        <v>174</v>
      </c>
      <c r="J118" s="36" t="s">
        <v>175</v>
      </c>
      <c r="K118" s="36" t="s">
        <v>176</v>
      </c>
      <c r="L118" s="36" t="s">
        <v>177</v>
      </c>
      <c r="M118" s="36" t="s">
        <v>178</v>
      </c>
      <c r="N118" s="36" t="s">
        <v>179</v>
      </c>
      <c r="O118" s="36" t="s">
        <v>180</v>
      </c>
    </row>
    <row r="119" spans="1:15" x14ac:dyDescent="0.35">
      <c r="A119" s="36"/>
      <c r="B119" s="36"/>
      <c r="C119" s="36"/>
      <c r="D119" s="36"/>
      <c r="E119" s="36" t="s">
        <v>294</v>
      </c>
      <c r="F119" s="36">
        <v>0</v>
      </c>
      <c r="G119" s="36">
        <v>2.1840000000000002</v>
      </c>
      <c r="H119" s="36">
        <v>814.13289999999995</v>
      </c>
      <c r="I119" s="36">
        <v>4435.9821499999998</v>
      </c>
      <c r="J119" s="36">
        <v>8160.1195230000003</v>
      </c>
      <c r="K119" s="36">
        <v>12283.859645</v>
      </c>
      <c r="L119" s="36">
        <v>14810.795</v>
      </c>
      <c r="M119" s="36">
        <v>16517.347575</v>
      </c>
      <c r="N119" s="36">
        <v>17574.147015000002</v>
      </c>
      <c r="O119" s="36">
        <v>16925.499024999997</v>
      </c>
    </row>
    <row r="120" spans="1:15" x14ac:dyDescent="0.35">
      <c r="A120" s="36"/>
      <c r="B120" s="36"/>
      <c r="C120" s="36"/>
      <c r="D120" s="36"/>
      <c r="E120" s="36" t="s">
        <v>295</v>
      </c>
      <c r="F120" s="36">
        <v>63.113790312363484</v>
      </c>
      <c r="G120" s="36">
        <v>140.69129073144339</v>
      </c>
      <c r="H120" s="36">
        <v>1187.7828628544348</v>
      </c>
      <c r="I120" s="36">
        <v>4752.5352040234784</v>
      </c>
      <c r="J120" s="36">
        <v>9748.2328652347824</v>
      </c>
      <c r="K120" s="36">
        <v>13698.453415842108</v>
      </c>
      <c r="L120" s="36">
        <v>16124.526468815786</v>
      </c>
      <c r="M120" s="36">
        <v>17582.761993359643</v>
      </c>
      <c r="N120" s="36">
        <v>18064.289082657891</v>
      </c>
      <c r="O120" s="36">
        <v>18135.541389131566</v>
      </c>
    </row>
    <row r="121" spans="1:15" x14ac:dyDescent="0.3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</row>
    <row r="122" spans="1:15" x14ac:dyDescent="0.3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</row>
    <row r="123" spans="1:15" x14ac:dyDescent="0.3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</row>
    <row r="124" spans="1:15" x14ac:dyDescent="0.35">
      <c r="A124" s="36"/>
      <c r="B124" s="36" t="s">
        <v>294</v>
      </c>
      <c r="C124" s="36" t="s">
        <v>295</v>
      </c>
      <c r="D124" s="36" t="s">
        <v>146</v>
      </c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</row>
    <row r="125" spans="1:15" x14ac:dyDescent="0.35">
      <c r="A125" s="36">
        <v>2010</v>
      </c>
      <c r="B125" s="36">
        <v>0</v>
      </c>
      <c r="C125" s="36">
        <v>63.113790312363484</v>
      </c>
      <c r="D125" s="36">
        <f>B125</f>
        <v>0</v>
      </c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</row>
    <row r="126" spans="1:15" x14ac:dyDescent="0.35">
      <c r="A126" s="36">
        <v>2020</v>
      </c>
      <c r="B126" s="36">
        <v>2.1840000000000002</v>
      </c>
      <c r="C126" s="36">
        <v>140.69129073144339</v>
      </c>
      <c r="D126" s="36">
        <f>(B126+D125)</f>
        <v>2.1840000000000002</v>
      </c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</row>
    <row r="127" spans="1:15" x14ac:dyDescent="0.35">
      <c r="A127" s="36">
        <v>2030</v>
      </c>
      <c r="B127" s="36">
        <v>814.13289999999995</v>
      </c>
      <c r="C127" s="36">
        <v>1187.7828628544348</v>
      </c>
      <c r="D127" s="36">
        <f t="shared" ref="D127:D134" si="0">(B127+D126)</f>
        <v>816.31689999999992</v>
      </c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</row>
    <row r="128" spans="1:15" x14ac:dyDescent="0.35">
      <c r="A128" s="36">
        <v>2040</v>
      </c>
      <c r="B128" s="36">
        <v>4435.9821499999998</v>
      </c>
      <c r="C128" s="36">
        <v>4752.5352040234784</v>
      </c>
      <c r="D128" s="36">
        <f t="shared" si="0"/>
        <v>5252.2990499999996</v>
      </c>
      <c r="E128" s="36">
        <f>(D128-D126)/D126*100</f>
        <v>240389.88324175822</v>
      </c>
      <c r="F128" s="36"/>
      <c r="G128" s="36"/>
      <c r="H128" s="36"/>
      <c r="I128" s="36"/>
      <c r="J128" s="36"/>
      <c r="K128" s="36"/>
      <c r="L128" s="36"/>
      <c r="M128" s="36"/>
      <c r="N128" s="36"/>
      <c r="O128" s="36"/>
    </row>
    <row r="129" spans="1:15" x14ac:dyDescent="0.35">
      <c r="A129" s="36">
        <v>2050</v>
      </c>
      <c r="B129" s="36">
        <v>8160.1195230000003</v>
      </c>
      <c r="C129" s="36">
        <v>9748.2328652347824</v>
      </c>
      <c r="D129" s="36">
        <f t="shared" si="0"/>
        <v>13412.418572999999</v>
      </c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</row>
    <row r="130" spans="1:15" x14ac:dyDescent="0.35">
      <c r="A130" s="36">
        <v>2060</v>
      </c>
      <c r="B130" s="36">
        <v>12283.859645</v>
      </c>
      <c r="C130" s="36">
        <v>13698.453415842108</v>
      </c>
      <c r="D130" s="36">
        <f t="shared" si="0"/>
        <v>25696.278217999999</v>
      </c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</row>
    <row r="131" spans="1:15" x14ac:dyDescent="0.35">
      <c r="A131" s="36">
        <v>2060</v>
      </c>
      <c r="B131" s="36">
        <v>12283.859645</v>
      </c>
      <c r="C131" s="36">
        <v>13698.453415842108</v>
      </c>
      <c r="D131" s="36">
        <f t="shared" si="0"/>
        <v>37980.137862999996</v>
      </c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</row>
    <row r="132" spans="1:15" x14ac:dyDescent="0.35">
      <c r="A132" s="36">
        <v>2070</v>
      </c>
      <c r="B132" s="36">
        <v>14810.795</v>
      </c>
      <c r="C132" s="36">
        <v>16124.526468815786</v>
      </c>
      <c r="D132" s="36">
        <f t="shared" si="0"/>
        <v>52790.932862999995</v>
      </c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</row>
    <row r="133" spans="1:15" x14ac:dyDescent="0.35">
      <c r="A133" s="36">
        <v>2080</v>
      </c>
      <c r="B133" s="36">
        <v>16517.347575</v>
      </c>
      <c r="C133" s="36">
        <v>17582.761993359643</v>
      </c>
      <c r="D133" s="36">
        <f t="shared" si="0"/>
        <v>69308.280437999987</v>
      </c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</row>
    <row r="134" spans="1:15" x14ac:dyDescent="0.35">
      <c r="A134" s="36">
        <v>2090</v>
      </c>
      <c r="B134" s="36">
        <v>17574.147015000002</v>
      </c>
      <c r="C134" s="36">
        <v>18064.289082657891</v>
      </c>
      <c r="D134" s="36">
        <f t="shared" si="0"/>
        <v>86882.427452999982</v>
      </c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</row>
    <row r="135" spans="1:15" x14ac:dyDescent="0.35">
      <c r="A135" s="36">
        <v>2100</v>
      </c>
      <c r="B135" s="36">
        <v>16925.499024999997</v>
      </c>
      <c r="C135" s="36">
        <v>18135.541389131566</v>
      </c>
      <c r="D135" s="36">
        <f>(B135+D134)</f>
        <v>103807.92647799998</v>
      </c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8BEDF-B28A-456F-BC1C-3CD010D36BF0}">
  <dimension ref="A1:O80"/>
  <sheetViews>
    <sheetView topLeftCell="A60" workbookViewId="0">
      <selection activeCell="I86" sqref="I86"/>
    </sheetView>
  </sheetViews>
  <sheetFormatPr defaultRowHeight="15.5" x14ac:dyDescent="0.35"/>
  <sheetData>
    <row r="1" spans="1:15" s="32" customFormat="1" ht="25" x14ac:dyDescent="0.7">
      <c r="A1" s="37" t="s">
        <v>296</v>
      </c>
      <c r="E1" s="38"/>
      <c r="J1" s="38" t="s">
        <v>297</v>
      </c>
    </row>
    <row r="2" spans="1:15" x14ac:dyDescent="0.35">
      <c r="A2" s="36" t="s">
        <v>167</v>
      </c>
      <c r="B2" s="36" t="s">
        <v>168</v>
      </c>
      <c r="C2" s="36" t="s">
        <v>169</v>
      </c>
      <c r="D2" s="36" t="s">
        <v>170</v>
      </c>
      <c r="E2" s="36" t="s">
        <v>171</v>
      </c>
      <c r="F2" s="36" t="s">
        <v>144</v>
      </c>
      <c r="G2" s="36" t="s">
        <v>172</v>
      </c>
      <c r="H2" s="36" t="s">
        <v>173</v>
      </c>
      <c r="I2" s="36" t="s">
        <v>174</v>
      </c>
      <c r="J2" s="36" t="s">
        <v>175</v>
      </c>
      <c r="K2" s="36" t="s">
        <v>176</v>
      </c>
      <c r="L2" s="36" t="s">
        <v>177</v>
      </c>
      <c r="M2" s="36" t="s">
        <v>178</v>
      </c>
      <c r="N2" s="36" t="s">
        <v>179</v>
      </c>
      <c r="O2" s="36" t="s">
        <v>180</v>
      </c>
    </row>
    <row r="3" spans="1:15" x14ac:dyDescent="0.35">
      <c r="A3" s="36" t="s">
        <v>181</v>
      </c>
      <c r="B3" s="36" t="s">
        <v>182</v>
      </c>
      <c r="C3" s="36" t="s">
        <v>145</v>
      </c>
      <c r="D3" s="36" t="s">
        <v>183</v>
      </c>
      <c r="E3" s="36" t="s">
        <v>184</v>
      </c>
      <c r="F3" s="36">
        <v>0</v>
      </c>
      <c r="G3" s="36">
        <v>0</v>
      </c>
      <c r="H3" s="36">
        <v>1195.2494999999999</v>
      </c>
      <c r="I3" s="36">
        <v>4587.6206000000002</v>
      </c>
      <c r="J3" s="36">
        <v>10298.3091</v>
      </c>
      <c r="K3" s="36">
        <v>16052.0581</v>
      </c>
      <c r="L3" s="36">
        <v>18825.309499999999</v>
      </c>
      <c r="M3" s="36">
        <v>19233.786199999999</v>
      </c>
      <c r="N3" s="36">
        <v>18529.965</v>
      </c>
      <c r="O3" s="36">
        <v>23571.834299999999</v>
      </c>
    </row>
    <row r="4" spans="1:15" x14ac:dyDescent="0.35">
      <c r="A4" s="36" t="s">
        <v>181</v>
      </c>
      <c r="B4" s="36" t="s">
        <v>185</v>
      </c>
      <c r="C4" s="36" t="s">
        <v>145</v>
      </c>
      <c r="D4" s="36" t="s">
        <v>183</v>
      </c>
      <c r="E4" s="36" t="s">
        <v>184</v>
      </c>
      <c r="F4" s="36">
        <v>0</v>
      </c>
      <c r="G4" s="36">
        <v>0</v>
      </c>
      <c r="H4" s="36">
        <v>471.36160000000001</v>
      </c>
      <c r="I4" s="36">
        <v>3097.8431</v>
      </c>
      <c r="J4" s="36">
        <v>6315.8795</v>
      </c>
      <c r="K4" s="36">
        <v>5725.8098</v>
      </c>
      <c r="L4" s="36">
        <v>5623.4436999999998</v>
      </c>
      <c r="M4" s="36">
        <v>5305.1309000000001</v>
      </c>
      <c r="N4" s="36">
        <v>5405.1346999999996</v>
      </c>
      <c r="O4" s="36">
        <v>5253.5048999999999</v>
      </c>
    </row>
    <row r="5" spans="1:15" x14ac:dyDescent="0.35">
      <c r="A5" s="36" t="s">
        <v>181</v>
      </c>
      <c r="B5" s="36" t="s">
        <v>186</v>
      </c>
      <c r="C5" s="36" t="s">
        <v>145</v>
      </c>
      <c r="D5" s="36" t="s">
        <v>183</v>
      </c>
      <c r="E5" s="36" t="s">
        <v>184</v>
      </c>
      <c r="F5" s="36">
        <v>0</v>
      </c>
      <c r="G5" s="36">
        <v>0</v>
      </c>
      <c r="H5" s="36">
        <v>1999.2699</v>
      </c>
      <c r="I5" s="36">
        <v>5900.0074000000004</v>
      </c>
      <c r="J5" s="36">
        <v>14644.779</v>
      </c>
      <c r="K5" s="36">
        <v>14198.6068</v>
      </c>
      <c r="L5" s="36">
        <v>15403.616599999999</v>
      </c>
      <c r="M5" s="36">
        <v>15984.1859</v>
      </c>
      <c r="N5" s="36">
        <v>16699.087299999999</v>
      </c>
      <c r="O5" s="36">
        <v>17693.129000000001</v>
      </c>
    </row>
    <row r="6" spans="1:15" x14ac:dyDescent="0.35">
      <c r="A6" s="36" t="s">
        <v>187</v>
      </c>
      <c r="B6" s="36" t="s">
        <v>188</v>
      </c>
      <c r="C6" s="36" t="s">
        <v>145</v>
      </c>
      <c r="D6" s="36" t="s">
        <v>183</v>
      </c>
      <c r="E6" s="36" t="s">
        <v>184</v>
      </c>
      <c r="F6" s="36">
        <v>0</v>
      </c>
      <c r="G6" s="36">
        <v>0</v>
      </c>
      <c r="H6" s="36">
        <v>447.19130000000001</v>
      </c>
      <c r="I6" s="36">
        <v>6191.3514999999998</v>
      </c>
      <c r="J6" s="36">
        <v>13070.775900000001</v>
      </c>
      <c r="K6" s="36">
        <v>14163.832200000001</v>
      </c>
      <c r="L6" s="36">
        <v>16061.4131</v>
      </c>
      <c r="M6" s="36">
        <v>15730.8817</v>
      </c>
      <c r="N6" s="36">
        <v>15995.1644</v>
      </c>
      <c r="O6" s="36">
        <v>14763.9594</v>
      </c>
    </row>
    <row r="7" spans="1:15" x14ac:dyDescent="0.35">
      <c r="A7" s="36" t="s">
        <v>187</v>
      </c>
      <c r="B7" s="36" t="s">
        <v>189</v>
      </c>
      <c r="C7" s="36" t="s">
        <v>145</v>
      </c>
      <c r="D7" s="36" t="s">
        <v>183</v>
      </c>
      <c r="E7" s="36" t="s">
        <v>184</v>
      </c>
      <c r="F7" s="36">
        <v>0</v>
      </c>
      <c r="G7" s="36">
        <v>0</v>
      </c>
      <c r="H7" s="36">
        <v>630.98609999999996</v>
      </c>
      <c r="I7" s="36">
        <v>4359.4485999999997</v>
      </c>
      <c r="J7" s="36">
        <v>12622.5412</v>
      </c>
      <c r="K7" s="36">
        <v>19424.169900000001</v>
      </c>
      <c r="L7" s="36">
        <v>16158.656800000001</v>
      </c>
      <c r="M7" s="36">
        <v>18919.283800000001</v>
      </c>
      <c r="N7" s="36">
        <v>21839.561000000002</v>
      </c>
      <c r="O7" s="36">
        <v>24493.902900000001</v>
      </c>
    </row>
    <row r="8" spans="1:15" x14ac:dyDescent="0.35">
      <c r="A8" s="36" t="s">
        <v>187</v>
      </c>
      <c r="B8" s="36" t="s">
        <v>190</v>
      </c>
      <c r="C8" s="36" t="s">
        <v>145</v>
      </c>
      <c r="D8" s="36" t="s">
        <v>183</v>
      </c>
      <c r="E8" s="36" t="s">
        <v>184</v>
      </c>
      <c r="F8" s="36">
        <v>0</v>
      </c>
      <c r="G8" s="36">
        <v>0</v>
      </c>
      <c r="H8" s="36">
        <v>752.1087</v>
      </c>
      <c r="I8" s="36">
        <v>4864.9838</v>
      </c>
      <c r="J8" s="36">
        <v>15883.7184</v>
      </c>
      <c r="K8" s="36">
        <v>23600.6512</v>
      </c>
      <c r="L8" s="36">
        <v>26489.277900000001</v>
      </c>
      <c r="M8" s="36">
        <v>27009.119500000001</v>
      </c>
      <c r="N8" s="36">
        <v>23499.1502</v>
      </c>
      <c r="O8" s="36">
        <v>18102.824700000001</v>
      </c>
    </row>
    <row r="9" spans="1:15" x14ac:dyDescent="0.35">
      <c r="A9" s="36" t="s">
        <v>187</v>
      </c>
      <c r="B9" s="36" t="s">
        <v>191</v>
      </c>
      <c r="C9" s="36" t="s">
        <v>145</v>
      </c>
      <c r="D9" s="36" t="s">
        <v>183</v>
      </c>
      <c r="E9" s="36" t="s">
        <v>184</v>
      </c>
      <c r="F9" s="36">
        <v>0</v>
      </c>
      <c r="G9" s="36">
        <v>0</v>
      </c>
      <c r="H9" s="36">
        <v>852.36890000000005</v>
      </c>
      <c r="I9" s="36">
        <v>4844.3431</v>
      </c>
      <c r="J9" s="36">
        <v>15957.9532</v>
      </c>
      <c r="K9" s="36">
        <v>23380.659299999999</v>
      </c>
      <c r="L9" s="36">
        <v>24633.239799999999</v>
      </c>
      <c r="M9" s="36">
        <v>22674.841199999999</v>
      </c>
      <c r="N9" s="36">
        <v>17021.609100000001</v>
      </c>
      <c r="O9" s="36">
        <v>10193.3487</v>
      </c>
    </row>
    <row r="10" spans="1:15" x14ac:dyDescent="0.35">
      <c r="A10" s="36" t="s">
        <v>192</v>
      </c>
      <c r="B10" s="36" t="s">
        <v>185</v>
      </c>
      <c r="C10" s="36" t="s">
        <v>145</v>
      </c>
      <c r="D10" s="36" t="s">
        <v>183</v>
      </c>
      <c r="E10" s="36" t="s">
        <v>184</v>
      </c>
      <c r="F10" s="36">
        <v>0</v>
      </c>
      <c r="G10" s="36">
        <v>127.5311796</v>
      </c>
      <c r="H10" s="36">
        <v>1346.4283459999999</v>
      </c>
      <c r="I10" s="36">
        <v>2723.5766180000001</v>
      </c>
      <c r="J10" s="36">
        <v>5024.7296130000004</v>
      </c>
      <c r="K10" s="36">
        <v>7838.343014</v>
      </c>
      <c r="L10" s="36">
        <v>9554.0594820000006</v>
      </c>
      <c r="M10" s="36">
        <v>10642.05696</v>
      </c>
      <c r="N10" s="36">
        <v>12009.843730000001</v>
      </c>
      <c r="O10" s="36">
        <v>14254.95751</v>
      </c>
    </row>
    <row r="11" spans="1:15" x14ac:dyDescent="0.35">
      <c r="A11" s="36" t="s">
        <v>192</v>
      </c>
      <c r="B11" s="36" t="s">
        <v>186</v>
      </c>
      <c r="C11" s="36" t="s">
        <v>145</v>
      </c>
      <c r="D11" s="36" t="s">
        <v>183</v>
      </c>
      <c r="E11" s="36" t="s">
        <v>184</v>
      </c>
      <c r="F11" s="36">
        <v>0</v>
      </c>
      <c r="G11" s="36">
        <v>200.46068249999999</v>
      </c>
      <c r="H11" s="36">
        <v>3157.4298600000002</v>
      </c>
      <c r="I11" s="36">
        <v>12685.76151</v>
      </c>
      <c r="J11" s="36">
        <v>16862.25865</v>
      </c>
      <c r="K11" s="36">
        <v>18428.237939999999</v>
      </c>
      <c r="L11" s="36">
        <v>18634.198710000001</v>
      </c>
      <c r="M11" s="36">
        <v>19403.849269999999</v>
      </c>
      <c r="N11" s="36">
        <v>22996.851190000001</v>
      </c>
      <c r="O11" s="36">
        <v>29698.29523</v>
      </c>
    </row>
    <row r="12" spans="1:15" x14ac:dyDescent="0.35">
      <c r="A12" s="36" t="s">
        <v>192</v>
      </c>
      <c r="B12" s="36" t="s">
        <v>193</v>
      </c>
      <c r="C12" s="36" t="s">
        <v>145</v>
      </c>
      <c r="D12" s="36" t="s">
        <v>183</v>
      </c>
      <c r="E12" s="36" t="s">
        <v>184</v>
      </c>
      <c r="F12" s="36">
        <v>0</v>
      </c>
      <c r="G12" s="36">
        <v>247.26722150000001</v>
      </c>
      <c r="H12" s="36">
        <v>7628.8021280000003</v>
      </c>
      <c r="I12" s="36">
        <v>22567.442459999998</v>
      </c>
      <c r="J12" s="36">
        <v>28322.437569999998</v>
      </c>
      <c r="K12" s="36">
        <v>30750.217820000002</v>
      </c>
      <c r="L12" s="36">
        <v>30500.155999999999</v>
      </c>
      <c r="M12" s="36">
        <v>27194.206699999999</v>
      </c>
      <c r="N12" s="36">
        <v>24632.215489999999</v>
      </c>
      <c r="O12" s="36">
        <v>25516.719809999999</v>
      </c>
    </row>
    <row r="13" spans="1:15" x14ac:dyDescent="0.35">
      <c r="A13" s="36" t="s">
        <v>194</v>
      </c>
      <c r="B13" s="36" t="s">
        <v>182</v>
      </c>
      <c r="C13" s="36" t="s">
        <v>145</v>
      </c>
      <c r="D13" s="36" t="s">
        <v>183</v>
      </c>
      <c r="E13" s="36" t="s">
        <v>184</v>
      </c>
      <c r="F13" s="36">
        <v>0</v>
      </c>
      <c r="G13" s="36">
        <v>101.92853169999999</v>
      </c>
      <c r="H13" s="36">
        <v>1471.080721</v>
      </c>
      <c r="I13" s="36">
        <v>11368.10979</v>
      </c>
      <c r="J13" s="36">
        <v>18153.819619999998</v>
      </c>
      <c r="K13" s="36">
        <v>20064.11923</v>
      </c>
      <c r="L13" s="36">
        <v>22363.101600000002</v>
      </c>
      <c r="M13" s="36">
        <v>25463.655620000001</v>
      </c>
      <c r="N13" s="36">
        <v>27392.577929999999</v>
      </c>
      <c r="O13" s="36">
        <v>28459.690979999999</v>
      </c>
    </row>
    <row r="14" spans="1:15" x14ac:dyDescent="0.35">
      <c r="A14" s="36" t="s">
        <v>194</v>
      </c>
      <c r="B14" s="36" t="s">
        <v>188</v>
      </c>
      <c r="C14" s="36" t="s">
        <v>145</v>
      </c>
      <c r="D14" s="36" t="s">
        <v>183</v>
      </c>
      <c r="E14" s="36" t="s">
        <v>184</v>
      </c>
      <c r="F14" s="36">
        <v>0</v>
      </c>
      <c r="G14" s="36">
        <v>0</v>
      </c>
      <c r="H14" s="36">
        <v>1396.77559</v>
      </c>
      <c r="I14" s="36">
        <v>10908.006820000001</v>
      </c>
      <c r="J14" s="36">
        <v>17539.125950000001</v>
      </c>
      <c r="K14" s="36">
        <v>19206.51744</v>
      </c>
      <c r="L14" s="36">
        <v>22577.696530000001</v>
      </c>
      <c r="M14" s="36">
        <v>25845.142049999999</v>
      </c>
      <c r="N14" s="36">
        <v>27835.470740000001</v>
      </c>
      <c r="O14" s="36">
        <v>28655.879140000001</v>
      </c>
    </row>
    <row r="15" spans="1:15" x14ac:dyDescent="0.35">
      <c r="A15" s="36" t="s">
        <v>194</v>
      </c>
      <c r="B15" s="36" t="s">
        <v>195</v>
      </c>
      <c r="C15" s="36" t="s">
        <v>145</v>
      </c>
      <c r="D15" s="36" t="s">
        <v>183</v>
      </c>
      <c r="E15" s="36" t="s">
        <v>184</v>
      </c>
      <c r="F15" s="36">
        <v>0</v>
      </c>
      <c r="G15" s="36">
        <v>118.8367988</v>
      </c>
      <c r="H15" s="36">
        <v>2157.6358749999999</v>
      </c>
      <c r="I15" s="36">
        <v>6818.625849</v>
      </c>
      <c r="J15" s="36">
        <v>13189.388919999999</v>
      </c>
      <c r="K15" s="36">
        <v>16296.28456</v>
      </c>
      <c r="L15" s="36">
        <v>19630.85931</v>
      </c>
      <c r="M15" s="36">
        <v>21480.29794</v>
      </c>
      <c r="N15" s="36">
        <v>20952.328839999998</v>
      </c>
      <c r="O15" s="36">
        <v>24805.545890000001</v>
      </c>
    </row>
    <row r="16" spans="1:15" x14ac:dyDescent="0.35">
      <c r="A16" s="36" t="s">
        <v>194</v>
      </c>
      <c r="B16" s="36" t="s">
        <v>196</v>
      </c>
      <c r="C16" s="36" t="s">
        <v>145</v>
      </c>
      <c r="D16" s="36" t="s">
        <v>183</v>
      </c>
      <c r="E16" s="36" t="s">
        <v>184</v>
      </c>
      <c r="F16" s="36">
        <v>0</v>
      </c>
      <c r="G16" s="36">
        <v>118.83565470000001</v>
      </c>
      <c r="H16" s="36">
        <v>3931.6543120000001</v>
      </c>
      <c r="I16" s="36">
        <v>15395.15338</v>
      </c>
      <c r="J16" s="36">
        <v>18608.87573</v>
      </c>
      <c r="K16" s="36">
        <v>20124.509890000001</v>
      </c>
      <c r="L16" s="36">
        <v>23019.542529999999</v>
      </c>
      <c r="M16" s="36">
        <v>25304.353330000002</v>
      </c>
      <c r="N16" s="36">
        <v>26071.15209</v>
      </c>
      <c r="O16" s="36">
        <v>27790.603500000001</v>
      </c>
    </row>
    <row r="17" spans="1:15" x14ac:dyDescent="0.35">
      <c r="A17" s="36" t="s">
        <v>194</v>
      </c>
      <c r="B17" s="36" t="s">
        <v>197</v>
      </c>
      <c r="C17" s="36" t="s">
        <v>145</v>
      </c>
      <c r="D17" s="36" t="s">
        <v>183</v>
      </c>
      <c r="E17" s="36" t="s">
        <v>184</v>
      </c>
      <c r="F17" s="36">
        <v>0</v>
      </c>
      <c r="G17" s="36">
        <v>103.0422083</v>
      </c>
      <c r="H17" s="36">
        <v>2915.5249589999999</v>
      </c>
      <c r="I17" s="36">
        <v>12935.285169999999</v>
      </c>
      <c r="J17" s="36">
        <v>16273.440420000001</v>
      </c>
      <c r="K17" s="36">
        <v>18049.077659999999</v>
      </c>
      <c r="L17" s="36">
        <v>21127.49755</v>
      </c>
      <c r="M17" s="36">
        <v>23354.441920000001</v>
      </c>
      <c r="N17" s="36">
        <v>24523.889709999999</v>
      </c>
      <c r="O17" s="36">
        <v>26582.68117</v>
      </c>
    </row>
    <row r="18" spans="1:15" x14ac:dyDescent="0.35">
      <c r="A18" s="36" t="s">
        <v>194</v>
      </c>
      <c r="B18" s="36" t="s">
        <v>198</v>
      </c>
      <c r="C18" s="36" t="s">
        <v>145</v>
      </c>
      <c r="D18" s="36" t="s">
        <v>183</v>
      </c>
      <c r="E18" s="36" t="s">
        <v>184</v>
      </c>
      <c r="F18" s="36">
        <v>0</v>
      </c>
      <c r="G18" s="36">
        <v>117.77926309999999</v>
      </c>
      <c r="H18" s="36">
        <v>2110.6106829999999</v>
      </c>
      <c r="I18" s="36">
        <v>6364.1837089999999</v>
      </c>
      <c r="J18" s="36">
        <v>10269.256100000001</v>
      </c>
      <c r="K18" s="36">
        <v>13036.65352</v>
      </c>
      <c r="L18" s="36">
        <v>16738.727320000002</v>
      </c>
      <c r="M18" s="36">
        <v>19343.036670000001</v>
      </c>
      <c r="N18" s="36">
        <v>19758.197980000001</v>
      </c>
      <c r="O18" s="36">
        <v>21996.190890000002</v>
      </c>
    </row>
    <row r="19" spans="1:15" x14ac:dyDescent="0.35">
      <c r="A19" s="36" t="s">
        <v>194</v>
      </c>
      <c r="B19" s="36" t="s">
        <v>199</v>
      </c>
      <c r="C19" s="36" t="s">
        <v>145</v>
      </c>
      <c r="D19" s="36" t="s">
        <v>183</v>
      </c>
      <c r="E19" s="36" t="s">
        <v>184</v>
      </c>
      <c r="F19" s="36">
        <v>0</v>
      </c>
      <c r="G19" s="36">
        <v>118.8367988</v>
      </c>
      <c r="H19" s="36">
        <v>2157.6224269999998</v>
      </c>
      <c r="I19" s="36">
        <v>6320.9891420000004</v>
      </c>
      <c r="J19" s="36">
        <v>8102.6750359999996</v>
      </c>
      <c r="K19" s="36">
        <v>9834.8294939999996</v>
      </c>
      <c r="L19" s="36">
        <v>13750.21429</v>
      </c>
      <c r="M19" s="36">
        <v>16854.75101</v>
      </c>
      <c r="N19" s="36">
        <v>18113.824840000001</v>
      </c>
      <c r="O19" s="36">
        <v>19457.368750000001</v>
      </c>
    </row>
    <row r="20" spans="1:15" x14ac:dyDescent="0.35">
      <c r="A20" s="36" t="s">
        <v>194</v>
      </c>
      <c r="B20" s="36" t="s">
        <v>200</v>
      </c>
      <c r="C20" s="36" t="s">
        <v>145</v>
      </c>
      <c r="D20" s="36" t="s">
        <v>183</v>
      </c>
      <c r="E20" s="36" t="s">
        <v>184</v>
      </c>
      <c r="F20" s="36">
        <v>0</v>
      </c>
      <c r="G20" s="36">
        <v>114.49042849999999</v>
      </c>
      <c r="H20" s="36">
        <v>2073.0401550000001</v>
      </c>
      <c r="I20" s="36">
        <v>8195.5501440000007</v>
      </c>
      <c r="J20" s="36">
        <v>14998.87909</v>
      </c>
      <c r="K20" s="36">
        <v>18252.57717</v>
      </c>
      <c r="L20" s="36">
        <v>20985.892650000002</v>
      </c>
      <c r="M20" s="36">
        <v>22475.47883</v>
      </c>
      <c r="N20" s="36">
        <v>22098.177960000001</v>
      </c>
      <c r="O20" s="36">
        <v>24539.641970000001</v>
      </c>
    </row>
    <row r="21" spans="1:15" x14ac:dyDescent="0.35">
      <c r="A21" s="36" t="s">
        <v>194</v>
      </c>
      <c r="B21" s="36" t="s">
        <v>201</v>
      </c>
      <c r="C21" s="36" t="s">
        <v>145</v>
      </c>
      <c r="D21" s="36" t="s">
        <v>183</v>
      </c>
      <c r="E21" s="36" t="s">
        <v>184</v>
      </c>
      <c r="F21" s="36">
        <v>0</v>
      </c>
      <c r="G21" s="36">
        <v>110.5279401</v>
      </c>
      <c r="H21" s="36">
        <v>2143.3742790000001</v>
      </c>
      <c r="I21" s="36">
        <v>7461.1085400000002</v>
      </c>
      <c r="J21" s="36">
        <v>13127.74624</v>
      </c>
      <c r="K21" s="36">
        <v>16726.849750000001</v>
      </c>
      <c r="L21" s="36">
        <v>19853.969720000001</v>
      </c>
      <c r="M21" s="36">
        <v>20533.842919999999</v>
      </c>
      <c r="N21" s="36">
        <v>20561.006949999999</v>
      </c>
      <c r="O21" s="36">
        <v>21236.594130000001</v>
      </c>
    </row>
    <row r="22" spans="1:15" x14ac:dyDescent="0.35">
      <c r="A22" s="36" t="s">
        <v>194</v>
      </c>
      <c r="B22" s="36" t="s">
        <v>202</v>
      </c>
      <c r="C22" s="36" t="s">
        <v>145</v>
      </c>
      <c r="D22" s="36" t="s">
        <v>183</v>
      </c>
      <c r="E22" s="36" t="s">
        <v>184</v>
      </c>
      <c r="F22" s="36">
        <v>0</v>
      </c>
      <c r="G22" s="36">
        <v>33.96075089</v>
      </c>
      <c r="H22" s="36">
        <v>1502.530833</v>
      </c>
      <c r="I22" s="36">
        <v>3169.7423520000002</v>
      </c>
      <c r="J22" s="36">
        <v>3792.3505799999998</v>
      </c>
      <c r="K22" s="36">
        <v>5151.0726519999998</v>
      </c>
      <c r="L22" s="36">
        <v>7042.340244</v>
      </c>
      <c r="M22" s="36">
        <v>7042.1312820000003</v>
      </c>
      <c r="N22" s="36">
        <v>6390.3083319999996</v>
      </c>
      <c r="O22" s="36">
        <v>6441.5981680000004</v>
      </c>
    </row>
    <row r="23" spans="1:15" x14ac:dyDescent="0.35">
      <c r="A23" s="36" t="s">
        <v>194</v>
      </c>
      <c r="B23" s="36" t="s">
        <v>185</v>
      </c>
      <c r="C23" s="36" t="s">
        <v>145</v>
      </c>
      <c r="D23" s="36" t="s">
        <v>183</v>
      </c>
      <c r="E23" s="36" t="s">
        <v>184</v>
      </c>
      <c r="F23" s="36">
        <v>0</v>
      </c>
      <c r="G23" s="36">
        <v>181.46895710000001</v>
      </c>
      <c r="H23" s="36">
        <v>2510.5134710000002</v>
      </c>
      <c r="I23" s="36">
        <v>8466.5871090000001</v>
      </c>
      <c r="J23" s="36">
        <v>10766.619420000001</v>
      </c>
      <c r="K23" s="36">
        <v>12368.708430000001</v>
      </c>
      <c r="L23" s="36">
        <v>14600.11138</v>
      </c>
      <c r="M23" s="36">
        <v>15589.320970000001</v>
      </c>
      <c r="N23" s="36">
        <v>16076.111720000001</v>
      </c>
      <c r="O23" s="36">
        <v>17904.46039</v>
      </c>
    </row>
    <row r="24" spans="1:15" x14ac:dyDescent="0.35">
      <c r="A24" s="36" t="s">
        <v>203</v>
      </c>
      <c r="B24" s="36" t="s">
        <v>204</v>
      </c>
      <c r="C24" s="36" t="s">
        <v>145</v>
      </c>
      <c r="D24" s="36" t="s">
        <v>183</v>
      </c>
      <c r="E24" s="36" t="s">
        <v>184</v>
      </c>
      <c r="F24" s="36">
        <v>0</v>
      </c>
      <c r="G24" s="36">
        <v>0</v>
      </c>
      <c r="H24" s="36">
        <v>121.1</v>
      </c>
      <c r="I24" s="36">
        <v>2851.7</v>
      </c>
      <c r="J24" s="36">
        <v>10321.299999999999</v>
      </c>
      <c r="K24" s="36">
        <v>12961.1</v>
      </c>
      <c r="L24" s="36">
        <v>15322.3</v>
      </c>
      <c r="M24" s="36">
        <v>16993.5</v>
      </c>
      <c r="N24" s="36">
        <v>20276</v>
      </c>
      <c r="O24" s="36">
        <v>24610.7</v>
      </c>
    </row>
    <row r="25" spans="1:15" x14ac:dyDescent="0.35">
      <c r="A25" s="36" t="s">
        <v>205</v>
      </c>
      <c r="B25" s="36" t="s">
        <v>182</v>
      </c>
      <c r="C25" s="36" t="s">
        <v>145</v>
      </c>
      <c r="D25" s="36" t="s">
        <v>183</v>
      </c>
      <c r="E25" s="36" t="s">
        <v>184</v>
      </c>
      <c r="F25" s="36">
        <v>0</v>
      </c>
      <c r="G25" s="36">
        <v>9.9073333330000004</v>
      </c>
      <c r="H25" s="36">
        <v>5322.6360000000004</v>
      </c>
      <c r="I25" s="36">
        <v>12998.707329999999</v>
      </c>
      <c r="J25" s="36">
        <v>18096.466670000002</v>
      </c>
      <c r="K25" s="36">
        <v>18213.990669999999</v>
      </c>
      <c r="L25" s="36">
        <v>21356.093000000001</v>
      </c>
      <c r="M25" s="36">
        <v>24687.399000000001</v>
      </c>
      <c r="N25" s="36">
        <v>25554.78933</v>
      </c>
      <c r="O25" s="36">
        <v>26131.621999999999</v>
      </c>
    </row>
    <row r="26" spans="1:15" x14ac:dyDescent="0.35">
      <c r="A26" s="36" t="s">
        <v>205</v>
      </c>
      <c r="B26" s="36" t="s">
        <v>206</v>
      </c>
      <c r="C26" s="36" t="s">
        <v>145</v>
      </c>
      <c r="D26" s="36" t="s">
        <v>183</v>
      </c>
      <c r="E26" s="36" t="s">
        <v>184</v>
      </c>
      <c r="F26" s="36">
        <v>0</v>
      </c>
      <c r="G26" s="36">
        <v>9.9073333330000004</v>
      </c>
      <c r="H26" s="36">
        <v>1537.0813330000001</v>
      </c>
      <c r="I26" s="36">
        <v>7363.557667</v>
      </c>
      <c r="J26" s="36">
        <v>12829.696</v>
      </c>
      <c r="K26" s="36">
        <v>16823.26067</v>
      </c>
      <c r="L26" s="36">
        <v>17875.55</v>
      </c>
      <c r="M26" s="36">
        <v>21154.624329999999</v>
      </c>
      <c r="N26" s="36">
        <v>25020.05733</v>
      </c>
      <c r="O26" s="36">
        <v>25736.249</v>
      </c>
    </row>
    <row r="27" spans="1:15" x14ac:dyDescent="0.35">
      <c r="A27" s="36" t="s">
        <v>205</v>
      </c>
      <c r="B27" s="36" t="s">
        <v>207</v>
      </c>
      <c r="C27" s="36" t="s">
        <v>145</v>
      </c>
      <c r="D27" s="36" t="s">
        <v>183</v>
      </c>
      <c r="E27" s="36" t="s">
        <v>184</v>
      </c>
      <c r="F27" s="36">
        <v>0</v>
      </c>
      <c r="G27" s="36">
        <v>0</v>
      </c>
      <c r="H27" s="36">
        <v>4308.46011</v>
      </c>
      <c r="I27" s="36">
        <v>8754.1355139999996</v>
      </c>
      <c r="J27" s="36">
        <v>11674.378409999999</v>
      </c>
      <c r="K27" s="36">
        <v>13412.05658</v>
      </c>
      <c r="L27" s="36">
        <v>12988.38391</v>
      </c>
      <c r="M27" s="36">
        <v>12469.07057</v>
      </c>
      <c r="N27" s="36">
        <v>13154.172930000001</v>
      </c>
      <c r="O27" s="36">
        <v>13702.241019999999</v>
      </c>
    </row>
    <row r="28" spans="1:15" x14ac:dyDescent="0.35">
      <c r="A28" s="36" t="s">
        <v>205</v>
      </c>
      <c r="B28" s="36" t="s">
        <v>208</v>
      </c>
      <c r="C28" s="36" t="s">
        <v>145</v>
      </c>
      <c r="D28" s="36" t="s">
        <v>183</v>
      </c>
      <c r="E28" s="36" t="s">
        <v>184</v>
      </c>
      <c r="F28" s="36">
        <v>0</v>
      </c>
      <c r="G28" s="36">
        <v>0</v>
      </c>
      <c r="H28" s="36">
        <v>4192.727691</v>
      </c>
      <c r="I28" s="36">
        <v>8778.2158629999994</v>
      </c>
      <c r="J28" s="36">
        <v>12062.07897</v>
      </c>
      <c r="K28" s="36">
        <v>13727.22435</v>
      </c>
      <c r="L28" s="36">
        <v>13140.931699999999</v>
      </c>
      <c r="M28" s="36">
        <v>12537.760609999999</v>
      </c>
      <c r="N28" s="36">
        <v>13184.997740000001</v>
      </c>
      <c r="O28" s="36">
        <v>13726.27953</v>
      </c>
    </row>
    <row r="29" spans="1:15" x14ac:dyDescent="0.35">
      <c r="A29" s="36" t="s">
        <v>205</v>
      </c>
      <c r="B29" s="36" t="s">
        <v>189</v>
      </c>
      <c r="C29" s="36" t="s">
        <v>145</v>
      </c>
      <c r="D29" s="36" t="s">
        <v>183</v>
      </c>
      <c r="E29" s="36" t="s">
        <v>184</v>
      </c>
      <c r="F29" s="36">
        <v>0</v>
      </c>
      <c r="G29" s="36">
        <v>0</v>
      </c>
      <c r="H29" s="36">
        <v>2623.1727059999998</v>
      </c>
      <c r="I29" s="36">
        <v>8557.6963390000001</v>
      </c>
      <c r="J29" s="36">
        <v>14830.03472</v>
      </c>
      <c r="K29" s="36">
        <v>21565.690449999998</v>
      </c>
      <c r="L29" s="36">
        <v>23318.764340000002</v>
      </c>
      <c r="M29" s="36">
        <v>20997.222379999999</v>
      </c>
      <c r="N29" s="36">
        <v>16728.325710000001</v>
      </c>
      <c r="O29" s="36">
        <v>14603.763629999999</v>
      </c>
    </row>
    <row r="30" spans="1:15" x14ac:dyDescent="0.35">
      <c r="A30" s="36" t="s">
        <v>205</v>
      </c>
      <c r="B30" s="36" t="s">
        <v>209</v>
      </c>
      <c r="C30" s="36" t="s">
        <v>145</v>
      </c>
      <c r="D30" s="36" t="s">
        <v>183</v>
      </c>
      <c r="E30" s="36" t="s">
        <v>184</v>
      </c>
      <c r="F30" s="36">
        <v>0</v>
      </c>
      <c r="G30" s="36">
        <v>0</v>
      </c>
      <c r="H30" s="36">
        <v>2548.532232</v>
      </c>
      <c r="I30" s="36">
        <v>8600.3858419999997</v>
      </c>
      <c r="J30" s="36">
        <v>15389.484469999999</v>
      </c>
      <c r="K30" s="36">
        <v>22015.308420000001</v>
      </c>
      <c r="L30" s="36">
        <v>23981.27003</v>
      </c>
      <c r="M30" s="36">
        <v>21635.606970000001</v>
      </c>
      <c r="N30" s="36">
        <v>17250.628390000002</v>
      </c>
      <c r="O30" s="36">
        <v>14804.645839999999</v>
      </c>
    </row>
    <row r="31" spans="1:15" x14ac:dyDescent="0.35">
      <c r="A31" s="36" t="s">
        <v>205</v>
      </c>
      <c r="B31" s="36" t="s">
        <v>210</v>
      </c>
      <c r="C31" s="36" t="s">
        <v>145</v>
      </c>
      <c r="D31" s="36" t="s">
        <v>183</v>
      </c>
      <c r="E31" s="36" t="s">
        <v>184</v>
      </c>
      <c r="F31" s="36">
        <v>0</v>
      </c>
      <c r="G31" s="36">
        <v>0</v>
      </c>
      <c r="H31" s="36">
        <v>3422.054971</v>
      </c>
      <c r="I31" s="36">
        <v>10257.037109999999</v>
      </c>
      <c r="J31" s="36">
        <v>15820.56243</v>
      </c>
      <c r="K31" s="36">
        <v>19703.593150000001</v>
      </c>
      <c r="L31" s="36">
        <v>16415.236150000001</v>
      </c>
      <c r="M31" s="36">
        <v>10976.27318</v>
      </c>
      <c r="N31" s="36">
        <v>7492.2075679999998</v>
      </c>
      <c r="O31" s="36">
        <v>7145.2354029999997</v>
      </c>
    </row>
    <row r="32" spans="1:15" x14ac:dyDescent="0.35">
      <c r="A32" s="36" t="s">
        <v>205</v>
      </c>
      <c r="B32" s="36" t="s">
        <v>211</v>
      </c>
      <c r="C32" s="36" t="s">
        <v>145</v>
      </c>
      <c r="D32" s="36" t="s">
        <v>183</v>
      </c>
      <c r="E32" s="36" t="s">
        <v>184</v>
      </c>
      <c r="F32" s="36">
        <v>0</v>
      </c>
      <c r="G32" s="36">
        <v>0</v>
      </c>
      <c r="H32" s="36">
        <v>2757.5680029999999</v>
      </c>
      <c r="I32" s="36">
        <v>9029.5831130000006</v>
      </c>
      <c r="J32" s="36">
        <v>15085.877500000001</v>
      </c>
      <c r="K32" s="36">
        <v>19784.216420000001</v>
      </c>
      <c r="L32" s="36">
        <v>19770.03212</v>
      </c>
      <c r="M32" s="36">
        <v>16859.317340000001</v>
      </c>
      <c r="N32" s="36">
        <v>14476.282999999999</v>
      </c>
      <c r="O32" s="36">
        <v>14353.8912</v>
      </c>
    </row>
    <row r="33" spans="1:15" x14ac:dyDescent="0.35">
      <c r="A33" s="36" t="s">
        <v>205</v>
      </c>
      <c r="B33" s="36" t="s">
        <v>185</v>
      </c>
      <c r="C33" s="36" t="s">
        <v>145</v>
      </c>
      <c r="D33" s="36" t="s">
        <v>183</v>
      </c>
      <c r="E33" s="36" t="s">
        <v>184</v>
      </c>
      <c r="F33" s="36">
        <v>0</v>
      </c>
      <c r="G33" s="36">
        <v>0</v>
      </c>
      <c r="H33" s="36">
        <v>1841.3046670000001</v>
      </c>
      <c r="I33" s="36">
        <v>6770.4266669999997</v>
      </c>
      <c r="J33" s="36">
        <v>14112.142</v>
      </c>
      <c r="K33" s="36">
        <v>18651.985000000001</v>
      </c>
      <c r="L33" s="36">
        <v>19173.605</v>
      </c>
      <c r="M33" s="36">
        <v>16893.239000000001</v>
      </c>
      <c r="N33" s="36">
        <v>14518.01633</v>
      </c>
      <c r="O33" s="36">
        <v>13991.89733</v>
      </c>
    </row>
    <row r="34" spans="1:15" x14ac:dyDescent="0.35">
      <c r="A34" s="36" t="s">
        <v>205</v>
      </c>
      <c r="B34" s="36" t="s">
        <v>186</v>
      </c>
      <c r="C34" s="36" t="s">
        <v>145</v>
      </c>
      <c r="D34" s="36" t="s">
        <v>183</v>
      </c>
      <c r="E34" s="36" t="s">
        <v>184</v>
      </c>
      <c r="F34" s="36">
        <v>0</v>
      </c>
      <c r="G34" s="36">
        <v>0</v>
      </c>
      <c r="H34" s="36">
        <v>1845.8293329999999</v>
      </c>
      <c r="I34" s="36">
        <v>5694.960333</v>
      </c>
      <c r="J34" s="36">
        <v>8602.11</v>
      </c>
      <c r="K34" s="36">
        <v>9090.268</v>
      </c>
      <c r="L34" s="36">
        <v>10568.58</v>
      </c>
      <c r="M34" s="36">
        <v>12510.168</v>
      </c>
      <c r="N34" s="36">
        <v>12918.69333</v>
      </c>
      <c r="O34" s="36">
        <v>13606.99267</v>
      </c>
    </row>
    <row r="35" spans="1:15" x14ac:dyDescent="0.35">
      <c r="A35" s="36" t="s">
        <v>212</v>
      </c>
      <c r="B35" s="36" t="s">
        <v>188</v>
      </c>
      <c r="C35" s="36" t="s">
        <v>145</v>
      </c>
      <c r="D35" s="36" t="s">
        <v>183</v>
      </c>
      <c r="E35" s="36" t="s">
        <v>184</v>
      </c>
      <c r="F35" s="36">
        <v>0</v>
      </c>
      <c r="G35" s="36">
        <v>0</v>
      </c>
      <c r="H35" s="36">
        <v>3724.057495</v>
      </c>
      <c r="I35" s="36">
        <v>9928.5050730000003</v>
      </c>
      <c r="J35" s="36">
        <v>14082.119479999999</v>
      </c>
      <c r="K35" s="36">
        <v>17141.31797</v>
      </c>
      <c r="L35" s="36">
        <v>15363.268669999999</v>
      </c>
      <c r="M35" s="36">
        <v>14763.25517</v>
      </c>
      <c r="N35" s="36">
        <v>15369.57878</v>
      </c>
      <c r="O35" s="36">
        <v>16719.447069999998</v>
      </c>
    </row>
    <row r="36" spans="1:15" x14ac:dyDescent="0.35">
      <c r="A36" s="36" t="s">
        <v>212</v>
      </c>
      <c r="B36" s="36" t="s">
        <v>213</v>
      </c>
      <c r="C36" s="36" t="s">
        <v>145</v>
      </c>
      <c r="D36" s="36" t="s">
        <v>183</v>
      </c>
      <c r="E36" s="36" t="s">
        <v>184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0</v>
      </c>
      <c r="M36" s="36">
        <v>0</v>
      </c>
      <c r="N36" s="36">
        <v>0</v>
      </c>
      <c r="O36" s="36">
        <v>0</v>
      </c>
    </row>
    <row r="37" spans="1:15" x14ac:dyDescent="0.35">
      <c r="A37" s="36" t="s">
        <v>214</v>
      </c>
      <c r="B37" s="36" t="s">
        <v>182</v>
      </c>
      <c r="C37" s="36" t="s">
        <v>145</v>
      </c>
      <c r="D37" s="36" t="s">
        <v>183</v>
      </c>
      <c r="E37" s="36" t="s">
        <v>184</v>
      </c>
      <c r="F37" s="36">
        <v>7.9500109999999999E-3</v>
      </c>
      <c r="G37" s="36">
        <v>1.5309267259999999</v>
      </c>
      <c r="H37" s="36">
        <v>1416.4729830000001</v>
      </c>
      <c r="I37" s="36">
        <v>6535.849647</v>
      </c>
      <c r="J37" s="36">
        <v>14996.430259999999</v>
      </c>
      <c r="K37" s="36">
        <v>20358.571960000001</v>
      </c>
      <c r="L37" s="36">
        <v>23145.071499999998</v>
      </c>
      <c r="M37" s="36">
        <v>27805.074499999999</v>
      </c>
      <c r="N37" s="36">
        <v>34939.812639999996</v>
      </c>
      <c r="O37" s="36">
        <v>35838.944920000002</v>
      </c>
    </row>
    <row r="38" spans="1:15" x14ac:dyDescent="0.35">
      <c r="A38" s="36" t="s">
        <v>214</v>
      </c>
      <c r="B38" s="36" t="s">
        <v>215</v>
      </c>
      <c r="C38" s="36" t="s">
        <v>145</v>
      </c>
      <c r="D38" s="36" t="s">
        <v>183</v>
      </c>
      <c r="E38" s="36" t="s">
        <v>184</v>
      </c>
      <c r="F38" s="36">
        <v>7.9500109999999999E-3</v>
      </c>
      <c r="G38" s="36">
        <v>1.530901227</v>
      </c>
      <c r="H38" s="36">
        <v>827.90589509999995</v>
      </c>
      <c r="I38" s="36">
        <v>7537.6580610000001</v>
      </c>
      <c r="J38" s="36">
        <v>18540.552329999999</v>
      </c>
      <c r="K38" s="36">
        <v>23295.294740000001</v>
      </c>
      <c r="L38" s="36">
        <v>26337.04926</v>
      </c>
      <c r="M38" s="36">
        <v>30227.327399999998</v>
      </c>
      <c r="N38" s="36">
        <v>35744.232779999998</v>
      </c>
      <c r="O38" s="36">
        <v>38020.135110000003</v>
      </c>
    </row>
    <row r="39" spans="1:15" x14ac:dyDescent="0.35">
      <c r="A39" s="36" t="s">
        <v>214</v>
      </c>
      <c r="B39" s="36" t="s">
        <v>216</v>
      </c>
      <c r="C39" s="36" t="s">
        <v>145</v>
      </c>
      <c r="D39" s="36" t="s">
        <v>183</v>
      </c>
      <c r="E39" s="36" t="s">
        <v>184</v>
      </c>
      <c r="F39" s="36">
        <v>7.9500109999999999E-3</v>
      </c>
      <c r="G39" s="36">
        <v>1.530901227</v>
      </c>
      <c r="H39" s="36">
        <v>468.84713310000001</v>
      </c>
      <c r="I39" s="36">
        <v>4245.7595030000002</v>
      </c>
      <c r="J39" s="36">
        <v>12219.55946</v>
      </c>
      <c r="K39" s="36">
        <v>20818.497329999998</v>
      </c>
      <c r="L39" s="36">
        <v>22569.396410000001</v>
      </c>
      <c r="M39" s="36">
        <v>27761.715499999998</v>
      </c>
      <c r="N39" s="36">
        <v>35279.727930000001</v>
      </c>
      <c r="O39" s="36">
        <v>35766.540860000001</v>
      </c>
    </row>
    <row r="40" spans="1:15" x14ac:dyDescent="0.35">
      <c r="A40" s="36" t="s">
        <v>214</v>
      </c>
      <c r="B40" s="36" t="s">
        <v>206</v>
      </c>
      <c r="C40" s="36" t="s">
        <v>145</v>
      </c>
      <c r="D40" s="36" t="s">
        <v>183</v>
      </c>
      <c r="E40" s="36" t="s">
        <v>184</v>
      </c>
      <c r="F40" s="36">
        <v>7.9500109999999999E-3</v>
      </c>
      <c r="G40" s="36">
        <v>1.530901227</v>
      </c>
      <c r="H40" s="36">
        <v>468.53036800000001</v>
      </c>
      <c r="I40" s="36">
        <v>4790.1370660000002</v>
      </c>
      <c r="J40" s="36">
        <v>12919.3511</v>
      </c>
      <c r="K40" s="36">
        <v>20220.884249999999</v>
      </c>
      <c r="L40" s="36">
        <v>22634.96226</v>
      </c>
      <c r="M40" s="36">
        <v>27457.227330000002</v>
      </c>
      <c r="N40" s="36">
        <v>34379.741540000003</v>
      </c>
      <c r="O40" s="36">
        <v>33149.409480000002</v>
      </c>
    </row>
    <row r="41" spans="1:15" x14ac:dyDescent="0.35">
      <c r="A41" s="36" t="s">
        <v>214</v>
      </c>
      <c r="B41" s="36" t="s">
        <v>217</v>
      </c>
      <c r="C41" s="36" t="s">
        <v>145</v>
      </c>
      <c r="D41" s="36" t="s">
        <v>183</v>
      </c>
      <c r="E41" s="36" t="s">
        <v>184</v>
      </c>
      <c r="F41" s="36">
        <v>7.9500109999999999E-3</v>
      </c>
      <c r="G41" s="36">
        <v>1.530901227</v>
      </c>
      <c r="H41" s="36">
        <v>468.53036800000001</v>
      </c>
      <c r="I41" s="36">
        <v>6977.7434839999996</v>
      </c>
      <c r="J41" s="36">
        <v>16569.097529999999</v>
      </c>
      <c r="K41" s="36">
        <v>22905.771499999999</v>
      </c>
      <c r="L41" s="36">
        <v>25417.600350000001</v>
      </c>
      <c r="M41" s="36">
        <v>30294.02031</v>
      </c>
      <c r="N41" s="36">
        <v>35058.309130000001</v>
      </c>
      <c r="O41" s="36">
        <v>37681.925410000003</v>
      </c>
    </row>
    <row r="42" spans="1:15" x14ac:dyDescent="0.35">
      <c r="A42" s="36" t="s">
        <v>218</v>
      </c>
      <c r="B42" s="36" t="s">
        <v>188</v>
      </c>
      <c r="C42" s="36" t="s">
        <v>145</v>
      </c>
      <c r="D42" s="36" t="s">
        <v>183</v>
      </c>
      <c r="E42" s="36" t="s">
        <v>184</v>
      </c>
      <c r="F42" s="36">
        <v>1.9196400000000001E-5</v>
      </c>
      <c r="G42" s="36">
        <v>3.0436191560000001</v>
      </c>
      <c r="H42" s="36">
        <v>78.188941959999994</v>
      </c>
      <c r="I42" s="36">
        <v>1551.2210689999999</v>
      </c>
      <c r="J42" s="36">
        <v>6323.3476559999999</v>
      </c>
      <c r="K42" s="36">
        <v>10049.00195</v>
      </c>
      <c r="L42" s="36">
        <v>13660.967769999999</v>
      </c>
      <c r="M42" s="36">
        <v>17916.035159999999</v>
      </c>
      <c r="N42" s="36">
        <v>23413.140630000002</v>
      </c>
      <c r="O42" s="36">
        <v>27086.099610000001</v>
      </c>
    </row>
    <row r="43" spans="1:15" x14ac:dyDescent="0.35">
      <c r="A43" s="36" t="s">
        <v>219</v>
      </c>
      <c r="B43" s="36" t="s">
        <v>189</v>
      </c>
      <c r="C43" s="36" t="s">
        <v>145</v>
      </c>
      <c r="D43" s="36" t="s">
        <v>183</v>
      </c>
      <c r="E43" s="36" t="s">
        <v>184</v>
      </c>
      <c r="F43" s="36">
        <v>8.4294090000000006E-3</v>
      </c>
      <c r="G43" s="36">
        <v>0.88242554699999998</v>
      </c>
      <c r="H43" s="36">
        <v>385.95413209999998</v>
      </c>
      <c r="I43" s="36">
        <v>2432.078857</v>
      </c>
      <c r="J43" s="36">
        <v>7000.748047</v>
      </c>
      <c r="K43" s="36">
        <v>12896.19629</v>
      </c>
      <c r="L43" s="36">
        <v>16187.382809999999</v>
      </c>
      <c r="M43" s="36">
        <v>17637.009770000001</v>
      </c>
      <c r="N43" s="36">
        <v>17400.367190000001</v>
      </c>
      <c r="O43" s="36">
        <v>17120.119139999999</v>
      </c>
    </row>
    <row r="44" spans="1:15" x14ac:dyDescent="0.35">
      <c r="A44" s="36" t="s">
        <v>219</v>
      </c>
      <c r="B44" s="36" t="s">
        <v>209</v>
      </c>
      <c r="C44" s="36" t="s">
        <v>145</v>
      </c>
      <c r="D44" s="36" t="s">
        <v>183</v>
      </c>
      <c r="E44" s="36" t="s">
        <v>184</v>
      </c>
      <c r="F44" s="36">
        <v>8.4294090000000006E-3</v>
      </c>
      <c r="G44" s="36">
        <v>0.88219964500000003</v>
      </c>
      <c r="H44" s="36">
        <v>379.67364500000002</v>
      </c>
      <c r="I44" s="36">
        <v>2575.6811520000001</v>
      </c>
      <c r="J44" s="36">
        <v>7637.3452150000003</v>
      </c>
      <c r="K44" s="36">
        <v>14006.252930000001</v>
      </c>
      <c r="L44" s="36">
        <v>17533.021479999999</v>
      </c>
      <c r="M44" s="36">
        <v>19117.435549999998</v>
      </c>
      <c r="N44" s="36">
        <v>18995.185549999998</v>
      </c>
      <c r="O44" s="36">
        <v>18824.351559999999</v>
      </c>
    </row>
    <row r="45" spans="1:15" x14ac:dyDescent="0.35">
      <c r="A45" s="36" t="s">
        <v>219</v>
      </c>
      <c r="B45" s="36" t="s">
        <v>210</v>
      </c>
      <c r="C45" s="36" t="s">
        <v>145</v>
      </c>
      <c r="D45" s="36" t="s">
        <v>183</v>
      </c>
      <c r="E45" s="36" t="s">
        <v>184</v>
      </c>
      <c r="F45" s="36">
        <v>8.4294090000000006E-3</v>
      </c>
      <c r="G45" s="36">
        <v>0.88219964500000003</v>
      </c>
      <c r="H45" s="36">
        <v>412.00314329999998</v>
      </c>
      <c r="I45" s="36">
        <v>2105.2470699999999</v>
      </c>
      <c r="J45" s="36">
        <v>5351.7700199999999</v>
      </c>
      <c r="K45" s="36">
        <v>8099.1020509999998</v>
      </c>
      <c r="L45" s="36">
        <v>9482.8291019999997</v>
      </c>
      <c r="M45" s="36">
        <v>9932.6757809999999</v>
      </c>
      <c r="N45" s="36">
        <v>9664.4101559999999</v>
      </c>
      <c r="O45" s="36">
        <v>9590.0996090000008</v>
      </c>
    </row>
    <row r="46" spans="1:15" x14ac:dyDescent="0.35">
      <c r="A46" s="36" t="s">
        <v>219</v>
      </c>
      <c r="B46" s="36" t="s">
        <v>220</v>
      </c>
      <c r="C46" s="36" t="s">
        <v>145</v>
      </c>
      <c r="D46" s="36" t="s">
        <v>183</v>
      </c>
      <c r="E46" s="36" t="s">
        <v>184</v>
      </c>
      <c r="F46" s="36">
        <v>8.4294090000000006E-3</v>
      </c>
      <c r="G46" s="36">
        <v>0.88219964500000003</v>
      </c>
      <c r="H46" s="36">
        <v>424.43017579999997</v>
      </c>
      <c r="I46" s="36">
        <v>1091.2921140000001</v>
      </c>
      <c r="J46" s="36">
        <v>1563.888672</v>
      </c>
      <c r="K46" s="36">
        <v>1778.1226810000001</v>
      </c>
      <c r="L46" s="36">
        <v>1719.4077150000001</v>
      </c>
      <c r="M46" s="36">
        <v>1588.6649170000001</v>
      </c>
      <c r="N46" s="36">
        <v>1382.0864260000001</v>
      </c>
      <c r="O46" s="36">
        <v>1238.1701660000001</v>
      </c>
    </row>
    <row r="47" spans="1:15" x14ac:dyDescent="0.35">
      <c r="A47" s="36" t="s">
        <v>219</v>
      </c>
      <c r="B47" s="36" t="s">
        <v>211</v>
      </c>
      <c r="C47" s="36" t="s">
        <v>145</v>
      </c>
      <c r="D47" s="36" t="s">
        <v>183</v>
      </c>
      <c r="E47" s="36" t="s">
        <v>184</v>
      </c>
      <c r="F47" s="36">
        <v>8.4294090000000006E-3</v>
      </c>
      <c r="G47" s="36">
        <v>0.88289332399999998</v>
      </c>
      <c r="H47" s="36">
        <v>384.60000609999997</v>
      </c>
      <c r="I47" s="36">
        <v>2389.9016109999998</v>
      </c>
      <c r="J47" s="36">
        <v>6507.8969729999999</v>
      </c>
      <c r="K47" s="36">
        <v>11514.387699999999</v>
      </c>
      <c r="L47" s="36">
        <v>14255.958979999999</v>
      </c>
      <c r="M47" s="36">
        <v>15726.556640000001</v>
      </c>
      <c r="N47" s="36">
        <v>15398.035159999999</v>
      </c>
      <c r="O47" s="36">
        <v>14972.69629</v>
      </c>
    </row>
    <row r="48" spans="1:15" x14ac:dyDescent="0.35">
      <c r="A48" s="36" t="s">
        <v>219</v>
      </c>
      <c r="B48" s="36" t="s">
        <v>221</v>
      </c>
      <c r="C48" s="36" t="s">
        <v>145</v>
      </c>
      <c r="D48" s="36" t="s">
        <v>183</v>
      </c>
      <c r="E48" s="36" t="s">
        <v>184</v>
      </c>
      <c r="F48" s="36">
        <v>8.4294090000000006E-3</v>
      </c>
      <c r="G48" s="36">
        <v>0.88289332399999998</v>
      </c>
      <c r="H48" s="36">
        <v>424.26593020000001</v>
      </c>
      <c r="I48" s="36">
        <v>1063.668457</v>
      </c>
      <c r="J48" s="36">
        <v>1472.606812</v>
      </c>
      <c r="K48" s="36">
        <v>1585.6176760000001</v>
      </c>
      <c r="L48" s="36">
        <v>1481.328857</v>
      </c>
      <c r="M48" s="36">
        <v>1258.764404</v>
      </c>
      <c r="N48" s="36">
        <v>1029.8400879999999</v>
      </c>
      <c r="O48" s="36">
        <v>875.80963129999998</v>
      </c>
    </row>
    <row r="49" spans="1:15" x14ac:dyDescent="0.35">
      <c r="A49" s="36" t="s">
        <v>222</v>
      </c>
      <c r="B49" s="36" t="s">
        <v>223</v>
      </c>
      <c r="C49" s="36" t="s">
        <v>145</v>
      </c>
      <c r="D49" s="36" t="s">
        <v>183</v>
      </c>
      <c r="E49" s="36" t="s">
        <v>184</v>
      </c>
      <c r="F49" s="36">
        <v>0</v>
      </c>
      <c r="G49" s="36">
        <v>147.7030029</v>
      </c>
      <c r="H49" s="36">
        <v>2658.7451169999999</v>
      </c>
      <c r="I49" s="36">
        <v>9339.1064449999994</v>
      </c>
      <c r="J49" s="36">
        <v>15316.9043</v>
      </c>
      <c r="K49" s="36">
        <v>16061.76953</v>
      </c>
      <c r="L49" s="36">
        <v>16464.087889999999</v>
      </c>
      <c r="M49" s="36">
        <v>16966.037110000001</v>
      </c>
      <c r="N49" s="36">
        <v>16980.828130000002</v>
      </c>
      <c r="O49" s="36">
        <v>16984.552729999999</v>
      </c>
    </row>
    <row r="50" spans="1:15" x14ac:dyDescent="0.35">
      <c r="A50" s="36" t="s">
        <v>222</v>
      </c>
      <c r="B50" s="36" t="s">
        <v>224</v>
      </c>
      <c r="C50" s="36" t="s">
        <v>145</v>
      </c>
      <c r="D50" s="36" t="s">
        <v>183</v>
      </c>
      <c r="E50" s="36" t="s">
        <v>184</v>
      </c>
      <c r="F50" s="36">
        <v>0</v>
      </c>
      <c r="G50" s="36">
        <v>198.40199279999999</v>
      </c>
      <c r="H50" s="36">
        <v>3821.1359859999998</v>
      </c>
      <c r="I50" s="36">
        <v>11083.66504</v>
      </c>
      <c r="J50" s="36">
        <v>16392.816409999999</v>
      </c>
      <c r="K50" s="36">
        <v>16862.746090000001</v>
      </c>
      <c r="L50" s="36">
        <v>16885.140630000002</v>
      </c>
      <c r="M50" s="36">
        <v>16967.54492</v>
      </c>
      <c r="N50" s="36">
        <v>16981.900389999999</v>
      </c>
      <c r="O50" s="36">
        <v>16984.373049999998</v>
      </c>
    </row>
    <row r="51" spans="1:15" x14ac:dyDescent="0.35">
      <c r="A51" s="36" t="s">
        <v>222</v>
      </c>
      <c r="B51" s="36" t="s">
        <v>225</v>
      </c>
      <c r="C51" s="36" t="s">
        <v>145</v>
      </c>
      <c r="D51" s="36" t="s">
        <v>183</v>
      </c>
      <c r="E51" s="36" t="s">
        <v>184</v>
      </c>
      <c r="F51" s="36">
        <v>0</v>
      </c>
      <c r="G51" s="36">
        <v>190.93299870000001</v>
      </c>
      <c r="H51" s="36">
        <v>3585.7009280000002</v>
      </c>
      <c r="I51" s="36">
        <v>10387.215819999999</v>
      </c>
      <c r="J51" s="36">
        <v>16191.722659999999</v>
      </c>
      <c r="K51" s="36">
        <v>16674.070309999999</v>
      </c>
      <c r="L51" s="36">
        <v>16669.167969999999</v>
      </c>
      <c r="M51" s="36">
        <v>16954.876950000002</v>
      </c>
      <c r="N51" s="36">
        <v>16980.20117</v>
      </c>
      <c r="O51" s="36">
        <v>16984.029299999998</v>
      </c>
    </row>
    <row r="52" spans="1:15" x14ac:dyDescent="0.35">
      <c r="A52" s="36" t="s">
        <v>222</v>
      </c>
      <c r="B52" s="36" t="s">
        <v>226</v>
      </c>
      <c r="C52" s="36" t="s">
        <v>145</v>
      </c>
      <c r="D52" s="36" t="s">
        <v>183</v>
      </c>
      <c r="E52" s="36" t="s">
        <v>184</v>
      </c>
      <c r="F52" s="36">
        <v>0</v>
      </c>
      <c r="G52" s="36">
        <v>138.84599299999999</v>
      </c>
      <c r="H52" s="36">
        <v>2482.4760740000002</v>
      </c>
      <c r="I52" s="36">
        <v>8961.0263670000004</v>
      </c>
      <c r="J52" s="36">
        <v>15088.00488</v>
      </c>
      <c r="K52" s="36">
        <v>15993.39941</v>
      </c>
      <c r="L52" s="36">
        <v>16499.261719999999</v>
      </c>
      <c r="M52" s="36">
        <v>16971.185549999998</v>
      </c>
      <c r="N52" s="36">
        <v>16984.917969999999</v>
      </c>
      <c r="O52" s="36">
        <v>16986.417969999999</v>
      </c>
    </row>
    <row r="53" spans="1:15" x14ac:dyDescent="0.35">
      <c r="A53" s="36" t="s">
        <v>227</v>
      </c>
      <c r="B53" s="36" t="s">
        <v>182</v>
      </c>
      <c r="C53" s="36" t="s">
        <v>145</v>
      </c>
      <c r="D53" s="36" t="s">
        <v>183</v>
      </c>
      <c r="E53" s="36" t="s">
        <v>184</v>
      </c>
      <c r="F53" s="36">
        <v>0</v>
      </c>
      <c r="G53" s="36">
        <v>0.77800000000000002</v>
      </c>
      <c r="H53" s="36">
        <v>1591.2049999999999</v>
      </c>
      <c r="I53" s="36">
        <v>5496.8270000000002</v>
      </c>
      <c r="J53" s="36">
        <v>10113.75</v>
      </c>
      <c r="K53" s="36">
        <v>12686.86</v>
      </c>
      <c r="L53" s="36">
        <v>14151.83</v>
      </c>
      <c r="M53" s="36">
        <v>14999.51</v>
      </c>
      <c r="N53" s="36">
        <v>15437.16</v>
      </c>
      <c r="O53" s="36">
        <v>16249.45</v>
      </c>
    </row>
    <row r="54" spans="1:15" x14ac:dyDescent="0.35">
      <c r="A54" s="36" t="s">
        <v>227</v>
      </c>
      <c r="B54" s="36" t="s">
        <v>216</v>
      </c>
      <c r="C54" s="36" t="s">
        <v>145</v>
      </c>
      <c r="D54" s="36" t="s">
        <v>183</v>
      </c>
      <c r="E54" s="36" t="s">
        <v>184</v>
      </c>
      <c r="F54" s="36">
        <v>0</v>
      </c>
      <c r="G54" s="36">
        <v>0.77800000000000002</v>
      </c>
      <c r="H54" s="36">
        <v>69.616399999999999</v>
      </c>
      <c r="I54" s="36">
        <v>3497.4463999999998</v>
      </c>
      <c r="J54" s="36">
        <v>11387.4126</v>
      </c>
      <c r="K54" s="36">
        <v>14836.19</v>
      </c>
      <c r="L54" s="36">
        <v>16196.9105</v>
      </c>
      <c r="M54" s="36">
        <v>16365.847299999999</v>
      </c>
      <c r="N54" s="36">
        <v>16421.499</v>
      </c>
      <c r="O54" s="36">
        <v>16481.811000000002</v>
      </c>
    </row>
    <row r="55" spans="1:15" x14ac:dyDescent="0.35">
      <c r="A55" s="36" t="s">
        <v>227</v>
      </c>
      <c r="B55" s="36" t="s">
        <v>206</v>
      </c>
      <c r="C55" s="36" t="s">
        <v>145</v>
      </c>
      <c r="D55" s="36" t="s">
        <v>183</v>
      </c>
      <c r="E55" s="36" t="s">
        <v>184</v>
      </c>
      <c r="F55" s="36">
        <v>0</v>
      </c>
      <c r="G55" s="36">
        <v>0.77800000000000002</v>
      </c>
      <c r="H55" s="36">
        <v>69.616399999999999</v>
      </c>
      <c r="I55" s="36">
        <v>2773.759</v>
      </c>
      <c r="J55" s="36">
        <v>8750.4889999999996</v>
      </c>
      <c r="K55" s="36">
        <v>12434.03</v>
      </c>
      <c r="L55" s="36">
        <v>14045.48</v>
      </c>
      <c r="M55" s="36">
        <v>14982.35</v>
      </c>
      <c r="N55" s="36">
        <v>15481</v>
      </c>
      <c r="O55" s="36">
        <v>16251.86</v>
      </c>
    </row>
    <row r="56" spans="1:15" x14ac:dyDescent="0.35">
      <c r="A56" s="36" t="s">
        <v>227</v>
      </c>
      <c r="B56" s="36" t="s">
        <v>228</v>
      </c>
      <c r="C56" s="36" t="s">
        <v>145</v>
      </c>
      <c r="D56" s="36" t="s">
        <v>183</v>
      </c>
      <c r="E56" s="36" t="s">
        <v>184</v>
      </c>
      <c r="F56" s="36">
        <v>0</v>
      </c>
      <c r="G56" s="36">
        <v>0</v>
      </c>
      <c r="H56" s="36">
        <v>849.0779</v>
      </c>
      <c r="I56" s="36">
        <v>4398.6949999999997</v>
      </c>
      <c r="J56" s="36">
        <v>7102.4539999999997</v>
      </c>
      <c r="K56" s="36">
        <v>8190.1</v>
      </c>
      <c r="L56" s="36">
        <v>8713.3420000000006</v>
      </c>
      <c r="M56" s="36">
        <v>8377.7199999999993</v>
      </c>
      <c r="N56" s="36">
        <v>7363.3760000000002</v>
      </c>
      <c r="O56" s="36">
        <v>6069.6819999999998</v>
      </c>
    </row>
    <row r="57" spans="1:15" x14ac:dyDescent="0.35">
      <c r="A57" s="36" t="s">
        <v>227</v>
      </c>
      <c r="B57" s="36" t="s">
        <v>229</v>
      </c>
      <c r="C57" s="36" t="s">
        <v>145</v>
      </c>
      <c r="D57" s="36" t="s">
        <v>183</v>
      </c>
      <c r="E57" s="36" t="s">
        <v>184</v>
      </c>
      <c r="F57" s="36">
        <v>0</v>
      </c>
      <c r="G57" s="36">
        <v>0</v>
      </c>
      <c r="H57" s="36">
        <v>524.80589999999995</v>
      </c>
      <c r="I57" s="36">
        <v>3429.8290000000002</v>
      </c>
      <c r="J57" s="36">
        <v>8574.5319999999992</v>
      </c>
      <c r="K57" s="36">
        <v>13526.79</v>
      </c>
      <c r="L57" s="36">
        <v>15404.46</v>
      </c>
      <c r="M57" s="36">
        <v>13826.05</v>
      </c>
      <c r="N57" s="36">
        <v>10889</v>
      </c>
      <c r="O57" s="36">
        <v>7990.2709999999997</v>
      </c>
    </row>
    <row r="58" spans="1:15" x14ac:dyDescent="0.35">
      <c r="A58" s="36" t="s">
        <v>227</v>
      </c>
      <c r="B58" s="36" t="s">
        <v>230</v>
      </c>
      <c r="C58" s="36" t="s">
        <v>145</v>
      </c>
      <c r="D58" s="36" t="s">
        <v>183</v>
      </c>
      <c r="E58" s="36" t="s">
        <v>184</v>
      </c>
      <c r="F58" s="36">
        <v>0</v>
      </c>
      <c r="G58" s="36">
        <v>0</v>
      </c>
      <c r="H58" s="36">
        <v>1112.95</v>
      </c>
      <c r="I58" s="36">
        <v>4330.8890000000001</v>
      </c>
      <c r="J58" s="36">
        <v>5373.0519999999997</v>
      </c>
      <c r="K58" s="36">
        <v>5990.4089999999997</v>
      </c>
      <c r="L58" s="36">
        <v>5762.6549999999997</v>
      </c>
      <c r="M58" s="36">
        <v>5408.3040000000001</v>
      </c>
      <c r="N58" s="36">
        <v>5440.2640000000001</v>
      </c>
      <c r="O58" s="36">
        <v>4602.7510000000002</v>
      </c>
    </row>
    <row r="59" spans="1:15" x14ac:dyDescent="0.35">
      <c r="A59" s="36" t="s">
        <v>231</v>
      </c>
      <c r="B59" s="36" t="s">
        <v>185</v>
      </c>
      <c r="C59" s="36" t="s">
        <v>145</v>
      </c>
      <c r="D59" s="36" t="s">
        <v>183</v>
      </c>
      <c r="E59" s="36" t="s">
        <v>184</v>
      </c>
      <c r="F59" s="36">
        <v>0</v>
      </c>
      <c r="G59" s="36">
        <v>0.377</v>
      </c>
      <c r="H59" s="36">
        <v>435</v>
      </c>
      <c r="I59" s="36">
        <v>3840</v>
      </c>
      <c r="J59" s="36">
        <v>9400</v>
      </c>
      <c r="K59" s="36">
        <v>11000</v>
      </c>
      <c r="L59" s="36">
        <v>11400</v>
      </c>
      <c r="M59" s="36">
        <v>11700</v>
      </c>
      <c r="N59" s="36">
        <v>12000</v>
      </c>
      <c r="O59" s="36">
        <v>12100</v>
      </c>
    </row>
    <row r="60" spans="1:15" x14ac:dyDescent="0.35">
      <c r="A60" s="36" t="s">
        <v>231</v>
      </c>
      <c r="B60" s="36" t="s">
        <v>186</v>
      </c>
      <c r="C60" s="36" t="s">
        <v>145</v>
      </c>
      <c r="D60" s="36" t="s">
        <v>183</v>
      </c>
      <c r="E60" s="36" t="s">
        <v>184</v>
      </c>
      <c r="F60" s="36">
        <v>0</v>
      </c>
      <c r="G60" s="36">
        <v>2.4900000000000002</v>
      </c>
      <c r="H60" s="36">
        <v>1020</v>
      </c>
      <c r="I60" s="36">
        <v>8130</v>
      </c>
      <c r="J60" s="36">
        <v>12800</v>
      </c>
      <c r="K60" s="36">
        <v>14100</v>
      </c>
      <c r="L60" s="36">
        <v>14800</v>
      </c>
      <c r="M60" s="36">
        <v>15400</v>
      </c>
      <c r="N60" s="36">
        <v>15700</v>
      </c>
      <c r="O60" s="36">
        <v>15900</v>
      </c>
    </row>
    <row r="61" spans="1:15" x14ac:dyDescent="0.35">
      <c r="A61" s="36" t="s">
        <v>231</v>
      </c>
      <c r="B61" s="36" t="s">
        <v>193</v>
      </c>
      <c r="C61" s="36" t="s">
        <v>145</v>
      </c>
      <c r="D61" s="36" t="s">
        <v>183</v>
      </c>
      <c r="E61" s="36" t="s">
        <v>184</v>
      </c>
      <c r="F61" s="36">
        <v>0</v>
      </c>
      <c r="G61" s="36">
        <v>0.70199999999999996</v>
      </c>
      <c r="H61" s="36">
        <v>694</v>
      </c>
      <c r="I61" s="36">
        <v>7170</v>
      </c>
      <c r="J61" s="36">
        <v>16800</v>
      </c>
      <c r="K61" s="36">
        <v>19900</v>
      </c>
      <c r="L61" s="36">
        <v>21000</v>
      </c>
      <c r="M61" s="36">
        <v>21700</v>
      </c>
      <c r="N61" s="36">
        <v>22200</v>
      </c>
      <c r="O61" s="36">
        <v>22500</v>
      </c>
    </row>
    <row r="62" spans="1:15" x14ac:dyDescent="0.35">
      <c r="A62" s="36" t="s">
        <v>232</v>
      </c>
      <c r="B62" s="36" t="s">
        <v>188</v>
      </c>
      <c r="C62" s="36" t="s">
        <v>145</v>
      </c>
      <c r="D62" s="36" t="s">
        <v>183</v>
      </c>
      <c r="E62" s="36" t="s">
        <v>184</v>
      </c>
      <c r="F62" s="36">
        <v>0</v>
      </c>
      <c r="G62" s="36">
        <v>2.1840000000000002</v>
      </c>
      <c r="H62" s="36">
        <v>1493.03</v>
      </c>
      <c r="I62" s="36">
        <v>5171.4089999999997</v>
      </c>
      <c r="J62" s="36">
        <v>9536.1630000000005</v>
      </c>
      <c r="K62" s="36">
        <v>12357.9</v>
      </c>
      <c r="L62" s="36">
        <v>13884.22</v>
      </c>
      <c r="M62" s="36">
        <v>14525.29</v>
      </c>
      <c r="N62" s="36">
        <v>15008.5</v>
      </c>
      <c r="O62" s="36">
        <v>15958.66</v>
      </c>
    </row>
    <row r="63" spans="1:15" x14ac:dyDescent="0.35">
      <c r="A63" s="36" t="s">
        <v>232</v>
      </c>
      <c r="B63" s="36" t="s">
        <v>207</v>
      </c>
      <c r="C63" s="36" t="s">
        <v>145</v>
      </c>
      <c r="D63" s="36" t="s">
        <v>183</v>
      </c>
      <c r="E63" s="36" t="s">
        <v>184</v>
      </c>
      <c r="F63" s="36">
        <v>0</v>
      </c>
      <c r="G63" s="36">
        <v>15.244199999999999</v>
      </c>
      <c r="H63" s="36">
        <v>547.95460000000003</v>
      </c>
      <c r="I63" s="36">
        <v>3926.6860000000001</v>
      </c>
      <c r="J63" s="36">
        <v>10761.11</v>
      </c>
      <c r="K63" s="36">
        <v>14911.54</v>
      </c>
      <c r="L63" s="36">
        <v>15865.89</v>
      </c>
      <c r="M63" s="36">
        <v>16129.15</v>
      </c>
      <c r="N63" s="36">
        <v>16205.06</v>
      </c>
      <c r="O63" s="36">
        <v>16284.46</v>
      </c>
    </row>
    <row r="64" spans="1:15" x14ac:dyDescent="0.35">
      <c r="A64" s="36" t="s">
        <v>232</v>
      </c>
      <c r="B64" s="36" t="s">
        <v>208</v>
      </c>
      <c r="C64" s="36" t="s">
        <v>145</v>
      </c>
      <c r="D64" s="36" t="s">
        <v>183</v>
      </c>
      <c r="E64" s="36" t="s">
        <v>184</v>
      </c>
      <c r="F64" s="36">
        <v>0</v>
      </c>
      <c r="G64" s="36">
        <v>15.244199999999999</v>
      </c>
      <c r="H64" s="36">
        <v>796.08630000000005</v>
      </c>
      <c r="I64" s="36">
        <v>5927.4160000000002</v>
      </c>
      <c r="J64" s="36">
        <v>12829.61</v>
      </c>
      <c r="K64" s="36">
        <v>15288.38</v>
      </c>
      <c r="L64" s="36">
        <v>15863.52</v>
      </c>
      <c r="M64" s="36">
        <v>16121.66</v>
      </c>
      <c r="N64" s="36">
        <v>16218.95</v>
      </c>
      <c r="O64" s="36">
        <v>16286.18</v>
      </c>
    </row>
    <row r="65" spans="1:15" x14ac:dyDescent="0.35">
      <c r="A65" s="36" t="s">
        <v>232</v>
      </c>
      <c r="B65" s="36" t="s">
        <v>233</v>
      </c>
      <c r="C65" s="36" t="s">
        <v>145</v>
      </c>
      <c r="D65" s="36" t="s">
        <v>183</v>
      </c>
      <c r="E65" s="36" t="s">
        <v>184</v>
      </c>
      <c r="F65" s="36">
        <v>0</v>
      </c>
      <c r="G65" s="36">
        <v>15.244199999999999</v>
      </c>
      <c r="H65" s="36">
        <v>1036.4649999999999</v>
      </c>
      <c r="I65" s="36">
        <v>8383.8160000000007</v>
      </c>
      <c r="J65" s="36">
        <v>14705.11</v>
      </c>
      <c r="K65" s="36">
        <v>15973.09</v>
      </c>
      <c r="L65" s="36">
        <v>16187.66</v>
      </c>
      <c r="M65" s="36">
        <v>16191.69</v>
      </c>
      <c r="N65" s="36">
        <v>16240.76</v>
      </c>
      <c r="O65" s="36">
        <v>16289.79</v>
      </c>
    </row>
    <row r="66" spans="1:15" x14ac:dyDescent="0.35">
      <c r="A66" s="36" t="s">
        <v>232</v>
      </c>
      <c r="B66" s="36" t="s">
        <v>234</v>
      </c>
      <c r="C66" s="36" t="s">
        <v>145</v>
      </c>
      <c r="D66" s="36" t="s">
        <v>183</v>
      </c>
      <c r="E66" s="36" t="s">
        <v>184</v>
      </c>
      <c r="F66" s="36">
        <v>0</v>
      </c>
      <c r="G66" s="36">
        <v>1.6950000000000001</v>
      </c>
      <c r="H66" s="36">
        <v>101.3186</v>
      </c>
      <c r="I66" s="36">
        <v>3764.4839999999999</v>
      </c>
      <c r="J66" s="36">
        <v>11798.49</v>
      </c>
      <c r="K66" s="36">
        <v>15089.09</v>
      </c>
      <c r="L66" s="36">
        <v>16169.66</v>
      </c>
      <c r="M66" s="36">
        <v>16392.349999999999</v>
      </c>
      <c r="N66" s="36">
        <v>16402.77</v>
      </c>
      <c r="O66" s="36">
        <v>16470.38</v>
      </c>
    </row>
    <row r="67" spans="1:15" x14ac:dyDescent="0.35">
      <c r="A67" s="36" t="s">
        <v>232</v>
      </c>
      <c r="B67" s="36" t="s">
        <v>235</v>
      </c>
      <c r="C67" s="36" t="s">
        <v>145</v>
      </c>
      <c r="D67" s="36" t="s">
        <v>183</v>
      </c>
      <c r="E67" s="36" t="s">
        <v>184</v>
      </c>
      <c r="F67" s="36">
        <v>0</v>
      </c>
      <c r="G67" s="36">
        <v>26.3855</v>
      </c>
      <c r="H67" s="36">
        <v>760.90639999999996</v>
      </c>
      <c r="I67" s="36">
        <v>5900.5050000000001</v>
      </c>
      <c r="J67" s="36">
        <v>10443.959999999999</v>
      </c>
      <c r="K67" s="36">
        <v>12975.76</v>
      </c>
      <c r="L67" s="36">
        <v>14354.79</v>
      </c>
      <c r="M67" s="36">
        <v>14887.68</v>
      </c>
      <c r="N67" s="36">
        <v>15243.8</v>
      </c>
      <c r="O67" s="36">
        <v>16081.32</v>
      </c>
    </row>
    <row r="68" spans="1:15" x14ac:dyDescent="0.35">
      <c r="A68" s="36" t="s">
        <v>232</v>
      </c>
      <c r="B68" s="36" t="s">
        <v>236</v>
      </c>
      <c r="C68" s="36" t="s">
        <v>145</v>
      </c>
      <c r="D68" s="36" t="s">
        <v>183</v>
      </c>
      <c r="E68" s="36" t="s">
        <v>184</v>
      </c>
      <c r="F68" s="36">
        <v>0</v>
      </c>
      <c r="G68" s="36">
        <v>10.2546</v>
      </c>
      <c r="H68" s="36">
        <v>439.26609999999999</v>
      </c>
      <c r="I68" s="36">
        <v>3700.88</v>
      </c>
      <c r="J68" s="36">
        <v>11313.18</v>
      </c>
      <c r="K68" s="36">
        <v>14697.95</v>
      </c>
      <c r="L68" s="36">
        <v>15941.09</v>
      </c>
      <c r="M68" s="36">
        <v>16125.74</v>
      </c>
      <c r="N68" s="36">
        <v>16190.5</v>
      </c>
      <c r="O68" s="36">
        <v>16245.73</v>
      </c>
    </row>
    <row r="69" spans="1:15" x14ac:dyDescent="0.35">
      <c r="A69" s="36" t="s">
        <v>232</v>
      </c>
      <c r="B69" s="36" t="s">
        <v>237</v>
      </c>
      <c r="C69" s="36" t="s">
        <v>145</v>
      </c>
      <c r="D69" s="36" t="s">
        <v>183</v>
      </c>
      <c r="E69" s="36" t="s">
        <v>184</v>
      </c>
      <c r="F69" s="36">
        <v>0</v>
      </c>
      <c r="G69" s="36">
        <v>26.3855</v>
      </c>
      <c r="H69" s="36">
        <v>974.65909999999997</v>
      </c>
      <c r="I69" s="36">
        <v>4048.183</v>
      </c>
      <c r="J69" s="36">
        <v>11051.98</v>
      </c>
      <c r="K69" s="36">
        <v>14337.47</v>
      </c>
      <c r="L69" s="36">
        <v>15723.09</v>
      </c>
      <c r="M69" s="36">
        <v>16005.99</v>
      </c>
      <c r="N69" s="36">
        <v>16023.02</v>
      </c>
      <c r="O69" s="36">
        <v>16163.03</v>
      </c>
    </row>
    <row r="70" spans="1:15" x14ac:dyDescent="0.35">
      <c r="A70" s="36" t="s">
        <v>232</v>
      </c>
      <c r="B70" s="36" t="s">
        <v>238</v>
      </c>
      <c r="C70" s="36" t="s">
        <v>145</v>
      </c>
      <c r="D70" s="36" t="s">
        <v>183</v>
      </c>
      <c r="E70" s="36" t="s">
        <v>184</v>
      </c>
      <c r="F70" s="36">
        <v>0</v>
      </c>
      <c r="G70" s="36">
        <v>26.3855</v>
      </c>
      <c r="H70" s="36">
        <v>2970.9140000000002</v>
      </c>
      <c r="I70" s="36">
        <v>7854.0739999999996</v>
      </c>
      <c r="J70" s="36">
        <v>8145.8329999999996</v>
      </c>
      <c r="K70" s="36">
        <v>8123.79</v>
      </c>
      <c r="L70" s="36">
        <v>7985.0129999999999</v>
      </c>
      <c r="M70" s="36">
        <v>7678.1450000000004</v>
      </c>
      <c r="N70" s="36">
        <v>7843.05</v>
      </c>
      <c r="O70" s="36">
        <v>7299.7219999999998</v>
      </c>
    </row>
    <row r="71" spans="1:15" x14ac:dyDescent="0.35">
      <c r="A71" s="36" t="s">
        <v>232</v>
      </c>
      <c r="B71" s="36" t="s">
        <v>239</v>
      </c>
      <c r="C71" s="36" t="s">
        <v>145</v>
      </c>
      <c r="D71" s="36" t="s">
        <v>183</v>
      </c>
      <c r="E71" s="36" t="s">
        <v>184</v>
      </c>
      <c r="F71" s="36">
        <v>0</v>
      </c>
      <c r="G71" s="36">
        <v>26.493500000000001</v>
      </c>
      <c r="H71" s="36">
        <v>1050.162</v>
      </c>
      <c r="I71" s="36">
        <v>5917.5550000000003</v>
      </c>
      <c r="J71" s="36">
        <v>10422.74</v>
      </c>
      <c r="K71" s="36">
        <v>12896.58</v>
      </c>
      <c r="L71" s="36">
        <v>14403.95</v>
      </c>
      <c r="M71" s="36">
        <v>15141.98</v>
      </c>
      <c r="N71" s="36">
        <v>15257.44</v>
      </c>
      <c r="O71" s="36">
        <v>15646.91</v>
      </c>
    </row>
    <row r="72" spans="1:15" x14ac:dyDescent="0.35">
      <c r="A72" s="36" t="s">
        <v>232</v>
      </c>
      <c r="B72" s="36" t="s">
        <v>240</v>
      </c>
      <c r="C72" s="36" t="s">
        <v>145</v>
      </c>
      <c r="D72" s="36" t="s">
        <v>183</v>
      </c>
      <c r="E72" s="36" t="s">
        <v>184</v>
      </c>
      <c r="F72" s="36">
        <v>0</v>
      </c>
      <c r="G72" s="36">
        <v>17.838699999999999</v>
      </c>
      <c r="H72" s="36">
        <v>569.44889999999998</v>
      </c>
      <c r="I72" s="36">
        <v>4856.9750000000004</v>
      </c>
      <c r="J72" s="36">
        <v>8638.6020000000008</v>
      </c>
      <c r="K72" s="36">
        <v>11080.97</v>
      </c>
      <c r="L72" s="36">
        <v>12124.9</v>
      </c>
      <c r="M72" s="36">
        <v>12093.7</v>
      </c>
      <c r="N72" s="36">
        <v>11991.51</v>
      </c>
      <c r="O72" s="36">
        <v>12295.59</v>
      </c>
    </row>
    <row r="73" spans="1:15" x14ac:dyDescent="0.35">
      <c r="A73" s="36" t="s">
        <v>232</v>
      </c>
      <c r="B73" s="36" t="s">
        <v>241</v>
      </c>
      <c r="C73" s="36" t="s">
        <v>145</v>
      </c>
      <c r="D73" s="36" t="s">
        <v>183</v>
      </c>
      <c r="E73" s="36" t="s">
        <v>184</v>
      </c>
      <c r="F73" s="36">
        <v>0</v>
      </c>
      <c r="G73" s="36">
        <v>91.459500000000006</v>
      </c>
      <c r="H73" s="36">
        <v>1594.5609999999999</v>
      </c>
      <c r="I73" s="36">
        <v>5093.3159999999998</v>
      </c>
      <c r="J73" s="36">
        <v>7329.8059999999996</v>
      </c>
      <c r="K73" s="36">
        <v>8278.857</v>
      </c>
      <c r="L73" s="36">
        <v>8608.6669999999995</v>
      </c>
      <c r="M73" s="36">
        <v>8703.1849999999995</v>
      </c>
      <c r="N73" s="36">
        <v>8763.0239999999994</v>
      </c>
      <c r="O73" s="36">
        <v>8824.6489999999994</v>
      </c>
    </row>
    <row r="74" spans="1:15" x14ac:dyDescent="0.35">
      <c r="A74" s="36" t="s">
        <v>232</v>
      </c>
      <c r="B74" s="36" t="s">
        <v>242</v>
      </c>
      <c r="C74" s="36" t="s">
        <v>145</v>
      </c>
      <c r="D74" s="36" t="s">
        <v>183</v>
      </c>
      <c r="E74" s="36" t="s">
        <v>184</v>
      </c>
      <c r="F74" s="36">
        <v>0</v>
      </c>
      <c r="G74" s="36">
        <v>15.169700000000001</v>
      </c>
      <c r="H74" s="36">
        <v>446.95839999999998</v>
      </c>
      <c r="I74" s="36">
        <v>3771.4189999999999</v>
      </c>
      <c r="J74" s="36">
        <v>5406.3019999999997</v>
      </c>
      <c r="K74" s="36">
        <v>6467.4040000000005</v>
      </c>
      <c r="L74" s="36">
        <v>7011.7479999999996</v>
      </c>
      <c r="M74" s="36">
        <v>6914.0379999999996</v>
      </c>
      <c r="N74" s="36">
        <v>6724.97</v>
      </c>
      <c r="O74" s="36">
        <v>6685.27</v>
      </c>
    </row>
    <row r="75" spans="1:15" x14ac:dyDescent="0.35">
      <c r="A75" s="36" t="s">
        <v>232</v>
      </c>
      <c r="B75" s="36" t="s">
        <v>243</v>
      </c>
      <c r="C75" s="36" t="s">
        <v>145</v>
      </c>
      <c r="D75" s="36" t="s">
        <v>183</v>
      </c>
      <c r="E75" s="36" t="s">
        <v>184</v>
      </c>
      <c r="F75" s="36">
        <v>0</v>
      </c>
      <c r="G75" s="36">
        <v>7.3994999999999997</v>
      </c>
      <c r="H75" s="36">
        <v>232.8142</v>
      </c>
      <c r="I75" s="36">
        <v>2258.2139999999999</v>
      </c>
      <c r="J75" s="36">
        <v>6014.1480000000001</v>
      </c>
      <c r="K75" s="36">
        <v>8595.1890000000003</v>
      </c>
      <c r="L75" s="36">
        <v>10279.209999999999</v>
      </c>
      <c r="M75" s="36">
        <v>10977.72</v>
      </c>
      <c r="N75" s="36">
        <v>11228.74</v>
      </c>
      <c r="O75" s="36">
        <v>11386.57</v>
      </c>
    </row>
    <row r="76" spans="1:15" x14ac:dyDescent="0.35">
      <c r="A76" s="36" t="s">
        <v>232</v>
      </c>
      <c r="B76" s="36" t="s">
        <v>244</v>
      </c>
      <c r="C76" s="36" t="s">
        <v>145</v>
      </c>
      <c r="D76" s="36" t="s">
        <v>183</v>
      </c>
      <c r="E76" s="36" t="s">
        <v>184</v>
      </c>
      <c r="F76" s="36">
        <v>0</v>
      </c>
      <c r="G76" s="36">
        <v>11.9224</v>
      </c>
      <c r="H76" s="36">
        <v>459.43419999999998</v>
      </c>
      <c r="I76" s="36">
        <v>4061.069</v>
      </c>
      <c r="J76" s="36">
        <v>6206.9709999999995</v>
      </c>
      <c r="K76" s="36">
        <v>7411.0349999999999</v>
      </c>
      <c r="L76" s="36">
        <v>8057.8069999999998</v>
      </c>
      <c r="M76" s="36">
        <v>8457.6329999999998</v>
      </c>
      <c r="N76" s="36">
        <v>8652.2430000000004</v>
      </c>
      <c r="O76" s="36">
        <v>8674.768</v>
      </c>
    </row>
    <row r="77" spans="1:15" x14ac:dyDescent="0.35">
      <c r="A77" s="36" t="s">
        <v>245</v>
      </c>
      <c r="B77" s="36" t="s">
        <v>185</v>
      </c>
      <c r="C77" s="36" t="s">
        <v>145</v>
      </c>
      <c r="D77" s="36" t="s">
        <v>183</v>
      </c>
      <c r="E77" s="36" t="s">
        <v>184</v>
      </c>
      <c r="F77" s="36">
        <v>1.358057477</v>
      </c>
      <c r="G77" s="36">
        <v>120.0858566</v>
      </c>
      <c r="H77" s="36">
        <v>2320.8834200000001</v>
      </c>
      <c r="I77" s="36">
        <v>4489.9984610000001</v>
      </c>
      <c r="J77" s="36">
        <v>7351.5153700000001</v>
      </c>
      <c r="K77" s="36">
        <v>10444.56165</v>
      </c>
      <c r="L77" s="36">
        <v>13832.1968</v>
      </c>
      <c r="M77" s="36">
        <v>18452.673930000001</v>
      </c>
      <c r="N77" s="36">
        <v>20378.702069999999</v>
      </c>
      <c r="O77" s="36">
        <v>20253.63898</v>
      </c>
    </row>
    <row r="78" spans="1:15" x14ac:dyDescent="0.35">
      <c r="A78" s="36" t="s">
        <v>245</v>
      </c>
      <c r="B78" s="36" t="s">
        <v>246</v>
      </c>
      <c r="C78" s="36" t="s">
        <v>145</v>
      </c>
      <c r="D78" s="36" t="s">
        <v>183</v>
      </c>
      <c r="E78" s="36" t="s">
        <v>184</v>
      </c>
      <c r="F78" s="36">
        <v>1.358057477</v>
      </c>
      <c r="G78" s="36">
        <v>123.8490498</v>
      </c>
      <c r="H78" s="36">
        <v>2421.2552420000002</v>
      </c>
      <c r="I78" s="36">
        <v>4697.5665280000003</v>
      </c>
      <c r="J78" s="36">
        <v>7542.1774699999996</v>
      </c>
      <c r="K78" s="36">
        <v>10515.74749</v>
      </c>
      <c r="L78" s="36">
        <v>13802.73583</v>
      </c>
      <c r="M78" s="36">
        <v>18385.889200000001</v>
      </c>
      <c r="N78" s="36">
        <v>20767.52707</v>
      </c>
      <c r="O78" s="36">
        <v>23091.266090000001</v>
      </c>
    </row>
    <row r="79" spans="1:15" x14ac:dyDescent="0.35">
      <c r="A79" s="36" t="s">
        <v>247</v>
      </c>
      <c r="B79" s="36" t="s">
        <v>182</v>
      </c>
      <c r="C79" s="36" t="s">
        <v>145</v>
      </c>
      <c r="D79" s="36" t="s">
        <v>183</v>
      </c>
      <c r="E79" s="36" t="s">
        <v>184</v>
      </c>
      <c r="F79" s="36">
        <v>0.124171269</v>
      </c>
      <c r="G79" s="36">
        <v>282.266368</v>
      </c>
      <c r="H79" s="36">
        <v>2570.3388610000002</v>
      </c>
      <c r="I79" s="36">
        <v>4858.2865860000002</v>
      </c>
      <c r="J79" s="36">
        <v>7985.2236270000003</v>
      </c>
      <c r="K79" s="36">
        <v>10843.54816</v>
      </c>
      <c r="L79" s="36">
        <v>14679.96781</v>
      </c>
      <c r="M79" s="36">
        <v>19381.458159999998</v>
      </c>
      <c r="N79" s="36">
        <v>22888.228279999999</v>
      </c>
      <c r="O79" s="36">
        <v>23617.249800000001</v>
      </c>
    </row>
    <row r="80" spans="1:15" x14ac:dyDescent="0.35">
      <c r="A80" s="36" t="s">
        <v>248</v>
      </c>
      <c r="B80" s="36" t="s">
        <v>249</v>
      </c>
      <c r="C80" s="36" t="s">
        <v>145</v>
      </c>
      <c r="D80" s="36" t="s">
        <v>183</v>
      </c>
      <c r="E80" s="36" t="s">
        <v>184</v>
      </c>
      <c r="F80" s="36">
        <v>5.8895383000000003E-2</v>
      </c>
      <c r="G80" s="36">
        <v>6.7625492999999995E-2</v>
      </c>
      <c r="H80" s="36">
        <v>2485.5316240000002</v>
      </c>
      <c r="I80" s="36">
        <v>5198.6348200000002</v>
      </c>
      <c r="J80" s="36">
        <v>7182.8520980000003</v>
      </c>
      <c r="K80" s="36">
        <v>9214.0790519999991</v>
      </c>
      <c r="L80" s="36">
        <v>11319.30255</v>
      </c>
      <c r="M80" s="36">
        <v>11816.84251</v>
      </c>
      <c r="N80" s="36">
        <v>13349.14596</v>
      </c>
      <c r="O80" s="36">
        <v>16080.07193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Fig1_data_w_refs</vt:lpstr>
      <vt:lpstr>Fig1_data_sorted_by_type</vt:lpstr>
      <vt:lpstr>Fig1_Mt Simon data</vt:lpstr>
      <vt:lpstr>Fig2_Total_sequestered</vt:lpstr>
      <vt:lpstr>IPCC_2d_scenarios</vt:lpstr>
      <vt:lpstr>IPCC_1_5d_scenarios</vt:lpstr>
      <vt:lpstr>Fig1_data_w_refs!btblfn0065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Krevor</dc:creator>
  <cp:lastModifiedBy>Czahasky</cp:lastModifiedBy>
  <dcterms:created xsi:type="dcterms:W3CDTF">2019-10-03T16:13:25Z</dcterms:created>
  <dcterms:modified xsi:type="dcterms:W3CDTF">2020-01-28T22:21:02Z</dcterms:modified>
</cp:coreProperties>
</file>