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17203\Desktop\Pitch_Sup_Blank\Pitch_Sup_BLANK\"/>
    </mc:Choice>
  </mc:AlternateContent>
  <xr:revisionPtr revIDLastSave="0" documentId="13_ncr:1_{616953B9-77A9-4E89-8166-DC27DC05A203}" xr6:coauthVersionLast="47" xr6:coauthVersionMax="47" xr10:uidLastSave="{00000000-0000-0000-0000-000000000000}"/>
  <bookViews>
    <workbookView xWindow="420" yWindow="576" windowWidth="22236" windowHeight="11388" activeTab="1" xr2:uid="{C2EBABEB-5918-4909-B344-306C9C783924}"/>
  </bookViews>
  <sheets>
    <sheet name="Grav7_Powerplant(2024_11_24)" sheetId="3" r:id="rId1"/>
    <sheet name="Grav7_PoC_PumpSoln(2024_11_28)"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2" i="4" l="1"/>
  <c r="H218" i="4"/>
  <c r="J796" i="3"/>
  <c r="F796" i="3"/>
  <c r="B797" i="3"/>
  <c r="B796" i="3"/>
  <c r="B795" i="3"/>
  <c r="B793" i="3"/>
  <c r="B791" i="3"/>
  <c r="B789" i="3"/>
  <c r="B788" i="3"/>
  <c r="B787" i="3"/>
  <c r="B785" i="3"/>
  <c r="K763" i="4"/>
  <c r="B737" i="4"/>
  <c r="K757" i="4" s="1"/>
  <c r="B145" i="4"/>
  <c r="B238" i="3"/>
  <c r="B516" i="3" s="1"/>
  <c r="M236" i="3"/>
  <c r="J236" i="3"/>
  <c r="B284" i="3"/>
  <c r="E630" i="3" s="1"/>
  <c r="B321" i="3"/>
  <c r="G325" i="3" s="1"/>
  <c r="B320" i="3" s="1"/>
  <c r="J320" i="3" s="1"/>
  <c r="B774" i="4"/>
  <c r="D756" i="4"/>
  <c r="B755" i="4"/>
  <c r="K741" i="4"/>
  <c r="N740" i="4"/>
  <c r="K740" i="4"/>
  <c r="K734" i="4" s="1"/>
  <c r="B736" i="4"/>
  <c r="G734" i="4"/>
  <c r="B734" i="4" s="1"/>
  <c r="K733" i="4"/>
  <c r="B733" i="4"/>
  <c r="F732" i="4"/>
  <c r="B732" i="4"/>
  <c r="B717" i="4"/>
  <c r="K714" i="4"/>
  <c r="G714" i="4"/>
  <c r="B714" i="4"/>
  <c r="K713" i="4"/>
  <c r="B713" i="4" s="1"/>
  <c r="F712" i="4"/>
  <c r="B712" i="4" s="1"/>
  <c r="N675" i="4"/>
  <c r="B675" i="4"/>
  <c r="N674" i="4"/>
  <c r="E674" i="4"/>
  <c r="B674" i="4"/>
  <c r="B681" i="4" s="1"/>
  <c r="E671" i="4"/>
  <c r="B671" i="4" s="1"/>
  <c r="B685" i="4" s="1"/>
  <c r="N631" i="4"/>
  <c r="B631" i="4"/>
  <c r="B573" i="4"/>
  <c r="F572" i="4"/>
  <c r="J572" i="4" s="1"/>
  <c r="B563" i="4"/>
  <c r="C553" i="4"/>
  <c r="C552" i="4"/>
  <c r="B552" i="4"/>
  <c r="J524" i="4"/>
  <c r="B524" i="4"/>
  <c r="B519" i="4"/>
  <c r="G422" i="4"/>
  <c r="E360" i="4"/>
  <c r="D359" i="4"/>
  <c r="D352" i="4"/>
  <c r="B352" i="4"/>
  <c r="E672" i="4" s="1"/>
  <c r="B672" i="4" s="1"/>
  <c r="D351" i="4"/>
  <c r="B308" i="4"/>
  <c r="B271" i="4"/>
  <c r="B284" i="4" s="1"/>
  <c r="D284" i="4" s="1"/>
  <c r="B222" i="4"/>
  <c r="B301" i="4" s="1"/>
  <c r="D221" i="4"/>
  <c r="B218" i="4"/>
  <c r="B504" i="4" s="1"/>
  <c r="B215" i="4"/>
  <c r="B212" i="4"/>
  <c r="B211" i="4"/>
  <c r="B210" i="4"/>
  <c r="B209" i="4"/>
  <c r="B81" i="4"/>
  <c r="B73" i="4"/>
  <c r="B39" i="4"/>
  <c r="B35" i="4"/>
  <c r="B25" i="4"/>
  <c r="I3" i="4"/>
  <c r="B774" i="3"/>
  <c r="B717" i="3"/>
  <c r="B736" i="3"/>
  <c r="K714" i="3"/>
  <c r="D359" i="3"/>
  <c r="B360" i="3"/>
  <c r="E360" i="3"/>
  <c r="B680" i="3"/>
  <c r="B685" i="3"/>
  <c r="B681" i="3"/>
  <c r="B675" i="3"/>
  <c r="B674" i="3"/>
  <c r="E674" i="3"/>
  <c r="N674" i="3" s="1"/>
  <c r="N675" i="3"/>
  <c r="B215" i="3"/>
  <c r="B671" i="3"/>
  <c r="E671" i="3"/>
  <c r="I3" i="3"/>
  <c r="B277" i="3"/>
  <c r="B227" i="3"/>
  <c r="B230" i="3"/>
  <c r="B224" i="3"/>
  <c r="B352" i="3"/>
  <c r="D352" i="3" s="1"/>
  <c r="D351" i="3"/>
  <c r="B563" i="3"/>
  <c r="B737" i="3"/>
  <c r="F732" i="3"/>
  <c r="F712" i="3"/>
  <c r="B712" i="3" s="1"/>
  <c r="A807" i="3"/>
  <c r="A803" i="3"/>
  <c r="B155" i="3"/>
  <c r="B64" i="3"/>
  <c r="B56" i="3"/>
  <c r="B143" i="3"/>
  <c r="B142" i="3" s="1"/>
  <c r="B141" i="3"/>
  <c r="B59" i="3"/>
  <c r="B54" i="3"/>
  <c r="B755" i="3"/>
  <c r="G54" i="3"/>
  <c r="B322" i="3"/>
  <c r="B271" i="3"/>
  <c r="K740" i="3"/>
  <c r="N740" i="3" s="1"/>
  <c r="N631" i="3"/>
  <c r="D756" i="3"/>
  <c r="K741" i="3"/>
  <c r="G734" i="3"/>
  <c r="K733" i="3"/>
  <c r="B733" i="3" s="1"/>
  <c r="B308" i="3"/>
  <c r="B714" i="3"/>
  <c r="B715" i="3" s="1"/>
  <c r="B713" i="3"/>
  <c r="G714" i="3"/>
  <c r="K713" i="3"/>
  <c r="E630" i="4" l="1"/>
  <c r="D284" i="3"/>
  <c r="B680" i="4"/>
  <c r="B670" i="4"/>
  <c r="B141" i="4"/>
  <c r="B304" i="4"/>
  <c r="E737" i="4"/>
  <c r="I301" i="4"/>
  <c r="D301" i="4"/>
  <c r="B244" i="4"/>
  <c r="B91" i="4"/>
  <c r="B94" i="4" s="1"/>
  <c r="D222" i="4"/>
  <c r="B353" i="4"/>
  <c r="B571" i="4"/>
  <c r="B553" i="4"/>
  <c r="D271" i="4"/>
  <c r="D610" i="4"/>
  <c r="B225" i="4"/>
  <c r="B241" i="4"/>
  <c r="B525" i="4"/>
  <c r="B242" i="4"/>
  <c r="B219" i="4"/>
  <c r="B574" i="4" s="1"/>
  <c r="B243" i="4"/>
  <c r="B353" i="3"/>
  <c r="D353" i="3" s="1"/>
  <c r="E672" i="3"/>
  <c r="B672" i="3" s="1"/>
  <c r="B670" i="3"/>
  <c r="A808" i="3"/>
  <c r="A811" i="3" s="1"/>
  <c r="A814" i="3" s="1"/>
  <c r="B732" i="3"/>
  <c r="B735" i="3" s="1"/>
  <c r="K757" i="3"/>
  <c r="K763" i="3"/>
  <c r="K734" i="3"/>
  <c r="B734" i="3" s="1"/>
  <c r="D271" i="3"/>
  <c r="B631" i="3"/>
  <c r="D610" i="3"/>
  <c r="B519" i="3"/>
  <c r="B218" i="3"/>
  <c r="B504" i="3" s="1"/>
  <c r="B212" i="3"/>
  <c r="B211" i="3"/>
  <c r="B210" i="3"/>
  <c r="B573" i="3"/>
  <c r="F572" i="3"/>
  <c r="J572" i="3" s="1"/>
  <c r="B571" i="3"/>
  <c r="C553" i="3"/>
  <c r="C552" i="3"/>
  <c r="B552" i="3"/>
  <c r="J524" i="3"/>
  <c r="B524" i="3"/>
  <c r="G422" i="3"/>
  <c r="B323" i="3"/>
  <c r="J323" i="3" s="1"/>
  <c r="B222" i="3"/>
  <c r="D221" i="3"/>
  <c r="B209" i="3"/>
  <c r="B81" i="3"/>
  <c r="B73" i="3"/>
  <c r="B39" i="3"/>
  <c r="B35" i="3"/>
  <c r="B25" i="3"/>
  <c r="B655" i="4" l="1"/>
  <c r="N630" i="4"/>
  <c r="B630" i="4"/>
  <c r="D225" i="4"/>
  <c r="B224" i="4"/>
  <c r="B354" i="4"/>
  <c r="D353" i="4"/>
  <c r="D304" i="4"/>
  <c r="B303" i="4"/>
  <c r="B505" i="4"/>
  <c r="B231" i="4"/>
  <c r="B230" i="4" s="1"/>
  <c r="B232" i="4" s="1"/>
  <c r="B14" i="4"/>
  <c r="B54" i="4"/>
  <c r="B403" i="4" s="1"/>
  <c r="B98" i="4"/>
  <c r="F151" i="4"/>
  <c r="B151" i="4" s="1"/>
  <c r="B660" i="4"/>
  <c r="B610" i="4"/>
  <c r="D611" i="4"/>
  <c r="B611" i="4" s="1"/>
  <c r="D272" i="4"/>
  <c r="B275" i="4"/>
  <c r="B449" i="4"/>
  <c r="B354" i="3"/>
  <c r="B357" i="3" s="1"/>
  <c r="B301" i="3"/>
  <c r="E737" i="3" s="1"/>
  <c r="B525" i="3"/>
  <c r="B272" i="3"/>
  <c r="B610" i="3"/>
  <c r="B660" i="3"/>
  <c r="B275" i="3"/>
  <c r="B274" i="3" s="1"/>
  <c r="B273" i="3" s="1"/>
  <c r="D272" i="3"/>
  <c r="I301" i="3"/>
  <c r="D611" i="3"/>
  <c r="B611" i="3" s="1"/>
  <c r="B91" i="3"/>
  <c r="B94" i="3" s="1"/>
  <c r="B98" i="3" s="1"/>
  <c r="B219" i="3"/>
  <c r="B515" i="3"/>
  <c r="B243" i="3"/>
  <c r="B244" i="3"/>
  <c r="F523" i="3"/>
  <c r="F570" i="3"/>
  <c r="D301" i="3"/>
  <c r="B304" i="3"/>
  <c r="B303" i="3" s="1"/>
  <c r="F741" i="3" s="1"/>
  <c r="D222" i="3"/>
  <c r="B410" i="3"/>
  <c r="B553" i="3"/>
  <c r="B225" i="3"/>
  <c r="B241" i="3"/>
  <c r="B242" i="3"/>
  <c r="B650" i="4" l="1"/>
  <c r="B38" i="4"/>
  <c r="B306" i="4"/>
  <c r="F741" i="4"/>
  <c r="B322" i="4"/>
  <c r="D275" i="4"/>
  <c r="B274" i="4"/>
  <c r="B273" i="4" s="1"/>
  <c r="B59" i="4"/>
  <c r="B402" i="4"/>
  <c r="G54" i="4"/>
  <c r="B357" i="4"/>
  <c r="B355" i="4"/>
  <c r="B360" i="4" s="1"/>
  <c r="B715" i="4"/>
  <c r="B735" i="4"/>
  <c r="B15" i="4"/>
  <c r="B223" i="4"/>
  <c r="B227" i="4" s="1"/>
  <c r="B239" i="4"/>
  <c r="B421" i="4" s="1"/>
  <c r="B600" i="4"/>
  <c r="B355" i="3"/>
  <c r="B574" i="3"/>
  <c r="B14" i="3"/>
  <c r="B15" i="3" s="1"/>
  <c r="D275" i="3"/>
  <c r="N630" i="3"/>
  <c r="B655" i="3"/>
  <c r="B650" i="3" s="1"/>
  <c r="B630" i="3"/>
  <c r="B600" i="3" s="1"/>
  <c r="B449" i="3"/>
  <c r="B556" i="3"/>
  <c r="B505" i="3"/>
  <c r="B231" i="3"/>
  <c r="B232" i="3" s="1"/>
  <c r="D225" i="3"/>
  <c r="B239" i="3"/>
  <c r="B421" i="3" s="1"/>
  <c r="J523" i="3"/>
  <c r="B523" i="3"/>
  <c r="D304" i="3"/>
  <c r="B306" i="3"/>
  <c r="F740" i="3" s="1"/>
  <c r="B570" i="3"/>
  <c r="J570" i="3"/>
  <c r="J236" i="4" l="1"/>
  <c r="B321" i="4"/>
  <c r="D59" i="4"/>
  <c r="B56" i="4"/>
  <c r="B64" i="4" s="1"/>
  <c r="B277" i="4"/>
  <c r="B280" i="4"/>
  <c r="B422" i="4"/>
  <c r="B416" i="4"/>
  <c r="B415" i="4"/>
  <c r="B423" i="4"/>
  <c r="B147" i="4"/>
  <c r="F740" i="4"/>
  <c r="B302" i="4"/>
  <c r="B280" i="3"/>
  <c r="B147" i="3"/>
  <c r="B403" i="3"/>
  <c r="F151" i="3"/>
  <c r="B151" i="3" s="1"/>
  <c r="B38" i="3" s="1"/>
  <c r="B402" i="3"/>
  <c r="D59" i="3"/>
  <c r="B145" i="3"/>
  <c r="B302" i="3"/>
  <c r="B290" i="3" s="1"/>
  <c r="F245" i="3" s="1"/>
  <c r="B423" i="3"/>
  <c r="B223" i="3"/>
  <c r="M236" i="4" l="1"/>
  <c r="B238" i="4"/>
  <c r="B92" i="4" s="1"/>
  <c r="B575" i="4"/>
  <c r="B550" i="4" s="1"/>
  <c r="B431" i="4"/>
  <c r="B430" i="4"/>
  <c r="B55" i="4"/>
  <c r="B290" i="4"/>
  <c r="F245" i="4" s="1"/>
  <c r="F145" i="4"/>
  <c r="B150" i="4" s="1"/>
  <c r="B143" i="4"/>
  <c r="B155" i="4" s="1"/>
  <c r="B55" i="3"/>
  <c r="B416" i="3"/>
  <c r="B415" i="3"/>
  <c r="F145" i="3"/>
  <c r="B150" i="3" s="1"/>
  <c r="B422" i="3"/>
  <c r="B516" i="4" l="1"/>
  <c r="B526" i="4"/>
  <c r="B245" i="4"/>
  <c r="B12" i="4"/>
  <c r="B718" i="4" s="1"/>
  <c r="B429" i="4"/>
  <c r="B142" i="4"/>
  <c r="G325" i="4"/>
  <c r="B320" i="4" s="1"/>
  <c r="B707" i="4"/>
  <c r="B710" i="4"/>
  <c r="B706" i="4" s="1"/>
  <c r="B708" i="4" s="1"/>
  <c r="B93" i="4"/>
  <c r="B526" i="3"/>
  <c r="B575" i="3"/>
  <c r="B550" i="3" s="1"/>
  <c r="B92" i="3"/>
  <c r="B431" i="3"/>
  <c r="B430" i="3"/>
  <c r="B429" i="3"/>
  <c r="B245" i="3"/>
  <c r="B707" i="3" l="1"/>
  <c r="B710" i="3"/>
  <c r="B706" i="3" s="1"/>
  <c r="B708" i="3" s="1"/>
  <c r="B12" i="3"/>
  <c r="J320" i="4"/>
  <c r="B515" i="4"/>
  <c r="B323" i="4"/>
  <c r="J323" i="4" s="1"/>
  <c r="F743" i="4"/>
  <c r="F742" i="4" s="1"/>
  <c r="B427" i="4"/>
  <c r="F12" i="4"/>
  <c r="B716" i="4"/>
  <c r="B502" i="3"/>
  <c r="B453" i="3" s="1"/>
  <c r="B454" i="3"/>
  <c r="H550" i="3"/>
  <c r="B93" i="3"/>
  <c r="B716" i="3" l="1"/>
  <c r="B718" i="3"/>
  <c r="F12" i="3"/>
  <c r="B556" i="4"/>
  <c r="F523" i="4"/>
  <c r="B523" i="4" s="1"/>
  <c r="B502" i="4" s="1"/>
  <c r="B410" i="4"/>
  <c r="F570" i="4"/>
  <c r="B570" i="4" s="1"/>
  <c r="H745" i="4"/>
  <c r="J745" i="4" s="1"/>
  <c r="B745" i="4"/>
  <c r="J742" i="4"/>
  <c r="B730" i="4"/>
  <c r="B726" i="4" s="1"/>
  <c r="B580" i="3"/>
  <c r="E580" i="3" s="1"/>
  <c r="B427" i="3"/>
  <c r="F743" i="3"/>
  <c r="F742" i="3" s="1"/>
  <c r="B730" i="3" s="1"/>
  <c r="B726" i="3" s="1"/>
  <c r="B751" i="3" s="1"/>
  <c r="J523" i="4" l="1"/>
  <c r="J570" i="4"/>
  <c r="B454" i="4"/>
  <c r="B580" i="4"/>
  <c r="E580" i="4" s="1"/>
  <c r="H550" i="4"/>
  <c r="B453" i="4"/>
  <c r="B758" i="4"/>
  <c r="H747" i="4"/>
  <c r="B747" i="4"/>
  <c r="B746" i="4"/>
  <c r="B727" i="4"/>
  <c r="B728" i="4" s="1"/>
  <c r="B751" i="4"/>
  <c r="H745" i="3"/>
  <c r="J745" i="3" s="1"/>
  <c r="J742" i="3"/>
  <c r="B745" i="3"/>
  <c r="B6" i="4" l="1"/>
  <c r="B754" i="4"/>
  <c r="B757" i="4" s="1"/>
  <c r="F755" i="4"/>
  <c r="B727" i="3"/>
  <c r="B728" i="3" s="1"/>
  <c r="B758" i="3"/>
  <c r="H747" i="3"/>
  <c r="B746" i="3"/>
  <c r="B6" i="3" s="1"/>
  <c r="B747" i="3"/>
  <c r="B763" i="4" l="1"/>
  <c r="B765" i="4" s="1"/>
  <c r="B767" i="4" s="1"/>
  <c r="B759" i="4"/>
  <c r="F755" i="3"/>
  <c r="B754" i="3"/>
  <c r="B757" i="3" s="1"/>
  <c r="D767" i="4" l="1"/>
  <c r="B775" i="4"/>
  <c r="B763" i="3"/>
  <c r="B765" i="3" s="1"/>
  <c r="B767" i="3" s="1"/>
  <c r="B759" i="3"/>
  <c r="B775" i="3" l="1"/>
  <c r="D767" i="3"/>
</calcChain>
</file>

<file path=xl/sharedStrings.xml><?xml version="1.0" encoding="utf-8"?>
<sst xmlns="http://schemas.openxmlformats.org/spreadsheetml/2006/main" count="1780" uniqueCount="603">
  <si>
    <t>Date Started</t>
  </si>
  <si>
    <t>Value</t>
  </si>
  <si>
    <t>Units</t>
  </si>
  <si>
    <t>Acceleration due to Gravity</t>
  </si>
  <si>
    <t>m/s2</t>
  </si>
  <si>
    <t>Multiplier (for conversion from SI to lbs)</t>
  </si>
  <si>
    <t>lbs/kg</t>
  </si>
  <si>
    <t>Multiplier (for converion from SI to gallons)</t>
  </si>
  <si>
    <t>gallons/m3</t>
  </si>
  <si>
    <t>Multiplier (for conversion from SI to in)</t>
  </si>
  <si>
    <t>in/m</t>
  </si>
  <si>
    <t>Starting Constants</t>
  </si>
  <si>
    <t>kg to lbs multiplier</t>
  </si>
  <si>
    <t>ft to m multiplier</t>
  </si>
  <si>
    <t>Quick Reference</t>
  </si>
  <si>
    <t>AND results, all logic checks</t>
  </si>
  <si>
    <t>US Dollars/day, total</t>
  </si>
  <si>
    <t>Cost to Build</t>
  </si>
  <si>
    <t>Cost to Maintain / YR</t>
  </si>
  <si>
    <t>Years to Payback</t>
  </si>
  <si>
    <t>Notes</t>
  </si>
  <si>
    <t>Ignores tower construction cost. Assumes cliff face version, no tower, straight vertical narrow pipe</t>
  </si>
  <si>
    <t>Mass of max liquid in reservoir tank</t>
  </si>
  <si>
    <t>Density of Circulating Liquid</t>
  </si>
  <si>
    <t>kg/m3</t>
  </si>
  <si>
    <t>kg</t>
  </si>
  <si>
    <t>Mass of max fluid in one narrow pipe</t>
  </si>
  <si>
    <t>Height</t>
  </si>
  <si>
    <t>Height of pipe</t>
  </si>
  <si>
    <t>Radius of pipe</t>
  </si>
  <si>
    <t>m</t>
  </si>
  <si>
    <t>Cost to build</t>
  </si>
  <si>
    <t>Recommend that this helps or is inherited by the gallons per second calculation</t>
  </si>
  <si>
    <t>Volume of liquid in narrow pipe, up to outlet at top of reservoir tank</t>
  </si>
  <si>
    <t>m3</t>
  </si>
  <si>
    <t>Radius of turbine</t>
  </si>
  <si>
    <t>Mass of max fluid in collection tank</t>
  </si>
  <si>
    <t>Height of tank</t>
  </si>
  <si>
    <t>Volume of tank</t>
  </si>
  <si>
    <t>Vertical distance, Height of pipe</t>
  </si>
  <si>
    <t>Shared Gas Relief Pipe between top of Reservoir tank and top of collections tank</t>
  </si>
  <si>
    <t>Pipe from Collections Tank to Valve before Pipe Hub</t>
  </si>
  <si>
    <t>Mass of max fluid inside counterweight</t>
  </si>
  <si>
    <t>Mass of shell (including all extras outside of shell)</t>
  </si>
  <si>
    <t>Note: Objects are organized roughly vertically, starting from top of device</t>
  </si>
  <si>
    <t>Mass, Volume Calculations for Gravitic Engine</t>
  </si>
  <si>
    <t>Effective Mass for force calc</t>
  </si>
  <si>
    <t>Effective Cable mass for Force Balance Equation 1</t>
  </si>
  <si>
    <t>Effective Cable mass for Force Balance Equation 2</t>
  </si>
  <si>
    <t>Compound Pulley Multiplier for Priming Pump</t>
  </si>
  <si>
    <t>Representative mass for loss due to tension in cables, FB1</t>
  </si>
  <si>
    <t>Representative mass for loss due to tension in cables, FB2</t>
  </si>
  <si>
    <t>Mass of max fluid in pump chamber</t>
  </si>
  <si>
    <t>Representative mass for resistance in pipe, for pumping force balance equation</t>
  </si>
  <si>
    <t>Representative Mass to overcome friction from high pressure seals around inner chamber walls</t>
  </si>
  <si>
    <t>Is mass of max fluid in reservoir tank less than mass of max fluid in collections tank</t>
  </si>
  <si>
    <t>Is mass of max fluid, etc. less than by some multiplier</t>
  </si>
  <si>
    <t>Multiplier</t>
  </si>
  <si>
    <t>Thickness of Shell</t>
  </si>
  <si>
    <t>Heavier than water and lighter than tungsten</t>
  </si>
  <si>
    <t>Is mass of pumable liquid in chamber *enough* to pay off cost of cycle and eventually construction of device</t>
  </si>
  <si>
    <t>Check force balance equation for priming of pump is positive</t>
  </si>
  <si>
    <t>Check force balance equation for pumping stage is positive</t>
  </si>
  <si>
    <t>Check power calculation is net positive</t>
  </si>
  <si>
    <t>Power for motorized ball valves</t>
  </si>
  <si>
    <t>Number of Small Valves</t>
  </si>
  <si>
    <t>Turbine conversion efficiency</t>
  </si>
  <si>
    <t>Number of Medium Valves</t>
  </si>
  <si>
    <t>Number of Large Valves</t>
  </si>
  <si>
    <t>Valve Hub, Single</t>
  </si>
  <si>
    <t>Multiplier for generator efficiency</t>
  </si>
  <si>
    <t>Volume of Liquid at Start</t>
  </si>
  <si>
    <t>Estimated cost of liquid</t>
  </si>
  <si>
    <t>$/kg</t>
  </si>
  <si>
    <t>Volume of Reservoir Tank</t>
  </si>
  <si>
    <t>gallons</t>
  </si>
  <si>
    <t>USD/gallon</t>
  </si>
  <si>
    <t>Cost To Build ($)</t>
  </si>
  <si>
    <t>US dollars</t>
  </si>
  <si>
    <t>Volume of shared feed pipe</t>
  </si>
  <si>
    <t>lbs</t>
  </si>
  <si>
    <t>Ratio of Height to Radius</t>
  </si>
  <si>
    <t>Height of Central Cylinder of MC</t>
  </si>
  <si>
    <t>Cost to build, MC and tube, with pulley attachments</t>
  </si>
  <si>
    <t>Cable strength should be based of MC's max fluid</t>
  </si>
  <si>
    <t>Divisor</t>
  </si>
  <si>
    <t>Multiplier (based off pulley system multipliers, and dual cable system)</t>
  </si>
  <si>
    <t>Cost of MC Chamber</t>
  </si>
  <si>
    <t>US Dollars</t>
  </si>
  <si>
    <t xml:space="preserve">Multiplier </t>
  </si>
  <si>
    <t>Multplier</t>
  </si>
  <si>
    <t>Height of pump rod</t>
  </si>
  <si>
    <t>Radius of pump rod</t>
  </si>
  <si>
    <t>Pump rod (Driving shaft, pump shaft, etc.)</t>
  </si>
  <si>
    <t>Volume</t>
  </si>
  <si>
    <t>Height of Inside of Reservoir Tank</t>
  </si>
  <si>
    <t>Assuming tank is shaped like a rectangular prism, with length thrice the width, width equal to height</t>
  </si>
  <si>
    <t>Multiplier to allow for gas layer inside top of tank, and some extra volume, greater than the volume of the reservoir tank</t>
  </si>
  <si>
    <t>Larger than volume of max fluid of reservoir tank by the multiplier below</t>
  </si>
  <si>
    <t>times the width</t>
  </si>
  <si>
    <t xml:space="preserve">Larger than mass of max fluid in the reservoir tank by the multiplier below </t>
  </si>
  <si>
    <t>USD/gallons</t>
  </si>
  <si>
    <t>USD</t>
  </si>
  <si>
    <t>Multiplier for lower density, due to additives (for water, no additive!. This cell exists for sulfuric acid or HCL additives for gallium based liquid metal)</t>
  </si>
  <si>
    <t>x times the radius to get the height</t>
  </si>
  <si>
    <t>Liters in a US gallon</t>
  </si>
  <si>
    <t>One penny for 5 gallons /5 * (# of liters / gallon) * (1000/density of tap water)</t>
  </si>
  <si>
    <t>Density of tap water, around 20 to 25 deg C. Previously tested density of a common Gallium-based liquid metal, mixed with small amount of acid to reduce reactivity, at .995 modifier with 6440 kg/m3</t>
  </si>
  <si>
    <t>N</t>
  </si>
  <si>
    <t>divided from the mass of Plunger</t>
  </si>
  <si>
    <t>Mass of pump rod, top of rod, and attached pulley(s)</t>
  </si>
  <si>
    <t>Force, representative mass for friction related to upward movement on plunger ring seals</t>
  </si>
  <si>
    <t>Representative mass</t>
  </si>
  <si>
    <t>Force, representative mass for suction force loss</t>
  </si>
  <si>
    <t>TODO: Update based off prototyping, should be related to chosen seals and pump type and pump size</t>
  </si>
  <si>
    <t>TODO: Validate that observed force in prototype is a combination of these two representative masses, check that sum in is observed range</t>
  </si>
  <si>
    <t>Force, representative mass for resistance in pipe(s), the narrow pipe and narrow tube, (from the pump chamber all the way to before the Pelton wheel, in current design)</t>
  </si>
  <si>
    <t>Total mass of liquid in narrow tubes and narrow pipe sections before turbine, for the individual MC/pump chamber pair  (assuming 3 x times mass of liquid in narrow tube</t>
  </si>
  <si>
    <t>Representative mass for resistance in pipe</t>
  </si>
  <si>
    <t>If zero, then Pelton wheel is used (instead of Francis turbine, with upper reservoir tank), and narrow pipe is penstock, with velocity as the driver, instead of pressure of the liquid.</t>
  </si>
  <si>
    <t>Logic</t>
  </si>
  <si>
    <t>From the max fluid</t>
  </si>
  <si>
    <t>Half the height of the pump chamber</t>
  </si>
  <si>
    <t>Traveling Distance of Plunger</t>
  </si>
  <si>
    <t>Height (and diameter) of all pulleys placed at top of MC chamber</t>
  </si>
  <si>
    <t>Compound Pulley System</t>
  </si>
  <si>
    <t xml:space="preserve">kg </t>
  </si>
  <si>
    <t>**DO NOT DELETE B54. Some cells inherit from this cell, even if reservoir tank is not used. Number of pump chambers times mass of max liquid in an individual pump chamber</t>
  </si>
  <si>
    <t>Force, partial mass of cables and tension losses</t>
  </si>
  <si>
    <t>Mass of max fluid</t>
  </si>
  <si>
    <t>Removed::: (AUTOMATICALLY CHECKED) Force balance eqn… Pump priming: Max Lingering liquid of Drain funnel area must weigh at least as much as last cycle's CW2's max liquid</t>
  </si>
  <si>
    <t>Using Mass of Plunger as a baseline in force balance calculation</t>
  </si>
  <si>
    <t>Does MC and max fluid have more mass than representative mass of friction in plunger pump, ignoring the compound pulley system? This is not necessary, but I think it is worth measuring, in a final version, at least with some multiplier.</t>
  </si>
  <si>
    <t>Mass/(Outer Volume - Inner Volume)</t>
  </si>
  <si>
    <t>Density of Shell</t>
  </si>
  <si>
    <t>"+/- what percentage, in decimal form?"</t>
  </si>
  <si>
    <t>Normal density around most metals, using stainless steel as base comparison</t>
  </si>
  <si>
    <t>TODO</t>
  </si>
  <si>
    <t>Once a prototype gives a realistic velocity measurement or height pumping maximum, then a more realistic power / cycle calculation can be made</t>
  </si>
  <si>
    <t>Is MC chamber height is greater than the sum of above two?</t>
  </si>
  <si>
    <t>Is MC chamber height greater than MC cylinder height</t>
  </si>
  <si>
    <t>Is MC chamber height greater than pump rod traveling distance</t>
  </si>
  <si>
    <t xml:space="preserve">Is radius of narrow pipe greater than .05mm and smaller than 50m? </t>
  </si>
  <si>
    <t>Alt. Embodiment: Drain tank radius larger than pump chamber (below) radius, for displacement plunger to easily move through both</t>
  </si>
  <si>
    <t>Force, loss due to compression of the liquid inside pump chamber</t>
  </si>
  <si>
    <t>Total Height</t>
  </si>
  <si>
    <t>Pelton Wheel or (Francis Turbine + optional Pelton) or (Francis+Pelton+SecondaryLiquidGBLM)</t>
  </si>
  <si>
    <t>0=Pelton, 1=Francis(+maybe Pelton), 2=SecondaryLiquid</t>
  </si>
  <si>
    <t>Multiplier, fraction of CW#2</t>
  </si>
  <si>
    <t>Density of Stainless Steel</t>
  </si>
  <si>
    <t>%</t>
  </si>
  <si>
    <t>Minimum percentage for space of cables, expressed as a fraction</t>
  </si>
  <si>
    <t>Expressed as a percentage</t>
  </si>
  <si>
    <t>Greater by how much (what %)? (Allows for space for cables)</t>
  </si>
  <si>
    <t>Gravitic Engine VII Calculations, Single Liquid, Plunger Pump</t>
  </si>
  <si>
    <t>Single Embodiments: Pelton wheel using overflow liquid from multiple, pump stack upper reservoir tanks</t>
  </si>
  <si>
    <t>Shared Feed pipe to Pelton wheel (alt. design: Francis turbine)</t>
  </si>
  <si>
    <t>Engineering Branch Descriptor</t>
  </si>
  <si>
    <t>Average Pulley Efficiency</t>
  </si>
  <si>
    <t>Cable Stress Efficiency</t>
  </si>
  <si>
    <t>Unsure what is fair number here, but we should assume a high quality, correctly aligned pulley with a large sheave relative to cable, and ball bearings.</t>
  </si>
  <si>
    <t>Compound Pulley Multiplier for Pump Discharge (Plunger descent)</t>
  </si>
  <si>
    <t>Outer Radius of most common pulley, large sheave, ball bearing</t>
  </si>
  <si>
    <t>Mass of Common Large Pulley</t>
  </si>
  <si>
    <t>Mass of Lower Half of Inline Pulley (Block and Tackle) Weight Management System</t>
  </si>
  <si>
    <t xml:space="preserve">CW#2, (Counterweight#2) </t>
  </si>
  <si>
    <t>Assumes same ratios as CW#2</t>
  </si>
  <si>
    <t>Inner radius of CW#1</t>
  </si>
  <si>
    <t>Inner volume of CW#1</t>
  </si>
  <si>
    <t>Height of central cylinder CW#1</t>
  </si>
  <si>
    <t>CW distance between rail</t>
  </si>
  <si>
    <t>Percentage distance multiplier ( length of CW#1 drop, extra cable around inline pump, compound pulley system cable, cable to pump chamber, cable around pump chamber )</t>
  </si>
  <si>
    <t>Force, mass of max fluid in CW#1</t>
  </si>
  <si>
    <t>Mass of plunger, trussed, in plunger assembly</t>
  </si>
  <si>
    <t>TODO: Update based off prototyping, should be related to chosen seals and pump type and pump size and tolerances/clearances</t>
  </si>
  <si>
    <t>kg/m of wire rope</t>
  </si>
  <si>
    <t>Estimate already affects net equation. See Force Balance eqn above</t>
  </si>
  <si>
    <t>Assumes this is a small negative force at the beginning, but the liquid pressure is usually a strong positive force during priming portion of cycle</t>
  </si>
  <si>
    <t>Assume that the pulley system for CW#1 and CW#2 roughly cancel each other out, in terms of aiding or harming the priming-then-pumping action of the cycle. So don't need to account for the weight of these factors until more advanced math is necessary for larger systems. Only use weight of wire rope on opposing counterweight. So only counting (kg/m of wire rope) *(length of opposing CW rail)</t>
  </si>
  <si>
    <t>Assumes max fluid, CW#2 already filled to brim</t>
  </si>
  <si>
    <t>Force, mass of plunger shell and first pulley of CW#1</t>
  </si>
  <si>
    <t>Force, mass of CW#1 shells, plus accounting for percentage of remaining liquid in the chamber (See column F)</t>
  </si>
  <si>
    <t>Force, mass of shell of CW#2, plus accounting for the percentage of remaining liquid in the chamber (See column F.). Assumes incomplete drain of opposing counterweight.</t>
  </si>
  <si>
    <t>Force, mass of CW#1 shell</t>
  </si>
  <si>
    <t>2) CW#2 lowers pump head (plunger), pump discharge, CW#2 descends</t>
  </si>
  <si>
    <t>1) CW#1 raises pump "head", plunger is raised. CW#1 descends.</t>
  </si>
  <si>
    <t>Force due to Mass of Floodgate Weight</t>
  </si>
  <si>
    <t>Force due to Mass of Plunger Rods</t>
  </si>
  <si>
    <t>Force due to mass of max fluid in CW#3</t>
  </si>
  <si>
    <t>Force due to mass of CW#3 shell</t>
  </si>
  <si>
    <t>Inner Radius, CW#2</t>
  </si>
  <si>
    <t xml:space="preserve">CW#3, (Counterweight#3) </t>
  </si>
  <si>
    <t>Can floodgate(s) close?</t>
  </si>
  <si>
    <t>Assuming pump is completely full, then there is no  water pressure or liquid momentum preventing the closure of the valve. Merely the weight vs. the empty counterweight.</t>
  </si>
  <si>
    <t>(B212*(B31^(F212+D212))*B32))</t>
  </si>
  <si>
    <t>Percentage of remaining liquid in CW#3</t>
  </si>
  <si>
    <t>Shared Pelton wheel  above pump stack</t>
  </si>
  <si>
    <t>Height of turbine chamber (upper reservoir tank)</t>
  </si>
  <si>
    <t>N/A</t>
  </si>
  <si>
    <t>Multiplier, based on CW#2 max fluid</t>
  </si>
  <si>
    <t>Distance of CW#2 to Pump chamber (Plunger rod travels along this shaft for stability)</t>
  </si>
  <si>
    <t>1.02=&gt; 2% tolerances for height calculation mistakes, overestimating height</t>
  </si>
  <si>
    <t>Total number of pump chambers in a pump stack, ignoring the sump-pump or small pump chamber at the bottom that is used for recirc.</t>
  </si>
  <si>
    <t>Vertical height</t>
  </si>
  <si>
    <t>3) CW#3 to raise large weight, open disk valve seal</t>
  </si>
  <si>
    <t>Positive result indicates successful sink of MC, raise of plunger</t>
  </si>
  <si>
    <t>(Acceleration due to gravity) * (CW#1 mass in kg)</t>
  </si>
  <si>
    <t>(Acceleration due to gravity) * (max fluid mass inside CW#1  in kg). Assumes max fluid, CW#1 already filled to brim</t>
  </si>
  <si>
    <t>(Acceleration due to gravity) * (mass of plunger in kg)</t>
  </si>
  <si>
    <t>Force, mass of plunger and first pulley</t>
  </si>
  <si>
    <t>Ex. 1.15 allows for 15% tolerance in lengths. This also gives space for breaks to be placed on CW's, in a similar way to elevators.</t>
  </si>
  <si>
    <t>Force, loss due to unbalanced weight of cable, wire rope</t>
  </si>
  <si>
    <t>4) Disk falls back, stops flow of liquid from shared collections tank</t>
  </si>
  <si>
    <t>Force, mass of disk</t>
  </si>
  <si>
    <t>Force, empty CW#3</t>
  </si>
  <si>
    <t>(Acceleration of gravity)*(mass of disk (floodgate))</t>
  </si>
  <si>
    <t>Positive forces - (Negative force * force magnification of pulley system)</t>
  </si>
  <si>
    <t>Note: Assumes no resistive water pressure, if pump chamber is already filled to max</t>
  </si>
  <si>
    <t>(Degree of compounding)*((Pulley Efficiency)^(Number of pulleys))*(Cable Stress Efficiency)</t>
  </si>
  <si>
    <t>((Positive Forces) * (Force magnification of pulley) - (Negavite forces)</t>
  </si>
  <si>
    <t>(Acceleration due to gravity) * (mass of CW#3 shell)</t>
  </si>
  <si>
    <t>(Acceleration due to gravity) * (mass of max fluid in CW#3)</t>
  </si>
  <si>
    <t>(Degree of compounding)*((Pulley Efficiency)^(Number of compounding pulleys))*(Cable Stress Efficiency)</t>
  </si>
  <si>
    <t>Note: Only counting compounding pulley's for pulley limitations. Real project will need to account for pulley efficiency in both compounding and redirecting pulley's</t>
  </si>
  <si>
    <t>Lowest Pump Chamber</t>
  </si>
  <si>
    <t>Total Liquid Volume</t>
  </si>
  <si>
    <t>TODO: Sum and dependent cells need work. Verify equation is looking for starting volume of each chamber, then how much of that is liquid, *then* sum, for total liquid cost calculation</t>
  </si>
  <si>
    <t>Height of Central Cylinder of CW#3</t>
  </si>
  <si>
    <t>Inner Radius, CW#3</t>
  </si>
  <si>
    <t>Inner Volume (with conical bottom and open top), CW#3</t>
  </si>
  <si>
    <t>Ignore the folloing cell:</t>
  </si>
  <si>
    <t>Note: TODO: Try to delete this row and the next one</t>
  </si>
  <si>
    <t>TODO: See if this line and next three are used anymore. Consider clearing these rows.</t>
  </si>
  <si>
    <t>Positive result indicates successful descent of CW#2, lowering of piston/plunger</t>
  </si>
  <si>
    <t>Force, mass of CW#2 shell</t>
  </si>
  <si>
    <t>Force, mass of max fluid in CW#2</t>
  </si>
  <si>
    <t>(Sum of positive forces) * ((Degree of compounding)*((Pulley Efficiency)^(Number of compounding pulleys))*(Cable Stress Efficiency)) - (Sum of negative forces)</t>
  </si>
  <si>
    <t>(Sum of positive forces) * ((Degree of compounding)*((Pulley Efficiency)^(Number of compounding pulleys))*(Cable Stress Efficiency)) - (Sum of negative forces), ignores pulley efficiency of redirect pulley's for now.</t>
  </si>
  <si>
    <t>Mass of max fluid inside CW#2</t>
  </si>
  <si>
    <t>Height of Outer Pump Chamber, (ignoring top half)</t>
  </si>
  <si>
    <t>(Acceleration of gravity)*(CW#3 shell)</t>
  </si>
  <si>
    <t>Ratio (Multiplier) for Size of total height of an individual chamber area, compared to traveling distance of plunger</t>
  </si>
  <si>
    <t>Compound Pulley Multiplier for Floodgate Valve under Pump Chamber, CW#3</t>
  </si>
  <si>
    <t>CW#3 rail height</t>
  </si>
  <si>
    <t>Traveling distance of heavyduty disk check valve (floodgate opens)</t>
  </si>
  <si>
    <t>Efficiency Sanity Check</t>
  </si>
  <si>
    <t>Net Force Equations</t>
  </si>
  <si>
    <t>Fraction of Liquid shared between average CW#2 drain into new cycle's CW#3 fill</t>
  </si>
  <si>
    <t>Per cycle, Percentage of Liquid lowered downward via Counterweights, relative to amount of liquid pumped upward through pump chamber. Calculated based off weight. ((mass of CW#1 max fluid fill) + (mass of CW#2 max fluid fill) + ((1 - (Fraction of liquid xfer from CW#2 to CW#3))*(mass of CW#3 max fluid fill))) / (mass of pump chamber max fill). Note: Current eqn assumes CW#2 and CW#3 have equal max fills, so only using a multiplier to determine avg transfer. TODO: During prototyping review how multiplier is used, and what a more practical average is.</t>
  </si>
  <si>
    <t>Maximum Efficiency Loss</t>
  </si>
  <si>
    <t>For example, (0.2) means ideally, less than 20% of pump chamber max fluid can be used for the counterweights 1,2,3 that drive the pump through its cycle</t>
  </si>
  <si>
    <t>Estimate of Energy Output from single pump chamber cycle.</t>
  </si>
  <si>
    <t>J</t>
  </si>
  <si>
    <t>Partial loss due to residual liquid in pump</t>
  </si>
  <si>
    <t>Turbine efficiency</t>
  </si>
  <si>
    <t>Generator Efficiency</t>
  </si>
  <si>
    <t>Loss due to compressibility of liquid</t>
  </si>
  <si>
    <t>Multiplier representing total number of valve movements</t>
  </si>
  <si>
    <t>Max Wattage</t>
  </si>
  <si>
    <t>Average time to open or close</t>
  </si>
  <si>
    <t>W</t>
  </si>
  <si>
    <t>s</t>
  </si>
  <si>
    <t>Energy gain from Turbine due to single cycle</t>
  </si>
  <si>
    <t>Energy loss to open and close all motorized ball valves in a given cycle</t>
  </si>
  <si>
    <t>Energy loss due to sensors</t>
  </si>
  <si>
    <t>Note: Assuming no load following for initial energy output calculations (this would involve more valves opening and closing). Assumes CW#3 is filled by both CW#2 and alternate fill method</t>
  </si>
  <si>
    <t>Sensor max wattage</t>
  </si>
  <si>
    <t>Number of Sensors</t>
  </si>
  <si>
    <t>Average time to run sensor</t>
  </si>
  <si>
    <t>Note: Assumes two ultrasonic sensors to detect position of CW#1 and CW#2. Assumes two sensors to detect liquid levels in those counterweights. Assume all sensors need to run for less than or equal to 1 minutes.</t>
  </si>
  <si>
    <t>Energy loss from running two microcontrollers</t>
  </si>
  <si>
    <t>Watts</t>
  </si>
  <si>
    <t>Average time</t>
  </si>
  <si>
    <t>Assume extra CW#3 fill is required, for cycle. So CW#3 gets liquid from CW#2 and alternate filling method. Assumes less than five minutes for cycle time and a total of at least 3 pump chambers above a single "recovery" pump chamber. Assumes no leaks…</t>
  </si>
  <si>
    <t>Energy loss from pumping counterweight liquids back up to their original reservoirs.</t>
  </si>
  <si>
    <t>ft</t>
  </si>
  <si>
    <t>CW#1andCW#2 minimum rail height. This includes CW#3 + CW#2 combined rail height.</t>
  </si>
  <si>
    <t>Inner Radius of Outer Wall of Pump</t>
  </si>
  <si>
    <t>Treating curved disk area as a flat cylinder area calculation: V = PI()r2h =&gt; PI()r2(ratio of radius to height)(radius) =&gt; (ratio)PI()r3    =&gt; r = cubic root of (V/(ratio*PI())    Note that this is an oversimplification of true shape. This is a disk where a capped section is taken out on top, and almost an equal volume is re-added to the bottom of the disk. This should help with liquid flow and distributing forces.</t>
  </si>
  <si>
    <t>More Logic Checks</t>
  </si>
  <si>
    <t>Note: The plunger has to go up and down, so there needs to be roughly double the height of plunger (&lt;~x2) at the very least. Plus space for upper redirect pulleys. Plus the underneath space for the disk valve seal, push arm mechanism, and disk (floodgate).  Some overlap between above pump chamber's inlet pipe and a lower pump chamber's upper pulley and cable system is achievable, too. This may save money on the cost of support structures.  The value of 5.715 is based off drawings with tolerances of 60% of traveling distance for upper pulley's and 2x traveling distance for a 60%traveling distance feed pipe. The addition of 0.285 is for tolerance between the *next* pump chamber above (the current pump chamber being described and mathed) in the pump stack.</t>
  </si>
  <si>
    <t>Mass of FloodGate</t>
  </si>
  <si>
    <t>TODO: Consider adding the weight of the liquid displaced by the disk</t>
  </si>
  <si>
    <t>Assume energy inefficiency loss due to battery charge, discharge, and wireless batter charging of CWs</t>
  </si>
  <si>
    <t>Mass of pumped liquid</t>
  </si>
  <si>
    <t>Kinetic energy calculation:</t>
  </si>
  <si>
    <t>Fraction to compensate for incomplete pump (residual liquid in pump)</t>
  </si>
  <si>
    <t xml:space="preserve">Velocity of liquid out of "relatively narrow" pipe </t>
  </si>
  <si>
    <t>Using liquid flow rule: v1A1 = v2A2</t>
  </si>
  <si>
    <t>Velocity of Pump Plunger</t>
  </si>
  <si>
    <t>Velocity out of relatively narrow pipe</t>
  </si>
  <si>
    <t>Cross-Sectional Area of relatively narrow pipe</t>
  </si>
  <si>
    <t>Cross-Sectional Area of Pump Plunger</t>
  </si>
  <si>
    <t>Efficiency of pump, assume equation isn't 1:1</t>
  </si>
  <si>
    <t>Cycle Time</t>
  </si>
  <si>
    <t>Pump Discharge time</t>
  </si>
  <si>
    <t>m/s</t>
  </si>
  <si>
    <t>Radius of Plunger (squared) * pie</t>
  </si>
  <si>
    <t>Radius of Plunger to Radius of Inner Diameter of Outer wall</t>
  </si>
  <si>
    <t>m2</t>
  </si>
  <si>
    <t>Calculated from surrounding variables: v2 = v1A1/A2*Efficiency</t>
  </si>
  <si>
    <t>fps</t>
  </si>
  <si>
    <t>English speed</t>
  </si>
  <si>
    <t>Logic Check (less than max %)</t>
  </si>
  <si>
    <t>Note: The current 5/18/2024 design uses a Pelton wheel. Optional Francis Turbine only in design, and math has not kept pace with design, only Pelton wheel has been established.</t>
  </si>
  <si>
    <t>&gt;&gt;&gt; Number for traditional "sequential, JJJ shaped" compound pulley system</t>
  </si>
  <si>
    <t>&gt;&gt;&gt;Number of pulleys in inline block and tackle *(O o  o O), upper complex pulley system</t>
  </si>
  <si>
    <t>Eqn: Force = (Mass of item) * (Acceleration due to gravity)</t>
  </si>
  <si>
    <t>Mass of Plunger Rods (sum of 2) for disk valve</t>
  </si>
  <si>
    <t>Representative mass, friction of plunger rings</t>
  </si>
  <si>
    <t>Eqn: Force = (mass of item) *(Acceleration due to gravity)</t>
  </si>
  <si>
    <t>This satisfies the effect of compensating for degress of compounding on opposing couterweight shell (CW#1, almost empty, when CW#2 is filled)! Double-edged sword!</t>
  </si>
  <si>
    <t>Eqn:  Force = (accleration due to gravity) *(degrees of compounding)*(mass of CW#1 empty (i.e. mass of shell))</t>
  </si>
  <si>
    <t>Mass of common cable per length of cable</t>
  </si>
  <si>
    <t>Percentage of remaining liquid in CW#1 for earlier row's calculation</t>
  </si>
  <si>
    <t>Percentage of remaining liquid in CW#2 for earlier row's calculation</t>
  </si>
  <si>
    <t>Eqn: Force = (acceleration due to gravity) * (mass of one length of cable equivalent to one rail length of CW#1 or CW#2)</t>
  </si>
  <si>
    <t>Power calculations</t>
  </si>
  <si>
    <t>kW/cycle</t>
  </si>
  <si>
    <t>Note: These equations are highly dependent on a number of variables. Only prototyping can give true confidence in a power calculation result</t>
  </si>
  <si>
    <t>$/kWh</t>
  </si>
  <si>
    <t>Eqn: kW/cycle * (cycle seconds/ seconds in an hour) * (cycles/24 hours) * $/kWh</t>
  </si>
  <si>
    <t>US dollars / day</t>
  </si>
  <si>
    <t>Number of pump chambers per pump stack</t>
  </si>
  <si>
    <t>A rough wattage estimate of motorized (electric) ball valve is used to calculate wattage, but please understand that this is *not* a design recommendation. Generally more affordable alternatives like pneumatic ball valves could also be considered for most of the valves in the operation of a gravitic engine. There is a wonderful list (https://www.dombor.com/pneumatic-actuator-vs-electric-actuator/) (https://web.archive.org/web/20230604093427/https://www.dombor.com/pneumatic-actuator-vs-electric-actuator/) that goes through a comparison of the two actuator types. It may be necessary to use a motorized/electric ball valve for the Counterweights due to the nature of their movement, within the engine.</t>
  </si>
  <si>
    <t>0.83333 is roughly 20 hours / 24 hour a day operational</t>
  </si>
  <si>
    <t>Fraction of hours / day, operational</t>
  </si>
  <si>
    <t>Eqn: (Total energy conversion per cycle in Joules)* (cycles per day) * 1kWh/3600000J  * (# of pumps in pump chamber)  * price per kWh  * (Efficiency of Liquid Jet Impact) * (Efficiency of Turbine / wheel) *(Efficiency of Generator)*(Fraction of day operational)</t>
  </si>
  <si>
    <t>Logic Check: Does Kinetic energy beat the Potential Energy</t>
  </si>
  <si>
    <t>Logic Check: By enough? (Multiplier)</t>
  </si>
  <si>
    <t>Limit</t>
  </si>
  <si>
    <t>Logic Check: Is Velocity of liquid in narrow pipe less than the theoretical limit (let's assume it is the speed of sound in fresh water)?</t>
  </si>
  <si>
    <t xml:space="preserve"> &gt;&gt;&gt;Perc.</t>
  </si>
  <si>
    <t>Fraction of Cycle for Pump Discharge</t>
  </si>
  <si>
    <t>Note: This fraction assumes the ellipsoid improvement on the fill stage time.</t>
  </si>
  <si>
    <t>Note: A "1" assumes that kinetic energy only needs to match potential energy, for it to be worth a kinetic energy design. This value is highly dependent on the time it takes for the pump to discharge. This affects the calculated velocity.</t>
  </si>
  <si>
    <t xml:space="preserve">Kinetic energy is how many times greater than </t>
  </si>
  <si>
    <t>Pulley Efficiency</t>
  </si>
  <si>
    <t>Assumes the hanging pulleys cancel out each other on either side of the pump</t>
  </si>
  <si>
    <t>Number of redirect (non-compounding), 90deg  pulleys in core pulley system(s) design, from CW to chamber</t>
  </si>
  <si>
    <t>Number of redirect (non-compounding), 90deg  pulleys in core pulley system(s) design, from CW to CW. In the *new* direct cable.</t>
  </si>
  <si>
    <t>Note Satifised: Remember to compensate for degress of compounding on opposing couterweight shell (CW#2). Double-edged sword, if the design goes through CW#1's pulley systems and CW#2's pulley system. New design will have a direct overhead cable going between CW#1 and CW#2, to allow more efficient transfer of force!!! New equation: (CW#2 shell mass + remaining liquid)*(1/((number of redirect pulleys)^(pulley efficiency))*(1/Cable Stress Efficiency)Only count redirect pulley's below horizontal crossbar connecting the two systems and two redirect pulley's above CW#1 and CW#2. Increases safety of runaway cables, too!</t>
  </si>
  <si>
    <t>(G500^E500)</t>
  </si>
  <si>
    <t>*(1*(1/L500^J500))*(1/B32)</t>
  </si>
  <si>
    <t>TODO: ***Recalculate flood gate logic with pulley inefficiency update for the first two equations</t>
  </si>
  <si>
    <t>Total length of CW#1 and CW#2? cable system. TODO: Clarify. TODO: New addition: Recalculate with direct overhead cable between counterweights.</t>
  </si>
  <si>
    <t>Energy loss from pumping liquid for counterweights back up to their original reservoirs. (Added cost of cycle reset)</t>
  </si>
  <si>
    <t>Assume energy efficiency loss during battery's wireless charge, (wireless battery charging of CWs). So 2 = 2 times the normal cost, due to wire*less* xfer of energy</t>
  </si>
  <si>
    <t>Energy loss from running three microcontrollers</t>
  </si>
  <si>
    <t>Using cycle time as average time of running the microcontrollers</t>
  </si>
  <si>
    <t>Multiplier representing total number of valve movements (planned valve turns + 2 for some degree of load-following)</t>
  </si>
  <si>
    <t>Sensor max wattage for fluid sensor</t>
  </si>
  <si>
    <t>Sensor Max for positional sensors</t>
  </si>
  <si>
    <t>Operating Profit per 24 hours, at higher retail price of electricity</t>
  </si>
  <si>
    <t>Traditional Price paid for kWh</t>
  </si>
  <si>
    <t>Too hard to keep track of difference between energy loss and power loss, so equations are no longer in step in regards to the number of variables</t>
  </si>
  <si>
    <t>(Retired) direct conversion between Joules to kWh, for a pump stack in a single day</t>
  </si>
  <si>
    <t>(Retired) Logic Check: Above rows should be equivalent, checking profit-from-power calculation</t>
  </si>
  <si>
    <t>Eqn: (Revenue of individual pump chamber) * (# of pump chambers / pump stack) (fractional day of operation) - (loss of dedicated return pump(s) underneath pump stack)</t>
  </si>
  <si>
    <t>($) Loss due to power cost of operating extra pump(s) below pump stack, all day:</t>
  </si>
  <si>
    <t>($) Loss, Intermediary   :</t>
  </si>
  <si>
    <t>Assumes pump still uses a CW#3 mechanism for its inlet floodgate</t>
  </si>
  <si>
    <t>Estimate minutes / cycle</t>
  </si>
  <si>
    <t>minutes</t>
  </si>
  <si>
    <t>Same as Max Mass of CW#2's fluid</t>
  </si>
  <si>
    <t>Note: "max" is really a bare minimum mass of the fluid for device operation. The rest of the mass is for load-following. So the discussed masses and dimensions nearby should be treated as minimums.</t>
  </si>
  <si>
    <t>Max Wattage (TODO: Review size and wattage (volts, current, power factor) of valve, if motorized ball valves are used.</t>
  </si>
  <si>
    <t>Note: Assuming no load following for initial energy output calculations (this would involve additional opening/closing of valves). Assumes CW#3 is filled by both CW#2 and alternate fill method</t>
  </si>
  <si>
    <t>Ref (SS 316)</t>
  </si>
  <si>
    <t>Fraction</t>
  </si>
  <si>
    <t>Eqn: (Inner Radius of Pump Chamber) * (Fraction)</t>
  </si>
  <si>
    <t>Assuming 2mm</t>
  </si>
  <si>
    <t>Outer Radius of Plunger</t>
  </si>
  <si>
    <t>Eqn: Cylinder * Disk, (Cylinder of Outer Radius Volume - Cylinder of Inner Radius Volume) + Volume of flat disk</t>
  </si>
  <si>
    <t>B221*F320</t>
  </si>
  <si>
    <t>DONE: Make this weight related to radius of pump chamber, earlier it was based on CW#1 shell and a multiplier</t>
  </si>
  <si>
    <t>(Retired) Multiplier</t>
  </si>
  <si>
    <t>(retired) times the mass of CW#1 shell</t>
  </si>
  <si>
    <t>Mass of Floodgate</t>
  </si>
  <si>
    <t>Multiplier for Support Structural beams and pulleys</t>
  </si>
  <si>
    <t>lbs of force</t>
  </si>
  <si>
    <t>Number of redirect (non-compounding), 90deg  pulleys in core pulley system(s) design, between CW#3 and floodgate. Adding a +1 to total, just to be careful</t>
  </si>
  <si>
    <t>Number of redirect (non-compounding), &gt;90deg  (more gentle angle) pulleys in core pulley system(s) design, between CW#3 and floodgate. Ideally, there are two small pulley's doing this, in addition to one large pulley, in the "Unicycle improvement". The first compounding pulley is next to the "Unicycle-like" improvement, between the redirect pulley's and the plunger rod, to help reduce overall force going through most of the pulley system.</t>
  </si>
  <si>
    <t>((SUM(B610:B615))*(B212*(B31^(F212+D212))*(G598^E598)*(L598^J598)*B32))+SUM(B630:B635)</t>
  </si>
  <si>
    <t>(SUM(B655:B657))+(SUM(B660:B662)*(B212*(B31^(F212+D212))*(((G598^E598)*(L598^J598))*B32)))</t>
  </si>
  <si>
    <t>Well-maintained, prestressed wire ropes (or Dyneema rope) should not be giving much slack at all. Little loss in force due to tension in cable. Ex. 0.75 equals 25% loss in force due to cable strecthing</t>
  </si>
  <si>
    <t>***Note: this is *not* the overall length of pipe, of all models, because of turns and potential slopes. Height of Shared Collections chamber (now referred to as upper reservoir tank), plus height of minimum CW rail height, plus height of lowest pump chamber or equivalent. Note, assumes Pelton wheel design.</t>
  </si>
  <si>
    <t>Narrow pipe (individual, from lowest pump stack or equivalent recovery pump for the separate CW liquid cycle, upward to the upper reservoir tank)</t>
  </si>
  <si>
    <t>Multiplier (CW rail height tolerances)</t>
  </si>
  <si>
    <t>TODO: Update this value to reflect upper reservoir improvements</t>
  </si>
  <si>
    <t>Upper Reservoir Tank (assuming an outer shape of toroid with dome center on center bottom)</t>
  </si>
  <si>
    <t>Eqn: (Number of pump chambers/tower) * (CW#1's max fluid + CW#2's max fluid)</t>
  </si>
  <si>
    <t>Volume of max fluid = Mass of max fluid / density of fluid * (generic multiplier)</t>
  </si>
  <si>
    <t>Shared Collections and Reservoir (SC&amp;R) Tank</t>
  </si>
  <si>
    <t>Note: Inherited value, historically cell B468</t>
  </si>
  <si>
    <t>Eqn: (Number of pump chambers)  * (Max fluid in pump chambers/tower) * (Multiplier). Note, this value assumes only one pump stack is supplying generator, but new models suggest it is better if multiple pump stacks supply a single generator.</t>
  </si>
  <si>
    <t>Logic Check: Is the SC&amp;R length less than the diameter of pump chamber?</t>
  </si>
  <si>
    <t>Radius of tank</t>
  </si>
  <si>
    <t>Radius of Inside of Reservoir Tank</t>
  </si>
  <si>
    <t>Logic Check: Is radius of inside of Upper Reservoir Tank less than the radius of the pump chamber?</t>
  </si>
  <si>
    <t>Assumes 5% or less difference between inside and outside radius of tank</t>
  </si>
  <si>
    <t>Total number of pump stacks (# of towers)</t>
  </si>
  <si>
    <t>TODO: Implement this variable for all lower energy and power calculations for a large powerplant. Current numbers only reflect one standalone tower, one pump stack.</t>
  </si>
  <si>
    <t>Note: Maximum force of tension of pulley support structure attached to pump chamber. Use this to calculate minimum thickness of prestressed wire rope or UHMPE rope.</t>
  </si>
  <si>
    <t>kN</t>
  </si>
  <si>
    <t>Comparison to traditional pumps</t>
  </si>
  <si>
    <t>GPH/W = G/Wh, at 30m pump head</t>
  </si>
  <si>
    <t>Cost per 1000 gallons of water at 100 ft head</t>
  </si>
  <si>
    <t>For an example pump, let's look at the first pump described in the following article: https://www.pumpsandsystems.com/cost-pumping-power-cost-efficiency</t>
  </si>
  <si>
    <t>kWh per 1000 gallons of water at 100 ft head</t>
  </si>
  <si>
    <t>cents per kWh</t>
  </si>
  <si>
    <t>Height between (bottom of reservoir tank)'s valve down to entry pipe into (Shared Collections and Reservoir Tank, Pelton Wheel (formerly Francis Turbine))</t>
  </si>
  <si>
    <t>Eqn: (Overall Mass of liquid moved) *(( second/hour) / seconds /cycle) * (Added Inefficiency calculated as percentage of gallons for counterweights)</t>
  </si>
  <si>
    <t>Eqn: Power loss per cycle * (seconds in hr/seconds in cycle)</t>
  </si>
  <si>
    <t>kWh, Alternate calculation for power loss per hour (kWh)</t>
  </si>
  <si>
    <t>gallons for Gravitic Engine for an hour of operation (overall), GPH</t>
  </si>
  <si>
    <t>kWh/1000 gallons of water (at lower head)</t>
  </si>
  <si>
    <t>TODO: GPH</t>
  </si>
  <si>
    <t>The article assumes the following price for electricity:</t>
  </si>
  <si>
    <t>TODO: Improvement difference and logic check to guarantee superior performance</t>
  </si>
  <si>
    <t>TODO: PSAT from the DOE, can this be used with positive displacement pumps?</t>
  </si>
  <si>
    <t>Note: Calculating only the potential energy from moving the liquid between upper reservoir tank and lower turbine, for a pumped-hyrdo or hydroelectric dam application. To minimize cycle time, the full height of raised liquid is not attempted to be captured. This allows reservoir pipe pressure to be high, resulting in faster fill times. Main source of energy is expected to be from upper turbines, and this is not counted here.</t>
  </si>
  <si>
    <t>(mass of max fluid in pump chamber)(multiplier to account for residual liquid in pump)(acceleration due to gravity)(height difference between reservoir liquid level and lower turbine's midsection)(turbine efficiency)(generator efficiency)(efficiency due to compressibility of liquid)</t>
  </si>
  <si>
    <t xml:space="preserve">Height Difference Reminder: </t>
  </si>
  <si>
    <t>J to Wh</t>
  </si>
  <si>
    <t>Wh</t>
  </si>
  <si>
    <t>Total next Watt-hour / cycle (equivalent to estimate of energy output above):</t>
  </si>
  <si>
    <t xml:space="preserve">Equation Description: (Valve Turn Power) * (# of normal valve turns) + (Sensor Power)*(# of sensors) + (CW Microcontroller Power)*(# of uControllers) </t>
  </si>
  <si>
    <t>Electric Estimates for one pump cycle (Based on Kinetic Energy)</t>
  </si>
  <si>
    <t>Cycle estimates energy cost of re-raising liquid from CW#1,2,3 then multiplied by their fraction of total liquid in cycle which is the amount of liquid that needs to be recovered by driving one (or more) dedicated recovery pumps</t>
  </si>
  <si>
    <t>Dedicated pump chambers underneath pump stack / tower, to resupply upper reservoir tank (to provide liquid to new CWs in new cycles).</t>
  </si>
  <si>
    <t>Note: Calculation heavily depends on the working assumption of a pregiven cycle time, with over 50% of time dedicated to discharge. TODO: Recalculate cycle time based off force of CW#2 on the pump.</t>
  </si>
  <si>
    <t>Percentage increase from earlier potential energy calculation</t>
  </si>
  <si>
    <t>Note: This is a rough estimate of average electricity price to generate power in US with solar panels. This is a bare minimum revenue estimate, but US electricity prices to residential areas can easily be 3 times this amount. See cell B762.</t>
  </si>
  <si>
    <t>Overall Energy (kW) / cycle / chamber</t>
  </si>
  <si>
    <t>Estimation of the fraction of theoretical speed limit of liquid medium.</t>
  </si>
  <si>
    <t>High Tower-bending Inefficiency</t>
  </si>
  <si>
    <t>Fraction of (1), as in 0.85 is 85% efficiency</t>
  </si>
  <si>
    <t>Note: The counterweights traveling a long vertical height should bend its tower, and lose some efficiency due to this. Especially with stand-alone, unreinforced towers.</t>
  </si>
  <si>
    <t>Note: Inherited from cell B509 (first equation towerbending loss). The counterweights traveling a long vertical height should bend its tower, and lose some efficiency due to this. Especially with stand-alone, unreinforced towers.</t>
  </si>
  <si>
    <t>(CW#4) Counterweight#4</t>
  </si>
  <si>
    <t>Inner Volume (with conical bottom), CW#2</t>
  </si>
  <si>
    <t>Cubic root of Volume / PI / (Ratio of Height to Radius plus 1/3),</t>
  </si>
  <si>
    <t>Volume equals Mass / density</t>
  </si>
  <si>
    <t>Inner Volume (cylinder with conical bottom)</t>
  </si>
  <si>
    <t>Inner Radius of CW#4 Central Cylinder</t>
  </si>
  <si>
    <t>Inner Height of Central Cylinder of CW#4</t>
  </si>
  <si>
    <t>Density of Metal of Shell</t>
  </si>
  <si>
    <t>Mass / (Outer Volume - Inner Volume) = Mass of Shell / ((Volume of Cylinder + Volume of Cone) - (Volume of Cylinder + Volume of Cone))</t>
  </si>
  <si>
    <t>2% Compounding Inflation has a 35 year doubling danger:</t>
  </si>
  <si>
    <t>5) CW#4 to raise its gate</t>
  </si>
  <si>
    <t>Force due to mass of shell</t>
  </si>
  <si>
    <t>Force due to max fluid</t>
  </si>
  <si>
    <t>Number of redirect (non-compounding), 90deg  pulleys in core pulley system(s) design, between CW#4 and floodgate. Adding a +1 to total, just to be careful</t>
  </si>
  <si>
    <t>Number of redirect (non-compounding), &gt;90deg  (more gentle angle) pulleys in core pulley system(s) design, between CW#4 and floodgate. Ideally, there are two small pulley's doing this, in addition to one large pulley, in the "Unicycle improvement". The first compounding pulley is next to the "Unicycle-like" improvement, between the redirect pulley's and the plunger rod, to help reduce overall force going through most of the pulley system.</t>
  </si>
  <si>
    <t>Compound Pulley Multiplier for Floodgate Valve under Pump Chamber, CW#4</t>
  </si>
  <si>
    <t>&gt;&gt;&gt; Number for traditional "sequential, JJJ shaped" compound pulley system, also counting the compounding pulley near the plunger rod</t>
  </si>
  <si>
    <t>&gt;&gt;&gt; Number for traditional "sequential, JJJ shaped" compound pulley system, also counts the compounding pulley near the plunger rod</t>
  </si>
  <si>
    <t>((SUM(B671:B673)*(B215*(B31^(F215+D215))*(G668^E668)*(L668^J668)*B32))+SUM(B674:B676))</t>
  </si>
  <si>
    <t>6) CW#4 goes up, and its gate falls back down</t>
  </si>
  <si>
    <t>TODO: Recalculate force, subtracting mass of displaced liquid?, add mass of plunger?</t>
  </si>
  <si>
    <t>Force due to mass of gate</t>
  </si>
  <si>
    <t>See earlier equation for B674. Negative is now a positive.</t>
  </si>
  <si>
    <t>Force due to mass of shell of CW#4</t>
  </si>
  <si>
    <t>See earlier equation for B671. Positive is now a negative.</t>
  </si>
  <si>
    <t>SUM(B681:B684)+(SUM(B685:B688)*B215*(B31^(F215+D215))*(G668^E668)*(L668^J668)*B32)</t>
  </si>
  <si>
    <t>Distance of CW#4 area to allow for its lowering and raising (i.e. Between Upper Reservoir (or Pipe to it) and the main CW#1 highest position)</t>
  </si>
  <si>
    <t>Note: This vertical distance could be shortened (overlap between CW#4 and CW#1 path), but there *also* may be a need for space between CW#1 and upper reservoir for maintenance works to access this area through catwalks or by horizontal rope hanging</t>
  </si>
  <si>
    <t>Assumes "Pelton-only" Prototype design. Height of max narrow tube from recovery pump, plus height of counterweight with multiplier, plus height of recovery pump, plus height of reservoir tank, plus distance of gap between prior tank and CW#1 used by most if not all of CW#4.</t>
  </si>
  <si>
    <t>TODO: Recalculate distance of CW#4, based on travel distance of the disk valve's (floodgate's) heavy weight. Very important that the raised gate does not interfere strongly with normal liquid flow of pipe to a reservoir, when the reservoir is not directly above the CW#1 and CW#4 fill areas.</t>
  </si>
  <si>
    <t>TODO::: Add specific sensors and microcontroller in sheet, note that electrical costs have already been estimated in power calculations…</t>
  </si>
  <si>
    <t>Alternate energy loss from potential energy from Counterweights</t>
  </si>
  <si>
    <t xml:space="preserve">(partial mass fraction of Counterweights)(mass of max fluid in pump chamber)(acceleration due to gravity)(height difference between very top and bottom of device, exaggerated) </t>
  </si>
  <si>
    <t>Cycle estimates energy cost of re-raising liquid from CW#1,2,3 as some fraction of total liquid from running a recovery pump.</t>
  </si>
  <si>
    <t>Energy loss from recovery pump (continuous)</t>
  </si>
  <si>
    <t>Eqn: (-1)*(B14/100)*B301*B22*B12. Note, this is the equation for initial energy loss of liquid to fill counterweights. But every cycle afterward should only count the energy cost of running a pump extra amount to recover losses, rather than the initial loss of potential energy.</t>
  </si>
  <si>
    <t>Eqn: (-1)*(B14/100)*(B14/100)*B301*B22*B12</t>
  </si>
  <si>
    <t>Assume extra CW#3 fill is required, for cycle. So CW#3 gets liquid from CW#2 and alternate filling method. Assumes less than five minutes for cycle time. Assumes no leaks…</t>
  </si>
  <si>
    <t>Note: This is the countinuous potential energy loss incurred due to running the recovery pump's own counterweights. This will be higher if there are any leaks present in the device.</t>
  </si>
  <si>
    <t>Energy loss to open and close all small motorized ball valves in a given cycle</t>
  </si>
  <si>
    <t>Energy loss due to opening and closing of medium motorized ball valves</t>
  </si>
  <si>
    <t>Electric Estimates for one pump cycle (Based on Potential Energy)</t>
  </si>
  <si>
    <t>Vertical Drop Ratio(height difference between upper reservoir tank and lower shared turbine), as compared to height of narrow pipe</t>
  </si>
  <si>
    <t>Velocity loss Ratio: Loss in Kinetic energy due to air friction and incomplete transfer of force on Pelton wheels</t>
  </si>
  <si>
    <t>(1/2)*(mass of pumped liquid)*(average velocity of liquid)^2*(turbine efficiency)(generator efficiency)(efficiency due to compressibility of liquid)(ratio of losses due to splashing, friction,etc.)</t>
  </si>
  <si>
    <t>Multiplier (number of valve turns)</t>
  </si>
  <si>
    <t>Average time for open or close</t>
  </si>
  <si>
    <t>Assume energy efficiency loss due to wireless battery charging</t>
  </si>
  <si>
    <t>Estimated Power loss due to energy input per cycle per chamber (((TODO: Update with medium mototrized ball valve)))</t>
  </si>
  <si>
    <t>Eqn: (Energy from kinetic velocity of relatively narrow pipe (J)) / (cycle time (s)) / (1kW/1000 W)  *   + (B737, Note this is already a negative number)) . Note that the power loss assumes continuous power loss, which is a purposeful overestimate. Removed (Efficiency of Liquid Jet Impact)  variable, to calculate this an earlier energy calculation above, so the efficiency (loss) should not be double-factored in, in the following power equations. Removing ( (Efficiency of Turbine) *(Efficiency of Generator)) also, for similar reasons.   Removing ( Power *loss* due to energy input of electronic control system) from equation, because that is also already part of energy calculations above.</t>
  </si>
  <si>
    <t>Rough current retail price paid for electricity, US</t>
  </si>
  <si>
    <t>Mass of shell (including all extras outside of shell, Note: Remember to include lower valve structure, microcontroller, sensor,etc.)</t>
  </si>
  <si>
    <t>CW#1 shell ((including all extras outside of shell, Note: Remember to include lower valve structure, microcontroller, sensor,etc.))</t>
  </si>
  <si>
    <t>Note: Calculation ignores weight of extra parts (valve, battery, microcontroller, sensor, etc.) on the counterweight</t>
  </si>
  <si>
    <t>Number of active days of operation per year</t>
  </si>
  <si>
    <t>Note: Assuming two weeks off, for giggles</t>
  </si>
  <si>
    <t>Total Revenue based on higher price per kilowatt (see cell above), less ingoing cost of electricity</t>
  </si>
  <si>
    <t>Total Revenue</t>
  </si>
  <si>
    <t>$ USD</t>
  </si>
  <si>
    <t>Total revenue for pump stack (group of pump chambers, based off kWh calculations above, less input electricity cost</t>
  </si>
  <si>
    <t>Operating Revenue per 24 hours of continuous operation for a single pump chamber (assuming no interruptions (no downtime) in chamber, with continuous spinning of turbine, probs Pelton wheel, no maintenance calculation, dedicated return pump power cost ignored, it is included later in total profit calc)</t>
  </si>
  <si>
    <t>Eqn:  (Total annual revenue) / (Estimated retail price of electricity)</t>
  </si>
  <si>
    <t>kWh</t>
  </si>
  <si>
    <t>MWh</t>
  </si>
  <si>
    <t>Energy Generated (kWh/yr), overall</t>
  </si>
  <si>
    <t>days</t>
  </si>
  <si>
    <t>Longevity of System before Generator replacement</t>
  </si>
  <si>
    <t>years</t>
  </si>
  <si>
    <t>Note: This cell is being used for an environmental impact estimate, and reflects the ideal lifespan of the generator in the device. Not the total lifespan. Also, assuming proper maintenance is performed, but note that this maintnenance cost is not in $/kW calculations, currently.</t>
  </si>
  <si>
    <t>Note: This cell is being used for an environmental impact estimate</t>
  </si>
  <si>
    <t>Unit deployed per year</t>
  </si>
  <si>
    <t>Adoption rate of global grid</t>
  </si>
  <si>
    <t>Global usage of electricity annually over lifetime</t>
  </si>
  <si>
    <t>Assume max adoption is 0.8% continuous</t>
  </si>
  <si>
    <t>Annual adoption rate * Global energy usage</t>
  </si>
  <si>
    <t>Number of "units"</t>
  </si>
  <si>
    <t>kWh / (kWh/unit)</t>
  </si>
  <si>
    <t>units (copies of this 10 pump stack with one recovery pump…</t>
  </si>
  <si>
    <t>Years until max adoption</t>
  </si>
  <si>
    <t>Emissions Reduction Potential between now and 2050 (GT)15.693</t>
  </si>
  <si>
    <t>https://www.nasa.gov/directorates/somd/space-communications-navigation-program/technology-readiness-levels/</t>
  </si>
  <si>
    <t>Gravitic Engine VII Calculations, Single Liquid, Plunger Pump, Proof Of Concept</t>
  </si>
  <si>
    <t>Note: The plunger has to go up and down, so there needs to be roughly double the height of plunger (&lt;~x2) at the very least. Plus space for upper compounding, complex, and/or redirect pulleys. Plus the underneath space for the disk valve seal, push arm (plunger rod) mechanism, and disk (floodgate).  Some overlap between above pump chamber's inlet pipe and a lower pump chamber's upper pulley and cable system is achievable, too. This may save money on the cost of support structures.  The value of 5.715 is based off drawings with tolerances of 60% of traveling distance for upper pulley's and 2x traveling distance for a 60%traveling distance feed pipe. The addition of 0.285 is for tolerance between the *next* pump chamber above (the current pump chamber being described and mathed) in the pump stack.</t>
  </si>
  <si>
    <t>Eqn: Cylinder * Disk, (Upper Cylinder of Outer Radius Volume - Upper Cylinder of Inner Radius Volume) +Lower Volume of flat disk</t>
  </si>
  <si>
    <t>Height of Outer Pump Chamber, (ignoring top half, the plunger's movement affects the height of the chamber)</t>
  </si>
  <si>
    <t>Lowest Pump Chamber, producing power for powerplant</t>
  </si>
  <si>
    <t>24/10/13: Note that this does not include the addition of a new, third pulley system directly on the plunger, before pump priming (CW#1-related) cable</t>
  </si>
  <si>
    <t>lbs, equivalent force</t>
  </si>
  <si>
    <t>Ratio of Mass of Floodgate, to mass of shell</t>
  </si>
  <si>
    <t>Note: This assumes steel wire rope, not UHMWPE rope. Assumption causes heavier object, to help increase difficulty of finding a mathematical solution set of mass ratios and pulley organization.</t>
  </si>
  <si>
    <t>Is radius of CW rail width greater than width of CW#1, and CW#2</t>
  </si>
  <si>
    <t>Is CW#2 shell density in normal metal density range, based off claimed weight and thickness of shell</t>
  </si>
  <si>
    <t>Note: 24/10/13: Retiring this logic check. While the wheels, turnbuckle, cable connection, or various support structures may need to be stainless steel, there is no requirement for the entire CW@2 shell to be made of SS316. CW#2 could be made of high density plastic.</t>
  </si>
  <si>
    <t>(RETIRED) Normal density around most metals, using stainless steel as base comparison</t>
  </si>
  <si>
    <t>kg/m of rope</t>
  </si>
  <si>
    <t>UHMWPE (Dyneemax), 12mm+</t>
  </si>
  <si>
    <t>Note: Assuming UHMWPE can be manufactured thicker, and increased thickness can handle increased weight… TODO: New logic check about breaking strength of Dyneemax against PoC force balance equations</t>
  </si>
  <si>
    <t>Retired. See Cell B526. Estimate of Inline Pulley Force due to Weight + Estimate of Compound Pulley Force due to Weight + Wire Rope Force due to Weight</t>
  </si>
  <si>
    <t>(Retired) Force, representative partial mass for entire pulley system and wire rope</t>
  </si>
  <si>
    <t>(RETIRED) Force, representative partial mass for entire pulley system and wire rope</t>
  </si>
  <si>
    <t>Retired. See B526. Estimate of Inline Pulley Force due to Weight + Estimate of Compound Pulley Force due to Weight + Wire Rope Force due to Weight</t>
  </si>
  <si>
    <t>Note: 24/10/13 edit: Using mass of high density plastic rope, instead of steel wire rope</t>
  </si>
  <si>
    <t xml:space="preserve">CW#1: </t>
  </si>
  <si>
    <t>CW#2:</t>
  </si>
  <si>
    <t>From B238 calc, Max of</t>
  </si>
  <si>
    <t>Maximum of CW#1 and CW#2 vertical rail lengths, times multiplier, plus 2*(Height of CW#2 Cylinder) (This allows space for counterweights themselves), plus tolerance (travel distance of plunger). Note: 24/10/24: removing height of pump stack,(B308*B306*B468), because these overlap the CW rails!</t>
  </si>
  <si>
    <t>Is the recovery pump present in the mathematical model of the pump stack?</t>
  </si>
  <si>
    <t>***Note: this is *not* the overall length of pipe, of all models, because of turns and potential slopes. Height of minimum CW rail height, plus height of lowest pump chamber or equivalent. Note, assumes Pelton wheel design.</t>
  </si>
  <si>
    <t>Note: TODO: Integrate into all equations, including cost estimates</t>
  </si>
  <si>
    <t>Note: Retiring logic check for pump proof of concept</t>
  </si>
  <si>
    <t>Assuming tank is shaped like a disk.</t>
  </si>
  <si>
    <t>TODO: Add a "by how much?" percentage, to quickly estimate if it is within tolerance, add logic check for that tolerance, too</t>
  </si>
  <si>
    <t>Notes on changes from powerplant: CW#3 won't scale down correctly, New equations to help CW#3 mass of liquid be adjusted by a multiplier. New B502 calculation. Note a "zero" value for number of recovery pumps, and a "1" value for number of total pump chambers. 24/10/21: Moving lower reservoir to vertically in between most of the pump stack and the bottom of CW rails, to reduce number of recovery pumps in future devices, at the cost of increasing necessary vertical height of device.</t>
  </si>
  <si>
    <t>Shared Collections and Reservoir (SC&amp;R) Tank (ex. Lower Reservoir)</t>
  </si>
  <si>
    <t>(Not Part of PoC): Shared Pelton wheel  above pump stack</t>
  </si>
  <si>
    <t>Eqn: Max Counterweight (CW) rail between CW#1 vs. CW#2&amp;3, plus height of pump area , plustolerance (CW#2 cylinder height), plus inner height of upper reservoir tank, plus height of lower reservoir, plus height of CW#4 rail length</t>
  </si>
  <si>
    <t>Energy loss due to opening and closing of medium motorized valves</t>
  </si>
  <si>
    <t>Eqn: (-1)*(B14/100)*B301*B22*B12*B309</t>
  </si>
  <si>
    <t>Rough list of edited cells from powerplant reduction: B221, F323, H210 (Note), AB517,B502(calc),B238, F210,B284,F284,G284,E246,D210,B246toB247,RetiredB516toUseB526,B416(Retired logic check),B221,E218,B218,B92,B12,B468, B272,G272,H272,G284, F212, D56, B143, E143, B718 (Corrected), D718</t>
  </si>
  <si>
    <t>Estimate of Potential Energy Output from single pump chamber cycle.</t>
  </si>
  <si>
    <t>Degrees of Compounding from New, Third Pulley System. Represents CW#1 and CW#2 extra compounding. Should save money on reinforcing or support structures.</t>
  </si>
  <si>
    <t>24/10/29: Note that this does not include the addition of a new, third pulley system directly on the plunger, before pump priming (CW#2-related) cable. CW#1 and CW#2 need to travel the same distance, per cycle, in order to be connected more directly by (the improvement of) upper redirect pulleys.</t>
  </si>
  <si>
    <t>Note: 24/10/29: 3==&gt;&gt; 1. Only one pump chamber in the proof of concept. Note: 24/10/15: This was changed from 10 to 3, so that upper reservoir tank could be used for two-pump test, with recovery pump.</t>
  </si>
  <si>
    <t>Estimated Power loss due to energy input per cycle per chamber (((DONE: Update with medium mototrized ball valve)))</t>
  </si>
  <si>
    <t>Eqn: kW/cycle * (cycle seconds/ seconds in an hour) * (cycles/24 hours) * $/kWh * (number of recovery pumps)</t>
  </si>
  <si>
    <t>Logic Check for liquid loss, due to counterweight actions, below max %</t>
  </si>
  <si>
    <t>Y=1, N=0</t>
  </si>
  <si>
    <t>Pounds of CO2 generated by natural gas turbines per MWh</t>
  </si>
  <si>
    <t>898 pounds CO2 per megawatt-hour (MWh) (source: https://www.epa.gov/sites/default/files/2020-12/documents/power_plants_2017_industrial_profile_updated_2020.pdf)</t>
  </si>
  <si>
    <t>Short tons equivalent</t>
  </si>
  <si>
    <t>Long tons equivalent</t>
  </si>
  <si>
    <t>Metric tons equivalent</t>
  </si>
  <si>
    <t>Conv.</t>
  </si>
  <si>
    <t>Breakthrough Energy Calc</t>
  </si>
  <si>
    <t>Energy Generated (MWh/yr) in 10-pump stack with one recovery pump</t>
  </si>
  <si>
    <t>tonnes of CO2/tonnes of steel</t>
  </si>
  <si>
    <t>Ref: https://www.sustainable-ships.org/stories/2022/carbon-footprint-steel</t>
  </si>
  <si>
    <t>tonnes of CO2</t>
  </si>
  <si>
    <t xml:space="preserve">Carbon cost to build individual pump tower: </t>
  </si>
  <si>
    <t>short tons of CO2/MWh for natural gas powerplant</t>
  </si>
  <si>
    <t>long tons of CO2/MWh for natural gas powerplant</t>
  </si>
  <si>
    <t>metric tons (tonne) of CO2/MWh for natural gas powerplant</t>
  </si>
  <si>
    <t>Break even point for Gravitic Engine Tower</t>
  </si>
  <si>
    <t>tonnes of steel. Note: Big, sloppy assumption. Also, only counting steel production in math for breakeven point. (Not counting: transportation, construction, microcontroller, maintenance, sensor, valve CO2 footprints).</t>
  </si>
  <si>
    <t>500million short</t>
  </si>
  <si>
    <t>How many pump towers?</t>
  </si>
  <si>
    <t>towers</t>
  </si>
  <si>
    <t>500million long</t>
  </si>
  <si>
    <t>500million metric tons, breakeven time</t>
  </si>
  <si>
    <t>Result:</t>
  </si>
  <si>
    <t>Assume metric tons, tonne,</t>
  </si>
  <si>
    <t>it would require the following number of pump towers:</t>
  </si>
  <si>
    <t>generating</t>
  </si>
  <si>
    <t>MWh/yr</t>
  </si>
  <si>
    <t>for one year of 500 million CO2 abated by swapping out natural gas turbines for  energy production</t>
  </si>
  <si>
    <t>So 1.23 billion pump towers, at earlier efficiency levels for a powerplant, generating 64,700 TWh of sweet, sweet, low-carbon power</t>
  </si>
  <si>
    <t>Compound Pulley Multiplier for Priming Pump (Plunger Ascent), Mechanical Advantage (x:1)</t>
  </si>
  <si>
    <t>Compound Pulley Multiplier for Pump Discharge (Plunger descent), Mechanical Advantage (x:1)</t>
  </si>
  <si>
    <t>Compound Pulley Multiplier for Floodgate Valve under Pump Chamber, CW#3, Mechanical Advantage (x:1)</t>
  </si>
  <si>
    <t>Divisor, Only a fraction of CW#2 liquid mass</t>
  </si>
  <si>
    <t>Total revenue for pump stack (group of pump chambers, based on kWh calculations above, less input electricity cost</t>
  </si>
  <si>
    <t>Unknown</t>
  </si>
  <si>
    <t>IMPORTANT NOTE: Most future work is intended to be put towards the second tab, Proof of Concept (PoC), of this excel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</si>
</sst>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Green]General;[Red]\-General;[Yellow]General"/>
    <numFmt numFmtId="166" formatCode="[Green]General;[Red]\-General;[Red]General"/>
    <numFmt numFmtId="167" formatCode="0.0000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14" fontId="0" fillId="0" borderId="0" xfId="0" applyNumberFormat="1"/>
    <xf numFmtId="164" fontId="0" fillId="0" borderId="0" xfId="0" applyNumberFormat="1"/>
    <xf numFmtId="165" fontId="0" fillId="0" borderId="0" xfId="0" applyNumberFormat="1"/>
    <xf numFmtId="2" fontId="0" fillId="0" borderId="0" xfId="0" applyNumberFormat="1"/>
    <xf numFmtId="166" fontId="0" fillId="0" borderId="0" xfId="0" applyNumberFormat="1"/>
    <xf numFmtId="167" fontId="0" fillId="0" borderId="0" xfId="0" applyNumberFormat="1"/>
    <xf numFmtId="0" fontId="1" fillId="0" borderId="0" xfId="1"/>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asa.gov/directorates/somd/space-communications-navigation-program/technology-readiness-level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asa.gov/directorates/somd/space-communications-navigation-program/technology-readiness-lev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0105-3FF4-4475-B6FC-9268A8B3B00B}">
  <dimension ref="A1:P816"/>
  <sheetViews>
    <sheetView workbookViewId="0">
      <selection activeCell="E5" sqref="E5"/>
    </sheetView>
  </sheetViews>
  <sheetFormatPr defaultRowHeight="14.4" x14ac:dyDescent="0.3"/>
  <cols>
    <col min="1" max="1" width="22.5546875" customWidth="1"/>
    <col min="2" max="2" width="14.44140625" customWidth="1"/>
    <col min="6" max="6" width="11" bestFit="1" customWidth="1"/>
    <col min="13" max="13" width="10.5546875" bestFit="1" customWidth="1"/>
  </cols>
  <sheetData>
    <row r="1" spans="1:9" x14ac:dyDescent="0.3">
      <c r="A1" t="s">
        <v>0</v>
      </c>
      <c r="B1" s="1">
        <v>45385</v>
      </c>
      <c r="D1" t="s">
        <v>602</v>
      </c>
    </row>
    <row r="2" spans="1:9" x14ac:dyDescent="0.3">
      <c r="A2" t="s">
        <v>154</v>
      </c>
    </row>
    <row r="3" spans="1:9" x14ac:dyDescent="0.3">
      <c r="A3" t="s">
        <v>155</v>
      </c>
      <c r="H3" t="s">
        <v>449</v>
      </c>
      <c r="I3">
        <f>(1.02)^35.003</f>
        <v>2.0000083653939624</v>
      </c>
    </row>
    <row r="5" spans="1:9" x14ac:dyDescent="0.3">
      <c r="A5" t="s">
        <v>14</v>
      </c>
      <c r="C5" t="s">
        <v>20</v>
      </c>
    </row>
    <row r="6" spans="1:9" x14ac:dyDescent="0.3">
      <c r="A6" t="s">
        <v>15</v>
      </c>
      <c r="B6" s="5">
        <f>IF(AND(B15,B64,B155,B402,B403,B410,B415,B416,B421,B422,B427,B429,B430,B431,B449,B453,B454,B502&gt;0,B550&gt;0,B600&gt;0,B650&gt;0,B670&gt;0, B680&gt;0,B745,B746,B747),1,0)</f>
        <v>1</v>
      </c>
    </row>
    <row r="7" spans="1:9" x14ac:dyDescent="0.3">
      <c r="A7" t="s">
        <v>16</v>
      </c>
    </row>
    <row r="8" spans="1:9" x14ac:dyDescent="0.3">
      <c r="A8" t="s">
        <v>17</v>
      </c>
      <c r="C8" t="s">
        <v>21</v>
      </c>
    </row>
    <row r="9" spans="1:9" x14ac:dyDescent="0.3">
      <c r="A9" t="s">
        <v>18</v>
      </c>
    </row>
    <row r="10" spans="1:9" x14ac:dyDescent="0.3">
      <c r="A10" t="s">
        <v>19</v>
      </c>
    </row>
    <row r="11" spans="1:9" x14ac:dyDescent="0.3">
      <c r="A11" t="s">
        <v>157</v>
      </c>
    </row>
    <row r="12" spans="1:9" x14ac:dyDescent="0.3">
      <c r="A12" t="s">
        <v>145</v>
      </c>
      <c r="B12">
        <f>B92+(B223*I12)+(4*B306)+B55+B360</f>
        <v>24.66683085516885</v>
      </c>
      <c r="C12" t="s">
        <v>30</v>
      </c>
      <c r="D12" t="s">
        <v>468</v>
      </c>
      <c r="F12">
        <f>B12*A27</f>
        <v>80.927925342872172</v>
      </c>
      <c r="G12" t="s">
        <v>275</v>
      </c>
      <c r="H12" t="s">
        <v>388</v>
      </c>
      <c r="I12">
        <v>1.25</v>
      </c>
    </row>
    <row r="14" spans="1:9" x14ac:dyDescent="0.3">
      <c r="A14" t="s">
        <v>245</v>
      </c>
      <c r="B14">
        <f>(B219+B222+((1-H14)*B272))/B301*100</f>
        <v>12.666666666666668</v>
      </c>
      <c r="C14" t="s">
        <v>150</v>
      </c>
      <c r="D14" t="s">
        <v>248</v>
      </c>
      <c r="G14" t="s">
        <v>247</v>
      </c>
      <c r="H14">
        <v>0.85</v>
      </c>
    </row>
    <row r="15" spans="1:9" x14ac:dyDescent="0.3">
      <c r="A15" t="s">
        <v>303</v>
      </c>
      <c r="B15" s="5">
        <f>IF((B14/100)&lt;E15,1,0)</f>
        <v>1</v>
      </c>
      <c r="D15" t="s">
        <v>249</v>
      </c>
      <c r="E15">
        <v>0.2</v>
      </c>
      <c r="F15" t="s">
        <v>250</v>
      </c>
    </row>
    <row r="20" spans="1:3" x14ac:dyDescent="0.3">
      <c r="A20" t="s">
        <v>11</v>
      </c>
    </row>
    <row r="21" spans="1:3" x14ac:dyDescent="0.3">
      <c r="B21" t="s">
        <v>1</v>
      </c>
      <c r="C21" t="s">
        <v>2</v>
      </c>
    </row>
    <row r="22" spans="1:3" x14ac:dyDescent="0.3">
      <c r="A22" t="s">
        <v>3</v>
      </c>
      <c r="B22" s="2">
        <v>9.8066499999999994</v>
      </c>
      <c r="C22" t="s">
        <v>4</v>
      </c>
    </row>
    <row r="23" spans="1:3" x14ac:dyDescent="0.3">
      <c r="A23" t="s">
        <v>5</v>
      </c>
      <c r="B23">
        <v>2.2046199999999998</v>
      </c>
      <c r="C23" t="s">
        <v>6</v>
      </c>
    </row>
    <row r="24" spans="1:3" x14ac:dyDescent="0.3">
      <c r="A24" t="s">
        <v>7</v>
      </c>
      <c r="B24">
        <v>264.17200000000003</v>
      </c>
      <c r="C24" t="s">
        <v>8</v>
      </c>
    </row>
    <row r="25" spans="1:3" x14ac:dyDescent="0.3">
      <c r="A25" t="s">
        <v>9</v>
      </c>
      <c r="B25" s="2">
        <f>1/0.0254</f>
        <v>39.370078740157481</v>
      </c>
      <c r="C25" t="s">
        <v>10</v>
      </c>
    </row>
    <row r="26" spans="1:3" x14ac:dyDescent="0.3">
      <c r="A26">
        <v>2.2046199999999998</v>
      </c>
      <c r="B26" t="s">
        <v>12</v>
      </c>
    </row>
    <row r="27" spans="1:3" x14ac:dyDescent="0.3">
      <c r="A27">
        <v>3.28084</v>
      </c>
      <c r="B27" t="s">
        <v>13</v>
      </c>
    </row>
    <row r="28" spans="1:3" x14ac:dyDescent="0.3">
      <c r="A28">
        <v>3.7854100000000002</v>
      </c>
      <c r="B28" t="s">
        <v>105</v>
      </c>
    </row>
    <row r="31" spans="1:3" x14ac:dyDescent="0.3">
      <c r="A31" t="s">
        <v>158</v>
      </c>
      <c r="B31">
        <v>0.85</v>
      </c>
      <c r="C31" t="s">
        <v>160</v>
      </c>
    </row>
    <row r="32" spans="1:3" x14ac:dyDescent="0.3">
      <c r="A32" t="s">
        <v>159</v>
      </c>
      <c r="B32">
        <v>0.75</v>
      </c>
      <c r="C32" t="s">
        <v>385</v>
      </c>
    </row>
    <row r="35" spans="1:4" x14ac:dyDescent="0.3">
      <c r="A35" t="s">
        <v>23</v>
      </c>
      <c r="B35">
        <f>(998.2*B36)</f>
        <v>998.2</v>
      </c>
      <c r="C35" t="s">
        <v>24</v>
      </c>
      <c r="D35" t="s">
        <v>107</v>
      </c>
    </row>
    <row r="36" spans="1:4" x14ac:dyDescent="0.3">
      <c r="A36" t="s">
        <v>103</v>
      </c>
      <c r="B36">
        <v>1</v>
      </c>
    </row>
    <row r="38" spans="1:4" x14ac:dyDescent="0.3">
      <c r="A38" t="s">
        <v>225</v>
      </c>
      <c r="B38">
        <f>SUM(B62,B76,B86,B98,B121,B151,B189,B235,B260,B279,B311)</f>
        <v>36000.016028851933</v>
      </c>
      <c r="C38" t="s">
        <v>34</v>
      </c>
      <c r="D38" t="s">
        <v>226</v>
      </c>
    </row>
    <row r="39" spans="1:4" x14ac:dyDescent="0.3">
      <c r="A39" t="s">
        <v>72</v>
      </c>
      <c r="B39">
        <f>0.01/5/A28*(1000/B35)</f>
        <v>5.292970884752333E-4</v>
      </c>
      <c r="C39" t="s">
        <v>73</v>
      </c>
      <c r="D39" t="s">
        <v>106</v>
      </c>
    </row>
    <row r="42" spans="1:4" x14ac:dyDescent="0.3">
      <c r="A42" t="s">
        <v>146</v>
      </c>
      <c r="B42">
        <v>0</v>
      </c>
      <c r="C42" t="s">
        <v>120</v>
      </c>
      <c r="D42" t="s">
        <v>147</v>
      </c>
    </row>
    <row r="43" spans="1:4" x14ac:dyDescent="0.3">
      <c r="D43" t="s">
        <v>304</v>
      </c>
    </row>
    <row r="50" spans="1:9" x14ac:dyDescent="0.3">
      <c r="A50" t="s">
        <v>45</v>
      </c>
    </row>
    <row r="51" spans="1:9" x14ac:dyDescent="0.3">
      <c r="A51" t="s">
        <v>44</v>
      </c>
    </row>
    <row r="53" spans="1:9" x14ac:dyDescent="0.3">
      <c r="A53" t="s">
        <v>390</v>
      </c>
      <c r="I53" t="s">
        <v>389</v>
      </c>
    </row>
    <row r="54" spans="1:9" x14ac:dyDescent="0.3">
      <c r="A54" t="s">
        <v>22</v>
      </c>
      <c r="B54">
        <f>B468*(B219+B222)</f>
        <v>4200</v>
      </c>
      <c r="C54" t="s">
        <v>126</v>
      </c>
      <c r="D54" t="s">
        <v>127</v>
      </c>
      <c r="G54">
        <f>B54*B23</f>
        <v>9259.4039999999986</v>
      </c>
      <c r="H54" t="s">
        <v>80</v>
      </c>
      <c r="I54" t="s">
        <v>391</v>
      </c>
    </row>
    <row r="55" spans="1:9" x14ac:dyDescent="0.3">
      <c r="A55" t="s">
        <v>95</v>
      </c>
      <c r="B55">
        <f>POWER((B59/(1*PI()*B56*B56)),1/3)</f>
        <v>0.85170215091500323</v>
      </c>
      <c r="C55" t="s">
        <v>30</v>
      </c>
      <c r="D55" t="s">
        <v>96</v>
      </c>
    </row>
    <row r="56" spans="1:9" x14ac:dyDescent="0.3">
      <c r="A56" t="s">
        <v>398</v>
      </c>
      <c r="B56">
        <f>B59/D56</f>
        <v>1.8032458425165296</v>
      </c>
      <c r="C56" t="s">
        <v>30</v>
      </c>
      <c r="D56">
        <v>3.5</v>
      </c>
      <c r="E56" t="s">
        <v>99</v>
      </c>
    </row>
    <row r="57" spans="1:9" x14ac:dyDescent="0.3">
      <c r="C57" t="s">
        <v>30</v>
      </c>
    </row>
    <row r="58" spans="1:9" x14ac:dyDescent="0.3">
      <c r="A58" t="s">
        <v>411</v>
      </c>
    </row>
    <row r="59" spans="1:9" x14ac:dyDescent="0.3">
      <c r="A59" t="s">
        <v>74</v>
      </c>
      <c r="B59">
        <f>B54/B35*B60</f>
        <v>6.3113604488078536</v>
      </c>
      <c r="C59" t="s">
        <v>34</v>
      </c>
      <c r="D59">
        <f>B24*B59</f>
        <v>1667.2847124824684</v>
      </c>
      <c r="E59" t="s">
        <v>75</v>
      </c>
      <c r="G59" t="s">
        <v>392</v>
      </c>
    </row>
    <row r="60" spans="1:9" x14ac:dyDescent="0.3">
      <c r="A60" t="s">
        <v>57</v>
      </c>
      <c r="B60">
        <v>1.5</v>
      </c>
    </row>
    <row r="61" spans="1:9" x14ac:dyDescent="0.3">
      <c r="A61" t="s">
        <v>77</v>
      </c>
      <c r="C61" t="s">
        <v>78</v>
      </c>
      <c r="E61" t="s">
        <v>76</v>
      </c>
    </row>
    <row r="62" spans="1:9" x14ac:dyDescent="0.3">
      <c r="A62" t="s">
        <v>71</v>
      </c>
      <c r="B62">
        <v>0</v>
      </c>
      <c r="C62" t="s">
        <v>34</v>
      </c>
    </row>
    <row r="64" spans="1:9" x14ac:dyDescent="0.3">
      <c r="A64" t="s">
        <v>399</v>
      </c>
      <c r="B64" s="5">
        <f>IF((B56*1.05)&lt;B303,1,0)</f>
        <v>1</v>
      </c>
      <c r="D64" t="s">
        <v>400</v>
      </c>
    </row>
    <row r="70" spans="1:5" x14ac:dyDescent="0.3">
      <c r="A70" t="s">
        <v>156</v>
      </c>
    </row>
    <row r="71" spans="1:5" x14ac:dyDescent="0.3">
      <c r="A71" t="s">
        <v>28</v>
      </c>
      <c r="B71">
        <v>0</v>
      </c>
      <c r="C71" t="s">
        <v>30</v>
      </c>
      <c r="D71" t="s">
        <v>119</v>
      </c>
    </row>
    <row r="72" spans="1:5" x14ac:dyDescent="0.3">
      <c r="A72" t="s">
        <v>29</v>
      </c>
      <c r="B72">
        <v>6.6049999999999998E-2</v>
      </c>
      <c r="C72" t="s">
        <v>30</v>
      </c>
      <c r="D72" t="s">
        <v>32</v>
      </c>
    </row>
    <row r="73" spans="1:5" x14ac:dyDescent="0.3">
      <c r="A73" t="s">
        <v>79</v>
      </c>
      <c r="B73">
        <f>PI()*B72*B72*B71</f>
        <v>0</v>
      </c>
      <c r="C73" t="s">
        <v>34</v>
      </c>
    </row>
    <row r="75" spans="1:5" x14ac:dyDescent="0.3">
      <c r="A75" t="s">
        <v>31</v>
      </c>
      <c r="C75" t="s">
        <v>78</v>
      </c>
      <c r="D75">
        <v>25</v>
      </c>
      <c r="E75" t="s">
        <v>76</v>
      </c>
    </row>
    <row r="76" spans="1:5" x14ac:dyDescent="0.3">
      <c r="A76" t="s">
        <v>71</v>
      </c>
      <c r="C76" t="s">
        <v>34</v>
      </c>
    </row>
    <row r="80" spans="1:5" x14ac:dyDescent="0.3">
      <c r="A80" t="s">
        <v>40</v>
      </c>
    </row>
    <row r="81" spans="1:7" x14ac:dyDescent="0.3">
      <c r="A81" t="s">
        <v>28</v>
      </c>
      <c r="B81">
        <f>B71</f>
        <v>0</v>
      </c>
      <c r="C81" t="s">
        <v>30</v>
      </c>
    </row>
    <row r="82" spans="1:7" x14ac:dyDescent="0.3">
      <c r="A82" t="s">
        <v>29</v>
      </c>
      <c r="B82">
        <v>6.6049999999999998E-2</v>
      </c>
      <c r="C82" t="s">
        <v>30</v>
      </c>
    </row>
    <row r="85" spans="1:7" x14ac:dyDescent="0.3">
      <c r="A85" t="s">
        <v>31</v>
      </c>
      <c r="C85" t="s">
        <v>78</v>
      </c>
      <c r="D85">
        <v>25</v>
      </c>
      <c r="E85" t="s">
        <v>76</v>
      </c>
    </row>
    <row r="86" spans="1:7" x14ac:dyDescent="0.3">
      <c r="A86" t="s">
        <v>71</v>
      </c>
      <c r="B86">
        <v>0</v>
      </c>
      <c r="C86" t="s">
        <v>34</v>
      </c>
    </row>
    <row r="90" spans="1:7" x14ac:dyDescent="0.3">
      <c r="A90" t="s">
        <v>387</v>
      </c>
    </row>
    <row r="91" spans="1:7" x14ac:dyDescent="0.3">
      <c r="A91" t="s">
        <v>26</v>
      </c>
      <c r="B91">
        <f>B222/G91</f>
        <v>16</v>
      </c>
      <c r="C91" t="s">
        <v>25</v>
      </c>
      <c r="F91" t="s">
        <v>85</v>
      </c>
      <c r="G91">
        <v>15</v>
      </c>
    </row>
    <row r="92" spans="1:7" x14ac:dyDescent="0.3">
      <c r="A92" t="s">
        <v>39</v>
      </c>
      <c r="B92">
        <f>(0.5*B142)+(B238)+(2*B306)</f>
        <v>20.591074874184642</v>
      </c>
      <c r="C92" t="s">
        <v>30</v>
      </c>
      <c r="D92" t="s">
        <v>386</v>
      </c>
    </row>
    <row r="93" spans="1:7" x14ac:dyDescent="0.3">
      <c r="A93" t="s">
        <v>29</v>
      </c>
      <c r="B93">
        <f>POWER(B94/(B92*PI()),(1/2))</f>
        <v>1.574116108789482E-2</v>
      </c>
      <c r="C93" t="s">
        <v>30</v>
      </c>
    </row>
    <row r="94" spans="1:7" x14ac:dyDescent="0.3">
      <c r="A94" t="s">
        <v>33</v>
      </c>
      <c r="B94">
        <f>B91/B35</f>
        <v>1.6028851933480262E-2</v>
      </c>
      <c r="C94" t="s">
        <v>34</v>
      </c>
    </row>
    <row r="95" spans="1:7" x14ac:dyDescent="0.3">
      <c r="A95" t="s">
        <v>53</v>
      </c>
      <c r="C95" t="s">
        <v>25</v>
      </c>
    </row>
    <row r="97" spans="1:3" x14ac:dyDescent="0.3">
      <c r="A97" t="s">
        <v>31</v>
      </c>
    </row>
    <row r="98" spans="1:3" x14ac:dyDescent="0.3">
      <c r="A98" t="s">
        <v>71</v>
      </c>
      <c r="B98">
        <f>B94</f>
        <v>1.6028851933480262E-2</v>
      </c>
      <c r="C98" t="s">
        <v>34</v>
      </c>
    </row>
    <row r="110" spans="1:3" x14ac:dyDescent="0.3">
      <c r="A110" t="s">
        <v>196</v>
      </c>
    </row>
    <row r="111" spans="1:3" x14ac:dyDescent="0.3">
      <c r="A111" t="s">
        <v>197</v>
      </c>
      <c r="B111" s="4">
        <v>2.5</v>
      </c>
      <c r="C111" t="s">
        <v>30</v>
      </c>
    </row>
    <row r="112" spans="1:3" x14ac:dyDescent="0.3">
      <c r="A112" t="s">
        <v>35</v>
      </c>
      <c r="B112">
        <v>0.2</v>
      </c>
      <c r="C112" t="s">
        <v>30</v>
      </c>
    </row>
    <row r="113" spans="1:3" x14ac:dyDescent="0.3">
      <c r="A113" t="s">
        <v>66</v>
      </c>
      <c r="B113">
        <v>0.85</v>
      </c>
    </row>
    <row r="114" spans="1:3" x14ac:dyDescent="0.3">
      <c r="A114" t="s">
        <v>70</v>
      </c>
      <c r="B114">
        <v>0.95</v>
      </c>
    </row>
    <row r="120" spans="1:3" x14ac:dyDescent="0.3">
      <c r="A120" t="s">
        <v>31</v>
      </c>
    </row>
    <row r="121" spans="1:3" x14ac:dyDescent="0.3">
      <c r="A121" t="s">
        <v>71</v>
      </c>
      <c r="B121">
        <v>0</v>
      </c>
      <c r="C121" t="s">
        <v>34</v>
      </c>
    </row>
    <row r="140" spans="1:11" x14ac:dyDescent="0.3">
      <c r="A140" t="s">
        <v>393</v>
      </c>
    </row>
    <row r="141" spans="1:11" x14ac:dyDescent="0.3">
      <c r="A141" t="s">
        <v>36</v>
      </c>
      <c r="B141">
        <f>B468*B301*B146</f>
        <v>50400</v>
      </c>
      <c r="C141" t="s">
        <v>25</v>
      </c>
      <c r="D141" t="s">
        <v>100</v>
      </c>
      <c r="K141" t="s">
        <v>395</v>
      </c>
    </row>
    <row r="142" spans="1:11" x14ac:dyDescent="0.3">
      <c r="A142" t="s">
        <v>37</v>
      </c>
      <c r="B142">
        <f>(B145/(1*PI()*B143*B143))</f>
        <v>0.4413012894286944</v>
      </c>
      <c r="C142" t="s">
        <v>30</v>
      </c>
    </row>
    <row r="143" spans="1:11" x14ac:dyDescent="0.3">
      <c r="A143" t="s">
        <v>397</v>
      </c>
      <c r="B143">
        <f>B145/E143</f>
        <v>2.5245441795231409</v>
      </c>
      <c r="C143" t="s">
        <v>30</v>
      </c>
      <c r="D143" t="s">
        <v>57</v>
      </c>
      <c r="E143">
        <v>3.5</v>
      </c>
    </row>
    <row r="144" spans="1:11" x14ac:dyDescent="0.3">
      <c r="C144" t="s">
        <v>30</v>
      </c>
    </row>
    <row r="145" spans="1:7" x14ac:dyDescent="0.3">
      <c r="A145" t="s">
        <v>38</v>
      </c>
      <c r="B145">
        <f>B59*B146</f>
        <v>8.8359046283309937</v>
      </c>
      <c r="C145" t="s">
        <v>34</v>
      </c>
      <c r="D145" t="s">
        <v>98</v>
      </c>
      <c r="F145">
        <f>B145*B24</f>
        <v>2334.1985974754557</v>
      </c>
      <c r="G145" t="s">
        <v>75</v>
      </c>
    </row>
    <row r="146" spans="1:7" x14ac:dyDescent="0.3">
      <c r="A146" t="s">
        <v>97</v>
      </c>
      <c r="B146">
        <v>1.4</v>
      </c>
    </row>
    <row r="147" spans="1:7" x14ac:dyDescent="0.3">
      <c r="A147" t="s">
        <v>203</v>
      </c>
      <c r="B147">
        <f>B306*3*B468</f>
        <v>4.2633037724344183</v>
      </c>
      <c r="C147" t="s">
        <v>30</v>
      </c>
    </row>
    <row r="150" spans="1:7" x14ac:dyDescent="0.3">
      <c r="A150" t="s">
        <v>31</v>
      </c>
      <c r="B150">
        <f>D150*F145</f>
        <v>11670.992987377278</v>
      </c>
      <c r="C150" t="s">
        <v>102</v>
      </c>
      <c r="D150">
        <v>5</v>
      </c>
      <c r="E150" t="s">
        <v>101</v>
      </c>
    </row>
    <row r="151" spans="1:7" x14ac:dyDescent="0.3">
      <c r="A151" t="s">
        <v>71</v>
      </c>
      <c r="B151">
        <f>F151*B141</f>
        <v>36000</v>
      </c>
      <c r="C151" t="s">
        <v>34</v>
      </c>
      <c r="E151" t="s">
        <v>57</v>
      </c>
      <c r="F151">
        <f>(B468*B301)/B141</f>
        <v>0.7142857142857143</v>
      </c>
    </row>
    <row r="154" spans="1:7" x14ac:dyDescent="0.3">
      <c r="B154" s="5"/>
    </row>
    <row r="155" spans="1:7" x14ac:dyDescent="0.3">
      <c r="A155" t="s">
        <v>396</v>
      </c>
      <c r="B155" s="5">
        <f>IF((2*B143*1.05)&lt;(2*B303), 1, 0)</f>
        <v>1</v>
      </c>
      <c r="D155" t="s">
        <v>400</v>
      </c>
    </row>
    <row r="180" spans="1:3" x14ac:dyDescent="0.3">
      <c r="A180" t="s">
        <v>41</v>
      </c>
    </row>
    <row r="181" spans="1:3" x14ac:dyDescent="0.3">
      <c r="A181" t="s">
        <v>29</v>
      </c>
      <c r="C181" t="s">
        <v>30</v>
      </c>
    </row>
    <row r="182" spans="1:3" x14ac:dyDescent="0.3">
      <c r="A182" t="s">
        <v>28</v>
      </c>
      <c r="C182" t="s">
        <v>30</v>
      </c>
    </row>
    <row r="188" spans="1:3" x14ac:dyDescent="0.3">
      <c r="A188" t="s">
        <v>31</v>
      </c>
    </row>
    <row r="189" spans="1:3" x14ac:dyDescent="0.3">
      <c r="A189" t="s">
        <v>71</v>
      </c>
      <c r="C189" t="s">
        <v>34</v>
      </c>
    </row>
    <row r="200" spans="1:3" x14ac:dyDescent="0.3">
      <c r="A200" t="s">
        <v>125</v>
      </c>
    </row>
    <row r="201" spans="1:3" x14ac:dyDescent="0.3">
      <c r="A201" t="s">
        <v>46</v>
      </c>
      <c r="C201" t="s">
        <v>25</v>
      </c>
    </row>
    <row r="202" spans="1:3" x14ac:dyDescent="0.3">
      <c r="A202" t="s">
        <v>124</v>
      </c>
      <c r="B202">
        <v>0.4</v>
      </c>
      <c r="C202" t="s">
        <v>30</v>
      </c>
    </row>
    <row r="209" spans="1:7" x14ac:dyDescent="0.3">
      <c r="A209" t="s">
        <v>162</v>
      </c>
      <c r="B209">
        <f>0.0254/2</f>
        <v>1.2699999999999999E-2</v>
      </c>
      <c r="C209" t="s">
        <v>30</v>
      </c>
    </row>
    <row r="210" spans="1:7" x14ac:dyDescent="0.3">
      <c r="A210" t="s">
        <v>49</v>
      </c>
      <c r="B210">
        <f>POWER(2,D210)*F210</f>
        <v>96</v>
      </c>
      <c r="D210">
        <v>4</v>
      </c>
      <c r="E210" t="s">
        <v>305</v>
      </c>
      <c r="F210">
        <v>6</v>
      </c>
      <c r="G210" t="s">
        <v>306</v>
      </c>
    </row>
    <row r="211" spans="1:7" x14ac:dyDescent="0.3">
      <c r="A211" t="s">
        <v>161</v>
      </c>
      <c r="B211">
        <f>POWER(2,D211)*F211</f>
        <v>96</v>
      </c>
      <c r="D211">
        <v>4</v>
      </c>
      <c r="E211" t="s">
        <v>305</v>
      </c>
      <c r="F211">
        <v>6</v>
      </c>
      <c r="G211" t="s">
        <v>306</v>
      </c>
    </row>
    <row r="212" spans="1:7" x14ac:dyDescent="0.3">
      <c r="A212" t="s">
        <v>242</v>
      </c>
      <c r="B212">
        <f>POWER(2,D212)*F212</f>
        <v>24</v>
      </c>
      <c r="D212">
        <v>2</v>
      </c>
      <c r="E212" t="s">
        <v>456</v>
      </c>
      <c r="F212">
        <v>6</v>
      </c>
      <c r="G212" t="s">
        <v>306</v>
      </c>
    </row>
    <row r="213" spans="1:7" x14ac:dyDescent="0.3">
      <c r="A213" t="s">
        <v>163</v>
      </c>
      <c r="B213">
        <v>10</v>
      </c>
      <c r="C213" t="s">
        <v>25</v>
      </c>
    </row>
    <row r="214" spans="1:7" x14ac:dyDescent="0.3">
      <c r="A214" t="s">
        <v>164</v>
      </c>
      <c r="B214">
        <v>12</v>
      </c>
      <c r="C214" t="s">
        <v>25</v>
      </c>
    </row>
    <row r="215" spans="1:7" x14ac:dyDescent="0.3">
      <c r="A215" t="s">
        <v>455</v>
      </c>
      <c r="B215">
        <f>POWER(2,D215)*F215</f>
        <v>24</v>
      </c>
      <c r="D215">
        <v>2</v>
      </c>
      <c r="E215" t="s">
        <v>457</v>
      </c>
      <c r="F215">
        <v>6</v>
      </c>
      <c r="G215" t="s">
        <v>306</v>
      </c>
    </row>
    <row r="216" spans="1:7" x14ac:dyDescent="0.3">
      <c r="A216" t="s">
        <v>31</v>
      </c>
    </row>
    <row r="218" spans="1:7" x14ac:dyDescent="0.3">
      <c r="A218" t="s">
        <v>492</v>
      </c>
      <c r="B218">
        <f>B221*E218</f>
        <v>40</v>
      </c>
      <c r="C218" t="s">
        <v>25</v>
      </c>
      <c r="D218" t="s">
        <v>148</v>
      </c>
      <c r="E218">
        <v>1</v>
      </c>
    </row>
    <row r="219" spans="1:7" x14ac:dyDescent="0.3">
      <c r="A219" t="s">
        <v>129</v>
      </c>
      <c r="B219">
        <f>B222*E219</f>
        <v>180</v>
      </c>
      <c r="C219" t="s">
        <v>25</v>
      </c>
      <c r="D219" t="s">
        <v>148</v>
      </c>
      <c r="E219">
        <v>0.75</v>
      </c>
      <c r="G219" t="s">
        <v>365</v>
      </c>
    </row>
    <row r="220" spans="1:7" x14ac:dyDescent="0.3">
      <c r="A220" t="s">
        <v>165</v>
      </c>
    </row>
    <row r="221" spans="1:7" x14ac:dyDescent="0.3">
      <c r="A221" t="s">
        <v>491</v>
      </c>
      <c r="B221">
        <v>40</v>
      </c>
      <c r="C221" t="s">
        <v>25</v>
      </c>
      <c r="D221">
        <f>B23*B221</f>
        <v>88.184799999999996</v>
      </c>
      <c r="E221" t="s">
        <v>80</v>
      </c>
    </row>
    <row r="222" spans="1:7" x14ac:dyDescent="0.3">
      <c r="A222" t="s">
        <v>238</v>
      </c>
      <c r="B222">
        <f>B221*G222</f>
        <v>240</v>
      </c>
      <c r="C222" t="s">
        <v>25</v>
      </c>
      <c r="D222">
        <f>B23*B222</f>
        <v>529.10879999999997</v>
      </c>
      <c r="E222" t="s">
        <v>80</v>
      </c>
      <c r="F222" t="s">
        <v>57</v>
      </c>
      <c r="G222">
        <v>6</v>
      </c>
    </row>
    <row r="223" spans="1:7" x14ac:dyDescent="0.3">
      <c r="A223" t="s">
        <v>82</v>
      </c>
      <c r="B223">
        <f>B224*G223</f>
        <v>1.0416789626530549</v>
      </c>
      <c r="C223" t="s">
        <v>30</v>
      </c>
      <c r="F223" t="s">
        <v>81</v>
      </c>
      <c r="G223">
        <v>4</v>
      </c>
    </row>
    <row r="224" spans="1:7" x14ac:dyDescent="0.3">
      <c r="A224" t="s">
        <v>190</v>
      </c>
      <c r="B224">
        <f>POWER((B225/PI()/(G223+0.33333333)), 1/3)</f>
        <v>0.26041974066326373</v>
      </c>
      <c r="C224" t="s">
        <v>30</v>
      </c>
      <c r="F224" t="s">
        <v>442</v>
      </c>
    </row>
    <row r="225" spans="1:13" x14ac:dyDescent="0.3">
      <c r="A225" t="s">
        <v>441</v>
      </c>
      <c r="B225">
        <f>B222/B35</f>
        <v>0.24043277900220394</v>
      </c>
      <c r="C225" t="s">
        <v>34</v>
      </c>
      <c r="D225">
        <f>B225*B24</f>
        <v>63.515608094570226</v>
      </c>
      <c r="E225" t="s">
        <v>75</v>
      </c>
    </row>
    <row r="226" spans="1:13" x14ac:dyDescent="0.3">
      <c r="A226" t="s">
        <v>58</v>
      </c>
      <c r="B226">
        <v>2.5000000000000001E-3</v>
      </c>
      <c r="C226" t="s">
        <v>30</v>
      </c>
    </row>
    <row r="227" spans="1:13" x14ac:dyDescent="0.3">
      <c r="A227" t="s">
        <v>134</v>
      </c>
      <c r="B227">
        <f>B221/((B223*PI()*POWER((B224+B226),2))+(1/3*PI()*POWER((B224+B226),3))-(((B223*PI()*POWER((B224),2))+(1/3*PI()*POWER((B224),3)))))</f>
        <v>8299.8122171119885</v>
      </c>
      <c r="C227" t="s">
        <v>24</v>
      </c>
      <c r="D227" t="s">
        <v>133</v>
      </c>
      <c r="H227" t="s">
        <v>493</v>
      </c>
    </row>
    <row r="230" spans="1:13" x14ac:dyDescent="0.3">
      <c r="A230" t="s">
        <v>167</v>
      </c>
      <c r="B230">
        <f>POWER((B231/PI()/(G223+0.33333333)), 1/3)</f>
        <v>0.2366070367696109</v>
      </c>
      <c r="C230" t="s">
        <v>30</v>
      </c>
      <c r="D230" t="s">
        <v>166</v>
      </c>
    </row>
    <row r="231" spans="1:13" x14ac:dyDescent="0.3">
      <c r="A231" t="s">
        <v>168</v>
      </c>
      <c r="B231">
        <f>B219/B35</f>
        <v>0.18032458425165296</v>
      </c>
      <c r="C231" t="s">
        <v>34</v>
      </c>
    </row>
    <row r="232" spans="1:13" x14ac:dyDescent="0.3">
      <c r="A232" t="s">
        <v>169</v>
      </c>
      <c r="B232">
        <f>B230*G223</f>
        <v>0.94642814707844358</v>
      </c>
      <c r="C232" t="s">
        <v>30</v>
      </c>
    </row>
    <row r="234" spans="1:13" x14ac:dyDescent="0.3">
      <c r="A234" t="s">
        <v>83</v>
      </c>
    </row>
    <row r="235" spans="1:13" x14ac:dyDescent="0.3">
      <c r="A235" t="s">
        <v>71</v>
      </c>
      <c r="B235">
        <v>0</v>
      </c>
      <c r="C235" t="s">
        <v>34</v>
      </c>
    </row>
    <row r="236" spans="1:13" x14ac:dyDescent="0.3">
      <c r="H236" t="s">
        <v>544</v>
      </c>
      <c r="I236" t="s">
        <v>542</v>
      </c>
      <c r="J236">
        <f>B306*B210*B517</f>
        <v>0</v>
      </c>
      <c r="K236" t="s">
        <v>30</v>
      </c>
      <c r="L236" t="s">
        <v>543</v>
      </c>
      <c r="M236">
        <f>(B306*B211)+B280</f>
        <v>16.674583502386135</v>
      </c>
    </row>
    <row r="238" spans="1:13" x14ac:dyDescent="0.3">
      <c r="A238" t="s">
        <v>276</v>
      </c>
      <c r="B238">
        <f>(MAX((B306*B210),((B306*B211)+B280))*F238)+(2*B223)+B306+(B308*B306)</f>
        <v>20.086203977974666</v>
      </c>
      <c r="C238" t="s">
        <v>30</v>
      </c>
      <c r="E238" t="s">
        <v>57</v>
      </c>
      <c r="F238">
        <v>1.02</v>
      </c>
      <c r="H238" t="s">
        <v>201</v>
      </c>
      <c r="J238" t="s">
        <v>545</v>
      </c>
    </row>
    <row r="239" spans="1:13" x14ac:dyDescent="0.3">
      <c r="A239" t="s">
        <v>170</v>
      </c>
      <c r="B239">
        <f>(B224*2)+(B226*2)*F239</f>
        <v>0.5265894813265275</v>
      </c>
      <c r="C239" t="s">
        <v>30</v>
      </c>
      <c r="E239" t="s">
        <v>90</v>
      </c>
      <c r="F239">
        <v>1.1499999999999999</v>
      </c>
      <c r="G239" t="s">
        <v>210</v>
      </c>
    </row>
    <row r="240" spans="1:13" x14ac:dyDescent="0.3">
      <c r="A240" t="s">
        <v>87</v>
      </c>
      <c r="C240" t="s">
        <v>88</v>
      </c>
    </row>
    <row r="241" spans="1:10" x14ac:dyDescent="0.3">
      <c r="A241" t="s">
        <v>47</v>
      </c>
      <c r="B241">
        <f>B222/F241</f>
        <v>12</v>
      </c>
      <c r="C241" t="s">
        <v>25</v>
      </c>
      <c r="E241" t="s">
        <v>85</v>
      </c>
      <c r="F241">
        <v>20</v>
      </c>
      <c r="J241" t="s">
        <v>232</v>
      </c>
    </row>
    <row r="242" spans="1:10" x14ac:dyDescent="0.3">
      <c r="A242" t="s">
        <v>48</v>
      </c>
      <c r="B242">
        <f>B222/F241</f>
        <v>12</v>
      </c>
      <c r="C242" t="s">
        <v>25</v>
      </c>
      <c r="E242" t="s">
        <v>84</v>
      </c>
    </row>
    <row r="243" spans="1:10" x14ac:dyDescent="0.3">
      <c r="A243" t="s">
        <v>50</v>
      </c>
      <c r="B243">
        <f>B222/F243</f>
        <v>24</v>
      </c>
      <c r="C243" t="s">
        <v>25</v>
      </c>
      <c r="E243" t="s">
        <v>85</v>
      </c>
      <c r="F243">
        <v>10</v>
      </c>
    </row>
    <row r="244" spans="1:10" x14ac:dyDescent="0.3">
      <c r="A244" t="s">
        <v>51</v>
      </c>
      <c r="B244">
        <f>B222/F244</f>
        <v>24</v>
      </c>
      <c r="C244" t="s">
        <v>25</v>
      </c>
      <c r="E244" t="s">
        <v>85</v>
      </c>
      <c r="F244">
        <v>10</v>
      </c>
    </row>
    <row r="245" spans="1:10" x14ac:dyDescent="0.3">
      <c r="A245" t="s">
        <v>345</v>
      </c>
      <c r="B245">
        <f>F245*B238</f>
        <v>233.28871474739319</v>
      </c>
      <c r="C245" t="s">
        <v>30</v>
      </c>
      <c r="E245" t="s">
        <v>86</v>
      </c>
      <c r="F245">
        <f>(1 + (D210*(1/F210)) + (3*B290*B468) + (2*B303))</f>
        <v>11.614375469013641</v>
      </c>
      <c r="H245" t="s">
        <v>171</v>
      </c>
    </row>
    <row r="246" spans="1:10" x14ac:dyDescent="0.3">
      <c r="A246" t="s">
        <v>313</v>
      </c>
      <c r="B246">
        <v>3</v>
      </c>
      <c r="C246" t="s">
        <v>175</v>
      </c>
      <c r="E246" t="s">
        <v>529</v>
      </c>
    </row>
    <row r="250" spans="1:10" x14ac:dyDescent="0.3">
      <c r="A250" t="s">
        <v>69</v>
      </c>
    </row>
    <row r="251" spans="1:10" x14ac:dyDescent="0.3">
      <c r="A251" t="s">
        <v>65</v>
      </c>
    </row>
    <row r="252" spans="1:10" x14ac:dyDescent="0.3">
      <c r="A252" t="s">
        <v>64</v>
      </c>
    </row>
    <row r="253" spans="1:10" x14ac:dyDescent="0.3">
      <c r="A253" t="s">
        <v>67</v>
      </c>
    </row>
    <row r="254" spans="1:10" x14ac:dyDescent="0.3">
      <c r="A254" t="s">
        <v>64</v>
      </c>
    </row>
    <row r="255" spans="1:10" x14ac:dyDescent="0.3">
      <c r="A255" t="s">
        <v>68</v>
      </c>
    </row>
    <row r="256" spans="1:10" x14ac:dyDescent="0.3">
      <c r="A256" t="s">
        <v>64</v>
      </c>
    </row>
    <row r="259" spans="1:7" x14ac:dyDescent="0.3">
      <c r="A259" t="s">
        <v>17</v>
      </c>
    </row>
    <row r="260" spans="1:7" x14ac:dyDescent="0.3">
      <c r="A260" t="s">
        <v>71</v>
      </c>
      <c r="C260" t="s">
        <v>34</v>
      </c>
    </row>
    <row r="270" spans="1:7" x14ac:dyDescent="0.3">
      <c r="A270" t="s">
        <v>191</v>
      </c>
    </row>
    <row r="271" spans="1:7" x14ac:dyDescent="0.3">
      <c r="A271" t="s">
        <v>43</v>
      </c>
      <c r="B271">
        <f>B221</f>
        <v>40</v>
      </c>
      <c r="C271" t="s">
        <v>25</v>
      </c>
      <c r="D271">
        <f>B23*B271</f>
        <v>88.184799999999996</v>
      </c>
      <c r="E271" t="s">
        <v>80</v>
      </c>
    </row>
    <row r="272" spans="1:7" x14ac:dyDescent="0.3">
      <c r="A272" t="s">
        <v>42</v>
      </c>
      <c r="B272">
        <f>B222</f>
        <v>240</v>
      </c>
      <c r="C272" t="s">
        <v>25</v>
      </c>
      <c r="D272">
        <f>B23*B272</f>
        <v>529.10879999999997</v>
      </c>
      <c r="E272" t="s">
        <v>80</v>
      </c>
      <c r="G272" t="s">
        <v>364</v>
      </c>
    </row>
    <row r="273" spans="1:7" x14ac:dyDescent="0.3">
      <c r="A273" t="s">
        <v>227</v>
      </c>
      <c r="B273">
        <f>B274*G273</f>
        <v>0.85266078290891056</v>
      </c>
      <c r="C273" t="s">
        <v>30</v>
      </c>
      <c r="F273" t="s">
        <v>81</v>
      </c>
      <c r="G273">
        <v>3</v>
      </c>
    </row>
    <row r="274" spans="1:7" x14ac:dyDescent="0.3">
      <c r="A274" t="s">
        <v>228</v>
      </c>
      <c r="B274">
        <f>POWER((B275/PI()/(G273+0.333333)), 1/3)</f>
        <v>0.28422026096963687</v>
      </c>
      <c r="C274" t="s">
        <v>30</v>
      </c>
      <c r="F274" t="s">
        <v>442</v>
      </c>
    </row>
    <row r="275" spans="1:7" x14ac:dyDescent="0.3">
      <c r="A275" t="s">
        <v>229</v>
      </c>
      <c r="B275">
        <f>B272/B35</f>
        <v>0.24043277900220394</v>
      </c>
      <c r="C275" t="s">
        <v>34</v>
      </c>
      <c r="D275">
        <f>B275*B24</f>
        <v>63.515608094570226</v>
      </c>
      <c r="E275" t="s">
        <v>75</v>
      </c>
    </row>
    <row r="276" spans="1:7" x14ac:dyDescent="0.3">
      <c r="A276" t="s">
        <v>58</v>
      </c>
      <c r="B276">
        <v>2.5000000000000001E-3</v>
      </c>
      <c r="C276" t="s">
        <v>30</v>
      </c>
    </row>
    <row r="277" spans="1:7" x14ac:dyDescent="0.3">
      <c r="A277" t="s">
        <v>134</v>
      </c>
      <c r="B277">
        <f>B271/((B273*PI()*POWER((B274+B276),2))+(1/3*PI()*POWER((B274+B276),3))-(((B273*PI()*POWER((B274),2))+(1/3*PI()*POWER((B274),3)))))</f>
        <v>8961.5470819043858</v>
      </c>
      <c r="C277" t="s">
        <v>24</v>
      </c>
      <c r="D277" t="s">
        <v>133</v>
      </c>
    </row>
    <row r="280" spans="1:7" x14ac:dyDescent="0.3">
      <c r="A280" t="s">
        <v>243</v>
      </c>
      <c r="B280">
        <f>((B281*B212*E280)+(B273+(2*B274))+((1)*B306*1))</f>
        <v>3.0320114305959982</v>
      </c>
      <c r="C280" t="s">
        <v>30</v>
      </c>
      <c r="D280" t="s">
        <v>57</v>
      </c>
      <c r="E280">
        <v>1.02</v>
      </c>
    </row>
    <row r="281" spans="1:7" x14ac:dyDescent="0.3">
      <c r="A281" t="s">
        <v>244</v>
      </c>
      <c r="B281">
        <v>0.06</v>
      </c>
      <c r="C281" t="s">
        <v>30</v>
      </c>
      <c r="D281" t="s">
        <v>57</v>
      </c>
    </row>
    <row r="284" spans="1:7" x14ac:dyDescent="0.3">
      <c r="A284" t="s">
        <v>378</v>
      </c>
      <c r="B284">
        <f>B271*G284</f>
        <v>260</v>
      </c>
      <c r="C284" t="s">
        <v>25</v>
      </c>
      <c r="D284">
        <f>B23*B284</f>
        <v>573.20119999999997</v>
      </c>
      <c r="E284" t="s">
        <v>80</v>
      </c>
      <c r="F284" t="s">
        <v>528</v>
      </c>
      <c r="G284">
        <v>6.5</v>
      </c>
    </row>
    <row r="289" spans="1:10" x14ac:dyDescent="0.3">
      <c r="A289" t="s">
        <v>230</v>
      </c>
      <c r="D289" t="s">
        <v>231</v>
      </c>
    </row>
    <row r="290" spans="1:10" x14ac:dyDescent="0.3">
      <c r="A290" t="s">
        <v>200</v>
      </c>
      <c r="B290">
        <f>B302/2</f>
        <v>0.14211012574781393</v>
      </c>
      <c r="C290" t="s">
        <v>30</v>
      </c>
      <c r="D290" t="s">
        <v>122</v>
      </c>
    </row>
    <row r="300" spans="1:10" x14ac:dyDescent="0.3">
      <c r="A300" t="s">
        <v>224</v>
      </c>
    </row>
    <row r="301" spans="1:10" x14ac:dyDescent="0.3">
      <c r="A301" t="s">
        <v>52</v>
      </c>
      <c r="B301">
        <f>B222*G301</f>
        <v>3600</v>
      </c>
      <c r="C301" t="s">
        <v>25</v>
      </c>
      <c r="D301">
        <f>B301*B23</f>
        <v>7936.6319999999996</v>
      </c>
      <c r="E301" t="s">
        <v>80</v>
      </c>
      <c r="F301" t="s">
        <v>199</v>
      </c>
      <c r="G301">
        <v>15</v>
      </c>
      <c r="I301">
        <f>B301/B35*B24</f>
        <v>952.7341214185534</v>
      </c>
      <c r="J301" t="s">
        <v>75</v>
      </c>
    </row>
    <row r="302" spans="1:10" x14ac:dyDescent="0.3">
      <c r="A302" t="s">
        <v>239</v>
      </c>
      <c r="B302">
        <f>B306*2</f>
        <v>0.28422025149562785</v>
      </c>
      <c r="C302" t="s">
        <v>30</v>
      </c>
    </row>
    <row r="303" spans="1:10" x14ac:dyDescent="0.3">
      <c r="A303" t="s">
        <v>277</v>
      </c>
      <c r="B303">
        <f>POWER((B304/(D307*PI())),(1/3))</f>
        <v>2.8422025149562784</v>
      </c>
      <c r="C303" t="s">
        <v>30</v>
      </c>
      <c r="D303" t="s">
        <v>278</v>
      </c>
    </row>
    <row r="304" spans="1:10" x14ac:dyDescent="0.3">
      <c r="A304" t="s">
        <v>94</v>
      </c>
      <c r="B304">
        <f>B301/B35</f>
        <v>3.6064916850330593</v>
      </c>
      <c r="C304" t="s">
        <v>34</v>
      </c>
      <c r="D304">
        <f>B24*B304</f>
        <v>952.7341214185534</v>
      </c>
      <c r="E304" t="s">
        <v>75</v>
      </c>
      <c r="F304" t="s">
        <v>121</v>
      </c>
    </row>
    <row r="305" spans="1:12" x14ac:dyDescent="0.3">
      <c r="F305" t="s">
        <v>30</v>
      </c>
    </row>
    <row r="306" spans="1:12" x14ac:dyDescent="0.3">
      <c r="A306" t="s">
        <v>123</v>
      </c>
      <c r="B306">
        <f>B303*D307</f>
        <v>0.14211012574781393</v>
      </c>
      <c r="C306" t="s">
        <v>30</v>
      </c>
      <c r="D306" t="s">
        <v>122</v>
      </c>
    </row>
    <row r="307" spans="1:12" x14ac:dyDescent="0.3">
      <c r="D307">
        <v>0.05</v>
      </c>
      <c r="E307" t="s">
        <v>104</v>
      </c>
    </row>
    <row r="308" spans="1:12" x14ac:dyDescent="0.3">
      <c r="A308" t="s">
        <v>241</v>
      </c>
      <c r="B308">
        <f>5.715+0.285</f>
        <v>6</v>
      </c>
      <c r="D308" t="s">
        <v>280</v>
      </c>
    </row>
    <row r="310" spans="1:12" x14ac:dyDescent="0.3">
      <c r="A310" t="s">
        <v>17</v>
      </c>
    </row>
    <row r="311" spans="1:12" x14ac:dyDescent="0.3">
      <c r="A311" t="s">
        <v>71</v>
      </c>
      <c r="C311" t="s">
        <v>34</v>
      </c>
    </row>
    <row r="312" spans="1:12" x14ac:dyDescent="0.3">
      <c r="D312" s="7"/>
    </row>
    <row r="319" spans="1:12" x14ac:dyDescent="0.3">
      <c r="D319" t="s">
        <v>379</v>
      </c>
      <c r="F319" t="s">
        <v>374</v>
      </c>
    </row>
    <row r="320" spans="1:12" x14ac:dyDescent="0.3">
      <c r="A320" t="s">
        <v>173</v>
      </c>
      <c r="B320">
        <f>G325*D320</f>
        <v>470.53849526695132</v>
      </c>
      <c r="C320" t="s">
        <v>25</v>
      </c>
      <c r="D320">
        <v>1.0900000000000001</v>
      </c>
      <c r="E320" t="s">
        <v>376</v>
      </c>
      <c r="F320">
        <v>13</v>
      </c>
      <c r="G320" t="s">
        <v>377</v>
      </c>
      <c r="J320">
        <f>B320*A26</f>
        <v>1037.358577435426</v>
      </c>
      <c r="K320" t="s">
        <v>80</v>
      </c>
      <c r="L320" t="s">
        <v>375</v>
      </c>
    </row>
    <row r="321" spans="1:11" x14ac:dyDescent="0.3">
      <c r="A321" t="s">
        <v>27</v>
      </c>
      <c r="B321">
        <f>(B306*F321)+F326</f>
        <v>0.1725321508973767</v>
      </c>
      <c r="C321" t="s">
        <v>30</v>
      </c>
      <c r="E321" t="s">
        <v>57</v>
      </c>
      <c r="F321">
        <v>1.2</v>
      </c>
    </row>
    <row r="322" spans="1:11" x14ac:dyDescent="0.3">
      <c r="A322" t="s">
        <v>372</v>
      </c>
      <c r="B322">
        <f>B303*F322</f>
        <v>2.7853584646571528</v>
      </c>
      <c r="C322" t="s">
        <v>30</v>
      </c>
      <c r="E322" t="s">
        <v>369</v>
      </c>
      <c r="F322">
        <v>0.98</v>
      </c>
      <c r="H322" t="s">
        <v>370</v>
      </c>
    </row>
    <row r="323" spans="1:11" x14ac:dyDescent="0.3">
      <c r="A323" t="s">
        <v>54</v>
      </c>
      <c r="B323">
        <f>B320*F323</f>
        <v>235.26924763347566</v>
      </c>
      <c r="C323" t="s">
        <v>25</v>
      </c>
      <c r="E323" t="s">
        <v>89</v>
      </c>
      <c r="F323">
        <v>0.5</v>
      </c>
      <c r="G323" t="s">
        <v>131</v>
      </c>
      <c r="J323">
        <f>B323*A26</f>
        <v>518.67928871771301</v>
      </c>
      <c r="K323" t="s">
        <v>80</v>
      </c>
    </row>
    <row r="325" spans="1:11" x14ac:dyDescent="0.3">
      <c r="F325" t="s">
        <v>371</v>
      </c>
      <c r="G325">
        <f>((B322*B322*PI()*(B321-F326))-((B322-F326)*(B322-F326)*PI()*(B321-F326))+(B322*B322*PI()*F326))*G417</f>
        <v>431.68669290545989</v>
      </c>
      <c r="H325" t="s">
        <v>25</v>
      </c>
      <c r="I325" t="s">
        <v>373</v>
      </c>
    </row>
    <row r="326" spans="1:11" x14ac:dyDescent="0.3">
      <c r="F326">
        <v>2E-3</v>
      </c>
      <c r="G326" t="s">
        <v>30</v>
      </c>
    </row>
    <row r="329" spans="1:11" x14ac:dyDescent="0.3">
      <c r="A329" t="s">
        <v>93</v>
      </c>
    </row>
    <row r="330" spans="1:11" x14ac:dyDescent="0.3">
      <c r="A330" t="s">
        <v>110</v>
      </c>
      <c r="B330" t="s">
        <v>198</v>
      </c>
      <c r="C330" t="s">
        <v>25</v>
      </c>
      <c r="E330" t="s">
        <v>85</v>
      </c>
      <c r="F330">
        <v>8</v>
      </c>
      <c r="G330" t="s">
        <v>109</v>
      </c>
    </row>
    <row r="331" spans="1:11" x14ac:dyDescent="0.3">
      <c r="A331" t="s">
        <v>91</v>
      </c>
      <c r="C331" t="s">
        <v>30</v>
      </c>
    </row>
    <row r="332" spans="1:11" x14ac:dyDescent="0.3">
      <c r="A332" t="s">
        <v>92</v>
      </c>
      <c r="C332" t="s">
        <v>30</v>
      </c>
    </row>
    <row r="350" spans="1:7" x14ac:dyDescent="0.3">
      <c r="A350" t="s">
        <v>440</v>
      </c>
    </row>
    <row r="351" spans="1:7" x14ac:dyDescent="0.3">
      <c r="A351" t="s">
        <v>43</v>
      </c>
      <c r="B351">
        <v>2.5</v>
      </c>
      <c r="C351" t="s">
        <v>25</v>
      </c>
      <c r="D351">
        <f>B351*B23</f>
        <v>5.5115499999999997</v>
      </c>
      <c r="E351" t="s">
        <v>80</v>
      </c>
    </row>
    <row r="352" spans="1:7" x14ac:dyDescent="0.3">
      <c r="A352" t="s">
        <v>42</v>
      </c>
      <c r="B352">
        <f>G352*B351</f>
        <v>15</v>
      </c>
      <c r="C352" t="s">
        <v>25</v>
      </c>
      <c r="D352">
        <f>B352*B23</f>
        <v>33.069299999999998</v>
      </c>
      <c r="E352" t="s">
        <v>80</v>
      </c>
      <c r="F352" t="s">
        <v>57</v>
      </c>
      <c r="G352">
        <v>6</v>
      </c>
    </row>
    <row r="353" spans="1:7" x14ac:dyDescent="0.3">
      <c r="A353" t="s">
        <v>444</v>
      </c>
      <c r="B353">
        <f>B352/B35</f>
        <v>1.5027048687637747E-2</v>
      </c>
      <c r="C353" t="s">
        <v>34</v>
      </c>
      <c r="D353">
        <f>B353*B24</f>
        <v>3.9697255059106391</v>
      </c>
      <c r="E353" t="s">
        <v>75</v>
      </c>
      <c r="F353" t="s">
        <v>443</v>
      </c>
    </row>
    <row r="354" spans="1:7" x14ac:dyDescent="0.3">
      <c r="A354" t="s">
        <v>445</v>
      </c>
      <c r="B354">
        <f>POWER((B353/PI()/(G355+0.333333)), 1/3)</f>
        <v>0.11279288531346945</v>
      </c>
      <c r="C354" t="s">
        <v>30</v>
      </c>
      <c r="F354" t="s">
        <v>442</v>
      </c>
    </row>
    <row r="355" spans="1:7" x14ac:dyDescent="0.3">
      <c r="A355" t="s">
        <v>446</v>
      </c>
      <c r="B355">
        <f>B354*G355</f>
        <v>0.33837865594040839</v>
      </c>
      <c r="C355" t="s">
        <v>30</v>
      </c>
      <c r="F355" t="s">
        <v>81</v>
      </c>
      <c r="G355">
        <v>3</v>
      </c>
    </row>
    <row r="356" spans="1:7" x14ac:dyDescent="0.3">
      <c r="A356" t="s">
        <v>58</v>
      </c>
      <c r="B356">
        <v>1E-3</v>
      </c>
      <c r="C356" t="s">
        <v>30</v>
      </c>
    </row>
    <row r="357" spans="1:7" x14ac:dyDescent="0.3">
      <c r="A357" t="s">
        <v>447</v>
      </c>
      <c r="B357">
        <f>B351/((PI()*POWER(B354+B356,3)*(G355+0.33333))-((PI()*POWER(B354,3)*(G355+0.33333))))</f>
        <v>6199.8684655945372</v>
      </c>
      <c r="C357" t="s">
        <v>24</v>
      </c>
      <c r="F357" t="s">
        <v>448</v>
      </c>
    </row>
    <row r="359" spans="1:7" x14ac:dyDescent="0.3">
      <c r="A359" t="s">
        <v>378</v>
      </c>
      <c r="B359">
        <v>10</v>
      </c>
      <c r="C359" t="s">
        <v>25</v>
      </c>
      <c r="D359">
        <f>B359*B23</f>
        <v>22.046199999999999</v>
      </c>
      <c r="E359" t="s">
        <v>80</v>
      </c>
    </row>
    <row r="360" spans="1:7" x14ac:dyDescent="0.3">
      <c r="A360" t="s">
        <v>466</v>
      </c>
      <c r="B360">
        <f>B355*E360</f>
        <v>1.3535146237616336</v>
      </c>
      <c r="C360" t="s">
        <v>30</v>
      </c>
      <c r="D360" t="s">
        <v>57</v>
      </c>
      <c r="E360">
        <f>3+1</f>
        <v>4</v>
      </c>
      <c r="G360" t="s">
        <v>467</v>
      </c>
    </row>
    <row r="362" spans="1:7" x14ac:dyDescent="0.3">
      <c r="D362" t="s">
        <v>469</v>
      </c>
    </row>
    <row r="400" spans="1:1" x14ac:dyDescent="0.3">
      <c r="A400" t="s">
        <v>279</v>
      </c>
    </row>
    <row r="402" spans="1:8" x14ac:dyDescent="0.3">
      <c r="A402" t="s">
        <v>55</v>
      </c>
      <c r="B402" s="3">
        <f>IF(B54&lt;B141,1,0)</f>
        <v>1</v>
      </c>
    </row>
    <row r="403" spans="1:8" x14ac:dyDescent="0.3">
      <c r="A403" t="s">
        <v>56</v>
      </c>
      <c r="B403" s="3">
        <f>IF((B141-B54)&gt;(E403*B54),1,0)</f>
        <v>1</v>
      </c>
      <c r="D403" t="s">
        <v>57</v>
      </c>
      <c r="E403">
        <v>0.1</v>
      </c>
    </row>
    <row r="407" spans="1:8" x14ac:dyDescent="0.3">
      <c r="A407" t="s">
        <v>130</v>
      </c>
    </row>
    <row r="410" spans="1:8" x14ac:dyDescent="0.3">
      <c r="A410" t="s">
        <v>132</v>
      </c>
      <c r="B410" s="3">
        <f>IF(((B221+B222)*5)&gt;B323,1,0)</f>
        <v>1</v>
      </c>
      <c r="D410" t="s">
        <v>57</v>
      </c>
      <c r="E410">
        <v>5</v>
      </c>
    </row>
    <row r="415" spans="1:8" x14ac:dyDescent="0.3">
      <c r="A415" t="s">
        <v>531</v>
      </c>
      <c r="B415" s="3">
        <f>IF(AND(B227&gt;1000,B227&lt;19450),1,0)</f>
        <v>1</v>
      </c>
      <c r="C415" t="s">
        <v>59</v>
      </c>
    </row>
    <row r="416" spans="1:8" x14ac:dyDescent="0.3">
      <c r="A416" t="s">
        <v>136</v>
      </c>
      <c r="B416" s="3">
        <f>IF(AND(B227&gt;(G416*(1-D416)),B227&lt;(G416*(1+D416))),1,0)</f>
        <v>1</v>
      </c>
      <c r="C416" t="s">
        <v>135</v>
      </c>
      <c r="D416">
        <v>0.25</v>
      </c>
      <c r="F416" t="s">
        <v>149</v>
      </c>
      <c r="G416">
        <v>7750</v>
      </c>
      <c r="H416" t="s">
        <v>24</v>
      </c>
    </row>
    <row r="417" spans="1:8" x14ac:dyDescent="0.3">
      <c r="F417" t="s">
        <v>368</v>
      </c>
      <c r="G417">
        <v>7890</v>
      </c>
      <c r="H417" t="s">
        <v>24</v>
      </c>
    </row>
    <row r="420" spans="1:8" x14ac:dyDescent="0.3">
      <c r="B420" s="3"/>
    </row>
    <row r="421" spans="1:8" x14ac:dyDescent="0.3">
      <c r="A421" t="s">
        <v>530</v>
      </c>
      <c r="B421" s="3">
        <f>IF(B239&gt;((B224*2)+(B226*2)),1,0)</f>
        <v>1</v>
      </c>
    </row>
    <row r="422" spans="1:8" x14ac:dyDescent="0.3">
      <c r="A422" t="s">
        <v>153</v>
      </c>
      <c r="B422" s="3">
        <f>IF(((B224+B226+(2*B230))/B239)&gt;E422,1,0)</f>
        <v>1</v>
      </c>
      <c r="D422" t="s">
        <v>151</v>
      </c>
      <c r="E422">
        <v>0.18</v>
      </c>
      <c r="F422" t="s">
        <v>152</v>
      </c>
      <c r="G422">
        <f>E422*100</f>
        <v>18</v>
      </c>
      <c r="H422" t="s">
        <v>150</v>
      </c>
    </row>
    <row r="423" spans="1:8" x14ac:dyDescent="0.3">
      <c r="B423">
        <f>(B224+B226+(2*B230))/B239*100</f>
        <v>139.79273044879221</v>
      </c>
      <c r="C423" t="s">
        <v>150</v>
      </c>
    </row>
    <row r="427" spans="1:8" x14ac:dyDescent="0.3">
      <c r="A427" t="s">
        <v>142</v>
      </c>
      <c r="B427" s="3">
        <f>IF(AND(B93&gt;0.0005,B93&lt;500),1,0)</f>
        <v>1</v>
      </c>
    </row>
    <row r="429" spans="1:8" x14ac:dyDescent="0.3">
      <c r="A429" t="s">
        <v>140</v>
      </c>
      <c r="B429" s="3">
        <f>IF(B238&gt;B223,1,0)</f>
        <v>1</v>
      </c>
    </row>
    <row r="430" spans="1:8" x14ac:dyDescent="0.3">
      <c r="A430" t="s">
        <v>141</v>
      </c>
      <c r="B430" s="3">
        <f>IF(B238&gt;B306,1,0)</f>
        <v>1</v>
      </c>
    </row>
    <row r="431" spans="1:8" x14ac:dyDescent="0.3">
      <c r="A431" t="s">
        <v>139</v>
      </c>
      <c r="B431" s="3">
        <f>IF(B238&gt;(B223+B306),1,0)</f>
        <v>1</v>
      </c>
    </row>
    <row r="435" spans="1:1" x14ac:dyDescent="0.3">
      <c r="A435" t="s">
        <v>143</v>
      </c>
    </row>
    <row r="449" spans="1:5" x14ac:dyDescent="0.3">
      <c r="A449" t="s">
        <v>192</v>
      </c>
      <c r="B449" s="5">
        <f>IF((B22*E630)&gt;((B22*E631)+((B271+(E451*B272))*((B212*(B31^(F212+D212))*B32)))),1,0)</f>
        <v>1</v>
      </c>
      <c r="D449" t="s">
        <v>193</v>
      </c>
    </row>
    <row r="450" spans="1:5" x14ac:dyDescent="0.3">
      <c r="D450" t="s">
        <v>194</v>
      </c>
    </row>
    <row r="451" spans="1:5" x14ac:dyDescent="0.3">
      <c r="D451" t="s">
        <v>195</v>
      </c>
      <c r="E451">
        <v>0.01</v>
      </c>
    </row>
    <row r="453" spans="1:5" x14ac:dyDescent="0.3">
      <c r="A453" t="s">
        <v>61</v>
      </c>
      <c r="B453" s="3">
        <f>IF(B502&gt;0,1,0)</f>
        <v>1</v>
      </c>
    </row>
    <row r="454" spans="1:5" x14ac:dyDescent="0.3">
      <c r="A454" t="s">
        <v>62</v>
      </c>
      <c r="B454" s="3">
        <f>IF(B550&gt;0,1,0)</f>
        <v>1</v>
      </c>
    </row>
    <row r="456" spans="1:5" x14ac:dyDescent="0.3">
      <c r="A456" t="s">
        <v>63</v>
      </c>
      <c r="B456" t="s">
        <v>137</v>
      </c>
      <c r="C456" t="s">
        <v>138</v>
      </c>
    </row>
    <row r="458" spans="1:5" x14ac:dyDescent="0.3">
      <c r="A458" t="s">
        <v>60</v>
      </c>
      <c r="B458" t="s">
        <v>137</v>
      </c>
    </row>
    <row r="463" spans="1:5" x14ac:dyDescent="0.3">
      <c r="A463" t="s">
        <v>470</v>
      </c>
    </row>
    <row r="464" spans="1:5" x14ac:dyDescent="0.3">
      <c r="A464" t="s">
        <v>31</v>
      </c>
      <c r="B464" t="s">
        <v>137</v>
      </c>
    </row>
    <row r="468" spans="1:4" x14ac:dyDescent="0.3">
      <c r="A468" t="s">
        <v>202</v>
      </c>
      <c r="B468">
        <v>10</v>
      </c>
    </row>
    <row r="469" spans="1:4" x14ac:dyDescent="0.3">
      <c r="A469" t="s">
        <v>401</v>
      </c>
      <c r="B469">
        <v>1</v>
      </c>
      <c r="D469" t="s">
        <v>402</v>
      </c>
    </row>
    <row r="500" spans="1:12" x14ac:dyDescent="0.3">
      <c r="A500" t="s">
        <v>246</v>
      </c>
      <c r="D500" t="s">
        <v>339</v>
      </c>
      <c r="E500">
        <v>5</v>
      </c>
      <c r="F500" t="s">
        <v>337</v>
      </c>
      <c r="G500">
        <v>0.85</v>
      </c>
      <c r="I500" t="s">
        <v>340</v>
      </c>
      <c r="J500">
        <v>6</v>
      </c>
      <c r="K500" t="s">
        <v>337</v>
      </c>
      <c r="L500">
        <v>0.85</v>
      </c>
    </row>
    <row r="502" spans="1:12" x14ac:dyDescent="0.3">
      <c r="A502" t="s">
        <v>185</v>
      </c>
      <c r="B502" s="3">
        <f>(((SUM(B504:B508))*(B210*((B31^(F210+D210)))*(G500^E500)*B32)*B509)+SUM(B515:B529))</f>
        <v>1823.9385015213611</v>
      </c>
      <c r="C502" t="s">
        <v>108</v>
      </c>
      <c r="D502" t="s">
        <v>205</v>
      </c>
    </row>
    <row r="503" spans="1:12" x14ac:dyDescent="0.3">
      <c r="D503" t="s">
        <v>236</v>
      </c>
    </row>
    <row r="504" spans="1:12" x14ac:dyDescent="0.3">
      <c r="A504" t="s">
        <v>183</v>
      </c>
      <c r="B504" s="3">
        <f>B22*B218</f>
        <v>392.26599999999996</v>
      </c>
      <c r="C504" t="s">
        <v>108</v>
      </c>
      <c r="D504" t="s">
        <v>206</v>
      </c>
    </row>
    <row r="505" spans="1:12" x14ac:dyDescent="0.3">
      <c r="A505" t="s">
        <v>172</v>
      </c>
      <c r="B505" s="3">
        <f>B22*B219</f>
        <v>1765.1969999999999</v>
      </c>
      <c r="C505" t="s">
        <v>108</v>
      </c>
      <c r="D505" t="s">
        <v>207</v>
      </c>
    </row>
    <row r="506" spans="1:12" x14ac:dyDescent="0.3">
      <c r="B506" s="3"/>
    </row>
    <row r="509" spans="1:12" x14ac:dyDescent="0.3">
      <c r="A509" t="s">
        <v>436</v>
      </c>
      <c r="B509">
        <v>0.8</v>
      </c>
      <c r="C509" t="s">
        <v>437</v>
      </c>
      <c r="E509" t="s">
        <v>438</v>
      </c>
    </row>
    <row r="515" spans="1:13" x14ac:dyDescent="0.3">
      <c r="A515" t="s">
        <v>209</v>
      </c>
      <c r="B515" s="3">
        <f>(-1)*B22*B320</f>
        <v>-4614.4063346096482</v>
      </c>
      <c r="C515" t="s">
        <v>108</v>
      </c>
      <c r="D515" t="s">
        <v>208</v>
      </c>
    </row>
    <row r="516" spans="1:13" x14ac:dyDescent="0.3">
      <c r="A516" t="s">
        <v>538</v>
      </c>
      <c r="B516" s="3">
        <f>(-1)*B238*B246*0</f>
        <v>0</v>
      </c>
      <c r="C516" t="s">
        <v>108</v>
      </c>
      <c r="D516" t="s">
        <v>537</v>
      </c>
    </row>
    <row r="518" spans="1:13" x14ac:dyDescent="0.3">
      <c r="B518" s="3"/>
      <c r="D518" t="s">
        <v>178</v>
      </c>
    </row>
    <row r="519" spans="1:13" x14ac:dyDescent="0.3">
      <c r="A519" t="s">
        <v>128</v>
      </c>
      <c r="B519" s="3">
        <f>(-1)*0</f>
        <v>0</v>
      </c>
      <c r="C519" t="s">
        <v>108</v>
      </c>
      <c r="D519" t="s">
        <v>176</v>
      </c>
    </row>
    <row r="523" spans="1:13" x14ac:dyDescent="0.3">
      <c r="A523" t="s">
        <v>111</v>
      </c>
      <c r="B523" s="3">
        <f>(-1)*B22*F523</f>
        <v>-2307.2031673048241</v>
      </c>
      <c r="C523" t="s">
        <v>108</v>
      </c>
      <c r="E523" t="s">
        <v>112</v>
      </c>
      <c r="F523">
        <f>B323</f>
        <v>235.26924763347566</v>
      </c>
      <c r="G523" t="s">
        <v>25</v>
      </c>
      <c r="H523" t="s">
        <v>174</v>
      </c>
      <c r="J523">
        <f>F523*B23</f>
        <v>518.67928871771301</v>
      </c>
      <c r="K523" t="s">
        <v>80</v>
      </c>
      <c r="L523">
        <v>320</v>
      </c>
    </row>
    <row r="524" spans="1:13" x14ac:dyDescent="0.3">
      <c r="A524" t="s">
        <v>113</v>
      </c>
      <c r="B524" s="3">
        <f>(-1)*B22*F524</f>
        <v>-49.033249999999995</v>
      </c>
      <c r="C524" t="s">
        <v>108</v>
      </c>
      <c r="E524" t="s">
        <v>112</v>
      </c>
      <c r="F524">
        <v>5</v>
      </c>
      <c r="G524" t="s">
        <v>25</v>
      </c>
      <c r="H524" t="s">
        <v>115</v>
      </c>
      <c r="J524">
        <f>F524*B23</f>
        <v>11.023099999999999</v>
      </c>
      <c r="K524" t="s">
        <v>80</v>
      </c>
      <c r="M524" t="s">
        <v>177</v>
      </c>
    </row>
    <row r="525" spans="1:13" x14ac:dyDescent="0.3">
      <c r="A525" t="s">
        <v>182</v>
      </c>
      <c r="B525" s="3">
        <f>(-1)*B22*(((B221+(F526*B222))*(1*(1/L500^J500))*(1/B32)))</f>
        <v>-1469.9809766813446</v>
      </c>
      <c r="C525" t="s">
        <v>108</v>
      </c>
      <c r="E525" t="s">
        <v>341</v>
      </c>
    </row>
    <row r="526" spans="1:13" x14ac:dyDescent="0.3">
      <c r="A526" t="s">
        <v>211</v>
      </c>
      <c r="B526" s="5">
        <f>(-1)*B22*$B$238*$B$246</f>
        <v>-590.93511672181569</v>
      </c>
      <c r="C526" t="s">
        <v>108</v>
      </c>
      <c r="E526" t="s">
        <v>315</v>
      </c>
      <c r="F526">
        <v>0.01</v>
      </c>
      <c r="M526" t="s">
        <v>316</v>
      </c>
    </row>
    <row r="527" spans="1:13" x14ac:dyDescent="0.3">
      <c r="B527" s="3"/>
    </row>
    <row r="528" spans="1:13" x14ac:dyDescent="0.3">
      <c r="D528" t="s">
        <v>338</v>
      </c>
    </row>
    <row r="546" spans="1:9" x14ac:dyDescent="0.3">
      <c r="D546" t="s">
        <v>342</v>
      </c>
    </row>
    <row r="547" spans="1:9" x14ac:dyDescent="0.3">
      <c r="D547" t="s">
        <v>343</v>
      </c>
    </row>
    <row r="550" spans="1:9" x14ac:dyDescent="0.3">
      <c r="A550" t="s">
        <v>184</v>
      </c>
      <c r="B550" s="3">
        <f>((SUM(B552:B562)*(B211*(B31^(F211+D211))*(G500^E500)*B32))*B563) + (SUM(B570:B576))</f>
        <v>31509.832739027122</v>
      </c>
      <c r="C550" t="s">
        <v>108</v>
      </c>
      <c r="D550" t="s">
        <v>233</v>
      </c>
      <c r="H550" s="3">
        <f>B550/B23/B22</f>
        <v>1457.4433377275304</v>
      </c>
      <c r="I550" t="s">
        <v>380</v>
      </c>
    </row>
    <row r="551" spans="1:9" x14ac:dyDescent="0.3">
      <c r="D551" t="s">
        <v>237</v>
      </c>
    </row>
    <row r="552" spans="1:9" x14ac:dyDescent="0.3">
      <c r="A552" t="s">
        <v>234</v>
      </c>
      <c r="B552" s="3">
        <f>B22*B221</f>
        <v>392.26599999999996</v>
      </c>
      <c r="C552" t="str">
        <f t="shared" ref="C552:C553" si="0">C504</f>
        <v>N</v>
      </c>
    </row>
    <row r="553" spans="1:9" x14ac:dyDescent="0.3">
      <c r="A553" t="s">
        <v>235</v>
      </c>
      <c r="B553" s="3">
        <f>B22*B222</f>
        <v>2353.596</v>
      </c>
      <c r="C553" t="str">
        <f t="shared" si="0"/>
        <v>N</v>
      </c>
      <c r="D553" t="s">
        <v>179</v>
      </c>
    </row>
    <row r="554" spans="1:9" x14ac:dyDescent="0.3">
      <c r="B554" s="3"/>
    </row>
    <row r="556" spans="1:9" x14ac:dyDescent="0.3">
      <c r="A556" t="s">
        <v>180</v>
      </c>
      <c r="B556" s="3">
        <f>(-1)*B515</f>
        <v>4614.4063346096482</v>
      </c>
      <c r="C556" t="s">
        <v>108</v>
      </c>
      <c r="D556" t="s">
        <v>208</v>
      </c>
    </row>
    <row r="557" spans="1:9" x14ac:dyDescent="0.3">
      <c r="B557" s="3"/>
    </row>
    <row r="558" spans="1:9" x14ac:dyDescent="0.3">
      <c r="B558" s="3"/>
    </row>
    <row r="559" spans="1:9" x14ac:dyDescent="0.3">
      <c r="B559" s="3"/>
    </row>
    <row r="560" spans="1:9" x14ac:dyDescent="0.3">
      <c r="B560" s="3"/>
    </row>
    <row r="563" spans="1:13" x14ac:dyDescent="0.3">
      <c r="A563" t="s">
        <v>436</v>
      </c>
      <c r="B563">
        <f>B509</f>
        <v>0.8</v>
      </c>
      <c r="C563" t="s">
        <v>437</v>
      </c>
      <c r="E563" t="s">
        <v>439</v>
      </c>
    </row>
    <row r="570" spans="1:13" x14ac:dyDescent="0.3">
      <c r="A570" t="s">
        <v>111</v>
      </c>
      <c r="B570" s="3">
        <f>(-1)*B22*F570</f>
        <v>-2307.2031673048241</v>
      </c>
      <c r="C570" t="s">
        <v>108</v>
      </c>
      <c r="E570" t="s">
        <v>309</v>
      </c>
      <c r="F570">
        <f>B323</f>
        <v>235.26924763347566</v>
      </c>
      <c r="G570" t="s">
        <v>25</v>
      </c>
      <c r="H570" t="s">
        <v>114</v>
      </c>
      <c r="J570">
        <f>F570*B23</f>
        <v>518.67928871771301</v>
      </c>
      <c r="K570" t="s">
        <v>80</v>
      </c>
      <c r="M570" t="s">
        <v>310</v>
      </c>
    </row>
    <row r="571" spans="1:13" x14ac:dyDescent="0.3">
      <c r="A571" t="s">
        <v>116</v>
      </c>
      <c r="B571" s="3">
        <f>(-1)*B22*(F571+F572)</f>
        <v>-588.399</v>
      </c>
      <c r="C571" t="s">
        <v>108</v>
      </c>
      <c r="E571" t="s">
        <v>118</v>
      </c>
      <c r="F571">
        <v>60</v>
      </c>
      <c r="G571" t="s">
        <v>25</v>
      </c>
      <c r="M571" t="s">
        <v>310</v>
      </c>
    </row>
    <row r="572" spans="1:13" x14ac:dyDescent="0.3">
      <c r="B572" s="3"/>
      <c r="E572" t="s">
        <v>117</v>
      </c>
      <c r="F572">
        <f>3*B266</f>
        <v>0</v>
      </c>
      <c r="G572" t="s">
        <v>25</v>
      </c>
      <c r="H572" t="s">
        <v>115</v>
      </c>
      <c r="J572">
        <f>F572*B23</f>
        <v>0</v>
      </c>
      <c r="K572" t="s">
        <v>80</v>
      </c>
    </row>
    <row r="573" spans="1:13" x14ac:dyDescent="0.3">
      <c r="A573" t="s">
        <v>144</v>
      </c>
      <c r="B573" s="3">
        <f>(-1)*B22*(F573)</f>
        <v>-588.399</v>
      </c>
      <c r="C573" t="s">
        <v>108</v>
      </c>
      <c r="F573">
        <v>60</v>
      </c>
      <c r="G573" t="s">
        <v>25</v>
      </c>
      <c r="M573" t="s">
        <v>310</v>
      </c>
    </row>
    <row r="574" spans="1:13" x14ac:dyDescent="0.3">
      <c r="A574" t="s">
        <v>181</v>
      </c>
      <c r="B574" s="3">
        <f>(-1)*B22*(B218+(F575*B219))*(1*(1/L500^J500))*(1/B32)</f>
        <v>-1449.1793590867969</v>
      </c>
      <c r="C574" t="s">
        <v>108</v>
      </c>
      <c r="E574" t="s">
        <v>311</v>
      </c>
      <c r="I574" t="s">
        <v>312</v>
      </c>
    </row>
    <row r="575" spans="1:13" x14ac:dyDescent="0.3">
      <c r="A575" t="s">
        <v>211</v>
      </c>
      <c r="B575" s="5">
        <f>(-1)*B22*$B$238*$B$246</f>
        <v>-590.93511672181569</v>
      </c>
      <c r="C575" t="s">
        <v>108</v>
      </c>
      <c r="E575" t="s">
        <v>314</v>
      </c>
      <c r="F575">
        <v>0.01</v>
      </c>
      <c r="M575" t="s">
        <v>316</v>
      </c>
    </row>
    <row r="580" spans="1:6" x14ac:dyDescent="0.3">
      <c r="A580" t="s">
        <v>403</v>
      </c>
      <c r="B580" s="3">
        <f>MAX(B550,B502)</f>
        <v>31509.832739027122</v>
      </c>
      <c r="C580" t="s">
        <v>108</v>
      </c>
      <c r="E580" s="3">
        <f>B580/1000</f>
        <v>31.509832739027122</v>
      </c>
      <c r="F580" t="s">
        <v>404</v>
      </c>
    </row>
    <row r="598" spans="1:12" x14ac:dyDescent="0.3">
      <c r="D598" t="s">
        <v>381</v>
      </c>
      <c r="E598">
        <v>5</v>
      </c>
      <c r="F598" t="s">
        <v>337</v>
      </c>
      <c r="G598">
        <v>0.85</v>
      </c>
      <c r="I598" t="s">
        <v>382</v>
      </c>
      <c r="J598">
        <v>3</v>
      </c>
      <c r="K598" t="s">
        <v>337</v>
      </c>
      <c r="L598">
        <v>0.9</v>
      </c>
    </row>
    <row r="600" spans="1:12" x14ac:dyDescent="0.3">
      <c r="A600" t="s">
        <v>204</v>
      </c>
      <c r="B600" s="5">
        <f>((SUM(B610:B615))*(B212*(B31^(F212+D212))*(G598^E598)*(L598^J598)*B32))+SUM(B630:B635)</f>
        <v>1762.5487605001117</v>
      </c>
      <c r="C600" t="s">
        <v>108</v>
      </c>
      <c r="D600" t="s">
        <v>219</v>
      </c>
    </row>
    <row r="601" spans="1:12" x14ac:dyDescent="0.3">
      <c r="D601" t="s">
        <v>383</v>
      </c>
    </row>
    <row r="602" spans="1:12" x14ac:dyDescent="0.3">
      <c r="D602" t="s">
        <v>222</v>
      </c>
    </row>
    <row r="603" spans="1:12" x14ac:dyDescent="0.3">
      <c r="D603" t="s">
        <v>223</v>
      </c>
    </row>
    <row r="610" spans="1:6" x14ac:dyDescent="0.3">
      <c r="A610" t="s">
        <v>189</v>
      </c>
      <c r="B610" s="5">
        <f>B22*D610</f>
        <v>392.26599999999996</v>
      </c>
      <c r="C610" t="s">
        <v>108</v>
      </c>
      <c r="D610">
        <f>B271</f>
        <v>40</v>
      </c>
      <c r="E610" t="s">
        <v>25</v>
      </c>
      <c r="F610" t="s">
        <v>220</v>
      </c>
    </row>
    <row r="611" spans="1:6" x14ac:dyDescent="0.3">
      <c r="A611" t="s">
        <v>188</v>
      </c>
      <c r="B611" s="5">
        <f>B22*D611</f>
        <v>2353.596</v>
      </c>
      <c r="C611" t="s">
        <v>108</v>
      </c>
      <c r="D611">
        <f>B272</f>
        <v>240</v>
      </c>
      <c r="E611" t="s">
        <v>25</v>
      </c>
      <c r="F611" t="s">
        <v>221</v>
      </c>
    </row>
    <row r="612" spans="1:6" x14ac:dyDescent="0.3">
      <c r="B612" s="5"/>
    </row>
    <row r="613" spans="1:6" x14ac:dyDescent="0.3">
      <c r="B613" s="5"/>
    </row>
    <row r="614" spans="1:6" x14ac:dyDescent="0.3">
      <c r="B614" s="5"/>
    </row>
    <row r="615" spans="1:6" x14ac:dyDescent="0.3">
      <c r="B615" s="5"/>
    </row>
    <row r="630" spans="1:15" x14ac:dyDescent="0.3">
      <c r="A630" t="s">
        <v>186</v>
      </c>
      <c r="B630" s="5">
        <f>(-1)*B22*E630</f>
        <v>-2549.7289999999998</v>
      </c>
      <c r="C630" t="s">
        <v>108</v>
      </c>
      <c r="D630" t="s">
        <v>281</v>
      </c>
      <c r="E630">
        <f>B284</f>
        <v>260</v>
      </c>
      <c r="F630" t="s">
        <v>25</v>
      </c>
      <c r="H630" t="s">
        <v>307</v>
      </c>
      <c r="N630">
        <f>E630*B23</f>
        <v>573.20119999999997</v>
      </c>
      <c r="O630" t="s">
        <v>80</v>
      </c>
    </row>
    <row r="631" spans="1:15" x14ac:dyDescent="0.3">
      <c r="A631" t="s">
        <v>187</v>
      </c>
      <c r="B631" s="5">
        <f>(-1)*B23*E631</f>
        <v>-44.092399999999998</v>
      </c>
      <c r="C631" t="s">
        <v>108</v>
      </c>
      <c r="D631" t="s">
        <v>308</v>
      </c>
      <c r="E631">
        <v>20</v>
      </c>
      <c r="F631" t="s">
        <v>25</v>
      </c>
      <c r="H631" t="s">
        <v>307</v>
      </c>
      <c r="N631">
        <f>E631*B23</f>
        <v>44.092399999999998</v>
      </c>
      <c r="O631" t="s">
        <v>80</v>
      </c>
    </row>
    <row r="632" spans="1:15" x14ac:dyDescent="0.3">
      <c r="B632" s="5"/>
    </row>
    <row r="633" spans="1:15" x14ac:dyDescent="0.3">
      <c r="B633" s="5"/>
    </row>
    <row r="634" spans="1:15" x14ac:dyDescent="0.3">
      <c r="B634" s="5"/>
    </row>
    <row r="635" spans="1:15" x14ac:dyDescent="0.3">
      <c r="B635" s="5"/>
      <c r="D635" t="s">
        <v>282</v>
      </c>
    </row>
    <row r="650" spans="1:4" x14ac:dyDescent="0.3">
      <c r="A650" t="s">
        <v>212</v>
      </c>
      <c r="B650" s="5">
        <f>(SUM(B655:B657))+(SUM(B660:B662)*(B212*(B31^(F212+D212))*(((G598^E598)*(L598^J598))*B32)))</f>
        <v>1927.3904056428412</v>
      </c>
      <c r="C650" t="s">
        <v>108</v>
      </c>
      <c r="D650" t="s">
        <v>216</v>
      </c>
    </row>
    <row r="651" spans="1:4" x14ac:dyDescent="0.3">
      <c r="D651" t="s">
        <v>384</v>
      </c>
    </row>
    <row r="652" spans="1:4" x14ac:dyDescent="0.3">
      <c r="D652" t="s">
        <v>218</v>
      </c>
    </row>
    <row r="653" spans="1:4" x14ac:dyDescent="0.3">
      <c r="D653" t="s">
        <v>217</v>
      </c>
    </row>
    <row r="655" spans="1:4" x14ac:dyDescent="0.3">
      <c r="A655" t="s">
        <v>213</v>
      </c>
      <c r="B655" s="5">
        <f>B22*E630</f>
        <v>2549.7289999999998</v>
      </c>
      <c r="C655" t="s">
        <v>108</v>
      </c>
      <c r="D655" t="s">
        <v>215</v>
      </c>
    </row>
    <row r="656" spans="1:4" x14ac:dyDescent="0.3">
      <c r="D656" t="s">
        <v>460</v>
      </c>
    </row>
    <row r="660" spans="1:12" x14ac:dyDescent="0.3">
      <c r="A660" t="s">
        <v>214</v>
      </c>
      <c r="B660" s="5">
        <f>(-1)*B22*D610</f>
        <v>-392.26599999999996</v>
      </c>
      <c r="C660" t="s">
        <v>108</v>
      </c>
      <c r="D660" t="s">
        <v>240</v>
      </c>
    </row>
    <row r="661" spans="1:12" x14ac:dyDescent="0.3">
      <c r="D661" t="s">
        <v>344</v>
      </c>
    </row>
    <row r="668" spans="1:12" x14ac:dyDescent="0.3">
      <c r="D668" t="s">
        <v>453</v>
      </c>
      <c r="E668">
        <v>5</v>
      </c>
      <c r="F668" t="s">
        <v>337</v>
      </c>
      <c r="G668">
        <v>0.85</v>
      </c>
      <c r="I668" t="s">
        <v>454</v>
      </c>
      <c r="J668">
        <v>3</v>
      </c>
      <c r="K668" t="s">
        <v>337</v>
      </c>
      <c r="L668">
        <v>0.9</v>
      </c>
    </row>
    <row r="670" spans="1:12" x14ac:dyDescent="0.3">
      <c r="A670" t="s">
        <v>450</v>
      </c>
      <c r="B670" s="5">
        <f>((SUM(B671:B673)*(B215*(B31^(F215+D215))*(G668^E668)*(L668^J668)*B32))+SUM(B674:B676))</f>
        <v>76.140135031256989</v>
      </c>
      <c r="C670" t="s">
        <v>108</v>
      </c>
      <c r="G670" t="s">
        <v>219</v>
      </c>
    </row>
    <row r="671" spans="1:12" x14ac:dyDescent="0.3">
      <c r="A671" t="s">
        <v>451</v>
      </c>
      <c r="B671" s="5">
        <f>E671*B22</f>
        <v>24.516624999999998</v>
      </c>
      <c r="C671" t="s">
        <v>108</v>
      </c>
      <c r="E671">
        <f>B351</f>
        <v>2.5</v>
      </c>
      <c r="F671" t="s">
        <v>25</v>
      </c>
      <c r="G671" t="s">
        <v>458</v>
      </c>
    </row>
    <row r="672" spans="1:12" x14ac:dyDescent="0.3">
      <c r="A672" t="s">
        <v>452</v>
      </c>
      <c r="B672" s="5">
        <f>E672*B22</f>
        <v>147.09975</v>
      </c>
      <c r="C672" t="s">
        <v>108</v>
      </c>
      <c r="E672">
        <f>B352</f>
        <v>15</v>
      </c>
      <c r="F672" t="s">
        <v>25</v>
      </c>
      <c r="G672" t="s">
        <v>222</v>
      </c>
    </row>
    <row r="673" spans="1:15" x14ac:dyDescent="0.3">
      <c r="B673" s="5"/>
      <c r="G673" t="s">
        <v>223</v>
      </c>
    </row>
    <row r="674" spans="1:15" x14ac:dyDescent="0.3">
      <c r="A674" t="s">
        <v>186</v>
      </c>
      <c r="B674" s="5">
        <f>(-1)*B22*E674</f>
        <v>-98.066499999999991</v>
      </c>
      <c r="C674" t="s">
        <v>108</v>
      </c>
      <c r="D674" t="s">
        <v>281</v>
      </c>
      <c r="E674">
        <f>B359</f>
        <v>10</v>
      </c>
      <c r="F674" t="s">
        <v>25</v>
      </c>
      <c r="H674" t="s">
        <v>307</v>
      </c>
      <c r="N674">
        <f>E674*B23</f>
        <v>22.046199999999999</v>
      </c>
      <c r="O674" t="s">
        <v>80</v>
      </c>
    </row>
    <row r="675" spans="1:15" x14ac:dyDescent="0.3">
      <c r="A675" t="s">
        <v>187</v>
      </c>
      <c r="B675" s="5">
        <f>(-1)*B22*E675</f>
        <v>-98.066499999999991</v>
      </c>
      <c r="C675" t="s">
        <v>108</v>
      </c>
      <c r="D675" t="s">
        <v>308</v>
      </c>
      <c r="E675">
        <v>10</v>
      </c>
      <c r="F675" t="s">
        <v>25</v>
      </c>
      <c r="H675" t="s">
        <v>307</v>
      </c>
      <c r="N675">
        <f>E675*B23</f>
        <v>22.046199999999999</v>
      </c>
      <c r="O675" t="s">
        <v>80</v>
      </c>
    </row>
    <row r="680" spans="1:15" x14ac:dyDescent="0.3">
      <c r="A680" t="s">
        <v>459</v>
      </c>
      <c r="B680" s="5">
        <f>SUM(B681:B684)+(SUM(B685:B688)*B215*(B31^(F215+D215))*(G668^E668)*(L668^J668)*B32)</f>
        <v>59.170337852677584</v>
      </c>
      <c r="G680" t="s">
        <v>216</v>
      </c>
    </row>
    <row r="681" spans="1:15" x14ac:dyDescent="0.3">
      <c r="A681" t="s">
        <v>461</v>
      </c>
      <c r="B681" s="5">
        <f>(-1)*B674</f>
        <v>98.066499999999991</v>
      </c>
      <c r="C681" t="s">
        <v>108</v>
      </c>
      <c r="D681" t="s">
        <v>462</v>
      </c>
      <c r="G681" t="s">
        <v>465</v>
      </c>
    </row>
    <row r="682" spans="1:15" x14ac:dyDescent="0.3">
      <c r="G682" t="s">
        <v>218</v>
      </c>
    </row>
    <row r="683" spans="1:15" x14ac:dyDescent="0.3">
      <c r="G683" t="s">
        <v>217</v>
      </c>
    </row>
    <row r="685" spans="1:15" x14ac:dyDescent="0.3">
      <c r="A685" t="s">
        <v>463</v>
      </c>
      <c r="B685" s="5">
        <f>(-1)*B671</f>
        <v>-24.516624999999998</v>
      </c>
      <c r="C685" t="s">
        <v>108</v>
      </c>
      <c r="D685" t="s">
        <v>464</v>
      </c>
    </row>
    <row r="700" spans="1:1" x14ac:dyDescent="0.3">
      <c r="A700" t="s">
        <v>481</v>
      </c>
    </row>
    <row r="701" spans="1:1" x14ac:dyDescent="0.3">
      <c r="A701" t="s">
        <v>477</v>
      </c>
    </row>
    <row r="703" spans="1:1" x14ac:dyDescent="0.3">
      <c r="A703" t="s">
        <v>324</v>
      </c>
    </row>
    <row r="706" spans="1:14" x14ac:dyDescent="0.3">
      <c r="A706" t="s">
        <v>251</v>
      </c>
      <c r="B706" s="5">
        <f>SUM(B710:B715)+B717</f>
        <v>174699.1753817728</v>
      </c>
      <c r="C706" t="s">
        <v>252</v>
      </c>
      <c r="D706" t="s">
        <v>421</v>
      </c>
    </row>
    <row r="707" spans="1:14" x14ac:dyDescent="0.3">
      <c r="A707" t="s">
        <v>423</v>
      </c>
      <c r="B707">
        <f>B92</f>
        <v>20.591074874184642</v>
      </c>
      <c r="C707" t="s">
        <v>30</v>
      </c>
    </row>
    <row r="708" spans="1:14" x14ac:dyDescent="0.3">
      <c r="A708" t="s">
        <v>426</v>
      </c>
      <c r="B708">
        <f>B706/D708</f>
        <v>48.527548717159114</v>
      </c>
      <c r="C708" t="s">
        <v>425</v>
      </c>
      <c r="D708">
        <v>3600</v>
      </c>
      <c r="E708" t="s">
        <v>424</v>
      </c>
    </row>
    <row r="709" spans="1:14" x14ac:dyDescent="0.3">
      <c r="B709" s="5"/>
    </row>
    <row r="710" spans="1:14" x14ac:dyDescent="0.3">
      <c r="A710" t="s">
        <v>262</v>
      </c>
      <c r="B710" s="5">
        <f>(B301*E711*B22*B92*M711*G711*I711*K711)+B717</f>
        <v>182143.4473817728</v>
      </c>
      <c r="C710" t="s">
        <v>252</v>
      </c>
      <c r="D710" t="s">
        <v>422</v>
      </c>
    </row>
    <row r="711" spans="1:14" x14ac:dyDescent="0.3">
      <c r="B711" s="5"/>
      <c r="D711" t="s">
        <v>253</v>
      </c>
      <c r="E711">
        <v>0.98</v>
      </c>
      <c r="F711" t="s">
        <v>254</v>
      </c>
      <c r="G711">
        <v>0.82</v>
      </c>
      <c r="H711" t="s">
        <v>255</v>
      </c>
      <c r="I711">
        <v>0.95</v>
      </c>
      <c r="J711" t="s">
        <v>256</v>
      </c>
      <c r="K711">
        <v>0.995</v>
      </c>
      <c r="L711" t="s">
        <v>482</v>
      </c>
      <c r="M711" s="6">
        <v>0.33333333199999998</v>
      </c>
    </row>
    <row r="712" spans="1:14" x14ac:dyDescent="0.3">
      <c r="A712" t="s">
        <v>263</v>
      </c>
      <c r="B712" s="5">
        <f>(-1)*F712*H712*K712*N712</f>
        <v>-4800</v>
      </c>
      <c r="C712" t="s">
        <v>252</v>
      </c>
      <c r="D712" t="s">
        <v>367</v>
      </c>
      <c r="E712" t="s">
        <v>257</v>
      </c>
      <c r="F712">
        <f>5*4</f>
        <v>20</v>
      </c>
      <c r="G712" t="s">
        <v>258</v>
      </c>
      <c r="H712">
        <v>30</v>
      </c>
      <c r="I712" t="s">
        <v>260</v>
      </c>
      <c r="J712" t="s">
        <v>259</v>
      </c>
      <c r="K712">
        <v>4</v>
      </c>
      <c r="L712" t="s">
        <v>261</v>
      </c>
      <c r="M712" t="s">
        <v>283</v>
      </c>
      <c r="N712">
        <v>2</v>
      </c>
    </row>
    <row r="713" spans="1:14" x14ac:dyDescent="0.3">
      <c r="A713" t="s">
        <v>264</v>
      </c>
      <c r="B713" s="5">
        <f>(-1)*I713*F713*K713</f>
        <v>-6</v>
      </c>
      <c r="C713" t="s">
        <v>252</v>
      </c>
      <c r="D713" t="s">
        <v>269</v>
      </c>
      <c r="E713" t="s">
        <v>266</v>
      </c>
      <c r="F713">
        <v>2.5000000000000001E-2</v>
      </c>
      <c r="G713" t="s">
        <v>260</v>
      </c>
      <c r="H713" t="s">
        <v>267</v>
      </c>
      <c r="I713">
        <v>4</v>
      </c>
      <c r="J713" t="s">
        <v>268</v>
      </c>
      <c r="K713">
        <f>1*60</f>
        <v>60</v>
      </c>
      <c r="L713" t="s">
        <v>261</v>
      </c>
    </row>
    <row r="714" spans="1:14" x14ac:dyDescent="0.3">
      <c r="A714" t="s">
        <v>270</v>
      </c>
      <c r="B714" s="5">
        <f>(-1)*E714*G714*K714</f>
        <v>-97.2</v>
      </c>
      <c r="C714" t="s">
        <v>252</v>
      </c>
      <c r="D714" t="s">
        <v>89</v>
      </c>
      <c r="E714">
        <v>3</v>
      </c>
      <c r="F714" t="s">
        <v>258</v>
      </c>
      <c r="G714">
        <f>0.03*3.6</f>
        <v>0.108</v>
      </c>
      <c r="H714" t="s">
        <v>271</v>
      </c>
      <c r="J714" t="s">
        <v>272</v>
      </c>
      <c r="K714">
        <f>K740</f>
        <v>300</v>
      </c>
      <c r="L714" t="s">
        <v>261</v>
      </c>
    </row>
    <row r="715" spans="1:14" x14ac:dyDescent="0.3">
      <c r="A715" t="s">
        <v>274</v>
      </c>
      <c r="B715" s="5">
        <f>(SUM(B712:B714))*(B14/100)</f>
        <v>-621.072</v>
      </c>
      <c r="C715" t="s">
        <v>252</v>
      </c>
      <c r="D715" t="s">
        <v>473</v>
      </c>
    </row>
    <row r="716" spans="1:14" x14ac:dyDescent="0.3">
      <c r="A716" t="s">
        <v>471</v>
      </c>
      <c r="B716" s="5">
        <f>(-1)*(B14/100)*B301*B22*B12</f>
        <v>-110305.93342346378</v>
      </c>
      <c r="C716" t="s">
        <v>252</v>
      </c>
      <c r="D716" t="s">
        <v>472</v>
      </c>
      <c r="G716" t="s">
        <v>475</v>
      </c>
    </row>
    <row r="717" spans="1:14" x14ac:dyDescent="0.3">
      <c r="A717" t="s">
        <v>480</v>
      </c>
      <c r="B717" s="5">
        <f>(-1)*E717*H717*K717*N717</f>
        <v>-1920</v>
      </c>
      <c r="C717" t="s">
        <v>252</v>
      </c>
      <c r="D717" t="s">
        <v>485</v>
      </c>
      <c r="E717">
        <v>4</v>
      </c>
      <c r="G717" t="s">
        <v>258</v>
      </c>
      <c r="H717">
        <v>40</v>
      </c>
      <c r="I717" t="s">
        <v>260</v>
      </c>
      <c r="J717" t="s">
        <v>486</v>
      </c>
      <c r="K717">
        <v>6</v>
      </c>
      <c r="L717" t="s">
        <v>261</v>
      </c>
      <c r="M717" t="s">
        <v>487</v>
      </c>
      <c r="N717">
        <v>2</v>
      </c>
    </row>
    <row r="718" spans="1:14" x14ac:dyDescent="0.3">
      <c r="A718" t="s">
        <v>474</v>
      </c>
      <c r="B718" s="5">
        <f>(-1)*(B14/100)*(B14/100)*B301*B22*B12</f>
        <v>-13972.084900305414</v>
      </c>
      <c r="C718" t="s">
        <v>252</v>
      </c>
      <c r="D718" t="s">
        <v>476</v>
      </c>
      <c r="I718" t="s">
        <v>478</v>
      </c>
    </row>
    <row r="720" spans="1:14" x14ac:dyDescent="0.3">
      <c r="A720" t="s">
        <v>428</v>
      </c>
    </row>
    <row r="721" spans="1:16" x14ac:dyDescent="0.3">
      <c r="A721" t="s">
        <v>273</v>
      </c>
    </row>
    <row r="723" spans="1:16" x14ac:dyDescent="0.3">
      <c r="A723" t="s">
        <v>324</v>
      </c>
    </row>
    <row r="726" spans="1:16" x14ac:dyDescent="0.3">
      <c r="A726" t="s">
        <v>251</v>
      </c>
      <c r="B726" s="5">
        <f>SUM(B730:B735)+B736</f>
        <v>241738.55181843229</v>
      </c>
      <c r="C726" t="s">
        <v>252</v>
      </c>
      <c r="D726" t="s">
        <v>431</v>
      </c>
    </row>
    <row r="727" spans="1:16" x14ac:dyDescent="0.3">
      <c r="A727" t="s">
        <v>426</v>
      </c>
      <c r="B727">
        <f>B726/D727</f>
        <v>67.149597727342297</v>
      </c>
      <c r="C727" t="s">
        <v>425</v>
      </c>
      <c r="D727">
        <v>3600</v>
      </c>
      <c r="E727" t="s">
        <v>424</v>
      </c>
    </row>
    <row r="728" spans="1:16" x14ac:dyDescent="0.3">
      <c r="A728" t="s">
        <v>432</v>
      </c>
      <c r="B728" s="5">
        <f>(B727-B708)/B708*100</f>
        <v>38.37418023877747</v>
      </c>
      <c r="C728" t="s">
        <v>150</v>
      </c>
    </row>
    <row r="729" spans="1:16" x14ac:dyDescent="0.3">
      <c r="B729" s="5"/>
    </row>
    <row r="730" spans="1:16" x14ac:dyDescent="0.3">
      <c r="A730" t="s">
        <v>262</v>
      </c>
      <c r="B730" s="5">
        <f>0.5*E737*(F742^2)*E731*G731*I731*K731*M731</f>
        <v>244676.15715176563</v>
      </c>
      <c r="C730" t="s">
        <v>252</v>
      </c>
      <c r="D730" t="s">
        <v>484</v>
      </c>
    </row>
    <row r="731" spans="1:16" x14ac:dyDescent="0.3">
      <c r="B731" s="5"/>
      <c r="D731" t="s">
        <v>253</v>
      </c>
      <c r="E731">
        <v>0.98</v>
      </c>
      <c r="F731" t="s">
        <v>254</v>
      </c>
      <c r="G731">
        <v>0.82</v>
      </c>
      <c r="H731" t="s">
        <v>255</v>
      </c>
      <c r="I731">
        <v>0.95</v>
      </c>
      <c r="J731" t="s">
        <v>256</v>
      </c>
      <c r="K731">
        <v>0.995</v>
      </c>
      <c r="L731" t="s">
        <v>483</v>
      </c>
      <c r="M731" s="6">
        <v>0.66666665999999997</v>
      </c>
    </row>
    <row r="732" spans="1:16" x14ac:dyDescent="0.3">
      <c r="A732" t="s">
        <v>479</v>
      </c>
      <c r="B732" s="5">
        <f>(-1)*F732*H732*K732*N732</f>
        <v>-800</v>
      </c>
      <c r="C732" t="s">
        <v>252</v>
      </c>
      <c r="D732" t="s">
        <v>265</v>
      </c>
      <c r="E732" t="s">
        <v>350</v>
      </c>
      <c r="F732">
        <f>5*4</f>
        <v>20</v>
      </c>
      <c r="G732" t="s">
        <v>366</v>
      </c>
      <c r="H732">
        <v>10</v>
      </c>
      <c r="I732" t="s">
        <v>260</v>
      </c>
      <c r="J732" t="s">
        <v>259</v>
      </c>
      <c r="K732">
        <v>4</v>
      </c>
      <c r="L732" t="s">
        <v>261</v>
      </c>
      <c r="M732" t="s">
        <v>347</v>
      </c>
      <c r="N732">
        <v>1</v>
      </c>
    </row>
    <row r="733" spans="1:16" x14ac:dyDescent="0.3">
      <c r="A733" t="s">
        <v>264</v>
      </c>
      <c r="B733" s="5">
        <f>(-1)*I733*F733*K733</f>
        <v>-6</v>
      </c>
      <c r="C733" t="s">
        <v>252</v>
      </c>
      <c r="D733" t="s">
        <v>269</v>
      </c>
      <c r="E733" t="s">
        <v>351</v>
      </c>
      <c r="F733">
        <v>2.5000000000000001E-2</v>
      </c>
      <c r="G733" t="s">
        <v>260</v>
      </c>
      <c r="H733" t="s">
        <v>267</v>
      </c>
      <c r="I733">
        <v>4</v>
      </c>
      <c r="J733" t="s">
        <v>268</v>
      </c>
      <c r="K733">
        <f>1*60</f>
        <v>60</v>
      </c>
      <c r="L733" t="s">
        <v>261</v>
      </c>
      <c r="M733" t="s">
        <v>352</v>
      </c>
      <c r="N733">
        <v>5</v>
      </c>
      <c r="O733" t="s">
        <v>260</v>
      </c>
      <c r="P733">
        <v>3</v>
      </c>
    </row>
    <row r="734" spans="1:16" x14ac:dyDescent="0.3">
      <c r="A734" t="s">
        <v>348</v>
      </c>
      <c r="B734" s="5">
        <f>(-1)*E734*G734*K734</f>
        <v>-97.2</v>
      </c>
      <c r="C734" t="s">
        <v>252</v>
      </c>
      <c r="D734" t="s">
        <v>89</v>
      </c>
      <c r="E734">
        <v>3</v>
      </c>
      <c r="F734" t="s">
        <v>258</v>
      </c>
      <c r="G734">
        <f>0.03*3.6</f>
        <v>0.108</v>
      </c>
      <c r="H734" t="s">
        <v>271</v>
      </c>
      <c r="J734" t="s">
        <v>272</v>
      </c>
      <c r="K734">
        <f>K740</f>
        <v>300</v>
      </c>
      <c r="L734" t="s">
        <v>261</v>
      </c>
      <c r="M734" t="s">
        <v>349</v>
      </c>
    </row>
    <row r="735" spans="1:16" x14ac:dyDescent="0.3">
      <c r="A735" t="s">
        <v>346</v>
      </c>
      <c r="B735" s="5">
        <f>(SUM(B732:B734))*(B14/100)</f>
        <v>-114.40533333333335</v>
      </c>
      <c r="C735" t="s">
        <v>252</v>
      </c>
      <c r="D735" t="s">
        <v>429</v>
      </c>
      <c r="E735" t="s">
        <v>430</v>
      </c>
      <c r="F735">
        <v>1</v>
      </c>
      <c r="G735" t="s">
        <v>361</v>
      </c>
    </row>
    <row r="736" spans="1:16" x14ac:dyDescent="0.3">
      <c r="A736" t="s">
        <v>480</v>
      </c>
      <c r="B736" s="5">
        <f>(-1)*E736*H736*K736*N736</f>
        <v>-1920</v>
      </c>
      <c r="C736" t="s">
        <v>252</v>
      </c>
      <c r="D736" t="s">
        <v>485</v>
      </c>
      <c r="E736">
        <v>4</v>
      </c>
      <c r="G736" t="s">
        <v>258</v>
      </c>
      <c r="H736">
        <v>40</v>
      </c>
      <c r="I736" t="s">
        <v>260</v>
      </c>
      <c r="J736" t="s">
        <v>486</v>
      </c>
      <c r="K736">
        <v>6</v>
      </c>
      <c r="L736" t="s">
        <v>261</v>
      </c>
      <c r="M736" t="s">
        <v>487</v>
      </c>
      <c r="N736">
        <v>2</v>
      </c>
    </row>
    <row r="737" spans="1:15" x14ac:dyDescent="0.3">
      <c r="A737" t="s">
        <v>488</v>
      </c>
      <c r="B737" s="5">
        <f>(-1)*((H732*(F732))+(H732*E734*2)+(F733*I733)+(N733*P733)+(G734*E734))</f>
        <v>-275.42400000000004</v>
      </c>
      <c r="C737" t="s">
        <v>260</v>
      </c>
      <c r="D737" t="s">
        <v>284</v>
      </c>
      <c r="E737">
        <f>(B301)*H737</f>
        <v>3420</v>
      </c>
      <c r="F737" t="s">
        <v>25</v>
      </c>
      <c r="G737" t="s">
        <v>286</v>
      </c>
      <c r="H737">
        <v>0.95</v>
      </c>
      <c r="J737" t="s">
        <v>285</v>
      </c>
    </row>
    <row r="738" spans="1:15" x14ac:dyDescent="0.3">
      <c r="B738" t="s">
        <v>427</v>
      </c>
      <c r="D738" t="s">
        <v>287</v>
      </c>
    </row>
    <row r="739" spans="1:15" x14ac:dyDescent="0.3">
      <c r="E739" t="s">
        <v>288</v>
      </c>
      <c r="J739" t="s">
        <v>362</v>
      </c>
      <c r="K739">
        <v>5</v>
      </c>
      <c r="L739" t="s">
        <v>363</v>
      </c>
    </row>
    <row r="740" spans="1:15" x14ac:dyDescent="0.3">
      <c r="E740" t="s">
        <v>289</v>
      </c>
      <c r="F740">
        <f>B306/N740</f>
        <v>6.3160055887917304E-4</v>
      </c>
      <c r="G740" t="s">
        <v>296</v>
      </c>
      <c r="J740" t="s">
        <v>294</v>
      </c>
      <c r="K740">
        <f>K739*60</f>
        <v>300</v>
      </c>
      <c r="L740" t="s">
        <v>261</v>
      </c>
      <c r="M740" t="s">
        <v>295</v>
      </c>
      <c r="N740">
        <f>N741*K740</f>
        <v>225</v>
      </c>
      <c r="O740" t="s">
        <v>261</v>
      </c>
    </row>
    <row r="741" spans="1:15" x14ac:dyDescent="0.3">
      <c r="E741" t="s">
        <v>292</v>
      </c>
      <c r="F741">
        <f>PI()*(B303*K741)^2</f>
        <v>24.373172538403942</v>
      </c>
      <c r="G741" t="s">
        <v>299</v>
      </c>
      <c r="H741" t="s">
        <v>297</v>
      </c>
      <c r="J741" t="s">
        <v>298</v>
      </c>
      <c r="K741">
        <f>0.98</f>
        <v>0.98</v>
      </c>
      <c r="M741" t="s">
        <v>333</v>
      </c>
      <c r="N741">
        <v>0.75</v>
      </c>
    </row>
    <row r="742" spans="1:15" x14ac:dyDescent="0.3">
      <c r="E742" t="s">
        <v>290</v>
      </c>
      <c r="F742">
        <f>F740*F741*F744/F743</f>
        <v>16.809318062791892</v>
      </c>
      <c r="G742" t="s">
        <v>296</v>
      </c>
      <c r="H742" t="s">
        <v>300</v>
      </c>
      <c r="I742" t="s">
        <v>302</v>
      </c>
      <c r="J742">
        <f>F742*B25/12</f>
        <v>55.148681308372346</v>
      </c>
      <c r="K742" t="s">
        <v>301</v>
      </c>
      <c r="N742" t="s">
        <v>334</v>
      </c>
    </row>
    <row r="743" spans="1:15" x14ac:dyDescent="0.3">
      <c r="E743" t="s">
        <v>291</v>
      </c>
      <c r="F743">
        <f>PI()*(B93^2)</f>
        <v>7.784368728402754E-4</v>
      </c>
      <c r="G743" t="s">
        <v>299</v>
      </c>
    </row>
    <row r="744" spans="1:15" x14ac:dyDescent="0.3">
      <c r="E744" t="s">
        <v>293</v>
      </c>
      <c r="F744">
        <v>0.85</v>
      </c>
    </row>
    <row r="745" spans="1:15" x14ac:dyDescent="0.3">
      <c r="A745" t="s">
        <v>331</v>
      </c>
      <c r="B745" s="5">
        <f>IF(F742&lt;D745,1,0)</f>
        <v>1</v>
      </c>
      <c r="C745" t="s">
        <v>330</v>
      </c>
      <c r="D745">
        <v>1481</v>
      </c>
      <c r="E745" t="s">
        <v>296</v>
      </c>
      <c r="G745" t="s">
        <v>435</v>
      </c>
      <c r="H745">
        <f>F742/D745</f>
        <v>1.1349978435376024E-2</v>
      </c>
      <c r="I745" t="s">
        <v>332</v>
      </c>
      <c r="J745">
        <f>H745*100</f>
        <v>1.1349978435376022</v>
      </c>
      <c r="K745" t="s">
        <v>150</v>
      </c>
    </row>
    <row r="746" spans="1:15" x14ac:dyDescent="0.3">
      <c r="A746" t="s">
        <v>328</v>
      </c>
      <c r="B746" s="5">
        <f>(IF(B726&gt;B706,1,0))</f>
        <v>1</v>
      </c>
    </row>
    <row r="747" spans="1:15" x14ac:dyDescent="0.3">
      <c r="A747" t="s">
        <v>329</v>
      </c>
      <c r="B747" s="5">
        <f>(IF(B726&gt;(B706*D747),1,0))</f>
        <v>1</v>
      </c>
      <c r="C747" t="s">
        <v>57</v>
      </c>
      <c r="D747">
        <v>1</v>
      </c>
      <c r="E747" t="s">
        <v>335</v>
      </c>
      <c r="G747" t="s">
        <v>336</v>
      </c>
      <c r="H747">
        <f>B726/B706</f>
        <v>1.3837418023877748</v>
      </c>
    </row>
    <row r="750" spans="1:15" x14ac:dyDescent="0.3">
      <c r="A750" t="s">
        <v>317</v>
      </c>
      <c r="B750" t="s">
        <v>319</v>
      </c>
    </row>
    <row r="751" spans="1:15" x14ac:dyDescent="0.3">
      <c r="A751" t="s">
        <v>434</v>
      </c>
      <c r="B751" s="5">
        <f>(B726/K740/1000)</f>
        <v>0.80579517272810763</v>
      </c>
      <c r="C751" t="s">
        <v>318</v>
      </c>
      <c r="E751" t="s">
        <v>489</v>
      </c>
    </row>
    <row r="753" spans="1:12" x14ac:dyDescent="0.3">
      <c r="A753" t="s">
        <v>354</v>
      </c>
      <c r="B753">
        <v>0.05</v>
      </c>
      <c r="C753" t="s">
        <v>320</v>
      </c>
      <c r="E753" t="s">
        <v>433</v>
      </c>
    </row>
    <row r="754" spans="1:12" x14ac:dyDescent="0.3">
      <c r="A754" t="s">
        <v>500</v>
      </c>
      <c r="B754" s="5">
        <f>B751*(K740/3600)*(24*60*60/K740)*B753</f>
        <v>0.96695420727372916</v>
      </c>
      <c r="C754" t="s">
        <v>322</v>
      </c>
      <c r="E754" t="s">
        <v>321</v>
      </c>
    </row>
    <row r="755" spans="1:12" x14ac:dyDescent="0.3">
      <c r="A755" t="s">
        <v>323</v>
      </c>
      <c r="B755">
        <f>B468</f>
        <v>10</v>
      </c>
      <c r="E755" t="s">
        <v>353</v>
      </c>
      <c r="F755" s="5">
        <f>B751*(K740/3600)*(24*60*60/K740)*B762</f>
        <v>2.9008626218211875</v>
      </c>
      <c r="G755" t="s">
        <v>322</v>
      </c>
      <c r="J755" t="s">
        <v>394</v>
      </c>
    </row>
    <row r="756" spans="1:12" x14ac:dyDescent="0.3">
      <c r="A756" t="s">
        <v>326</v>
      </c>
      <c r="B756">
        <v>0.83333299999999999</v>
      </c>
      <c r="D756">
        <f>20/24</f>
        <v>0.83333333333333337</v>
      </c>
      <c r="E756" t="s">
        <v>325</v>
      </c>
    </row>
    <row r="757" spans="1:12" x14ac:dyDescent="0.3">
      <c r="A757" t="s">
        <v>499</v>
      </c>
      <c r="B757" s="5">
        <f>((B754*B755)+K757)*B756</f>
        <v>7.7825246142699847</v>
      </c>
      <c r="C757" t="s">
        <v>322</v>
      </c>
      <c r="E757" t="s">
        <v>358</v>
      </c>
      <c r="J757" t="s">
        <v>359</v>
      </c>
      <c r="K757" s="5">
        <f>(B737/1000)*(K740/3600)*(24*60*60/K740)*B753</f>
        <v>-0.33050880000000005</v>
      </c>
      <c r="L757" t="s">
        <v>321</v>
      </c>
    </row>
    <row r="758" spans="1:12" x14ac:dyDescent="0.3">
      <c r="A758" t="s">
        <v>356</v>
      </c>
      <c r="B758" s="5">
        <f>(B726) * (24*60*60/K740)*(1/3600000)*B753*B755*G711*I711*B756</f>
        <v>6.2771418846941991</v>
      </c>
      <c r="C758" t="s">
        <v>322</v>
      </c>
      <c r="E758" t="s">
        <v>327</v>
      </c>
    </row>
    <row r="759" spans="1:12" x14ac:dyDescent="0.3">
      <c r="A759" t="s">
        <v>357</v>
      </c>
      <c r="B759" s="5">
        <f>IF(ABS(B757-B758) &lt;0.1,1,0)</f>
        <v>0</v>
      </c>
      <c r="E759" t="s">
        <v>355</v>
      </c>
    </row>
    <row r="762" spans="1:12" x14ac:dyDescent="0.3">
      <c r="A762" t="s">
        <v>490</v>
      </c>
      <c r="B762">
        <v>0.15</v>
      </c>
      <c r="C762" t="s">
        <v>320</v>
      </c>
    </row>
    <row r="763" spans="1:12" x14ac:dyDescent="0.3">
      <c r="A763" t="s">
        <v>496</v>
      </c>
      <c r="B763" s="5">
        <f>(B757*B762/B753)+(B756*K763)</f>
        <v>22.521302173318752</v>
      </c>
      <c r="C763" t="s">
        <v>322</v>
      </c>
      <c r="J763" t="s">
        <v>360</v>
      </c>
      <c r="K763" s="5">
        <f>(B737/1000)*(K740/3600)*(24*60*60/K740)*B762</f>
        <v>-0.99152640000000014</v>
      </c>
      <c r="L763" t="s">
        <v>321</v>
      </c>
    </row>
    <row r="764" spans="1:12" x14ac:dyDescent="0.3">
      <c r="A764" t="s">
        <v>494</v>
      </c>
      <c r="B764">
        <v>351</v>
      </c>
      <c r="C764" t="s">
        <v>505</v>
      </c>
      <c r="E764" t="s">
        <v>495</v>
      </c>
    </row>
    <row r="765" spans="1:12" x14ac:dyDescent="0.3">
      <c r="A765" t="s">
        <v>497</v>
      </c>
      <c r="B765" s="5">
        <f>B763*B764</f>
        <v>7904.9770628348815</v>
      </c>
      <c r="C765" t="s">
        <v>498</v>
      </c>
    </row>
    <row r="767" spans="1:12" x14ac:dyDescent="0.3">
      <c r="A767" t="s">
        <v>504</v>
      </c>
      <c r="B767" s="5">
        <f>B765/B762</f>
        <v>52699.847085565882</v>
      </c>
      <c r="C767" t="s">
        <v>502</v>
      </c>
      <c r="D767" s="5">
        <f>B767/1000</f>
        <v>52.699847085565878</v>
      </c>
      <c r="E767" t="s">
        <v>503</v>
      </c>
      <c r="H767" t="s">
        <v>501</v>
      </c>
    </row>
    <row r="769" spans="1:5" x14ac:dyDescent="0.3">
      <c r="A769" t="s">
        <v>506</v>
      </c>
      <c r="B769">
        <v>22</v>
      </c>
      <c r="C769" t="s">
        <v>507</v>
      </c>
      <c r="E769" t="s">
        <v>508</v>
      </c>
    </row>
    <row r="770" spans="1:5" x14ac:dyDescent="0.3">
      <c r="A770" t="s">
        <v>510</v>
      </c>
      <c r="E770" t="s">
        <v>509</v>
      </c>
    </row>
    <row r="771" spans="1:5" x14ac:dyDescent="0.3">
      <c r="A771" t="s">
        <v>511</v>
      </c>
      <c r="B771">
        <v>0.18</v>
      </c>
      <c r="D771" s="8">
        <v>0.18</v>
      </c>
      <c r="E771" t="s">
        <v>509</v>
      </c>
    </row>
    <row r="772" spans="1:5" x14ac:dyDescent="0.3">
      <c r="A772" t="s">
        <v>512</v>
      </c>
      <c r="B772">
        <v>40000000000000</v>
      </c>
      <c r="C772" t="s">
        <v>502</v>
      </c>
    </row>
    <row r="773" spans="1:5" x14ac:dyDescent="0.3">
      <c r="A773" t="s">
        <v>513</v>
      </c>
      <c r="B773">
        <v>8.0000000000000002E-3</v>
      </c>
    </row>
    <row r="774" spans="1:5" x14ac:dyDescent="0.3">
      <c r="A774" t="s">
        <v>516</v>
      </c>
      <c r="B774">
        <f>B773*B772</f>
        <v>320000000000</v>
      </c>
      <c r="C774" t="s">
        <v>514</v>
      </c>
    </row>
    <row r="775" spans="1:5" x14ac:dyDescent="0.3">
      <c r="A775" t="s">
        <v>515</v>
      </c>
      <c r="B775" s="5">
        <f>B774/B767</f>
        <v>6072123.8807473835</v>
      </c>
      <c r="C775" t="s">
        <v>517</v>
      </c>
    </row>
    <row r="777" spans="1:5" x14ac:dyDescent="0.3">
      <c r="A777" t="s">
        <v>518</v>
      </c>
    </row>
    <row r="778" spans="1:5" x14ac:dyDescent="0.3">
      <c r="B778" t="s">
        <v>519</v>
      </c>
    </row>
    <row r="779" spans="1:5" x14ac:dyDescent="0.3">
      <c r="B779" s="7" t="s">
        <v>520</v>
      </c>
    </row>
    <row r="784" spans="1:5" x14ac:dyDescent="0.3">
      <c r="A784" t="s">
        <v>573</v>
      </c>
    </row>
    <row r="785" spans="1:11" x14ac:dyDescent="0.3">
      <c r="A785" t="s">
        <v>574</v>
      </c>
      <c r="B785" s="5">
        <f>D767</f>
        <v>52.699847085565878</v>
      </c>
      <c r="C785" t="s">
        <v>503</v>
      </c>
    </row>
    <row r="786" spans="1:11" x14ac:dyDescent="0.3">
      <c r="A786" t="s">
        <v>567</v>
      </c>
      <c r="B786">
        <v>898</v>
      </c>
      <c r="C786" t="s">
        <v>80</v>
      </c>
      <c r="D786" t="s">
        <v>568</v>
      </c>
    </row>
    <row r="787" spans="1:11" x14ac:dyDescent="0.3">
      <c r="A787" t="s">
        <v>569</v>
      </c>
      <c r="B787">
        <f>B786/E787</f>
        <v>0.44900000000000001</v>
      </c>
      <c r="C787" t="s">
        <v>579</v>
      </c>
      <c r="D787" t="s">
        <v>572</v>
      </c>
      <c r="E787">
        <v>2000</v>
      </c>
    </row>
    <row r="788" spans="1:11" x14ac:dyDescent="0.3">
      <c r="A788" t="s">
        <v>570</v>
      </c>
      <c r="B788">
        <f>B786/E788</f>
        <v>0.40089285714285716</v>
      </c>
      <c r="C788" t="s">
        <v>580</v>
      </c>
      <c r="D788" t="s">
        <v>572</v>
      </c>
      <c r="E788">
        <v>2240</v>
      </c>
    </row>
    <row r="789" spans="1:11" x14ac:dyDescent="0.3">
      <c r="A789" t="s">
        <v>571</v>
      </c>
      <c r="B789">
        <f>B786/E789</f>
        <v>0.40744101633393831</v>
      </c>
      <c r="C789" t="s">
        <v>581</v>
      </c>
      <c r="D789" t="s">
        <v>572</v>
      </c>
      <c r="E789">
        <v>2204</v>
      </c>
    </row>
    <row r="791" spans="1:11" x14ac:dyDescent="0.3">
      <c r="A791" t="s">
        <v>578</v>
      </c>
      <c r="B791">
        <f>E791*G791</f>
        <v>0.89249999999999996</v>
      </c>
      <c r="C791" t="s">
        <v>577</v>
      </c>
      <c r="E791">
        <v>2.5</v>
      </c>
      <c r="F791" t="s">
        <v>583</v>
      </c>
      <c r="G791">
        <v>0.35699999999999998</v>
      </c>
      <c r="H791" t="s">
        <v>575</v>
      </c>
      <c r="I791" t="s">
        <v>576</v>
      </c>
    </row>
    <row r="793" spans="1:11" x14ac:dyDescent="0.3">
      <c r="A793" t="s">
        <v>582</v>
      </c>
      <c r="B793">
        <f>B791/B789</f>
        <v>2.190501113585746</v>
      </c>
      <c r="C793" t="s">
        <v>507</v>
      </c>
      <c r="E793" t="s">
        <v>589</v>
      </c>
      <c r="F793" t="s">
        <v>590</v>
      </c>
    </row>
    <row r="794" spans="1:11" x14ac:dyDescent="0.3">
      <c r="A794" t="s">
        <v>585</v>
      </c>
      <c r="B794">
        <v>100000000</v>
      </c>
      <c r="C794" t="s">
        <v>586</v>
      </c>
      <c r="F794" t="s">
        <v>594</v>
      </c>
    </row>
    <row r="795" spans="1:11" x14ac:dyDescent="0.3">
      <c r="A795" t="s">
        <v>584</v>
      </c>
      <c r="B795">
        <f>500000000/B787/B794</f>
        <v>11.135857461024498</v>
      </c>
      <c r="C795" t="s">
        <v>507</v>
      </c>
      <c r="F795" t="s">
        <v>591</v>
      </c>
    </row>
    <row r="796" spans="1:11" x14ac:dyDescent="0.3">
      <c r="A796" t="s">
        <v>587</v>
      </c>
      <c r="B796">
        <f>500000000/B788/B794</f>
        <v>12.472160356347439</v>
      </c>
      <c r="C796" t="s">
        <v>507</v>
      </c>
      <c r="F796">
        <f>500000000/1/B789</f>
        <v>1227171492.2048998</v>
      </c>
      <c r="G796" t="s">
        <v>586</v>
      </c>
      <c r="H796" t="s">
        <v>592</v>
      </c>
      <c r="J796" s="5">
        <f>F796*B785</f>
        <v>64671749986.963921</v>
      </c>
      <c r="K796" t="s">
        <v>593</v>
      </c>
    </row>
    <row r="797" spans="1:11" x14ac:dyDescent="0.3">
      <c r="A797" t="s">
        <v>588</v>
      </c>
      <c r="B797">
        <f>500000000/B789/B794</f>
        <v>12.271714922048998</v>
      </c>
      <c r="C797" t="s">
        <v>507</v>
      </c>
      <c r="F797" t="s">
        <v>595</v>
      </c>
    </row>
    <row r="800" spans="1:11" x14ac:dyDescent="0.3">
      <c r="A800" t="s">
        <v>405</v>
      </c>
      <c r="B800" t="s">
        <v>406</v>
      </c>
    </row>
    <row r="801" spans="1:7" x14ac:dyDescent="0.3">
      <c r="A801" t="s">
        <v>408</v>
      </c>
    </row>
    <row r="802" spans="1:7" x14ac:dyDescent="0.3">
      <c r="A802">
        <v>0.05</v>
      </c>
      <c r="B802" t="s">
        <v>407</v>
      </c>
      <c r="F802" t="s">
        <v>418</v>
      </c>
    </row>
    <row r="803" spans="1:7" x14ac:dyDescent="0.3">
      <c r="A803">
        <f>A802*1/F803</f>
        <v>0.5</v>
      </c>
      <c r="B803" t="s">
        <v>409</v>
      </c>
      <c r="F803">
        <v>0.1</v>
      </c>
      <c r="G803" t="s">
        <v>410</v>
      </c>
    </row>
    <row r="807" spans="1:7" x14ac:dyDescent="0.3">
      <c r="A807">
        <f>E737*(3600/K740)*(1-(B14/100))</f>
        <v>35841.599999999999</v>
      </c>
      <c r="B807" t="s">
        <v>415</v>
      </c>
      <c r="G807" t="s">
        <v>412</v>
      </c>
    </row>
    <row r="808" spans="1:7" x14ac:dyDescent="0.3">
      <c r="A808">
        <f>B737*(-1)*(1/1000)*(3600/K740)</f>
        <v>3.3050880000000005</v>
      </c>
      <c r="B808" t="s">
        <v>414</v>
      </c>
      <c r="G808" t="s">
        <v>413</v>
      </c>
    </row>
    <row r="811" spans="1:7" x14ac:dyDescent="0.3">
      <c r="A811">
        <f>A808/A807*1000</f>
        <v>9.2213740458015295E-2</v>
      </c>
      <c r="B811" t="s">
        <v>416</v>
      </c>
    </row>
    <row r="813" spans="1:7" x14ac:dyDescent="0.3">
      <c r="B813" t="s">
        <v>419</v>
      </c>
    </row>
    <row r="814" spans="1:7" x14ac:dyDescent="0.3">
      <c r="A814">
        <f>(1 - (A811/A803))*100</f>
        <v>81.55725190839695</v>
      </c>
      <c r="B814" t="s">
        <v>150</v>
      </c>
    </row>
    <row r="815" spans="1:7" x14ac:dyDescent="0.3">
      <c r="B815" t="s">
        <v>417</v>
      </c>
    </row>
    <row r="816" spans="1:7" x14ac:dyDescent="0.3">
      <c r="B816" t="s">
        <v>420</v>
      </c>
    </row>
  </sheetData>
  <hyperlinks>
    <hyperlink ref="B779" r:id="rId1" xr:uid="{7F35CD1C-D049-4A83-943F-A5C505ED646B}"/>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C37D-151E-4386-977E-29055AD04E9C}">
  <dimension ref="A1:P800"/>
  <sheetViews>
    <sheetView tabSelected="1" workbookViewId="0">
      <selection activeCell="E5" sqref="E5"/>
    </sheetView>
  </sheetViews>
  <sheetFormatPr defaultRowHeight="14.4" x14ac:dyDescent="0.3"/>
  <cols>
    <col min="1" max="1" width="21.21875" customWidth="1"/>
  </cols>
  <sheetData>
    <row r="1" spans="1:11" x14ac:dyDescent="0.3">
      <c r="A1" t="s">
        <v>0</v>
      </c>
      <c r="B1" s="1" t="s">
        <v>601</v>
      </c>
    </row>
    <row r="2" spans="1:11" x14ac:dyDescent="0.3">
      <c r="A2" t="s">
        <v>521</v>
      </c>
    </row>
    <row r="3" spans="1:11" x14ac:dyDescent="0.3">
      <c r="A3" t="s">
        <v>155</v>
      </c>
      <c r="H3" t="s">
        <v>449</v>
      </c>
      <c r="I3">
        <f>(1.02)^35.003</f>
        <v>2.0000083653939624</v>
      </c>
    </row>
    <row r="4" spans="1:11" x14ac:dyDescent="0.3">
      <c r="H4" t="s">
        <v>558</v>
      </c>
    </row>
    <row r="5" spans="1:11" x14ac:dyDescent="0.3">
      <c r="A5" t="s">
        <v>14</v>
      </c>
      <c r="C5" t="s">
        <v>20</v>
      </c>
    </row>
    <row r="6" spans="1:11" x14ac:dyDescent="0.3">
      <c r="A6" t="s">
        <v>15</v>
      </c>
      <c r="B6" s="5">
        <f>IF(AND(B15,B64,B155,B402,B403,B410,B415,B421,B422,B427,B429,B430,B431,B449,B453,B454,B502&gt;0,B550&gt;0,B600&gt;0,B650&gt;0,B670&gt;0, B680&gt;0,B745),1,0)</f>
        <v>1</v>
      </c>
      <c r="H6" t="s">
        <v>552</v>
      </c>
    </row>
    <row r="7" spans="1:11" x14ac:dyDescent="0.3">
      <c r="A7" t="s">
        <v>16</v>
      </c>
    </row>
    <row r="8" spans="1:11" x14ac:dyDescent="0.3">
      <c r="A8" t="s">
        <v>17</v>
      </c>
      <c r="C8" t="s">
        <v>21</v>
      </c>
    </row>
    <row r="9" spans="1:11" x14ac:dyDescent="0.3">
      <c r="A9" t="s">
        <v>18</v>
      </c>
    </row>
    <row r="10" spans="1:11" x14ac:dyDescent="0.3">
      <c r="A10" t="s">
        <v>19</v>
      </c>
    </row>
    <row r="11" spans="1:11" x14ac:dyDescent="0.3">
      <c r="A11" t="s">
        <v>157</v>
      </c>
    </row>
    <row r="12" spans="1:11" x14ac:dyDescent="0.3">
      <c r="A12" t="s">
        <v>145</v>
      </c>
      <c r="B12">
        <f>B238+(B306*B308*B309)+(1*B306*B308)+B55+B142+B360</f>
        <v>12.900614539401563</v>
      </c>
      <c r="C12" t="s">
        <v>30</v>
      </c>
      <c r="D12" t="s">
        <v>468</v>
      </c>
      <c r="F12">
        <f>B12*A27</f>
        <v>42.32485220545022</v>
      </c>
      <c r="G12" t="s">
        <v>275</v>
      </c>
      <c r="H12" t="s">
        <v>388</v>
      </c>
      <c r="I12">
        <v>1.25</v>
      </c>
      <c r="K12" t="s">
        <v>555</v>
      </c>
    </row>
    <row r="14" spans="1:11" x14ac:dyDescent="0.3">
      <c r="A14" t="s">
        <v>245</v>
      </c>
      <c r="B14">
        <f>(B219+B222+((1-H14)*B272))/B301*100</f>
        <v>12.363636363636363</v>
      </c>
      <c r="C14" t="s">
        <v>150</v>
      </c>
      <c r="D14" t="s">
        <v>248</v>
      </c>
      <c r="G14" t="s">
        <v>247</v>
      </c>
      <c r="H14">
        <v>0.85</v>
      </c>
    </row>
    <row r="15" spans="1:11" x14ac:dyDescent="0.3">
      <c r="A15" t="s">
        <v>565</v>
      </c>
      <c r="B15" s="5">
        <f>IF((B14/100)&lt;E15,1,0)</f>
        <v>1</v>
      </c>
      <c r="D15" t="s">
        <v>249</v>
      </c>
      <c r="E15">
        <v>0.2</v>
      </c>
      <c r="F15" t="s">
        <v>250</v>
      </c>
    </row>
    <row r="20" spans="1:3" x14ac:dyDescent="0.3">
      <c r="A20" t="s">
        <v>11</v>
      </c>
    </row>
    <row r="21" spans="1:3" x14ac:dyDescent="0.3">
      <c r="B21" t="s">
        <v>1</v>
      </c>
      <c r="C21" t="s">
        <v>2</v>
      </c>
    </row>
    <row r="22" spans="1:3" x14ac:dyDescent="0.3">
      <c r="A22" t="s">
        <v>3</v>
      </c>
      <c r="B22" s="2">
        <v>9.8066499999999994</v>
      </c>
      <c r="C22" t="s">
        <v>4</v>
      </c>
    </row>
    <row r="23" spans="1:3" x14ac:dyDescent="0.3">
      <c r="A23" t="s">
        <v>5</v>
      </c>
      <c r="B23">
        <v>2.2046199999999998</v>
      </c>
      <c r="C23" t="s">
        <v>6</v>
      </c>
    </row>
    <row r="24" spans="1:3" x14ac:dyDescent="0.3">
      <c r="A24" t="s">
        <v>7</v>
      </c>
      <c r="B24">
        <v>264.17200000000003</v>
      </c>
      <c r="C24" t="s">
        <v>8</v>
      </c>
    </row>
    <row r="25" spans="1:3" x14ac:dyDescent="0.3">
      <c r="A25" t="s">
        <v>9</v>
      </c>
      <c r="B25" s="2">
        <f>1/0.0254</f>
        <v>39.370078740157481</v>
      </c>
      <c r="C25" t="s">
        <v>10</v>
      </c>
    </row>
    <row r="26" spans="1:3" x14ac:dyDescent="0.3">
      <c r="A26">
        <v>2.2046199999999998</v>
      </c>
      <c r="B26" t="s">
        <v>12</v>
      </c>
    </row>
    <row r="27" spans="1:3" x14ac:dyDescent="0.3">
      <c r="A27">
        <v>3.28084</v>
      </c>
      <c r="B27" t="s">
        <v>13</v>
      </c>
    </row>
    <row r="28" spans="1:3" x14ac:dyDescent="0.3">
      <c r="A28">
        <v>3.7854100000000002</v>
      </c>
      <c r="B28" t="s">
        <v>105</v>
      </c>
    </row>
    <row r="31" spans="1:3" x14ac:dyDescent="0.3">
      <c r="A31" t="s">
        <v>158</v>
      </c>
      <c r="B31">
        <v>0.85</v>
      </c>
      <c r="C31" t="s">
        <v>160</v>
      </c>
    </row>
    <row r="32" spans="1:3" x14ac:dyDescent="0.3">
      <c r="A32" t="s">
        <v>159</v>
      </c>
      <c r="B32">
        <v>0.75</v>
      </c>
      <c r="C32" t="s">
        <v>385</v>
      </c>
    </row>
    <row r="35" spans="1:4" x14ac:dyDescent="0.3">
      <c r="A35" t="s">
        <v>23</v>
      </c>
      <c r="B35">
        <f>(998.2*B36)</f>
        <v>998.2</v>
      </c>
      <c r="C35" t="s">
        <v>24</v>
      </c>
      <c r="D35" t="s">
        <v>107</v>
      </c>
    </row>
    <row r="36" spans="1:4" x14ac:dyDescent="0.3">
      <c r="A36" t="s">
        <v>103</v>
      </c>
      <c r="B36">
        <v>1</v>
      </c>
    </row>
    <row r="38" spans="1:4" x14ac:dyDescent="0.3">
      <c r="A38" t="s">
        <v>225</v>
      </c>
      <c r="B38">
        <f>SUM(B62,B76,B86,B98,B121,B151,B189,B235,B260,B279,B311)</f>
        <v>783.75348961463965</v>
      </c>
      <c r="C38" t="s">
        <v>34</v>
      </c>
      <c r="D38" t="s">
        <v>226</v>
      </c>
    </row>
    <row r="39" spans="1:4" x14ac:dyDescent="0.3">
      <c r="A39" t="s">
        <v>72</v>
      </c>
      <c r="B39">
        <f>0.01/5/A28*(1000/B35)</f>
        <v>5.292970884752333E-4</v>
      </c>
      <c r="C39" t="s">
        <v>73</v>
      </c>
      <c r="D39" t="s">
        <v>106</v>
      </c>
    </row>
    <row r="42" spans="1:4" x14ac:dyDescent="0.3">
      <c r="A42" t="s">
        <v>146</v>
      </c>
      <c r="B42">
        <v>0</v>
      </c>
      <c r="C42" t="s">
        <v>120</v>
      </c>
      <c r="D42" t="s">
        <v>147</v>
      </c>
    </row>
    <row r="43" spans="1:4" x14ac:dyDescent="0.3">
      <c r="D43" t="s">
        <v>304</v>
      </c>
    </row>
    <row r="50" spans="1:9" x14ac:dyDescent="0.3">
      <c r="A50" t="s">
        <v>45</v>
      </c>
    </row>
    <row r="51" spans="1:9" x14ac:dyDescent="0.3">
      <c r="A51" t="s">
        <v>44</v>
      </c>
    </row>
    <row r="53" spans="1:9" x14ac:dyDescent="0.3">
      <c r="A53" t="s">
        <v>390</v>
      </c>
      <c r="I53" t="s">
        <v>389</v>
      </c>
    </row>
    <row r="54" spans="1:9" x14ac:dyDescent="0.3">
      <c r="A54" t="s">
        <v>22</v>
      </c>
      <c r="B54">
        <f>B468*(B219+B222)</f>
        <v>94.050000000000011</v>
      </c>
      <c r="C54" t="s">
        <v>126</v>
      </c>
      <c r="D54" t="s">
        <v>127</v>
      </c>
      <c r="G54">
        <f>B54*B23</f>
        <v>207.34451100000001</v>
      </c>
      <c r="H54" t="s">
        <v>80</v>
      </c>
      <c r="I54" t="s">
        <v>391</v>
      </c>
    </row>
    <row r="55" spans="1:9" x14ac:dyDescent="0.3">
      <c r="A55" t="s">
        <v>95</v>
      </c>
      <c r="B55">
        <f>POWER((B59/(1*PI()*B56*B56)),1/3)</f>
        <v>0.82575753922680339</v>
      </c>
      <c r="C55" t="s">
        <v>30</v>
      </c>
      <c r="D55" t="s">
        <v>550</v>
      </c>
    </row>
    <row r="56" spans="1:9" x14ac:dyDescent="0.3">
      <c r="A56" t="s">
        <v>398</v>
      </c>
      <c r="B56">
        <f>B59/D56</f>
        <v>0.28265878581446602</v>
      </c>
      <c r="C56" t="s">
        <v>30</v>
      </c>
      <c r="D56">
        <v>0.5</v>
      </c>
      <c r="E56" t="s">
        <v>99</v>
      </c>
    </row>
    <row r="57" spans="1:9" x14ac:dyDescent="0.3">
      <c r="C57" t="s">
        <v>30</v>
      </c>
    </row>
    <row r="58" spans="1:9" x14ac:dyDescent="0.3">
      <c r="A58" t="s">
        <v>411</v>
      </c>
    </row>
    <row r="59" spans="1:9" x14ac:dyDescent="0.3">
      <c r="A59" t="s">
        <v>74</v>
      </c>
      <c r="B59">
        <f>B54/B35*B60</f>
        <v>0.14132939290723301</v>
      </c>
      <c r="C59" t="s">
        <v>34</v>
      </c>
      <c r="D59">
        <f>B24*B59</f>
        <v>37.335268383089563</v>
      </c>
      <c r="E59" t="s">
        <v>75</v>
      </c>
      <c r="G59" t="s">
        <v>392</v>
      </c>
    </row>
    <row r="60" spans="1:9" x14ac:dyDescent="0.3">
      <c r="A60" t="s">
        <v>57</v>
      </c>
      <c r="B60">
        <v>1.5</v>
      </c>
    </row>
    <row r="61" spans="1:9" x14ac:dyDescent="0.3">
      <c r="A61" t="s">
        <v>77</v>
      </c>
      <c r="C61" t="s">
        <v>78</v>
      </c>
      <c r="E61" t="s">
        <v>76</v>
      </c>
    </row>
    <row r="62" spans="1:9" x14ac:dyDescent="0.3">
      <c r="A62" t="s">
        <v>71</v>
      </c>
      <c r="B62">
        <v>0</v>
      </c>
      <c r="C62" t="s">
        <v>34</v>
      </c>
    </row>
    <row r="64" spans="1:9" x14ac:dyDescent="0.3">
      <c r="A64" t="s">
        <v>399</v>
      </c>
      <c r="B64" s="5">
        <f>IF((B56*1.05)&lt;B303,1,0)</f>
        <v>1</v>
      </c>
      <c r="D64" t="s">
        <v>400</v>
      </c>
    </row>
    <row r="65" spans="1:5" x14ac:dyDescent="0.3">
      <c r="A65" t="s">
        <v>551</v>
      </c>
    </row>
    <row r="70" spans="1:5" x14ac:dyDescent="0.3">
      <c r="A70" t="s">
        <v>156</v>
      </c>
    </row>
    <row r="71" spans="1:5" x14ac:dyDescent="0.3">
      <c r="A71" t="s">
        <v>28</v>
      </c>
      <c r="B71">
        <v>0</v>
      </c>
      <c r="C71" t="s">
        <v>30</v>
      </c>
      <c r="D71" t="s">
        <v>119</v>
      </c>
    </row>
    <row r="72" spans="1:5" x14ac:dyDescent="0.3">
      <c r="A72" t="s">
        <v>29</v>
      </c>
      <c r="B72">
        <v>6.6049999999999998E-2</v>
      </c>
      <c r="C72" t="s">
        <v>30</v>
      </c>
      <c r="D72" t="s">
        <v>32</v>
      </c>
    </row>
    <row r="73" spans="1:5" x14ac:dyDescent="0.3">
      <c r="A73" t="s">
        <v>79</v>
      </c>
      <c r="B73">
        <f>PI()*B72*B72*B71</f>
        <v>0</v>
      </c>
      <c r="C73" t="s">
        <v>34</v>
      </c>
    </row>
    <row r="75" spans="1:5" x14ac:dyDescent="0.3">
      <c r="A75" t="s">
        <v>31</v>
      </c>
      <c r="C75" t="s">
        <v>78</v>
      </c>
      <c r="D75">
        <v>25</v>
      </c>
      <c r="E75" t="s">
        <v>76</v>
      </c>
    </row>
    <row r="76" spans="1:5" x14ac:dyDescent="0.3">
      <c r="A76" t="s">
        <v>71</v>
      </c>
      <c r="C76" t="s">
        <v>34</v>
      </c>
    </row>
    <row r="80" spans="1:5" x14ac:dyDescent="0.3">
      <c r="A80" t="s">
        <v>40</v>
      </c>
    </row>
    <row r="81" spans="1:7" x14ac:dyDescent="0.3">
      <c r="A81" t="s">
        <v>28</v>
      </c>
      <c r="B81">
        <f>B71</f>
        <v>0</v>
      </c>
      <c r="C81" t="s">
        <v>30</v>
      </c>
    </row>
    <row r="82" spans="1:7" x14ac:dyDescent="0.3">
      <c r="A82" t="s">
        <v>29</v>
      </c>
      <c r="B82">
        <v>6.6049999999999998E-2</v>
      </c>
      <c r="C82" t="s">
        <v>30</v>
      </c>
    </row>
    <row r="85" spans="1:7" x14ac:dyDescent="0.3">
      <c r="A85" t="s">
        <v>31</v>
      </c>
      <c r="C85" t="s">
        <v>78</v>
      </c>
      <c r="D85">
        <v>25</v>
      </c>
      <c r="E85" t="s">
        <v>76</v>
      </c>
    </row>
    <row r="86" spans="1:7" x14ac:dyDescent="0.3">
      <c r="A86" t="s">
        <v>71</v>
      </c>
      <c r="B86">
        <v>0</v>
      </c>
      <c r="C86" t="s">
        <v>34</v>
      </c>
    </row>
    <row r="90" spans="1:7" x14ac:dyDescent="0.3">
      <c r="A90" t="s">
        <v>387</v>
      </c>
    </row>
    <row r="91" spans="1:7" x14ac:dyDescent="0.3">
      <c r="A91" t="s">
        <v>26</v>
      </c>
      <c r="B91">
        <f>B222/G91</f>
        <v>3.4833333333333334</v>
      </c>
      <c r="C91" t="s">
        <v>25</v>
      </c>
      <c r="F91" t="s">
        <v>85</v>
      </c>
      <c r="G91">
        <v>15</v>
      </c>
    </row>
    <row r="92" spans="1:7" x14ac:dyDescent="0.3">
      <c r="A92" t="s">
        <v>39</v>
      </c>
      <c r="B92">
        <f>(B238)+(2*B306)</f>
        <v>10.263762910967044</v>
      </c>
      <c r="C92" t="s">
        <v>30</v>
      </c>
      <c r="D92" t="s">
        <v>547</v>
      </c>
    </row>
    <row r="93" spans="1:7" x14ac:dyDescent="0.3">
      <c r="A93" t="s">
        <v>29</v>
      </c>
      <c r="B93">
        <f>POWER(B94/(B92*PI()),(1/2))</f>
        <v>1.0403045381550095E-2</v>
      </c>
      <c r="C93" t="s">
        <v>30</v>
      </c>
    </row>
    <row r="94" spans="1:7" x14ac:dyDescent="0.3">
      <c r="A94" t="s">
        <v>33</v>
      </c>
      <c r="B94">
        <f>B91/B35</f>
        <v>3.4896146396847659E-3</v>
      </c>
      <c r="C94" t="s">
        <v>34</v>
      </c>
    </row>
    <row r="95" spans="1:7" x14ac:dyDescent="0.3">
      <c r="A95" t="s">
        <v>53</v>
      </c>
      <c r="C95" t="s">
        <v>25</v>
      </c>
    </row>
    <row r="97" spans="1:3" x14ac:dyDescent="0.3">
      <c r="A97" t="s">
        <v>31</v>
      </c>
    </row>
    <row r="98" spans="1:3" x14ac:dyDescent="0.3">
      <c r="A98" t="s">
        <v>71</v>
      </c>
      <c r="B98">
        <f>B94</f>
        <v>3.4896146396847659E-3</v>
      </c>
      <c r="C98" t="s">
        <v>34</v>
      </c>
    </row>
    <row r="110" spans="1:3" x14ac:dyDescent="0.3">
      <c r="A110" t="s">
        <v>554</v>
      </c>
    </row>
    <row r="111" spans="1:3" x14ac:dyDescent="0.3">
      <c r="A111" t="s">
        <v>197</v>
      </c>
      <c r="B111" s="4">
        <v>2.5</v>
      </c>
      <c r="C111" t="s">
        <v>30</v>
      </c>
    </row>
    <row r="112" spans="1:3" x14ac:dyDescent="0.3">
      <c r="A112" t="s">
        <v>35</v>
      </c>
      <c r="B112">
        <v>0.2</v>
      </c>
      <c r="C112" t="s">
        <v>30</v>
      </c>
    </row>
    <row r="113" spans="1:3" x14ac:dyDescent="0.3">
      <c r="A113" t="s">
        <v>66</v>
      </c>
      <c r="B113">
        <v>0.85</v>
      </c>
    </row>
    <row r="114" spans="1:3" x14ac:dyDescent="0.3">
      <c r="A114" t="s">
        <v>70</v>
      </c>
      <c r="B114">
        <v>0.95</v>
      </c>
    </row>
    <row r="120" spans="1:3" x14ac:dyDescent="0.3">
      <c r="A120" t="s">
        <v>31</v>
      </c>
    </row>
    <row r="121" spans="1:3" x14ac:dyDescent="0.3">
      <c r="A121" t="s">
        <v>71</v>
      </c>
      <c r="B121">
        <v>0</v>
      </c>
      <c r="C121" t="s">
        <v>34</v>
      </c>
    </row>
    <row r="140" spans="1:11" x14ac:dyDescent="0.3">
      <c r="A140" t="s">
        <v>553</v>
      </c>
    </row>
    <row r="141" spans="1:11" x14ac:dyDescent="0.3">
      <c r="A141" t="s">
        <v>36</v>
      </c>
      <c r="B141">
        <f>B468*B301*B146</f>
        <v>1097.25</v>
      </c>
      <c r="C141" t="s">
        <v>25</v>
      </c>
      <c r="D141" t="s">
        <v>100</v>
      </c>
      <c r="K141" t="s">
        <v>395</v>
      </c>
    </row>
    <row r="142" spans="1:11" x14ac:dyDescent="0.3">
      <c r="A142" t="s">
        <v>37</v>
      </c>
      <c r="B142">
        <f>(B145/(1*PI()*B143*B143))</f>
        <v>0.16288632692515037</v>
      </c>
      <c r="C142" t="s">
        <v>30</v>
      </c>
    </row>
    <row r="143" spans="1:11" x14ac:dyDescent="0.3">
      <c r="A143" t="s">
        <v>397</v>
      </c>
      <c r="B143">
        <f>B145/E143</f>
        <v>1.4656381486676013</v>
      </c>
      <c r="C143" t="s">
        <v>30</v>
      </c>
      <c r="D143" t="s">
        <v>57</v>
      </c>
      <c r="E143">
        <v>0.75</v>
      </c>
    </row>
    <row r="144" spans="1:11" x14ac:dyDescent="0.3">
      <c r="C144" t="s">
        <v>30</v>
      </c>
    </row>
    <row r="145" spans="1:7" x14ac:dyDescent="0.3">
      <c r="A145" t="s">
        <v>38</v>
      </c>
      <c r="B145">
        <f>B304*B146</f>
        <v>1.0992286115007011</v>
      </c>
      <c r="C145" t="s">
        <v>34</v>
      </c>
      <c r="D145" t="s">
        <v>98</v>
      </c>
      <c r="F145">
        <f>B145*B24</f>
        <v>290.38542075736325</v>
      </c>
      <c r="G145" t="s">
        <v>75</v>
      </c>
    </row>
    <row r="146" spans="1:7" x14ac:dyDescent="0.3">
      <c r="A146" t="s">
        <v>97</v>
      </c>
      <c r="B146">
        <v>1.4</v>
      </c>
    </row>
    <row r="147" spans="1:7" x14ac:dyDescent="0.3">
      <c r="A147" t="s">
        <v>203</v>
      </c>
      <c r="B147">
        <f>B306*3*B468</f>
        <v>0.22101985389069956</v>
      </c>
      <c r="C147" t="s">
        <v>30</v>
      </c>
    </row>
    <row r="150" spans="1:7" x14ac:dyDescent="0.3">
      <c r="A150" t="s">
        <v>31</v>
      </c>
      <c r="B150">
        <f>D150*F145</f>
        <v>1451.9271037868161</v>
      </c>
      <c r="C150" t="s">
        <v>102</v>
      </c>
      <c r="D150">
        <v>5</v>
      </c>
      <c r="E150" t="s">
        <v>101</v>
      </c>
    </row>
    <row r="151" spans="1:7" x14ac:dyDescent="0.3">
      <c r="A151" t="s">
        <v>71</v>
      </c>
      <c r="B151">
        <f>F151*B141</f>
        <v>783.75</v>
      </c>
      <c r="C151" t="s">
        <v>34</v>
      </c>
      <c r="E151" t="s">
        <v>57</v>
      </c>
      <c r="F151">
        <f>(B468*B301)/B141</f>
        <v>0.7142857142857143</v>
      </c>
    </row>
    <row r="154" spans="1:7" x14ac:dyDescent="0.3">
      <c r="B154" s="5"/>
    </row>
    <row r="155" spans="1:7" x14ac:dyDescent="0.3">
      <c r="A155" t="s">
        <v>396</v>
      </c>
      <c r="B155" s="5">
        <f>IF((2*B143*1.05)&lt;(2*B303), 1, 0)</f>
        <v>1</v>
      </c>
      <c r="D155" t="s">
        <v>400</v>
      </c>
    </row>
    <row r="180" spans="1:3" x14ac:dyDescent="0.3">
      <c r="A180" t="s">
        <v>41</v>
      </c>
    </row>
    <row r="181" spans="1:3" x14ac:dyDescent="0.3">
      <c r="A181" t="s">
        <v>29</v>
      </c>
      <c r="C181" t="s">
        <v>30</v>
      </c>
    </row>
    <row r="182" spans="1:3" x14ac:dyDescent="0.3">
      <c r="A182" t="s">
        <v>28</v>
      </c>
      <c r="C182" t="s">
        <v>30</v>
      </c>
    </row>
    <row r="188" spans="1:3" x14ac:dyDescent="0.3">
      <c r="A188" t="s">
        <v>31</v>
      </c>
    </row>
    <row r="189" spans="1:3" x14ac:dyDescent="0.3">
      <c r="A189" t="s">
        <v>71</v>
      </c>
      <c r="C189" t="s">
        <v>34</v>
      </c>
    </row>
    <row r="200" spans="1:3" x14ac:dyDescent="0.3">
      <c r="A200" t="s">
        <v>125</v>
      </c>
    </row>
    <row r="201" spans="1:3" x14ac:dyDescent="0.3">
      <c r="A201" t="s">
        <v>46</v>
      </c>
      <c r="C201" t="s">
        <v>25</v>
      </c>
    </row>
    <row r="202" spans="1:3" x14ac:dyDescent="0.3">
      <c r="A202" t="s">
        <v>124</v>
      </c>
      <c r="B202">
        <v>0.4</v>
      </c>
      <c r="C202" t="s">
        <v>30</v>
      </c>
    </row>
    <row r="209" spans="1:9" x14ac:dyDescent="0.3">
      <c r="A209" t="s">
        <v>162</v>
      </c>
      <c r="B209">
        <f>0.0254/2</f>
        <v>1.2699999999999999E-2</v>
      </c>
      <c r="C209" t="s">
        <v>30</v>
      </c>
    </row>
    <row r="210" spans="1:9" x14ac:dyDescent="0.3">
      <c r="A210" t="s">
        <v>596</v>
      </c>
      <c r="B210">
        <f>POWER(2,D210)*F210</f>
        <v>32</v>
      </c>
      <c r="D210">
        <v>3</v>
      </c>
      <c r="E210" t="s">
        <v>305</v>
      </c>
      <c r="F210">
        <v>4</v>
      </c>
      <c r="G210" t="s">
        <v>306</v>
      </c>
      <c r="H210" t="s">
        <v>526</v>
      </c>
    </row>
    <row r="211" spans="1:9" x14ac:dyDescent="0.3">
      <c r="A211" t="s">
        <v>597</v>
      </c>
      <c r="B211">
        <f>POWER(2,D211)*F211</f>
        <v>32</v>
      </c>
      <c r="D211">
        <v>3</v>
      </c>
      <c r="E211" t="s">
        <v>305</v>
      </c>
      <c r="F211">
        <v>4</v>
      </c>
      <c r="G211" t="s">
        <v>306</v>
      </c>
      <c r="H211" t="s">
        <v>561</v>
      </c>
    </row>
    <row r="212" spans="1:9" x14ac:dyDescent="0.3">
      <c r="A212" t="s">
        <v>598</v>
      </c>
      <c r="B212">
        <f>POWER(2,D212)*F212</f>
        <v>12</v>
      </c>
      <c r="D212">
        <v>2</v>
      </c>
      <c r="E212" t="s">
        <v>456</v>
      </c>
      <c r="F212">
        <v>3</v>
      </c>
      <c r="G212" t="s">
        <v>306</v>
      </c>
    </row>
    <row r="213" spans="1:9" x14ac:dyDescent="0.3">
      <c r="A213" t="s">
        <v>163</v>
      </c>
      <c r="B213">
        <v>10</v>
      </c>
      <c r="C213" t="s">
        <v>25</v>
      </c>
    </row>
    <row r="214" spans="1:9" x14ac:dyDescent="0.3">
      <c r="A214" t="s">
        <v>164</v>
      </c>
      <c r="B214">
        <v>12</v>
      </c>
      <c r="C214" t="s">
        <v>25</v>
      </c>
    </row>
    <row r="215" spans="1:9" x14ac:dyDescent="0.3">
      <c r="A215" t="s">
        <v>455</v>
      </c>
      <c r="B215">
        <f>POWER(2,D215)*F215</f>
        <v>24</v>
      </c>
      <c r="D215">
        <v>2</v>
      </c>
      <c r="E215" t="s">
        <v>457</v>
      </c>
      <c r="F215">
        <v>6</v>
      </c>
      <c r="G215" t="s">
        <v>306</v>
      </c>
    </row>
    <row r="216" spans="1:9" x14ac:dyDescent="0.3">
      <c r="A216" t="s">
        <v>31</v>
      </c>
    </row>
    <row r="218" spans="1:9" x14ac:dyDescent="0.3">
      <c r="A218" t="s">
        <v>492</v>
      </c>
      <c r="B218">
        <f>B221*E218</f>
        <v>6.84</v>
      </c>
      <c r="C218" t="s">
        <v>25</v>
      </c>
      <c r="D218" t="s">
        <v>148</v>
      </c>
      <c r="E218">
        <v>0.72</v>
      </c>
      <c r="H218">
        <f>B23*B218</f>
        <v>15.079600799999998</v>
      </c>
      <c r="I218" t="s">
        <v>80</v>
      </c>
    </row>
    <row r="219" spans="1:9" x14ac:dyDescent="0.3">
      <c r="A219" t="s">
        <v>129</v>
      </c>
      <c r="B219">
        <f>B222*E219</f>
        <v>41.800000000000004</v>
      </c>
      <c r="C219" t="s">
        <v>25</v>
      </c>
      <c r="D219" t="s">
        <v>148</v>
      </c>
      <c r="E219">
        <v>0.8</v>
      </c>
      <c r="G219" t="s">
        <v>365</v>
      </c>
    </row>
    <row r="220" spans="1:9" x14ac:dyDescent="0.3">
      <c r="A220" t="s">
        <v>165</v>
      </c>
    </row>
    <row r="221" spans="1:9" x14ac:dyDescent="0.3">
      <c r="A221" t="s">
        <v>491</v>
      </c>
      <c r="B221">
        <v>9.5</v>
      </c>
      <c r="C221" t="s">
        <v>25</v>
      </c>
      <c r="D221">
        <f>B23*B221</f>
        <v>20.94389</v>
      </c>
      <c r="E221" t="s">
        <v>80</v>
      </c>
    </row>
    <row r="222" spans="1:9" x14ac:dyDescent="0.3">
      <c r="A222" t="s">
        <v>238</v>
      </c>
      <c r="B222">
        <f>B221*G222</f>
        <v>52.25</v>
      </c>
      <c r="C222" t="s">
        <v>25</v>
      </c>
      <c r="D222">
        <f>B23*B222</f>
        <v>115.19139499999999</v>
      </c>
      <c r="E222" t="s">
        <v>80</v>
      </c>
      <c r="F222" t="s">
        <v>57</v>
      </c>
      <c r="G222">
        <v>5.5</v>
      </c>
    </row>
    <row r="223" spans="1:9" x14ac:dyDescent="0.3">
      <c r="A223" t="s">
        <v>82</v>
      </c>
      <c r="B223">
        <f>B224*G223</f>
        <v>0.62665077016779991</v>
      </c>
      <c r="C223" t="s">
        <v>30</v>
      </c>
      <c r="F223" t="s">
        <v>81</v>
      </c>
      <c r="G223">
        <v>4</v>
      </c>
    </row>
    <row r="224" spans="1:9" x14ac:dyDescent="0.3">
      <c r="A224" t="s">
        <v>190</v>
      </c>
      <c r="B224">
        <f>POWER((B225/PI()/(G223+0.33333333)), 1/3)</f>
        <v>0.15666269254194998</v>
      </c>
      <c r="C224" t="s">
        <v>30</v>
      </c>
      <c r="F224" t="s">
        <v>442</v>
      </c>
    </row>
    <row r="225" spans="1:14" x14ac:dyDescent="0.3">
      <c r="A225" t="s">
        <v>441</v>
      </c>
      <c r="B225">
        <f>B222/B35</f>
        <v>5.2344219595271489E-2</v>
      </c>
      <c r="C225" t="s">
        <v>34</v>
      </c>
      <c r="D225">
        <f>B225*B24</f>
        <v>13.827877178922062</v>
      </c>
      <c r="E225" t="s">
        <v>75</v>
      </c>
    </row>
    <row r="226" spans="1:14" x14ac:dyDescent="0.3">
      <c r="A226" t="s">
        <v>58</v>
      </c>
      <c r="B226">
        <v>2.5000000000000001E-3</v>
      </c>
      <c r="C226" t="s">
        <v>30</v>
      </c>
    </row>
    <row r="227" spans="1:14" x14ac:dyDescent="0.3">
      <c r="A227" t="s">
        <v>134</v>
      </c>
      <c r="B227">
        <f>B221/((B223*PI()*POWER((B224+B226),2))+(1/3*PI()*POWER((B224+B226),3))-(((B223*PI()*POWER((B224),2))+(1/3*PI()*POWER((B224),3)))))</f>
        <v>5427.7860726629551</v>
      </c>
      <c r="C227" t="s">
        <v>24</v>
      </c>
      <c r="D227" t="s">
        <v>133</v>
      </c>
      <c r="H227" t="s">
        <v>493</v>
      </c>
    </row>
    <row r="230" spans="1:14" x14ac:dyDescent="0.3">
      <c r="A230" t="s">
        <v>167</v>
      </c>
      <c r="B230">
        <f>POWER((B231/PI()/(G223+0.33333333)), 1/3)</f>
        <v>0.14543276086928539</v>
      </c>
      <c r="C230" t="s">
        <v>30</v>
      </c>
      <c r="D230" t="s">
        <v>166</v>
      </c>
    </row>
    <row r="231" spans="1:14" x14ac:dyDescent="0.3">
      <c r="A231" t="s">
        <v>168</v>
      </c>
      <c r="B231">
        <f>B219/B35</f>
        <v>4.1875375676217193E-2</v>
      </c>
      <c r="C231" t="s">
        <v>34</v>
      </c>
    </row>
    <row r="232" spans="1:14" x14ac:dyDescent="0.3">
      <c r="A232" t="s">
        <v>169</v>
      </c>
      <c r="B232">
        <f>B230*G223</f>
        <v>0.58173104347714155</v>
      </c>
      <c r="C232" t="s">
        <v>30</v>
      </c>
    </row>
    <row r="234" spans="1:14" x14ac:dyDescent="0.3">
      <c r="A234" t="s">
        <v>83</v>
      </c>
    </row>
    <row r="235" spans="1:14" x14ac:dyDescent="0.3">
      <c r="A235" t="s">
        <v>71</v>
      </c>
      <c r="B235">
        <v>0</v>
      </c>
      <c r="C235" t="s">
        <v>34</v>
      </c>
    </row>
    <row r="236" spans="1:14" x14ac:dyDescent="0.3">
      <c r="H236" t="s">
        <v>544</v>
      </c>
      <c r="I236" t="s">
        <v>542</v>
      </c>
      <c r="J236">
        <f>B306*B210*B517</f>
        <v>7.0726353245023859</v>
      </c>
      <c r="K236" t="s">
        <v>30</v>
      </c>
      <c r="L236" t="s">
        <v>543</v>
      </c>
      <c r="M236">
        <f>(B306*B211*B517)+B280</f>
        <v>8.4909090137678866</v>
      </c>
      <c r="N236" t="s">
        <v>30</v>
      </c>
    </row>
    <row r="238" spans="1:14" x14ac:dyDescent="0.3">
      <c r="A238" t="s">
        <v>276</v>
      </c>
      <c r="B238">
        <f>(MAX((B306*B210*B517),((B306*B211*B517)+B280))*F238)+(1.5*B223)+B306+(B308*B306)</f>
        <v>10.116416341706577</v>
      </c>
      <c r="C238" t="s">
        <v>30</v>
      </c>
      <c r="E238" t="s">
        <v>57</v>
      </c>
      <c r="F238">
        <v>1.02</v>
      </c>
      <c r="H238" t="s">
        <v>201</v>
      </c>
      <c r="J238" t="s">
        <v>545</v>
      </c>
    </row>
    <row r="239" spans="1:14" x14ac:dyDescent="0.3">
      <c r="A239" t="s">
        <v>170</v>
      </c>
      <c r="B239">
        <f>(B224*2)+(B226*2)*F239</f>
        <v>0.31907538508389993</v>
      </c>
      <c r="C239" t="s">
        <v>30</v>
      </c>
      <c r="E239" t="s">
        <v>90</v>
      </c>
      <c r="F239">
        <v>1.1499999999999999</v>
      </c>
      <c r="G239" t="s">
        <v>210</v>
      </c>
    </row>
    <row r="240" spans="1:14" x14ac:dyDescent="0.3">
      <c r="A240" t="s">
        <v>87</v>
      </c>
      <c r="C240" t="s">
        <v>88</v>
      </c>
    </row>
    <row r="241" spans="1:10" x14ac:dyDescent="0.3">
      <c r="A241" t="s">
        <v>47</v>
      </c>
      <c r="B241">
        <f>B222/F241</f>
        <v>2.6124999999999998</v>
      </c>
      <c r="C241" t="s">
        <v>25</v>
      </c>
      <c r="E241" t="s">
        <v>85</v>
      </c>
      <c r="F241">
        <v>20</v>
      </c>
      <c r="J241" t="s">
        <v>232</v>
      </c>
    </row>
    <row r="242" spans="1:10" x14ac:dyDescent="0.3">
      <c r="A242" t="s">
        <v>48</v>
      </c>
      <c r="B242">
        <f>B222/F241</f>
        <v>2.6124999999999998</v>
      </c>
      <c r="C242" t="s">
        <v>25</v>
      </c>
      <c r="E242" t="s">
        <v>84</v>
      </c>
    </row>
    <row r="243" spans="1:10" x14ac:dyDescent="0.3">
      <c r="A243" t="s">
        <v>50</v>
      </c>
      <c r="B243">
        <f>B222/F243</f>
        <v>5.2249999999999996</v>
      </c>
      <c r="C243" t="s">
        <v>25</v>
      </c>
      <c r="E243" t="s">
        <v>85</v>
      </c>
      <c r="F243">
        <v>10</v>
      </c>
    </row>
    <row r="244" spans="1:10" x14ac:dyDescent="0.3">
      <c r="A244" t="s">
        <v>51</v>
      </c>
      <c r="B244">
        <f>B222/F244</f>
        <v>5.2249999999999996</v>
      </c>
      <c r="C244" t="s">
        <v>25</v>
      </c>
      <c r="E244" t="s">
        <v>85</v>
      </c>
      <c r="F244">
        <v>10</v>
      </c>
    </row>
    <row r="245" spans="1:10" x14ac:dyDescent="0.3">
      <c r="A245" t="s">
        <v>345</v>
      </c>
      <c r="B245">
        <f>F245*B238</f>
        <v>57.205138488752532</v>
      </c>
      <c r="C245" t="s">
        <v>30</v>
      </c>
      <c r="E245" t="s">
        <v>86</v>
      </c>
      <c r="F245">
        <f>(1 + (D210*(1/F210)) + (3*B290*B468) + (2*B303))</f>
        <v>5.6546840854023586</v>
      </c>
      <c r="H245" t="s">
        <v>171</v>
      </c>
    </row>
    <row r="246" spans="1:10" x14ac:dyDescent="0.3">
      <c r="A246" t="s">
        <v>313</v>
      </c>
      <c r="B246">
        <v>3</v>
      </c>
      <c r="C246" t="s">
        <v>175</v>
      </c>
      <c r="E246" t="s">
        <v>529</v>
      </c>
    </row>
    <row r="247" spans="1:10" x14ac:dyDescent="0.3">
      <c r="A247" t="s">
        <v>535</v>
      </c>
      <c r="B247">
        <v>0.4</v>
      </c>
      <c r="C247" t="s">
        <v>534</v>
      </c>
      <c r="E247" t="s">
        <v>536</v>
      </c>
    </row>
    <row r="250" spans="1:10" x14ac:dyDescent="0.3">
      <c r="A250" t="s">
        <v>69</v>
      </c>
    </row>
    <row r="251" spans="1:10" x14ac:dyDescent="0.3">
      <c r="A251" t="s">
        <v>65</v>
      </c>
    </row>
    <row r="252" spans="1:10" x14ac:dyDescent="0.3">
      <c r="A252" t="s">
        <v>64</v>
      </c>
    </row>
    <row r="253" spans="1:10" x14ac:dyDescent="0.3">
      <c r="A253" t="s">
        <v>67</v>
      </c>
    </row>
    <row r="254" spans="1:10" x14ac:dyDescent="0.3">
      <c r="A254" t="s">
        <v>64</v>
      </c>
    </row>
    <row r="255" spans="1:10" x14ac:dyDescent="0.3">
      <c r="A255" t="s">
        <v>68</v>
      </c>
    </row>
    <row r="256" spans="1:10" x14ac:dyDescent="0.3">
      <c r="A256" t="s">
        <v>64</v>
      </c>
    </row>
    <row r="259" spans="1:8" x14ac:dyDescent="0.3">
      <c r="A259" t="s">
        <v>17</v>
      </c>
    </row>
    <row r="260" spans="1:8" x14ac:dyDescent="0.3">
      <c r="A260" t="s">
        <v>71</v>
      </c>
      <c r="C260" t="s">
        <v>34</v>
      </c>
    </row>
    <row r="270" spans="1:8" x14ac:dyDescent="0.3">
      <c r="A270" t="s">
        <v>191</v>
      </c>
    </row>
    <row r="271" spans="1:8" x14ac:dyDescent="0.3">
      <c r="A271" t="s">
        <v>43</v>
      </c>
      <c r="B271">
        <f>B221</f>
        <v>9.5</v>
      </c>
      <c r="C271" t="s">
        <v>25</v>
      </c>
      <c r="D271">
        <f>B23*B271</f>
        <v>20.94389</v>
      </c>
      <c r="E271" t="s">
        <v>80</v>
      </c>
    </row>
    <row r="272" spans="1:8" x14ac:dyDescent="0.3">
      <c r="A272" t="s">
        <v>42</v>
      </c>
      <c r="B272">
        <f>B222/H272</f>
        <v>19</v>
      </c>
      <c r="C272" t="s">
        <v>25</v>
      </c>
      <c r="D272">
        <f>B23*B272</f>
        <v>41.887779999999999</v>
      </c>
      <c r="E272" t="s">
        <v>80</v>
      </c>
      <c r="G272" t="s">
        <v>599</v>
      </c>
      <c r="H272">
        <v>2.75</v>
      </c>
    </row>
    <row r="273" spans="1:7" x14ac:dyDescent="0.3">
      <c r="A273" t="s">
        <v>227</v>
      </c>
      <c r="B273">
        <f>B274*G273</f>
        <v>0.36612024278116068</v>
      </c>
      <c r="C273" t="s">
        <v>30</v>
      </c>
      <c r="F273" t="s">
        <v>81</v>
      </c>
      <c r="G273">
        <v>3</v>
      </c>
    </row>
    <row r="274" spans="1:7" x14ac:dyDescent="0.3">
      <c r="A274" t="s">
        <v>228</v>
      </c>
      <c r="B274">
        <f>POWER((B275/PI()/(G273+0.333333)), 1/3)</f>
        <v>0.12204008092705355</v>
      </c>
      <c r="C274" t="s">
        <v>30</v>
      </c>
      <c r="F274" t="s">
        <v>442</v>
      </c>
    </row>
    <row r="275" spans="1:7" x14ac:dyDescent="0.3">
      <c r="A275" t="s">
        <v>229</v>
      </c>
      <c r="B275">
        <f>B272/B35</f>
        <v>1.9034261671007812E-2</v>
      </c>
      <c r="C275" t="s">
        <v>34</v>
      </c>
      <c r="D275">
        <f>B275*B24</f>
        <v>5.0283189741534766</v>
      </c>
      <c r="E275" t="s">
        <v>75</v>
      </c>
    </row>
    <row r="276" spans="1:7" x14ac:dyDescent="0.3">
      <c r="A276" t="s">
        <v>58</v>
      </c>
      <c r="B276">
        <v>2.5000000000000001E-3</v>
      </c>
      <c r="C276" t="s">
        <v>30</v>
      </c>
    </row>
    <row r="277" spans="1:7" x14ac:dyDescent="0.3">
      <c r="A277" t="s">
        <v>134</v>
      </c>
      <c r="B277">
        <f>B271/((B273*PI()*POWER((B274+B276),2))+(1/3*PI()*POWER((B274+B276),3))-(((B273*PI()*POWER((B274),2))+(1/3*PI()*POWER((B274),3)))))</f>
        <v>11467.477881463832</v>
      </c>
      <c r="C277" t="s">
        <v>24</v>
      </c>
      <c r="D277" t="s">
        <v>133</v>
      </c>
    </row>
    <row r="280" spans="1:7" x14ac:dyDescent="0.3">
      <c r="A280" t="s">
        <v>243</v>
      </c>
      <c r="B280">
        <f>((B281*B212*E280)+(B273+(2*B274))+((1)*B306*1))</f>
        <v>1.418273689265501</v>
      </c>
      <c r="C280" t="s">
        <v>30</v>
      </c>
      <c r="D280" t="s">
        <v>57</v>
      </c>
      <c r="E280">
        <v>1.02</v>
      </c>
    </row>
    <row r="281" spans="1:7" x14ac:dyDescent="0.3">
      <c r="A281" t="s">
        <v>244</v>
      </c>
      <c r="B281">
        <v>0.06</v>
      </c>
      <c r="C281" t="s">
        <v>30</v>
      </c>
      <c r="D281" t="s">
        <v>57</v>
      </c>
    </row>
    <row r="284" spans="1:7" x14ac:dyDescent="0.3">
      <c r="A284" t="s">
        <v>378</v>
      </c>
      <c r="B284">
        <f>B271*G284</f>
        <v>28.5</v>
      </c>
      <c r="C284" t="s">
        <v>25</v>
      </c>
      <c r="D284">
        <f>B23*B284</f>
        <v>62.831669999999995</v>
      </c>
      <c r="E284" t="s">
        <v>80</v>
      </c>
      <c r="F284" t="s">
        <v>528</v>
      </c>
      <c r="G284">
        <v>3</v>
      </c>
    </row>
    <row r="289" spans="1:10" x14ac:dyDescent="0.3">
      <c r="A289" t="s">
        <v>230</v>
      </c>
      <c r="D289" t="s">
        <v>231</v>
      </c>
    </row>
    <row r="290" spans="1:10" x14ac:dyDescent="0.3">
      <c r="A290" t="s">
        <v>200</v>
      </c>
      <c r="B290">
        <f>B302/2</f>
        <v>7.3673284630233191E-2</v>
      </c>
      <c r="C290" t="s">
        <v>30</v>
      </c>
      <c r="D290" t="s">
        <v>122</v>
      </c>
    </row>
    <row r="300" spans="1:10" x14ac:dyDescent="0.3">
      <c r="A300" t="s">
        <v>525</v>
      </c>
    </row>
    <row r="301" spans="1:10" x14ac:dyDescent="0.3">
      <c r="A301" t="s">
        <v>52</v>
      </c>
      <c r="B301">
        <f>B222*G301</f>
        <v>783.75</v>
      </c>
      <c r="C301" t="s">
        <v>25</v>
      </c>
      <c r="D301">
        <f>B301*B23</f>
        <v>1727.8709249999999</v>
      </c>
      <c r="E301" t="s">
        <v>80</v>
      </c>
      <c r="F301" t="s">
        <v>199</v>
      </c>
      <c r="G301">
        <v>15</v>
      </c>
      <c r="I301">
        <f>B301/B35*B24</f>
        <v>207.41815768383088</v>
      </c>
      <c r="J301" t="s">
        <v>75</v>
      </c>
    </row>
    <row r="302" spans="1:10" x14ac:dyDescent="0.3">
      <c r="A302" t="s">
        <v>524</v>
      </c>
      <c r="B302">
        <f>B306*2</f>
        <v>0.14734656926046638</v>
      </c>
      <c r="C302" t="s">
        <v>30</v>
      </c>
    </row>
    <row r="303" spans="1:10" x14ac:dyDescent="0.3">
      <c r="A303" t="s">
        <v>277</v>
      </c>
      <c r="B303">
        <f>POWER((B304/(D307*PI())),(1/3))</f>
        <v>1.8418321157558297</v>
      </c>
      <c r="C303" t="s">
        <v>30</v>
      </c>
      <c r="D303" t="s">
        <v>278</v>
      </c>
    </row>
    <row r="304" spans="1:10" x14ac:dyDescent="0.3">
      <c r="A304" t="s">
        <v>94</v>
      </c>
      <c r="B304">
        <f>B301/B35</f>
        <v>0.78516329392907225</v>
      </c>
      <c r="C304" t="s">
        <v>34</v>
      </c>
      <c r="D304">
        <f>B24*B304</f>
        <v>207.41815768383088</v>
      </c>
      <c r="E304" t="s">
        <v>75</v>
      </c>
      <c r="F304" t="s">
        <v>121</v>
      </c>
    </row>
    <row r="305" spans="1:12" x14ac:dyDescent="0.3">
      <c r="F305" t="s">
        <v>30</v>
      </c>
    </row>
    <row r="306" spans="1:12" x14ac:dyDescent="0.3">
      <c r="A306" t="s">
        <v>123</v>
      </c>
      <c r="B306">
        <f>B303*D307</f>
        <v>7.3673284630233191E-2</v>
      </c>
      <c r="C306" t="s">
        <v>30</v>
      </c>
      <c r="D306" t="s">
        <v>122</v>
      </c>
    </row>
    <row r="307" spans="1:12" x14ac:dyDescent="0.3">
      <c r="D307">
        <v>0.04</v>
      </c>
      <c r="E307" t="s">
        <v>104</v>
      </c>
    </row>
    <row r="308" spans="1:12" x14ac:dyDescent="0.3">
      <c r="A308" t="s">
        <v>241</v>
      </c>
      <c r="B308">
        <f>5.715+0.285</f>
        <v>6</v>
      </c>
      <c r="D308" t="s">
        <v>522</v>
      </c>
    </row>
    <row r="309" spans="1:12" x14ac:dyDescent="0.3">
      <c r="A309" t="s">
        <v>546</v>
      </c>
      <c r="B309">
        <v>0</v>
      </c>
      <c r="C309" t="s">
        <v>566</v>
      </c>
      <c r="D309" t="s">
        <v>548</v>
      </c>
    </row>
    <row r="310" spans="1:12" x14ac:dyDescent="0.3">
      <c r="A310" t="s">
        <v>17</v>
      </c>
    </row>
    <row r="311" spans="1:12" x14ac:dyDescent="0.3">
      <c r="A311" t="s">
        <v>71</v>
      </c>
      <c r="C311" t="s">
        <v>34</v>
      </c>
    </row>
    <row r="312" spans="1:12" x14ac:dyDescent="0.3">
      <c r="D312" s="7"/>
    </row>
    <row r="319" spans="1:12" x14ac:dyDescent="0.3">
      <c r="D319" t="s">
        <v>379</v>
      </c>
      <c r="F319" t="s">
        <v>374</v>
      </c>
    </row>
    <row r="320" spans="1:12" x14ac:dyDescent="0.3">
      <c r="A320" t="s">
        <v>173</v>
      </c>
      <c r="B320">
        <f>G325*D320</f>
        <v>193.28597040825659</v>
      </c>
      <c r="C320" t="s">
        <v>25</v>
      </c>
      <c r="D320">
        <v>1.0900000000000001</v>
      </c>
      <c r="E320" t="s">
        <v>376</v>
      </c>
      <c r="F320">
        <v>13</v>
      </c>
      <c r="G320" t="s">
        <v>377</v>
      </c>
      <c r="J320">
        <f>B320*A26</f>
        <v>426.1221160814506</v>
      </c>
      <c r="K320" t="s">
        <v>80</v>
      </c>
      <c r="L320" t="s">
        <v>375</v>
      </c>
    </row>
    <row r="321" spans="1:11" x14ac:dyDescent="0.3">
      <c r="A321" t="s">
        <v>27</v>
      </c>
      <c r="B321">
        <f>(B306*F321)+F326</f>
        <v>9.0407941556279833E-2</v>
      </c>
      <c r="C321" t="s">
        <v>30</v>
      </c>
      <c r="E321" t="s">
        <v>57</v>
      </c>
      <c r="F321">
        <v>1.2</v>
      </c>
    </row>
    <row r="322" spans="1:11" x14ac:dyDescent="0.3">
      <c r="A322" t="s">
        <v>372</v>
      </c>
      <c r="B322">
        <f>B303*F322</f>
        <v>1.8049954734407132</v>
      </c>
      <c r="C322" t="s">
        <v>30</v>
      </c>
      <c r="E322" t="s">
        <v>369</v>
      </c>
      <c r="F322">
        <v>0.98</v>
      </c>
      <c r="H322" t="s">
        <v>370</v>
      </c>
    </row>
    <row r="323" spans="1:11" x14ac:dyDescent="0.3">
      <c r="A323" t="s">
        <v>54</v>
      </c>
      <c r="B323">
        <f>B320*F323</f>
        <v>48.321492602064147</v>
      </c>
      <c r="C323" t="s">
        <v>25</v>
      </c>
      <c r="E323" t="s">
        <v>89</v>
      </c>
      <c r="F323">
        <v>0.25</v>
      </c>
      <c r="G323" t="s">
        <v>131</v>
      </c>
      <c r="J323">
        <f>B323*A26</f>
        <v>106.53052902036265</v>
      </c>
      <c r="K323" t="s">
        <v>80</v>
      </c>
    </row>
    <row r="325" spans="1:11" x14ac:dyDescent="0.3">
      <c r="F325" t="s">
        <v>371</v>
      </c>
      <c r="G325">
        <f>((B322*B322*PI()*(B321-F326))-((B322-F326)*(B322-F326)*PI()*(B321-F326))+(B322*B322*PI()*F326))*G417</f>
        <v>177.3265783561987</v>
      </c>
      <c r="H325" t="s">
        <v>25</v>
      </c>
      <c r="I325" t="s">
        <v>523</v>
      </c>
    </row>
    <row r="326" spans="1:11" x14ac:dyDescent="0.3">
      <c r="F326">
        <v>2E-3</v>
      </c>
      <c r="G326" t="s">
        <v>30</v>
      </c>
    </row>
    <row r="329" spans="1:11" x14ac:dyDescent="0.3">
      <c r="A329" t="s">
        <v>93</v>
      </c>
    </row>
    <row r="330" spans="1:11" x14ac:dyDescent="0.3">
      <c r="A330" t="s">
        <v>110</v>
      </c>
      <c r="B330" t="s">
        <v>198</v>
      </c>
      <c r="C330" t="s">
        <v>25</v>
      </c>
      <c r="E330" t="s">
        <v>85</v>
      </c>
      <c r="F330">
        <v>8</v>
      </c>
      <c r="G330" t="s">
        <v>109</v>
      </c>
    </row>
    <row r="331" spans="1:11" x14ac:dyDescent="0.3">
      <c r="A331" t="s">
        <v>91</v>
      </c>
      <c r="C331" t="s">
        <v>30</v>
      </c>
    </row>
    <row r="332" spans="1:11" x14ac:dyDescent="0.3">
      <c r="A332" t="s">
        <v>92</v>
      </c>
      <c r="C332" t="s">
        <v>30</v>
      </c>
    </row>
    <row r="350" spans="1:7" x14ac:dyDescent="0.3">
      <c r="A350" t="s">
        <v>440</v>
      </c>
    </row>
    <row r="351" spans="1:7" x14ac:dyDescent="0.3">
      <c r="A351" t="s">
        <v>43</v>
      </c>
      <c r="B351">
        <v>2.5</v>
      </c>
      <c r="C351" t="s">
        <v>25</v>
      </c>
      <c r="D351">
        <f>B351*B23</f>
        <v>5.5115499999999997</v>
      </c>
      <c r="E351" t="s">
        <v>80</v>
      </c>
    </row>
    <row r="352" spans="1:7" x14ac:dyDescent="0.3">
      <c r="A352" t="s">
        <v>42</v>
      </c>
      <c r="B352">
        <f>G352*B351</f>
        <v>15</v>
      </c>
      <c r="C352" t="s">
        <v>25</v>
      </c>
      <c r="D352">
        <f>B352*B23</f>
        <v>33.069299999999998</v>
      </c>
      <c r="E352" t="s">
        <v>80</v>
      </c>
      <c r="F352" t="s">
        <v>57</v>
      </c>
      <c r="G352">
        <v>6</v>
      </c>
    </row>
    <row r="353" spans="1:7" x14ac:dyDescent="0.3">
      <c r="A353" t="s">
        <v>444</v>
      </c>
      <c r="B353">
        <f>B352/B35</f>
        <v>1.5027048687637747E-2</v>
      </c>
      <c r="C353" t="s">
        <v>34</v>
      </c>
      <c r="D353">
        <f>B353*B24</f>
        <v>3.9697255059106391</v>
      </c>
      <c r="E353" t="s">
        <v>75</v>
      </c>
      <c r="F353" t="s">
        <v>443</v>
      </c>
    </row>
    <row r="354" spans="1:7" x14ac:dyDescent="0.3">
      <c r="A354" t="s">
        <v>445</v>
      </c>
      <c r="B354">
        <f>POWER((B353/PI()/(G355+0.333333)), 1/3)</f>
        <v>0.11279288531346945</v>
      </c>
      <c r="C354" t="s">
        <v>30</v>
      </c>
      <c r="F354" t="s">
        <v>442</v>
      </c>
    </row>
    <row r="355" spans="1:7" x14ac:dyDescent="0.3">
      <c r="A355" t="s">
        <v>446</v>
      </c>
      <c r="B355">
        <f>B354*G355</f>
        <v>0.33837865594040839</v>
      </c>
      <c r="C355" t="s">
        <v>30</v>
      </c>
      <c r="F355" t="s">
        <v>81</v>
      </c>
      <c r="G355">
        <v>3</v>
      </c>
    </row>
    <row r="356" spans="1:7" x14ac:dyDescent="0.3">
      <c r="A356" t="s">
        <v>58</v>
      </c>
      <c r="B356">
        <v>1E-3</v>
      </c>
      <c r="C356" t="s">
        <v>30</v>
      </c>
    </row>
    <row r="357" spans="1:7" x14ac:dyDescent="0.3">
      <c r="A357" t="s">
        <v>447</v>
      </c>
      <c r="B357">
        <f>B351/((PI()*POWER(B354+B356,3)*(G355+0.33333))-((PI()*POWER(B354,3)*(G355+0.33333))))</f>
        <v>6199.8684655945372</v>
      </c>
      <c r="C357" t="s">
        <v>24</v>
      </c>
      <c r="F357" t="s">
        <v>448</v>
      </c>
    </row>
    <row r="359" spans="1:7" x14ac:dyDescent="0.3">
      <c r="A359" t="s">
        <v>378</v>
      </c>
      <c r="B359">
        <v>10</v>
      </c>
      <c r="C359" t="s">
        <v>25</v>
      </c>
      <c r="D359">
        <f>B359*B23</f>
        <v>22.046199999999999</v>
      </c>
      <c r="E359" t="s">
        <v>80</v>
      </c>
    </row>
    <row r="360" spans="1:7" x14ac:dyDescent="0.3">
      <c r="A360" t="s">
        <v>466</v>
      </c>
      <c r="B360">
        <f>B355*E360</f>
        <v>1.3535146237616336</v>
      </c>
      <c r="C360" t="s">
        <v>30</v>
      </c>
      <c r="D360" t="s">
        <v>57</v>
      </c>
      <c r="E360">
        <f>3+1</f>
        <v>4</v>
      </c>
      <c r="G360" t="s">
        <v>467</v>
      </c>
    </row>
    <row r="362" spans="1:7" x14ac:dyDescent="0.3">
      <c r="D362" t="s">
        <v>469</v>
      </c>
    </row>
    <row r="400" spans="1:1" x14ac:dyDescent="0.3">
      <c r="A400" t="s">
        <v>279</v>
      </c>
    </row>
    <row r="402" spans="1:9" x14ac:dyDescent="0.3">
      <c r="A402" t="s">
        <v>55</v>
      </c>
      <c r="B402" s="3">
        <f>IF(B54&lt;B141,1,0)</f>
        <v>1</v>
      </c>
    </row>
    <row r="403" spans="1:9" x14ac:dyDescent="0.3">
      <c r="A403" t="s">
        <v>56</v>
      </c>
      <c r="B403" s="3">
        <f>IF((B141-B54)&gt;(E403*B54),1,0)</f>
        <v>1</v>
      </c>
      <c r="D403" t="s">
        <v>57</v>
      </c>
      <c r="E403">
        <v>0.1</v>
      </c>
    </row>
    <row r="407" spans="1:9" x14ac:dyDescent="0.3">
      <c r="A407" t="s">
        <v>130</v>
      </c>
    </row>
    <row r="410" spans="1:9" x14ac:dyDescent="0.3">
      <c r="A410" t="s">
        <v>132</v>
      </c>
      <c r="B410" s="3">
        <f>IF(((B221+B222)*5)&gt;B323,1,0)</f>
        <v>1</v>
      </c>
      <c r="D410" t="s">
        <v>57</v>
      </c>
      <c r="E410">
        <v>5</v>
      </c>
    </row>
    <row r="415" spans="1:9" x14ac:dyDescent="0.3">
      <c r="A415" t="s">
        <v>531</v>
      </c>
      <c r="B415" s="3">
        <f>IF(AND(B227&gt;1000,B227&lt;19450),1,0)</f>
        <v>1</v>
      </c>
      <c r="C415" t="s">
        <v>59</v>
      </c>
    </row>
    <row r="416" spans="1:9" x14ac:dyDescent="0.3">
      <c r="A416" t="s">
        <v>533</v>
      </c>
      <c r="B416" s="3">
        <f>IF(AND(B227&gt;(G416*(1-D416)),B227&lt;(G416*(1+D416))),1,0)</f>
        <v>0</v>
      </c>
      <c r="C416" t="s">
        <v>135</v>
      </c>
      <c r="D416">
        <v>0.25</v>
      </c>
      <c r="F416" t="s">
        <v>149</v>
      </c>
      <c r="G416">
        <v>7750</v>
      </c>
      <c r="H416" t="s">
        <v>24</v>
      </c>
      <c r="I416" t="s">
        <v>532</v>
      </c>
    </row>
    <row r="417" spans="1:8" x14ac:dyDescent="0.3">
      <c r="F417" t="s">
        <v>368</v>
      </c>
      <c r="G417">
        <v>7890</v>
      </c>
      <c r="H417" t="s">
        <v>24</v>
      </c>
    </row>
    <row r="420" spans="1:8" x14ac:dyDescent="0.3">
      <c r="B420" s="3"/>
    </row>
    <row r="421" spans="1:8" x14ac:dyDescent="0.3">
      <c r="A421" t="s">
        <v>530</v>
      </c>
      <c r="B421" s="3">
        <f>IF(B239&gt;((B224*2)+(B226*2)),1,0)</f>
        <v>1</v>
      </c>
    </row>
    <row r="422" spans="1:8" x14ac:dyDescent="0.3">
      <c r="A422" t="s">
        <v>153</v>
      </c>
      <c r="B422" s="3">
        <f>IF(((B224+B226+(2*B230))/B239)&gt;E422,1,0)</f>
        <v>1</v>
      </c>
      <c r="D422" t="s">
        <v>151</v>
      </c>
      <c r="E422">
        <v>0.18</v>
      </c>
      <c r="F422" t="s">
        <v>152</v>
      </c>
      <c r="G422">
        <f>E422*100</f>
        <v>18</v>
      </c>
      <c r="H422" t="s">
        <v>150</v>
      </c>
    </row>
    <row r="423" spans="1:8" x14ac:dyDescent="0.3">
      <c r="B423">
        <f>(B224+B226+(2*B230))/B239*100</f>
        <v>141.04134487283849</v>
      </c>
      <c r="C423" t="s">
        <v>150</v>
      </c>
    </row>
    <row r="427" spans="1:8" x14ac:dyDescent="0.3">
      <c r="A427" t="s">
        <v>142</v>
      </c>
      <c r="B427" s="3">
        <f>IF(AND(B93&gt;0.0005,B93&lt;500),1,0)</f>
        <v>1</v>
      </c>
    </row>
    <row r="429" spans="1:8" x14ac:dyDescent="0.3">
      <c r="A429" t="s">
        <v>140</v>
      </c>
      <c r="B429" s="3">
        <f>IF(B238&gt;B223,1,0)</f>
        <v>1</v>
      </c>
    </row>
    <row r="430" spans="1:8" x14ac:dyDescent="0.3">
      <c r="A430" t="s">
        <v>141</v>
      </c>
      <c r="B430" s="3">
        <f>IF(B238&gt;B306,1,0)</f>
        <v>1</v>
      </c>
    </row>
    <row r="431" spans="1:8" x14ac:dyDescent="0.3">
      <c r="A431" t="s">
        <v>139</v>
      </c>
      <c r="B431" s="3">
        <f>IF(B238&gt;(B223+B306),1,0)</f>
        <v>1</v>
      </c>
    </row>
    <row r="435" spans="1:1" x14ac:dyDescent="0.3">
      <c r="A435" t="s">
        <v>143</v>
      </c>
    </row>
    <row r="449" spans="1:5" x14ac:dyDescent="0.3">
      <c r="A449" t="s">
        <v>192</v>
      </c>
      <c r="B449" s="5">
        <f>IF((B22*E630)&gt;((B22*E631)+((B271+(E451*B272))*((B212*(B31^(F212+D212))*B32)))),1,0)</f>
        <v>1</v>
      </c>
      <c r="D449" t="s">
        <v>193</v>
      </c>
    </row>
    <row r="450" spans="1:5" x14ac:dyDescent="0.3">
      <c r="D450" t="s">
        <v>194</v>
      </c>
    </row>
    <row r="451" spans="1:5" x14ac:dyDescent="0.3">
      <c r="D451" t="s">
        <v>195</v>
      </c>
      <c r="E451">
        <v>0.01</v>
      </c>
    </row>
    <row r="453" spans="1:5" x14ac:dyDescent="0.3">
      <c r="A453" t="s">
        <v>61</v>
      </c>
      <c r="B453" s="3">
        <f>IF(B502&gt;0,1,0)</f>
        <v>1</v>
      </c>
    </row>
    <row r="454" spans="1:5" x14ac:dyDescent="0.3">
      <c r="A454" t="s">
        <v>62</v>
      </c>
      <c r="B454" s="3">
        <f>IF(B550&gt;0,1,0)</f>
        <v>1</v>
      </c>
    </row>
    <row r="456" spans="1:5" x14ac:dyDescent="0.3">
      <c r="A456" t="s">
        <v>63</v>
      </c>
      <c r="B456" t="s">
        <v>137</v>
      </c>
      <c r="C456" t="s">
        <v>138</v>
      </c>
    </row>
    <row r="458" spans="1:5" x14ac:dyDescent="0.3">
      <c r="A458" t="s">
        <v>60</v>
      </c>
      <c r="B458" t="s">
        <v>137</v>
      </c>
    </row>
    <row r="463" spans="1:5" x14ac:dyDescent="0.3">
      <c r="A463" t="s">
        <v>470</v>
      </c>
    </row>
    <row r="464" spans="1:5" x14ac:dyDescent="0.3">
      <c r="A464" t="s">
        <v>31</v>
      </c>
      <c r="B464" t="s">
        <v>137</v>
      </c>
    </row>
    <row r="468" spans="1:4" x14ac:dyDescent="0.3">
      <c r="A468" t="s">
        <v>202</v>
      </c>
      <c r="B468">
        <v>1</v>
      </c>
      <c r="D468" t="s">
        <v>562</v>
      </c>
    </row>
    <row r="469" spans="1:4" x14ac:dyDescent="0.3">
      <c r="A469" t="s">
        <v>401</v>
      </c>
      <c r="B469">
        <v>1</v>
      </c>
      <c r="D469" t="s">
        <v>402</v>
      </c>
    </row>
    <row r="500" spans="1:12" x14ac:dyDescent="0.3">
      <c r="A500" t="s">
        <v>246</v>
      </c>
      <c r="D500" t="s">
        <v>339</v>
      </c>
      <c r="E500">
        <v>5</v>
      </c>
      <c r="F500" t="s">
        <v>337</v>
      </c>
      <c r="G500">
        <v>0.85</v>
      </c>
      <c r="I500" t="s">
        <v>340</v>
      </c>
      <c r="J500">
        <v>6</v>
      </c>
      <c r="K500" t="s">
        <v>337</v>
      </c>
      <c r="L500">
        <v>0.85</v>
      </c>
    </row>
    <row r="502" spans="1:12" x14ac:dyDescent="0.3">
      <c r="A502" t="s">
        <v>185</v>
      </c>
      <c r="B502" s="3">
        <f>(((SUM(B504:B508))*(B210*((B31^(F210+D210)))*(G500^E500)*B32)*B509)+((SUM(B515,B523))/B517)+B516+SUM(B524:B529))</f>
        <v>76.7176906963345</v>
      </c>
      <c r="C502" t="s">
        <v>108</v>
      </c>
      <c r="D502" t="s">
        <v>205</v>
      </c>
    </row>
    <row r="503" spans="1:12" x14ac:dyDescent="0.3">
      <c r="D503" t="s">
        <v>236</v>
      </c>
    </row>
    <row r="504" spans="1:12" x14ac:dyDescent="0.3">
      <c r="A504" t="s">
        <v>183</v>
      </c>
      <c r="B504" s="3">
        <f>B22*B218</f>
        <v>67.077485999999993</v>
      </c>
      <c r="C504" t="s">
        <v>108</v>
      </c>
      <c r="D504" t="s">
        <v>206</v>
      </c>
    </row>
    <row r="505" spans="1:12" x14ac:dyDescent="0.3">
      <c r="A505" t="s">
        <v>172</v>
      </c>
      <c r="B505" s="3">
        <f>B22*B219</f>
        <v>409.91797000000003</v>
      </c>
      <c r="C505" t="s">
        <v>108</v>
      </c>
      <c r="D505" t="s">
        <v>207</v>
      </c>
    </row>
    <row r="506" spans="1:12" x14ac:dyDescent="0.3">
      <c r="B506" s="3"/>
    </row>
    <row r="509" spans="1:12" x14ac:dyDescent="0.3">
      <c r="A509" t="s">
        <v>436</v>
      </c>
      <c r="B509">
        <v>0.8</v>
      </c>
      <c r="C509" t="s">
        <v>437</v>
      </c>
      <c r="E509" t="s">
        <v>438</v>
      </c>
    </row>
    <row r="515" spans="1:13" x14ac:dyDescent="0.3">
      <c r="A515" t="s">
        <v>209</v>
      </c>
      <c r="B515" s="3">
        <f>(-1)*B22*B320</f>
        <v>-1895.4878617041293</v>
      </c>
      <c r="C515" t="s">
        <v>108</v>
      </c>
      <c r="D515" t="s">
        <v>208</v>
      </c>
    </row>
    <row r="516" spans="1:13" x14ac:dyDescent="0.3">
      <c r="A516" t="s">
        <v>539</v>
      </c>
      <c r="B516" s="3">
        <f>(-1)*B238*B246*0</f>
        <v>0</v>
      </c>
      <c r="C516" t="s">
        <v>108</v>
      </c>
      <c r="D516" t="s">
        <v>540</v>
      </c>
    </row>
    <row r="517" spans="1:13" x14ac:dyDescent="0.3">
      <c r="A517" t="s">
        <v>560</v>
      </c>
      <c r="B517">
        <v>3</v>
      </c>
    </row>
    <row r="518" spans="1:13" x14ac:dyDescent="0.3">
      <c r="B518" s="3"/>
      <c r="D518" t="s">
        <v>178</v>
      </c>
    </row>
    <row r="519" spans="1:13" x14ac:dyDescent="0.3">
      <c r="A519" t="s">
        <v>128</v>
      </c>
      <c r="B519" s="3">
        <f>(-1)*0</f>
        <v>0</v>
      </c>
      <c r="C519" t="s">
        <v>108</v>
      </c>
      <c r="D519" t="s">
        <v>176</v>
      </c>
    </row>
    <row r="523" spans="1:13" x14ac:dyDescent="0.3">
      <c r="A523" t="s">
        <v>111</v>
      </c>
      <c r="B523" s="3">
        <f>(-1)*B22*F523</f>
        <v>-473.87196542603232</v>
      </c>
      <c r="C523" t="s">
        <v>108</v>
      </c>
      <c r="E523" t="s">
        <v>112</v>
      </c>
      <c r="F523">
        <f>B323</f>
        <v>48.321492602064147</v>
      </c>
      <c r="G523" t="s">
        <v>25</v>
      </c>
      <c r="H523" t="s">
        <v>174</v>
      </c>
      <c r="J523">
        <f>F523*B23</f>
        <v>106.53052902036265</v>
      </c>
      <c r="K523" t="s">
        <v>80</v>
      </c>
      <c r="L523">
        <v>320</v>
      </c>
    </row>
    <row r="524" spans="1:13" x14ac:dyDescent="0.3">
      <c r="A524" t="s">
        <v>113</v>
      </c>
      <c r="B524" s="3">
        <f>(-1)*B22*F524</f>
        <v>-49.033249999999995</v>
      </c>
      <c r="C524" t="s">
        <v>108</v>
      </c>
      <c r="E524" t="s">
        <v>112</v>
      </c>
      <c r="F524">
        <v>5</v>
      </c>
      <c r="G524" t="s">
        <v>25</v>
      </c>
      <c r="H524" t="s">
        <v>115</v>
      </c>
      <c r="J524">
        <f>F524*B23</f>
        <v>11.023099999999999</v>
      </c>
      <c r="K524" t="s">
        <v>80</v>
      </c>
      <c r="M524" t="s">
        <v>177</v>
      </c>
    </row>
    <row r="525" spans="1:13" x14ac:dyDescent="0.3">
      <c r="A525" t="s">
        <v>182</v>
      </c>
      <c r="B525" s="3">
        <f>(-1)*B22*(((B221+(F526*B222))*(1*(1/L500^J500))*(1/B32)))</f>
        <v>-347.47368723558435</v>
      </c>
      <c r="C525" t="s">
        <v>108</v>
      </c>
      <c r="E525" t="s">
        <v>341</v>
      </c>
    </row>
    <row r="526" spans="1:13" x14ac:dyDescent="0.3">
      <c r="A526" t="s">
        <v>211</v>
      </c>
      <c r="B526" s="5">
        <f>(-1)*B22*$B$238*$B$247</f>
        <v>-39.683261726958719</v>
      </c>
      <c r="C526" t="s">
        <v>108</v>
      </c>
      <c r="E526" t="s">
        <v>315</v>
      </c>
      <c r="F526">
        <v>0.01</v>
      </c>
      <c r="H526" t="s">
        <v>541</v>
      </c>
      <c r="M526" t="s">
        <v>316</v>
      </c>
    </row>
    <row r="527" spans="1:13" x14ac:dyDescent="0.3">
      <c r="B527" s="3"/>
    </row>
    <row r="528" spans="1:13" x14ac:dyDescent="0.3">
      <c r="D528" t="s">
        <v>338</v>
      </c>
    </row>
    <row r="546" spans="1:9" x14ac:dyDescent="0.3">
      <c r="D546" t="s">
        <v>342</v>
      </c>
    </row>
    <row r="547" spans="1:9" x14ac:dyDescent="0.3">
      <c r="D547" t="s">
        <v>343</v>
      </c>
    </row>
    <row r="550" spans="1:9" x14ac:dyDescent="0.3">
      <c r="A550" t="s">
        <v>184</v>
      </c>
      <c r="B550" s="3">
        <f>((SUM(B552:B553)*B517*(B211*(B31^(F211+D211))*(G500^E500)*B32))*B563) +B556 + (SUM(B570:B576))</f>
        <v>4656.9973250740277</v>
      </c>
      <c r="C550" t="s">
        <v>108</v>
      </c>
      <c r="D550" t="s">
        <v>233</v>
      </c>
      <c r="H550" s="3">
        <f>B550/B23/B22</f>
        <v>215.40291189288084</v>
      </c>
      <c r="I550" t="s">
        <v>527</v>
      </c>
    </row>
    <row r="551" spans="1:9" x14ac:dyDescent="0.3">
      <c r="D551" t="s">
        <v>237</v>
      </c>
    </row>
    <row r="552" spans="1:9" x14ac:dyDescent="0.3">
      <c r="A552" t="s">
        <v>234</v>
      </c>
      <c r="B552" s="3">
        <f>B22*B221</f>
        <v>93.163174999999995</v>
      </c>
      <c r="C552" t="str">
        <f t="shared" ref="C552:C553" si="0">C504</f>
        <v>N</v>
      </c>
    </row>
    <row r="553" spans="1:9" x14ac:dyDescent="0.3">
      <c r="A553" t="s">
        <v>235</v>
      </c>
      <c r="B553" s="3">
        <f>B22*B222</f>
        <v>512.39746249999996</v>
      </c>
      <c r="C553" t="str">
        <f t="shared" si="0"/>
        <v>N</v>
      </c>
      <c r="D553" t="s">
        <v>179</v>
      </c>
    </row>
    <row r="554" spans="1:9" x14ac:dyDescent="0.3">
      <c r="B554" s="3"/>
    </row>
    <row r="556" spans="1:9" x14ac:dyDescent="0.3">
      <c r="A556" t="s">
        <v>180</v>
      </c>
      <c r="B556" s="3">
        <f>(-1)*B515</f>
        <v>1895.4878617041293</v>
      </c>
      <c r="C556" t="s">
        <v>108</v>
      </c>
      <c r="D556" t="s">
        <v>208</v>
      </c>
    </row>
    <row r="557" spans="1:9" x14ac:dyDescent="0.3">
      <c r="B557" s="3"/>
    </row>
    <row r="558" spans="1:9" x14ac:dyDescent="0.3">
      <c r="B558" s="3"/>
    </row>
    <row r="559" spans="1:9" x14ac:dyDescent="0.3">
      <c r="B559" s="3"/>
    </row>
    <row r="560" spans="1:9" x14ac:dyDescent="0.3">
      <c r="B560" s="3"/>
    </row>
    <row r="563" spans="1:13" x14ac:dyDescent="0.3">
      <c r="A563" t="s">
        <v>436</v>
      </c>
      <c r="B563">
        <f>B509</f>
        <v>0.8</v>
      </c>
      <c r="C563" t="s">
        <v>437</v>
      </c>
      <c r="E563" t="s">
        <v>439</v>
      </c>
    </row>
    <row r="570" spans="1:13" x14ac:dyDescent="0.3">
      <c r="A570" t="s">
        <v>111</v>
      </c>
      <c r="B570" s="3">
        <f>(-1)*B22*F570</f>
        <v>-473.87196542603232</v>
      </c>
      <c r="C570" t="s">
        <v>108</v>
      </c>
      <c r="E570" t="s">
        <v>309</v>
      </c>
      <c r="F570">
        <f>B323</f>
        <v>48.321492602064147</v>
      </c>
      <c r="G570" t="s">
        <v>25</v>
      </c>
      <c r="H570" t="s">
        <v>114</v>
      </c>
      <c r="J570">
        <f>F570*B23</f>
        <v>106.53052902036265</v>
      </c>
      <c r="K570" t="s">
        <v>80</v>
      </c>
      <c r="M570" t="s">
        <v>310</v>
      </c>
    </row>
    <row r="571" spans="1:13" x14ac:dyDescent="0.3">
      <c r="A571" t="s">
        <v>116</v>
      </c>
      <c r="B571" s="3">
        <f>(-1)*B22*(F571+F572)</f>
        <v>-588.399</v>
      </c>
      <c r="C571" t="s">
        <v>108</v>
      </c>
      <c r="E571" t="s">
        <v>118</v>
      </c>
      <c r="F571">
        <v>60</v>
      </c>
      <c r="G571" t="s">
        <v>25</v>
      </c>
      <c r="M571" t="s">
        <v>310</v>
      </c>
    </row>
    <row r="572" spans="1:13" x14ac:dyDescent="0.3">
      <c r="B572" s="3"/>
      <c r="E572" t="s">
        <v>117</v>
      </c>
      <c r="F572">
        <f>3*B266</f>
        <v>0</v>
      </c>
      <c r="G572" t="s">
        <v>25</v>
      </c>
      <c r="H572" t="s">
        <v>115</v>
      </c>
      <c r="J572">
        <f>F572*B23</f>
        <v>0</v>
      </c>
      <c r="K572" t="s">
        <v>80</v>
      </c>
    </row>
    <row r="573" spans="1:13" x14ac:dyDescent="0.3">
      <c r="A573" t="s">
        <v>144</v>
      </c>
      <c r="B573" s="3">
        <f>(-1)*B22*(F573)</f>
        <v>-588.399</v>
      </c>
      <c r="C573" t="s">
        <v>108</v>
      </c>
      <c r="F573">
        <v>60</v>
      </c>
      <c r="G573" t="s">
        <v>25</v>
      </c>
      <c r="M573" t="s">
        <v>310</v>
      </c>
    </row>
    <row r="574" spans="1:13" x14ac:dyDescent="0.3">
      <c r="A574" t="s">
        <v>181</v>
      </c>
      <c r="B574" s="3">
        <f>(-1)*B22*(B218+(F575*B219))*(1*(1/L500^J500))*(1/B32)</f>
        <v>-251.63023416870752</v>
      </c>
      <c r="C574" t="s">
        <v>108</v>
      </c>
      <c r="E574" t="s">
        <v>311</v>
      </c>
      <c r="I574" t="s">
        <v>312</v>
      </c>
    </row>
    <row r="575" spans="1:13" x14ac:dyDescent="0.3">
      <c r="A575" t="s">
        <v>211</v>
      </c>
      <c r="B575" s="5">
        <f>(-1)*B22*$B$238*$B$246</f>
        <v>-297.62446295219036</v>
      </c>
      <c r="C575" t="s">
        <v>108</v>
      </c>
      <c r="E575" t="s">
        <v>314</v>
      </c>
      <c r="F575">
        <v>0.01</v>
      </c>
      <c r="M575" t="s">
        <v>316</v>
      </c>
    </row>
    <row r="580" spans="1:6" x14ac:dyDescent="0.3">
      <c r="A580" t="s">
        <v>403</v>
      </c>
      <c r="B580" s="3">
        <f>MAX(B550,B502)</f>
        <v>4656.9973250740277</v>
      </c>
      <c r="C580" t="s">
        <v>108</v>
      </c>
      <c r="E580" s="3">
        <f>B580/1000</f>
        <v>4.6569973250740277</v>
      </c>
      <c r="F580" t="s">
        <v>404</v>
      </c>
    </row>
    <row r="598" spans="1:12" x14ac:dyDescent="0.3">
      <c r="D598" t="s">
        <v>381</v>
      </c>
      <c r="E598">
        <v>5</v>
      </c>
      <c r="F598" t="s">
        <v>337</v>
      </c>
      <c r="G598">
        <v>0.85</v>
      </c>
      <c r="I598" t="s">
        <v>382</v>
      </c>
      <c r="J598">
        <v>3</v>
      </c>
      <c r="K598" t="s">
        <v>337</v>
      </c>
      <c r="L598">
        <v>0.9</v>
      </c>
    </row>
    <row r="600" spans="1:12" x14ac:dyDescent="0.3">
      <c r="A600" t="s">
        <v>204</v>
      </c>
      <c r="B600" s="5">
        <f>((SUM(B610:B615))*(B212*(B31^(F212+D212))*(G598^E598)*(L598^J598)*B32))+SUM(B630:B635)</f>
        <v>37.432728758986855</v>
      </c>
      <c r="C600" t="s">
        <v>108</v>
      </c>
      <c r="D600" t="s">
        <v>219</v>
      </c>
    </row>
    <row r="601" spans="1:12" x14ac:dyDescent="0.3">
      <c r="D601" t="s">
        <v>383</v>
      </c>
    </row>
    <row r="602" spans="1:12" x14ac:dyDescent="0.3">
      <c r="D602" t="s">
        <v>222</v>
      </c>
    </row>
    <row r="603" spans="1:12" x14ac:dyDescent="0.3">
      <c r="D603" t="s">
        <v>223</v>
      </c>
    </row>
    <row r="610" spans="1:6" x14ac:dyDescent="0.3">
      <c r="A610" t="s">
        <v>189</v>
      </c>
      <c r="B610" s="5">
        <f>B22*D610</f>
        <v>93.163174999999995</v>
      </c>
      <c r="C610" t="s">
        <v>108</v>
      </c>
      <c r="D610">
        <f>B271</f>
        <v>9.5</v>
      </c>
      <c r="E610" t="s">
        <v>25</v>
      </c>
      <c r="F610" t="s">
        <v>220</v>
      </c>
    </row>
    <row r="611" spans="1:6" x14ac:dyDescent="0.3">
      <c r="A611" t="s">
        <v>188</v>
      </c>
      <c r="B611" s="5">
        <f>B22*D611</f>
        <v>186.32634999999999</v>
      </c>
      <c r="C611" t="s">
        <v>108</v>
      </c>
      <c r="D611">
        <f>B272</f>
        <v>19</v>
      </c>
      <c r="E611" t="s">
        <v>25</v>
      </c>
      <c r="F611" t="s">
        <v>221</v>
      </c>
    </row>
    <row r="612" spans="1:6" x14ac:dyDescent="0.3">
      <c r="B612" s="5"/>
    </row>
    <row r="613" spans="1:6" x14ac:dyDescent="0.3">
      <c r="B613" s="5"/>
    </row>
    <row r="614" spans="1:6" x14ac:dyDescent="0.3">
      <c r="B614" s="5"/>
    </row>
    <row r="615" spans="1:6" x14ac:dyDescent="0.3">
      <c r="B615" s="5"/>
    </row>
    <row r="630" spans="1:15" x14ac:dyDescent="0.3">
      <c r="A630" t="s">
        <v>186</v>
      </c>
      <c r="B630" s="5">
        <f>(-1)*B22*E630</f>
        <v>-279.48952499999996</v>
      </c>
      <c r="C630" t="s">
        <v>108</v>
      </c>
      <c r="D630" t="s">
        <v>281</v>
      </c>
      <c r="E630">
        <f>B284</f>
        <v>28.5</v>
      </c>
      <c r="F630" t="s">
        <v>25</v>
      </c>
      <c r="H630" t="s">
        <v>307</v>
      </c>
      <c r="N630">
        <f>E630*B23</f>
        <v>62.831669999999995</v>
      </c>
      <c r="O630" t="s">
        <v>80</v>
      </c>
    </row>
    <row r="631" spans="1:15" x14ac:dyDescent="0.3">
      <c r="A631" t="s">
        <v>187</v>
      </c>
      <c r="B631" s="5">
        <f>(-1)*B23*E631</f>
        <v>-44.092399999999998</v>
      </c>
      <c r="C631" t="s">
        <v>108</v>
      </c>
      <c r="D631" t="s">
        <v>308</v>
      </c>
      <c r="E631">
        <v>20</v>
      </c>
      <c r="F631" t="s">
        <v>25</v>
      </c>
      <c r="H631" t="s">
        <v>307</v>
      </c>
      <c r="N631">
        <f>E631*B23</f>
        <v>44.092399999999998</v>
      </c>
      <c r="O631" t="s">
        <v>80</v>
      </c>
    </row>
    <row r="632" spans="1:15" x14ac:dyDescent="0.3">
      <c r="B632" s="5"/>
    </row>
    <row r="633" spans="1:15" x14ac:dyDescent="0.3">
      <c r="B633" s="5"/>
    </row>
    <row r="634" spans="1:15" x14ac:dyDescent="0.3">
      <c r="B634" s="5"/>
    </row>
    <row r="635" spans="1:15" x14ac:dyDescent="0.3">
      <c r="B635" s="5"/>
      <c r="D635" t="s">
        <v>282</v>
      </c>
    </row>
    <row r="650" spans="1:4" x14ac:dyDescent="0.3">
      <c r="A650" t="s">
        <v>212</v>
      </c>
      <c r="B650" s="5">
        <f>(SUM(B655:B657))+(SUM(B660:B662)*(B212*(B31^(F212+D212))*(((G598^E598)*(L598^J598))*B32)))</f>
        <v>159.15130708033769</v>
      </c>
      <c r="C650" t="s">
        <v>108</v>
      </c>
      <c r="D650" t="s">
        <v>216</v>
      </c>
    </row>
    <row r="651" spans="1:4" x14ac:dyDescent="0.3">
      <c r="D651" t="s">
        <v>384</v>
      </c>
    </row>
    <row r="652" spans="1:4" x14ac:dyDescent="0.3">
      <c r="D652" t="s">
        <v>218</v>
      </c>
    </row>
    <row r="653" spans="1:4" x14ac:dyDescent="0.3">
      <c r="D653" t="s">
        <v>217</v>
      </c>
    </row>
    <row r="655" spans="1:4" x14ac:dyDescent="0.3">
      <c r="A655" t="s">
        <v>213</v>
      </c>
      <c r="B655" s="5">
        <f>B22*E630</f>
        <v>279.48952499999996</v>
      </c>
      <c r="C655" t="s">
        <v>108</v>
      </c>
      <c r="D655" t="s">
        <v>215</v>
      </c>
    </row>
    <row r="656" spans="1:4" x14ac:dyDescent="0.3">
      <c r="D656" t="s">
        <v>460</v>
      </c>
    </row>
    <row r="660" spans="1:12" x14ac:dyDescent="0.3">
      <c r="A660" t="s">
        <v>214</v>
      </c>
      <c r="B660" s="5">
        <f>(-1)*B22*D610</f>
        <v>-93.163174999999995</v>
      </c>
      <c r="C660" t="s">
        <v>108</v>
      </c>
      <c r="D660" t="s">
        <v>240</v>
      </c>
    </row>
    <row r="661" spans="1:12" x14ac:dyDescent="0.3">
      <c r="D661" t="s">
        <v>344</v>
      </c>
    </row>
    <row r="668" spans="1:12" x14ac:dyDescent="0.3">
      <c r="D668" t="s">
        <v>453</v>
      </c>
      <c r="E668">
        <v>5</v>
      </c>
      <c r="F668" t="s">
        <v>337</v>
      </c>
      <c r="G668">
        <v>0.85</v>
      </c>
      <c r="I668" t="s">
        <v>454</v>
      </c>
      <c r="J668">
        <v>3</v>
      </c>
      <c r="K668" t="s">
        <v>337</v>
      </c>
      <c r="L668">
        <v>0.9</v>
      </c>
    </row>
    <row r="670" spans="1:12" x14ac:dyDescent="0.3">
      <c r="A670" t="s">
        <v>450</v>
      </c>
      <c r="B670" s="5">
        <f>((SUM(B671:B673)*(B215*(B31^(F215+D215))*(G668^E668)*(L668^J668)*B32))+SUM(B674:B676))</f>
        <v>76.140135031256989</v>
      </c>
      <c r="C670" t="s">
        <v>108</v>
      </c>
      <c r="G670" t="s">
        <v>219</v>
      </c>
    </row>
    <row r="671" spans="1:12" x14ac:dyDescent="0.3">
      <c r="A671" t="s">
        <v>451</v>
      </c>
      <c r="B671" s="5">
        <f>E671*B22</f>
        <v>24.516624999999998</v>
      </c>
      <c r="C671" t="s">
        <v>108</v>
      </c>
      <c r="E671">
        <f>B351</f>
        <v>2.5</v>
      </c>
      <c r="F671" t="s">
        <v>25</v>
      </c>
      <c r="G671" t="s">
        <v>458</v>
      </c>
    </row>
    <row r="672" spans="1:12" x14ac:dyDescent="0.3">
      <c r="A672" t="s">
        <v>452</v>
      </c>
      <c r="B672" s="5">
        <f>E672*B22</f>
        <v>147.09975</v>
      </c>
      <c r="C672" t="s">
        <v>108</v>
      </c>
      <c r="E672">
        <f>B352</f>
        <v>15</v>
      </c>
      <c r="F672" t="s">
        <v>25</v>
      </c>
      <c r="G672" t="s">
        <v>222</v>
      </c>
    </row>
    <row r="673" spans="1:15" x14ac:dyDescent="0.3">
      <c r="B673" s="5"/>
      <c r="G673" t="s">
        <v>223</v>
      </c>
    </row>
    <row r="674" spans="1:15" x14ac:dyDescent="0.3">
      <c r="A674" t="s">
        <v>186</v>
      </c>
      <c r="B674" s="5">
        <f>(-1)*B22*E674</f>
        <v>-98.066499999999991</v>
      </c>
      <c r="C674" t="s">
        <v>108</v>
      </c>
      <c r="D674" t="s">
        <v>281</v>
      </c>
      <c r="E674">
        <f>B359</f>
        <v>10</v>
      </c>
      <c r="F674" t="s">
        <v>25</v>
      </c>
      <c r="H674" t="s">
        <v>307</v>
      </c>
      <c r="N674">
        <f>E674*B23</f>
        <v>22.046199999999999</v>
      </c>
      <c r="O674" t="s">
        <v>80</v>
      </c>
    </row>
    <row r="675" spans="1:15" x14ac:dyDescent="0.3">
      <c r="A675" t="s">
        <v>187</v>
      </c>
      <c r="B675" s="5">
        <f>(-1)*B22*E675</f>
        <v>-98.066499999999991</v>
      </c>
      <c r="C675" t="s">
        <v>108</v>
      </c>
      <c r="D675" t="s">
        <v>308</v>
      </c>
      <c r="E675">
        <v>10</v>
      </c>
      <c r="F675" t="s">
        <v>25</v>
      </c>
      <c r="H675" t="s">
        <v>307</v>
      </c>
      <c r="N675">
        <f>E675*B23</f>
        <v>22.046199999999999</v>
      </c>
      <c r="O675" t="s">
        <v>80</v>
      </c>
    </row>
    <row r="680" spans="1:15" x14ac:dyDescent="0.3">
      <c r="A680" t="s">
        <v>459</v>
      </c>
      <c r="B680" s="5">
        <f>SUM(B681:B684)+(SUM(B685:B688)*B215*(B31^(F215+D215))*(G668^E668)*(L668^J668)*B32)</f>
        <v>59.170337852677584</v>
      </c>
      <c r="G680" t="s">
        <v>216</v>
      </c>
    </row>
    <row r="681" spans="1:15" x14ac:dyDescent="0.3">
      <c r="A681" t="s">
        <v>461</v>
      </c>
      <c r="B681" s="5">
        <f>(-1)*B674</f>
        <v>98.066499999999991</v>
      </c>
      <c r="C681" t="s">
        <v>108</v>
      </c>
      <c r="D681" t="s">
        <v>462</v>
      </c>
      <c r="G681" t="s">
        <v>465</v>
      </c>
    </row>
    <row r="682" spans="1:15" x14ac:dyDescent="0.3">
      <c r="G682" t="s">
        <v>218</v>
      </c>
    </row>
    <row r="683" spans="1:15" x14ac:dyDescent="0.3">
      <c r="G683" t="s">
        <v>217</v>
      </c>
    </row>
    <row r="685" spans="1:15" x14ac:dyDescent="0.3">
      <c r="A685" t="s">
        <v>463</v>
      </c>
      <c r="B685" s="5">
        <f>(-1)*B671</f>
        <v>-24.516624999999998</v>
      </c>
      <c r="C685" t="s">
        <v>108</v>
      </c>
      <c r="D685" t="s">
        <v>464</v>
      </c>
    </row>
    <row r="700" spans="1:1" x14ac:dyDescent="0.3">
      <c r="A700" t="s">
        <v>481</v>
      </c>
    </row>
    <row r="701" spans="1:1" x14ac:dyDescent="0.3">
      <c r="A701" t="s">
        <v>477</v>
      </c>
    </row>
    <row r="703" spans="1:1" x14ac:dyDescent="0.3">
      <c r="A703" t="s">
        <v>324</v>
      </c>
    </row>
    <row r="706" spans="1:14" x14ac:dyDescent="0.3">
      <c r="A706" t="s">
        <v>559</v>
      </c>
      <c r="B706" s="5">
        <f>SUM(B710:B715)+B717</f>
        <v>10624.823177974977</v>
      </c>
      <c r="C706" t="s">
        <v>252</v>
      </c>
      <c r="D706" t="s">
        <v>421</v>
      </c>
    </row>
    <row r="707" spans="1:14" x14ac:dyDescent="0.3">
      <c r="A707" t="s">
        <v>423</v>
      </c>
      <c r="B707">
        <f>B92</f>
        <v>10.263762910967044</v>
      </c>
      <c r="C707" t="s">
        <v>30</v>
      </c>
    </row>
    <row r="708" spans="1:14" x14ac:dyDescent="0.3">
      <c r="A708" t="s">
        <v>426</v>
      </c>
      <c r="B708">
        <f>B706/D708</f>
        <v>2.9513397716597156</v>
      </c>
      <c r="C708" t="s">
        <v>425</v>
      </c>
      <c r="D708">
        <v>3600</v>
      </c>
      <c r="E708" t="s">
        <v>424</v>
      </c>
    </row>
    <row r="709" spans="1:14" x14ac:dyDescent="0.3">
      <c r="B709" s="5"/>
    </row>
    <row r="710" spans="1:14" x14ac:dyDescent="0.3">
      <c r="A710" t="s">
        <v>262</v>
      </c>
      <c r="B710" s="5">
        <f>(B301*E711*B22*B92*M711*G711*I711*K711)+B717</f>
        <v>18054.236996156797</v>
      </c>
      <c r="C710" t="s">
        <v>252</v>
      </c>
      <c r="D710" t="s">
        <v>422</v>
      </c>
    </row>
    <row r="711" spans="1:14" x14ac:dyDescent="0.3">
      <c r="B711" s="5"/>
      <c r="D711" t="s">
        <v>253</v>
      </c>
      <c r="E711">
        <v>0.98</v>
      </c>
      <c r="F711" t="s">
        <v>254</v>
      </c>
      <c r="G711">
        <v>0.82</v>
      </c>
      <c r="H711" t="s">
        <v>255</v>
      </c>
      <c r="I711">
        <v>0.95</v>
      </c>
      <c r="J711" t="s">
        <v>256</v>
      </c>
      <c r="K711">
        <v>0.995</v>
      </c>
      <c r="L711" t="s">
        <v>482</v>
      </c>
      <c r="M711" s="6">
        <v>0.33333333199999998</v>
      </c>
    </row>
    <row r="712" spans="1:14" x14ac:dyDescent="0.3">
      <c r="A712" t="s">
        <v>263</v>
      </c>
      <c r="B712" s="5">
        <f>(-1)*F712*H712*K712*N712</f>
        <v>-4800</v>
      </c>
      <c r="C712" t="s">
        <v>252</v>
      </c>
      <c r="D712" t="s">
        <v>367</v>
      </c>
      <c r="E712" t="s">
        <v>257</v>
      </c>
      <c r="F712">
        <f>5*4</f>
        <v>20</v>
      </c>
      <c r="G712" t="s">
        <v>258</v>
      </c>
      <c r="H712">
        <v>30</v>
      </c>
      <c r="I712" t="s">
        <v>260</v>
      </c>
      <c r="J712" t="s">
        <v>259</v>
      </c>
      <c r="K712">
        <v>4</v>
      </c>
      <c r="L712" t="s">
        <v>261</v>
      </c>
      <c r="M712" t="s">
        <v>283</v>
      </c>
      <c r="N712">
        <v>2</v>
      </c>
    </row>
    <row r="713" spans="1:14" x14ac:dyDescent="0.3">
      <c r="A713" t="s">
        <v>264</v>
      </c>
      <c r="B713" s="5">
        <f>(-1)*I713*F713*K713</f>
        <v>-6</v>
      </c>
      <c r="C713" t="s">
        <v>252</v>
      </c>
      <c r="D713" t="s">
        <v>269</v>
      </c>
      <c r="E713" t="s">
        <v>266</v>
      </c>
      <c r="F713">
        <v>2.5000000000000001E-2</v>
      </c>
      <c r="G713" t="s">
        <v>260</v>
      </c>
      <c r="H713" t="s">
        <v>267</v>
      </c>
      <c r="I713">
        <v>4</v>
      </c>
      <c r="J713" t="s">
        <v>268</v>
      </c>
      <c r="K713">
        <f>1*60</f>
        <v>60</v>
      </c>
      <c r="L713" t="s">
        <v>261</v>
      </c>
    </row>
    <row r="714" spans="1:14" x14ac:dyDescent="0.3">
      <c r="A714" t="s">
        <v>270</v>
      </c>
      <c r="B714" s="5">
        <f>(-1)*E714*G714*K714</f>
        <v>-97.2</v>
      </c>
      <c r="C714" t="s">
        <v>252</v>
      </c>
      <c r="D714" t="s">
        <v>89</v>
      </c>
      <c r="E714">
        <v>3</v>
      </c>
      <c r="F714" t="s">
        <v>258</v>
      </c>
      <c r="G714">
        <f>0.03*3.6</f>
        <v>0.108</v>
      </c>
      <c r="H714" t="s">
        <v>271</v>
      </c>
      <c r="J714" t="s">
        <v>272</v>
      </c>
      <c r="K714">
        <f>K740</f>
        <v>300</v>
      </c>
      <c r="L714" t="s">
        <v>261</v>
      </c>
    </row>
    <row r="715" spans="1:14" x14ac:dyDescent="0.3">
      <c r="A715" t="s">
        <v>274</v>
      </c>
      <c r="B715" s="5">
        <f>(SUM(B712:B714))*(B14/100)</f>
        <v>-606.21381818181817</v>
      </c>
      <c r="C715" t="s">
        <v>252</v>
      </c>
      <c r="D715" t="s">
        <v>473</v>
      </c>
    </row>
    <row r="716" spans="1:14" x14ac:dyDescent="0.3">
      <c r="A716" t="s">
        <v>471</v>
      </c>
      <c r="B716" s="5">
        <f>(-1)*(B14/100)*B301*B22*B12</f>
        <v>-12258.994541406482</v>
      </c>
      <c r="C716" t="s">
        <v>252</v>
      </c>
      <c r="D716" t="s">
        <v>472</v>
      </c>
      <c r="G716" t="s">
        <v>475</v>
      </c>
    </row>
    <row r="717" spans="1:14" x14ac:dyDescent="0.3">
      <c r="A717" t="s">
        <v>556</v>
      </c>
      <c r="B717" s="5">
        <f>(-1)*E717*H717*K717*N717</f>
        <v>-1920</v>
      </c>
      <c r="C717" t="s">
        <v>252</v>
      </c>
      <c r="D717" t="s">
        <v>485</v>
      </c>
      <c r="E717">
        <v>4</v>
      </c>
      <c r="G717" t="s">
        <v>258</v>
      </c>
      <c r="H717">
        <v>40</v>
      </c>
      <c r="I717" t="s">
        <v>260</v>
      </c>
      <c r="J717" t="s">
        <v>486</v>
      </c>
      <c r="K717">
        <v>6</v>
      </c>
      <c r="L717" t="s">
        <v>261</v>
      </c>
      <c r="M717" t="s">
        <v>487</v>
      </c>
      <c r="N717">
        <v>2</v>
      </c>
    </row>
    <row r="718" spans="1:14" x14ac:dyDescent="0.3">
      <c r="A718" t="s">
        <v>474</v>
      </c>
      <c r="B718" s="5">
        <f>(-1)*(B14/100)*B301*B22*B12*B309</f>
        <v>0</v>
      </c>
      <c r="C718" t="s">
        <v>252</v>
      </c>
      <c r="D718" t="s">
        <v>557</v>
      </c>
      <c r="I718" t="s">
        <v>478</v>
      </c>
    </row>
    <row r="720" spans="1:14" x14ac:dyDescent="0.3">
      <c r="A720" t="s">
        <v>428</v>
      </c>
    </row>
    <row r="721" spans="1:16" x14ac:dyDescent="0.3">
      <c r="A721" t="s">
        <v>273</v>
      </c>
    </row>
    <row r="723" spans="1:16" x14ac:dyDescent="0.3">
      <c r="A723" t="s">
        <v>324</v>
      </c>
    </row>
    <row r="726" spans="1:16" x14ac:dyDescent="0.3">
      <c r="A726" t="s">
        <v>251</v>
      </c>
      <c r="B726" s="5">
        <f>SUM(B730:B735)+B736</f>
        <v>10300.069030071436</v>
      </c>
      <c r="C726" t="s">
        <v>252</v>
      </c>
      <c r="D726" t="s">
        <v>431</v>
      </c>
    </row>
    <row r="727" spans="1:16" x14ac:dyDescent="0.3">
      <c r="A727" t="s">
        <v>426</v>
      </c>
      <c r="B727">
        <f>B726/D727</f>
        <v>2.8611302861309542</v>
      </c>
      <c r="C727" t="s">
        <v>425</v>
      </c>
      <c r="D727">
        <v>3600</v>
      </c>
      <c r="E727" t="s">
        <v>424</v>
      </c>
    </row>
    <row r="728" spans="1:16" x14ac:dyDescent="0.3">
      <c r="A728" t="s">
        <v>432</v>
      </c>
      <c r="B728" s="5">
        <f>(B727-B708)/B708*100</f>
        <v>-3.0565604948301561</v>
      </c>
      <c r="C728" t="s">
        <v>150</v>
      </c>
    </row>
    <row r="729" spans="1:16" x14ac:dyDescent="0.3">
      <c r="B729" s="5"/>
    </row>
    <row r="730" spans="1:16" x14ac:dyDescent="0.3">
      <c r="A730" t="s">
        <v>262</v>
      </c>
      <c r="B730" s="5">
        <f>0.5*E737*(F742^2)*E731*G731*I731*K731*M731</f>
        <v>13234.9373937078</v>
      </c>
      <c r="C730" t="s">
        <v>252</v>
      </c>
      <c r="D730" t="s">
        <v>484</v>
      </c>
    </row>
    <row r="731" spans="1:16" x14ac:dyDescent="0.3">
      <c r="B731" s="5"/>
      <c r="D731" t="s">
        <v>253</v>
      </c>
      <c r="E731">
        <v>0.98</v>
      </c>
      <c r="F731" t="s">
        <v>254</v>
      </c>
      <c r="G731">
        <v>0.82</v>
      </c>
      <c r="H731" t="s">
        <v>255</v>
      </c>
      <c r="I731">
        <v>0.95</v>
      </c>
      <c r="J731" t="s">
        <v>256</v>
      </c>
      <c r="K731">
        <v>0.995</v>
      </c>
      <c r="L731" t="s">
        <v>483</v>
      </c>
      <c r="M731" s="6">
        <v>0.66666665999999997</v>
      </c>
    </row>
    <row r="732" spans="1:16" x14ac:dyDescent="0.3">
      <c r="A732" t="s">
        <v>479</v>
      </c>
      <c r="B732" s="5">
        <f>(-1)*F732*H732*K732*N732</f>
        <v>-800</v>
      </c>
      <c r="C732" t="s">
        <v>252</v>
      </c>
      <c r="D732" t="s">
        <v>265</v>
      </c>
      <c r="E732" t="s">
        <v>350</v>
      </c>
      <c r="F732">
        <f>5*4</f>
        <v>20</v>
      </c>
      <c r="G732" t="s">
        <v>366</v>
      </c>
      <c r="H732">
        <v>10</v>
      </c>
      <c r="I732" t="s">
        <v>260</v>
      </c>
      <c r="J732" t="s">
        <v>259</v>
      </c>
      <c r="K732">
        <v>4</v>
      </c>
      <c r="L732" t="s">
        <v>261</v>
      </c>
      <c r="M732" t="s">
        <v>347</v>
      </c>
      <c r="N732">
        <v>1</v>
      </c>
    </row>
    <row r="733" spans="1:16" x14ac:dyDescent="0.3">
      <c r="A733" t="s">
        <v>264</v>
      </c>
      <c r="B733" s="5">
        <f>(-1)*I733*F733*K733</f>
        <v>-6</v>
      </c>
      <c r="C733" t="s">
        <v>252</v>
      </c>
      <c r="D733" t="s">
        <v>269</v>
      </c>
      <c r="E733" t="s">
        <v>351</v>
      </c>
      <c r="F733">
        <v>2.5000000000000001E-2</v>
      </c>
      <c r="G733" t="s">
        <v>260</v>
      </c>
      <c r="H733" t="s">
        <v>267</v>
      </c>
      <c r="I733">
        <v>4</v>
      </c>
      <c r="J733" t="s">
        <v>268</v>
      </c>
      <c r="K733">
        <f>1*60</f>
        <v>60</v>
      </c>
      <c r="L733" t="s">
        <v>261</v>
      </c>
      <c r="M733" t="s">
        <v>352</v>
      </c>
      <c r="N733">
        <v>5</v>
      </c>
      <c r="O733" t="s">
        <v>260</v>
      </c>
      <c r="P733">
        <v>3</v>
      </c>
    </row>
    <row r="734" spans="1:16" x14ac:dyDescent="0.3">
      <c r="A734" t="s">
        <v>348</v>
      </c>
      <c r="B734" s="5">
        <f>(-1)*E734*G734*K734</f>
        <v>-97.2</v>
      </c>
      <c r="C734" t="s">
        <v>252</v>
      </c>
      <c r="D734" t="s">
        <v>89</v>
      </c>
      <c r="E734">
        <v>3</v>
      </c>
      <c r="F734" t="s">
        <v>258</v>
      </c>
      <c r="G734">
        <f>0.03*3.6</f>
        <v>0.108</v>
      </c>
      <c r="H734" t="s">
        <v>271</v>
      </c>
      <c r="J734" t="s">
        <v>272</v>
      </c>
      <c r="K734">
        <f>K740</f>
        <v>300</v>
      </c>
      <c r="L734" t="s">
        <v>261</v>
      </c>
      <c r="M734" t="s">
        <v>349</v>
      </c>
    </row>
    <row r="735" spans="1:16" x14ac:dyDescent="0.3">
      <c r="A735" t="s">
        <v>346</v>
      </c>
      <c r="B735" s="5">
        <f>(SUM(B732:B734))*(B14/100)</f>
        <v>-111.66836363636364</v>
      </c>
      <c r="C735" t="s">
        <v>252</v>
      </c>
      <c r="D735" t="s">
        <v>429</v>
      </c>
      <c r="E735" t="s">
        <v>430</v>
      </c>
      <c r="F735">
        <v>1</v>
      </c>
      <c r="G735" t="s">
        <v>361</v>
      </c>
    </row>
    <row r="736" spans="1:16" x14ac:dyDescent="0.3">
      <c r="A736" t="s">
        <v>480</v>
      </c>
      <c r="B736" s="5">
        <f>(-1)*E736*H736*K736*N736</f>
        <v>-1920</v>
      </c>
      <c r="C736" t="s">
        <v>252</v>
      </c>
      <c r="D736" t="s">
        <v>485</v>
      </c>
      <c r="E736">
        <v>4</v>
      </c>
      <c r="G736" t="s">
        <v>258</v>
      </c>
      <c r="H736">
        <v>40</v>
      </c>
      <c r="I736" t="s">
        <v>260</v>
      </c>
      <c r="J736" t="s">
        <v>486</v>
      </c>
      <c r="K736">
        <v>6</v>
      </c>
      <c r="L736" t="s">
        <v>261</v>
      </c>
      <c r="M736" t="s">
        <v>487</v>
      </c>
      <c r="N736">
        <v>2</v>
      </c>
    </row>
    <row r="737" spans="1:15" x14ac:dyDescent="0.3">
      <c r="A737" t="s">
        <v>563</v>
      </c>
      <c r="B737" s="5">
        <f>(-1)*((H732*(F732))+(H732*E734*2)+(F733*I733)+(N733*P733)+(G734*E734)+(H736*E736))</f>
        <v>-435.42400000000004</v>
      </c>
      <c r="C737" t="s">
        <v>260</v>
      </c>
      <c r="D737" t="s">
        <v>284</v>
      </c>
      <c r="E737">
        <f>(B301)*H737</f>
        <v>744.5625</v>
      </c>
      <c r="F737" t="s">
        <v>25</v>
      </c>
      <c r="G737" t="s">
        <v>286</v>
      </c>
      <c r="H737">
        <v>0.95</v>
      </c>
      <c r="J737" t="s">
        <v>285</v>
      </c>
    </row>
    <row r="738" spans="1:15" x14ac:dyDescent="0.3">
      <c r="B738" t="s">
        <v>427</v>
      </c>
      <c r="D738" t="s">
        <v>287</v>
      </c>
    </row>
    <row r="739" spans="1:15" x14ac:dyDescent="0.3">
      <c r="E739" t="s">
        <v>288</v>
      </c>
      <c r="J739" t="s">
        <v>362</v>
      </c>
      <c r="K739">
        <v>5</v>
      </c>
      <c r="L739" t="s">
        <v>363</v>
      </c>
    </row>
    <row r="740" spans="1:15" x14ac:dyDescent="0.3">
      <c r="E740" t="s">
        <v>289</v>
      </c>
      <c r="F740">
        <f>B306/N740</f>
        <v>3.2743682057881417E-4</v>
      </c>
      <c r="G740" t="s">
        <v>296</v>
      </c>
      <c r="J740" t="s">
        <v>294</v>
      </c>
      <c r="K740">
        <f>K739*60</f>
        <v>300</v>
      </c>
      <c r="L740" t="s">
        <v>261</v>
      </c>
      <c r="M740" t="s">
        <v>295</v>
      </c>
      <c r="N740">
        <f>N741*K740</f>
        <v>225</v>
      </c>
      <c r="O740" t="s">
        <v>261</v>
      </c>
    </row>
    <row r="741" spans="1:15" x14ac:dyDescent="0.3">
      <c r="E741" t="s">
        <v>292</v>
      </c>
      <c r="F741">
        <f>PI()*(B303*K741)^2</f>
        <v>10.235336068890756</v>
      </c>
      <c r="G741" t="s">
        <v>299</v>
      </c>
      <c r="H741" t="s">
        <v>297</v>
      </c>
      <c r="J741" t="s">
        <v>298</v>
      </c>
      <c r="K741">
        <f>0.98</f>
        <v>0.98</v>
      </c>
      <c r="M741" t="s">
        <v>333</v>
      </c>
      <c r="N741">
        <v>0.75</v>
      </c>
    </row>
    <row r="742" spans="1:15" x14ac:dyDescent="0.3">
      <c r="E742" t="s">
        <v>290</v>
      </c>
      <c r="F742">
        <f>F740*F741*F744/F743</f>
        <v>8.3787202147388307</v>
      </c>
      <c r="G742" t="s">
        <v>296</v>
      </c>
      <c r="H742" t="s">
        <v>300</v>
      </c>
      <c r="I742" t="s">
        <v>302</v>
      </c>
      <c r="J742">
        <f>F742*B25/12</f>
        <v>27.489239549668081</v>
      </c>
      <c r="K742" t="s">
        <v>301</v>
      </c>
      <c r="N742" t="s">
        <v>334</v>
      </c>
    </row>
    <row r="743" spans="1:15" x14ac:dyDescent="0.3">
      <c r="E743" t="s">
        <v>291</v>
      </c>
      <c r="F743">
        <f>PI()*(B93^2)</f>
        <v>3.399936913932453E-4</v>
      </c>
      <c r="G743" t="s">
        <v>299</v>
      </c>
    </row>
    <row r="744" spans="1:15" x14ac:dyDescent="0.3">
      <c r="E744" t="s">
        <v>293</v>
      </c>
      <c r="F744">
        <v>0.85</v>
      </c>
    </row>
    <row r="745" spans="1:15" x14ac:dyDescent="0.3">
      <c r="A745" t="s">
        <v>331</v>
      </c>
      <c r="B745" s="5">
        <f>IF(F742&lt;D745,1,0)</f>
        <v>1</v>
      </c>
      <c r="C745" t="s">
        <v>330</v>
      </c>
      <c r="D745">
        <v>1481</v>
      </c>
      <c r="E745" t="s">
        <v>296</v>
      </c>
      <c r="G745" t="s">
        <v>435</v>
      </c>
      <c r="H745">
        <f>F742/D745</f>
        <v>5.6574748242665977E-3</v>
      </c>
      <c r="I745" t="s">
        <v>332</v>
      </c>
      <c r="J745">
        <f>H745*100</f>
        <v>0.56574748242665973</v>
      </c>
      <c r="K745" t="s">
        <v>150</v>
      </c>
    </row>
    <row r="746" spans="1:15" x14ac:dyDescent="0.3">
      <c r="A746" t="s">
        <v>328</v>
      </c>
      <c r="B746" s="5">
        <f>(IF(B726&gt;B706,1,0))</f>
        <v>0</v>
      </c>
      <c r="J746" t="s">
        <v>549</v>
      </c>
    </row>
    <row r="747" spans="1:15" x14ac:dyDescent="0.3">
      <c r="A747" t="s">
        <v>329</v>
      </c>
      <c r="B747" s="5">
        <f>(IF(B726&gt;(B706*D747),1,0))</f>
        <v>0</v>
      </c>
      <c r="C747" t="s">
        <v>57</v>
      </c>
      <c r="D747">
        <v>1</v>
      </c>
      <c r="E747" t="s">
        <v>335</v>
      </c>
      <c r="G747" t="s">
        <v>336</v>
      </c>
      <c r="H747">
        <f>B726/B706</f>
        <v>0.96943439505169848</v>
      </c>
      <c r="J747" t="s">
        <v>549</v>
      </c>
    </row>
    <row r="750" spans="1:15" x14ac:dyDescent="0.3">
      <c r="A750" t="s">
        <v>317</v>
      </c>
      <c r="B750" t="s">
        <v>319</v>
      </c>
    </row>
    <row r="751" spans="1:15" x14ac:dyDescent="0.3">
      <c r="A751" t="s">
        <v>434</v>
      </c>
      <c r="B751" s="5">
        <f>(B726/K740/1000)</f>
        <v>3.4333563433571454E-2</v>
      </c>
      <c r="C751" t="s">
        <v>318</v>
      </c>
      <c r="E751" t="s">
        <v>489</v>
      </c>
    </row>
    <row r="753" spans="1:12" x14ac:dyDescent="0.3">
      <c r="A753" t="s">
        <v>354</v>
      </c>
      <c r="B753">
        <v>0.05</v>
      </c>
      <c r="C753" t="s">
        <v>320</v>
      </c>
      <c r="E753" t="s">
        <v>433</v>
      </c>
    </row>
    <row r="754" spans="1:12" x14ac:dyDescent="0.3">
      <c r="A754" t="s">
        <v>500</v>
      </c>
      <c r="B754" s="5">
        <f>B751*(K740/3600)*(24*60*60/K740)*B753</f>
        <v>4.1200276120285748E-2</v>
      </c>
      <c r="C754" t="s">
        <v>322</v>
      </c>
      <c r="E754" t="s">
        <v>321</v>
      </c>
    </row>
    <row r="755" spans="1:12" x14ac:dyDescent="0.3">
      <c r="A755" t="s">
        <v>323</v>
      </c>
      <c r="B755">
        <f>B468</f>
        <v>1</v>
      </c>
      <c r="E755" t="s">
        <v>353</v>
      </c>
      <c r="F755" s="5">
        <f>B751*(K740/3600)*(24*60*60/K740)*B762</f>
        <v>0.12360082836085723</v>
      </c>
      <c r="G755" t="s">
        <v>322</v>
      </c>
      <c r="J755" t="s">
        <v>394</v>
      </c>
    </row>
    <row r="756" spans="1:12" x14ac:dyDescent="0.3">
      <c r="A756" t="s">
        <v>326</v>
      </c>
      <c r="B756">
        <v>0.83333299999999999</v>
      </c>
      <c r="D756">
        <f>20/24</f>
        <v>0.83333333333333337</v>
      </c>
      <c r="E756" t="s">
        <v>325</v>
      </c>
    </row>
    <row r="757" spans="1:12" x14ac:dyDescent="0.3">
      <c r="A757" t="s">
        <v>600</v>
      </c>
      <c r="B757" s="5">
        <f>((B754*B755)+K757)*B756</f>
        <v>3.4333549700146085E-2</v>
      </c>
      <c r="C757" t="s">
        <v>322</v>
      </c>
      <c r="E757" t="s">
        <v>358</v>
      </c>
      <c r="J757" t="s">
        <v>359</v>
      </c>
      <c r="K757" s="5">
        <f>(B737/1000)*(K740/3600)*(24*60*60/K740)*B753*B309</f>
        <v>0</v>
      </c>
      <c r="L757" t="s">
        <v>564</v>
      </c>
    </row>
    <row r="758" spans="1:12" x14ac:dyDescent="0.3">
      <c r="A758" t="s">
        <v>356</v>
      </c>
      <c r="B758" s="5">
        <f>(B726) * (24*60*60/K740)*(1/3600000)*B753*B755*G711*I711*B756</f>
        <v>2.6745835216413796E-2</v>
      </c>
      <c r="C758" t="s">
        <v>322</v>
      </c>
      <c r="E758" t="s">
        <v>327</v>
      </c>
    </row>
    <row r="759" spans="1:12" x14ac:dyDescent="0.3">
      <c r="A759" t="s">
        <v>357</v>
      </c>
      <c r="B759" s="5">
        <f>IF(ABS(B757-B758) &lt;0.1,1,0)</f>
        <v>1</v>
      </c>
      <c r="E759" t="s">
        <v>355</v>
      </c>
    </row>
    <row r="762" spans="1:12" x14ac:dyDescent="0.3">
      <c r="A762" t="s">
        <v>490</v>
      </c>
      <c r="B762">
        <v>0.15</v>
      </c>
      <c r="C762" t="s">
        <v>320</v>
      </c>
    </row>
    <row r="763" spans="1:12" x14ac:dyDescent="0.3">
      <c r="A763" t="s">
        <v>496</v>
      </c>
      <c r="B763" s="5">
        <f>(B757*B762/B753)+(B756*K763)</f>
        <v>0.10300064910043824</v>
      </c>
      <c r="C763" t="s">
        <v>322</v>
      </c>
      <c r="J763" t="s">
        <v>360</v>
      </c>
      <c r="K763" s="5">
        <f>(B737/1000)*(K740/3600)*(24*60*60/K740)*B762*B309</f>
        <v>0</v>
      </c>
      <c r="L763" t="s">
        <v>564</v>
      </c>
    </row>
    <row r="764" spans="1:12" x14ac:dyDescent="0.3">
      <c r="A764" t="s">
        <v>494</v>
      </c>
      <c r="B764">
        <v>351</v>
      </c>
      <c r="C764" t="s">
        <v>505</v>
      </c>
      <c r="E764" t="s">
        <v>495</v>
      </c>
    </row>
    <row r="765" spans="1:12" x14ac:dyDescent="0.3">
      <c r="A765" t="s">
        <v>497</v>
      </c>
      <c r="B765" s="5">
        <f>B763*B764</f>
        <v>36.153227834253819</v>
      </c>
      <c r="C765" t="s">
        <v>498</v>
      </c>
    </row>
    <row r="767" spans="1:12" x14ac:dyDescent="0.3">
      <c r="A767" t="s">
        <v>504</v>
      </c>
      <c r="B767" s="5">
        <f>B765/B762</f>
        <v>241.02151889502548</v>
      </c>
      <c r="C767" t="s">
        <v>502</v>
      </c>
      <c r="D767" s="5">
        <f>B767/1000</f>
        <v>0.24102151889502549</v>
      </c>
      <c r="E767" t="s">
        <v>503</v>
      </c>
      <c r="H767" t="s">
        <v>501</v>
      </c>
    </row>
    <row r="769" spans="1:5" x14ac:dyDescent="0.3">
      <c r="A769" t="s">
        <v>506</v>
      </c>
      <c r="B769">
        <v>22</v>
      </c>
      <c r="C769" t="s">
        <v>507</v>
      </c>
      <c r="E769" t="s">
        <v>508</v>
      </c>
    </row>
    <row r="770" spans="1:5" x14ac:dyDescent="0.3">
      <c r="A770" t="s">
        <v>510</v>
      </c>
      <c r="E770" t="s">
        <v>509</v>
      </c>
    </row>
    <row r="771" spans="1:5" x14ac:dyDescent="0.3">
      <c r="A771" t="s">
        <v>511</v>
      </c>
      <c r="B771">
        <v>0.18</v>
      </c>
      <c r="D771" s="8">
        <v>0.18</v>
      </c>
      <c r="E771" t="s">
        <v>509</v>
      </c>
    </row>
    <row r="772" spans="1:5" x14ac:dyDescent="0.3">
      <c r="A772" t="s">
        <v>512</v>
      </c>
      <c r="B772">
        <v>40000000000000</v>
      </c>
      <c r="C772" t="s">
        <v>502</v>
      </c>
    </row>
    <row r="773" spans="1:5" x14ac:dyDescent="0.3">
      <c r="A773" t="s">
        <v>513</v>
      </c>
      <c r="B773">
        <v>8.0000000000000002E-3</v>
      </c>
    </row>
    <row r="774" spans="1:5" x14ac:dyDescent="0.3">
      <c r="A774" t="s">
        <v>516</v>
      </c>
      <c r="B774">
        <f>B773*B772</f>
        <v>320000000000</v>
      </c>
      <c r="C774" t="s">
        <v>514</v>
      </c>
    </row>
    <row r="775" spans="1:5" x14ac:dyDescent="0.3">
      <c r="A775" t="s">
        <v>515</v>
      </c>
      <c r="B775" s="5">
        <f>B774/B767</f>
        <v>1327682281.0969539</v>
      </c>
      <c r="C775" t="s">
        <v>517</v>
      </c>
    </row>
    <row r="777" spans="1:5" x14ac:dyDescent="0.3">
      <c r="A777" t="s">
        <v>518</v>
      </c>
    </row>
    <row r="778" spans="1:5" x14ac:dyDescent="0.3">
      <c r="B778" t="s">
        <v>519</v>
      </c>
    </row>
    <row r="779" spans="1:5" x14ac:dyDescent="0.3">
      <c r="B779" s="7" t="s">
        <v>520</v>
      </c>
    </row>
    <row r="800" spans="1:2" x14ac:dyDescent="0.3">
      <c r="A800" t="s">
        <v>405</v>
      </c>
      <c r="B800" t="s">
        <v>406</v>
      </c>
    </row>
  </sheetData>
  <hyperlinks>
    <hyperlink ref="B779" r:id="rId1" xr:uid="{C867C89B-81C2-4928-9B69-7C897D8EE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Grav7_Powerplant(2024_11_24)</vt:lpstr>
      <vt:lpstr>Grav7_PoC_PumpSoln(2024_11_28)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Havens</dc:creator>
  <cp:lastModifiedBy>Zachary Havens</cp:lastModifiedBy>
  <dcterms:created xsi:type="dcterms:W3CDTF">2023-07-18T01:21:44Z</dcterms:created>
  <dcterms:modified xsi:type="dcterms:W3CDTF">2025-02-03T03:01:52Z</dcterms:modified>
</cp:coreProperties>
</file>