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Annual\"/>
    </mc:Choice>
  </mc:AlternateContent>
  <bookViews>
    <workbookView xWindow="0" yWindow="0" windowWidth="20490" windowHeight="753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6" i="1"/>
  <c r="H22" i="1" s="1"/>
  <c r="C46" i="1" l="1"/>
  <c r="D46" i="1"/>
  <c r="E46" i="1"/>
  <c r="F46" i="1"/>
  <c r="G46" i="1"/>
  <c r="B46" i="1"/>
  <c r="C31" i="3" l="1"/>
  <c r="D31" i="3"/>
  <c r="E31" i="3"/>
  <c r="F31" i="3"/>
  <c r="G31" i="3"/>
  <c r="B31" i="3"/>
  <c r="C9" i="2"/>
  <c r="D9" i="2"/>
  <c r="E9" i="2"/>
  <c r="F9" i="2"/>
  <c r="G9" i="2"/>
  <c r="B9" i="2"/>
  <c r="C25" i="2"/>
  <c r="D25" i="2"/>
  <c r="E25" i="2"/>
  <c r="F25" i="2"/>
  <c r="G25" i="2"/>
  <c r="B25" i="2"/>
  <c r="F11" i="2" l="1"/>
  <c r="F20" i="2"/>
  <c r="G20" i="2"/>
  <c r="G11" i="2"/>
  <c r="F17" i="2"/>
  <c r="G17" i="2"/>
  <c r="G30" i="1"/>
  <c r="G13" i="1"/>
  <c r="G8" i="4" s="1"/>
  <c r="G9" i="3"/>
  <c r="G30" i="3" s="1"/>
  <c r="G14" i="3"/>
  <c r="G24" i="3"/>
  <c r="G7" i="2"/>
  <c r="G13" i="2" s="1"/>
  <c r="G26" i="1"/>
  <c r="G38" i="1"/>
  <c r="G6" i="1"/>
  <c r="G16" i="2" l="1"/>
  <c r="G10" i="4"/>
  <c r="G45" i="1"/>
  <c r="G7" i="4"/>
  <c r="G18" i="2"/>
  <c r="G22" i="2" s="1"/>
  <c r="G36" i="1"/>
  <c r="G43" i="1" s="1"/>
  <c r="G22" i="1"/>
  <c r="G26" i="3"/>
  <c r="G28" i="3" s="1"/>
  <c r="B20" i="2"/>
  <c r="B17" i="2"/>
  <c r="C17" i="2"/>
  <c r="B32" i="1"/>
  <c r="C32" i="1"/>
  <c r="C30" i="1" s="1"/>
  <c r="B15" i="1"/>
  <c r="B13" i="1" s="1"/>
  <c r="C15" i="1"/>
  <c r="C13" i="1" s="1"/>
  <c r="C8" i="4" s="1"/>
  <c r="E32" i="1"/>
  <c r="E30" i="1" s="1"/>
  <c r="E15" i="1"/>
  <c r="D15" i="1"/>
  <c r="D13" i="1" s="1"/>
  <c r="E20" i="2"/>
  <c r="E17" i="2"/>
  <c r="E38" i="1"/>
  <c r="E7" i="4" s="1"/>
  <c r="F38" i="1"/>
  <c r="E13" i="1"/>
  <c r="E8" i="4" s="1"/>
  <c r="F13" i="1"/>
  <c r="B14" i="3"/>
  <c r="C14" i="3"/>
  <c r="D14" i="3"/>
  <c r="E14" i="3"/>
  <c r="F14" i="3"/>
  <c r="B24" i="3"/>
  <c r="C24" i="3"/>
  <c r="D24" i="3"/>
  <c r="E24" i="3"/>
  <c r="F24" i="3"/>
  <c r="B9" i="3"/>
  <c r="B30" i="3" s="1"/>
  <c r="C9" i="3"/>
  <c r="C30" i="3" s="1"/>
  <c r="D9" i="3"/>
  <c r="D30" i="3" s="1"/>
  <c r="E9" i="3"/>
  <c r="E30" i="3" s="1"/>
  <c r="F9" i="3"/>
  <c r="F30" i="3" s="1"/>
  <c r="B7" i="2"/>
  <c r="B13" i="2" s="1"/>
  <c r="C7" i="2"/>
  <c r="C13" i="2" s="1"/>
  <c r="D7" i="2"/>
  <c r="D13" i="2" s="1"/>
  <c r="E7" i="2"/>
  <c r="E13" i="2" s="1"/>
  <c r="F7" i="2"/>
  <c r="F13" i="2" s="1"/>
  <c r="D30" i="1"/>
  <c r="B26" i="1"/>
  <c r="C26" i="1"/>
  <c r="D26" i="1"/>
  <c r="E26" i="1"/>
  <c r="F26" i="1"/>
  <c r="B38" i="1"/>
  <c r="C38" i="1"/>
  <c r="D38" i="1"/>
  <c r="B6" i="1"/>
  <c r="C6" i="1"/>
  <c r="D6" i="1"/>
  <c r="E6" i="1"/>
  <c r="F6" i="1"/>
  <c r="C16" i="2" l="1"/>
  <c r="C18" i="2" s="1"/>
  <c r="C10" i="4"/>
  <c r="C45" i="1"/>
  <c r="C7" i="4"/>
  <c r="F16" i="2"/>
  <c r="F18" i="2" s="1"/>
  <c r="F10" i="4"/>
  <c r="B8" i="4"/>
  <c r="E16" i="2"/>
  <c r="E18" i="2" s="1"/>
  <c r="E10" i="4"/>
  <c r="D45" i="1"/>
  <c r="D7" i="4"/>
  <c r="B16" i="2"/>
  <c r="B18" i="2" s="1"/>
  <c r="B10" i="4"/>
  <c r="D8" i="4"/>
  <c r="B45" i="1"/>
  <c r="B7" i="4"/>
  <c r="D16" i="2"/>
  <c r="D18" i="2" s="1"/>
  <c r="D22" i="2" s="1"/>
  <c r="D10" i="4"/>
  <c r="F45" i="1"/>
  <c r="F7" i="4"/>
  <c r="G24" i="2"/>
  <c r="G5" i="4"/>
  <c r="G9" i="4"/>
  <c r="G6" i="4"/>
  <c r="G11" i="4"/>
  <c r="C22" i="2"/>
  <c r="B30" i="1"/>
  <c r="B36" i="1" s="1"/>
  <c r="B43" i="1" s="1"/>
  <c r="C36" i="1"/>
  <c r="C43" i="1" s="1"/>
  <c r="B26" i="3"/>
  <c r="B28" i="3" s="1"/>
  <c r="E26" i="3"/>
  <c r="E28" i="3" s="1"/>
  <c r="F26" i="3"/>
  <c r="F28" i="3" s="1"/>
  <c r="F22" i="2"/>
  <c r="E22" i="2"/>
  <c r="F30" i="1"/>
  <c r="F36" i="1" s="1"/>
  <c r="F43" i="1" s="1"/>
  <c r="C22" i="1"/>
  <c r="D36" i="1"/>
  <c r="D43" i="1" s="1"/>
  <c r="F22" i="1"/>
  <c r="B22" i="1"/>
  <c r="E22" i="1"/>
  <c r="D22" i="1"/>
  <c r="E36" i="1"/>
  <c r="E43" i="1" s="1"/>
  <c r="E45" i="1"/>
  <c r="D26" i="3"/>
  <c r="D28" i="3" s="1"/>
  <c r="C26" i="3"/>
  <c r="C28" i="3" s="1"/>
  <c r="F24" i="2" l="1"/>
  <c r="F6" i="4"/>
  <c r="F11" i="4"/>
  <c r="F5" i="4"/>
  <c r="F9" i="4"/>
  <c r="C24" i="2"/>
  <c r="C5" i="4"/>
  <c r="C9" i="4"/>
  <c r="C6" i="4"/>
  <c r="C11" i="4"/>
  <c r="E24" i="2"/>
  <c r="E11" i="4"/>
  <c r="E6" i="4"/>
  <c r="E5" i="4"/>
  <c r="E9" i="4"/>
  <c r="D24" i="2"/>
  <c r="D11" i="4"/>
  <c r="D5" i="4"/>
  <c r="D9" i="4"/>
  <c r="D6" i="4"/>
  <c r="F8" i="4"/>
  <c r="B22" i="2"/>
  <c r="B24" i="2" l="1"/>
  <c r="B9" i="4"/>
  <c r="B11" i="4"/>
  <c r="B5" i="4"/>
  <c r="B6" i="4"/>
</calcChain>
</file>

<file path=xl/sharedStrings.xml><?xml version="1.0" encoding="utf-8"?>
<sst xmlns="http://schemas.openxmlformats.org/spreadsheetml/2006/main" count="83" uniqueCount="76">
  <si>
    <t>ASSETS</t>
  </si>
  <si>
    <t>NON CURRENT ASSETS</t>
  </si>
  <si>
    <t>CURRENT ASSETS</t>
  </si>
  <si>
    <t>Cash and Cash Equivalents</t>
  </si>
  <si>
    <t>Share Capital</t>
  </si>
  <si>
    <t>Retained Earnings</t>
  </si>
  <si>
    <t>Gross Profit</t>
  </si>
  <si>
    <t>Operating Profit</t>
  </si>
  <si>
    <t>Cost of goods sold</t>
  </si>
  <si>
    <t>Accounts Receivable</t>
  </si>
  <si>
    <t xml:space="preserve">Acquisition of Fixed Assets </t>
  </si>
  <si>
    <t>Capital Work in Progress</t>
  </si>
  <si>
    <t>Long Term Loan</t>
  </si>
  <si>
    <t>Provision for Income Tax</t>
  </si>
  <si>
    <t>Provision for WPPF and Welfare Fund</t>
  </si>
  <si>
    <t>Contribution to WPPF and Welfare Fund</t>
  </si>
  <si>
    <t>Trade Creditors</t>
  </si>
  <si>
    <t>Bank Overdraft</t>
  </si>
  <si>
    <t>Cash Received from Turnover</t>
  </si>
  <si>
    <t>Payment for Cost and Other Expenses</t>
  </si>
  <si>
    <t>Refundable Share Money</t>
  </si>
  <si>
    <t>Financial Cost</t>
  </si>
  <si>
    <t>Cash Dividend Paid</t>
  </si>
  <si>
    <t>Income Tax Paid</t>
  </si>
  <si>
    <t>Inventories</t>
  </si>
  <si>
    <t>BSEC Current Account</t>
  </si>
  <si>
    <t>Capital WIP</t>
  </si>
  <si>
    <t>Advance, deposit &amp; prepayment</t>
  </si>
  <si>
    <t>Advance Income Tax</t>
  </si>
  <si>
    <t>Others</t>
  </si>
  <si>
    <t>Revaluation &amp; Other Reserves</t>
  </si>
  <si>
    <t>Other Current Liabilities</t>
  </si>
  <si>
    <t>Other Income</t>
  </si>
  <si>
    <t>Cash Credit</t>
  </si>
  <si>
    <t>Loan Received/Repaid</t>
  </si>
  <si>
    <t>WPPF payment</t>
  </si>
  <si>
    <t xml:space="preserve">Property, Plant and Equipment </t>
  </si>
  <si>
    <t>Deferred Liability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</si>
  <si>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</si>
  <si>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</si>
  <si>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</si>
  <si>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</si>
  <si>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</si>
  <si>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</si>
  <si>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</si>
  <si>
    <t>Balance Sheet</t>
  </si>
  <si>
    <t>As at year end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</si>
  <si>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</si>
  <si>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</si>
  <si>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</si>
  <si>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</si>
  <si>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</si>
  <si>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</si>
  <si>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</si>
  <si>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</si>
  <si>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</si>
  <si>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Operating Incomes/Expenses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</si>
  <si>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</si>
  <si>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</si>
  <si>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</si>
  <si>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</si>
  <si>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</si>
  <si>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</si>
  <si>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</si>
  <si>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Expenses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</si>
  <si>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</si>
  <si>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</si>
  <si>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</si>
  <si>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</si>
  <si>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</si>
  <si>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</si>
  <si>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</si>
  <si>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</si>
  <si>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</si>
  <si>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Eastern Cables Limited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</si>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</sst>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1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1" xfId="0" applyNumberFormat="1" applyBorder="1"/>
    <xf numFmtId="0" fontId="0" fillId="0" borderId="0" xfId="0" applyAlignment="1">
      <alignment wrapText="1"/>
    </xf>
    <xf numFmtId="0" fontId="0" fillId="0" borderId="0" xfId="0" applyFont="1"/>
    <xf numFmtId="3" fontId="0" fillId="0" borderId="0" xfId="0" applyNumberFormat="1" applyFont="1"/>
    <xf numFmtId="0" fontId="0" fillId="0" borderId="0" xfId="0" applyBorder="1"/>
    <xf numFmtId="3" fontId="1" fillId="0" borderId="0" xfId="0" applyNumberFormat="1" applyFont="1" applyBorder="1"/>
    <xf numFmtId="3" fontId="1" fillId="0" borderId="2" xfId="0" applyNumberFormat="1" applyFont="1" applyBorder="1"/>
    <xf numFmtId="0" fontId="1" fillId="0" borderId="0" xfId="0" applyFont="1" applyBorder="1"/>
    <xf numFmtId="2" fontId="1" fillId="0" borderId="0" xfId="0" applyNumberFormat="1" applyFont="1"/>
    <xf numFmtId="3" fontId="0" fillId="0" borderId="0" xfId="0" applyNumberFormat="1" applyFont="1" applyBorder="1"/>
    <xf numFmtId="3" fontId="0" fillId="0" borderId="0" xfId="0" applyNumberFormat="1" applyBorder="1"/>
    <xf numFmtId="2" fontId="1" fillId="0" borderId="3" xfId="0" applyNumberFormat="1" applyFont="1" applyBorder="1"/>
    <xf numFmtId="164" fontId="0" fillId="0" borderId="0" xfId="1" applyNumberFormat="1" applyFont="1"/>
    <xf numFmtId="164" fontId="1" fillId="0" borderId="4" xfId="1" applyNumberFormat="1" applyFont="1" applyBorder="1"/>
    <xf numFmtId="164" fontId="3" fillId="0" borderId="4" xfId="1" applyNumberFormat="1" applyFont="1" applyBorder="1"/>
    <xf numFmtId="164" fontId="1" fillId="0" borderId="0" xfId="1" applyNumberFormat="1" applyFont="1"/>
    <xf numFmtId="165" fontId="0" fillId="0" borderId="0" xfId="2" applyNumberFormat="1" applyFont="1"/>
    <xf numFmtId="166" fontId="0" fillId="0" borderId="0" xfId="0" applyNumberFormat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0" fillId="0" borderId="0" xfId="0" applyFont="1" applyBorder="1"/>
    <xf numFmtId="0" fontId="7" fillId="0" borderId="0" xfId="0" applyFont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8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H7" sqref="H7"/>
    </sheetView>
  </sheetViews>
  <sheetFormatPr defaultRowHeight="15" x14ac:dyDescent="0.25"/>
  <cols>
    <col min="1" max="1" width="51.85546875" bestFit="1" customWidth="1"/>
    <col min="2" max="6" width="13.85546875" bestFit="1" customWidth="1"/>
    <col min="7" max="8" width="12.7109375" bestFit="1" customWidth="1"/>
  </cols>
  <sheetData>
    <row r="1" spans="1:8" x14ac:dyDescent="0.25">
      <c r="A1" s="30" t="s">
        <v>74</v>
      </c>
    </row>
    <row r="2" spans="1:8" x14ac:dyDescent="0.25">
      <c r="A2" s="12" t="s">
        <v>45</v>
      </c>
    </row>
    <row r="3" spans="1:8" x14ac:dyDescent="0.25">
      <c r="A3" t="s">
        <v>46</v>
      </c>
      <c r="B3" s="2"/>
      <c r="C3" s="2"/>
      <c r="D3" s="2"/>
      <c r="E3" s="2"/>
      <c r="F3" s="2"/>
      <c r="G3" s="2"/>
      <c r="H3" s="2"/>
    </row>
    <row r="4" spans="1:8" x14ac:dyDescent="0.25">
      <c r="B4" s="2">
        <v>2013</v>
      </c>
      <c r="C4" s="2">
        <v>2014</v>
      </c>
      <c r="D4" s="2">
        <v>2015</v>
      </c>
      <c r="E4" s="2">
        <v>2016</v>
      </c>
      <c r="F4" s="2">
        <v>2017</v>
      </c>
      <c r="G4" s="2">
        <v>2018</v>
      </c>
      <c r="H4" s="2">
        <v>2019</v>
      </c>
    </row>
    <row r="5" spans="1:8" x14ac:dyDescent="0.25">
      <c r="A5" s="23" t="s">
        <v>0</v>
      </c>
    </row>
    <row r="6" spans="1:8" x14ac:dyDescent="0.25">
      <c r="A6" s="24" t="s">
        <v>1</v>
      </c>
      <c r="B6" s="4">
        <f t="shared" ref="B6:H6" si="0">SUM(B7:B8)</f>
        <v>67545576</v>
      </c>
      <c r="C6" s="4">
        <f t="shared" si="0"/>
        <v>77407279</v>
      </c>
      <c r="D6" s="4">
        <f t="shared" si="0"/>
        <v>83336033</v>
      </c>
      <c r="E6" s="4">
        <f t="shared" si="0"/>
        <v>155100255</v>
      </c>
      <c r="F6" s="4">
        <f t="shared" si="0"/>
        <v>172449292</v>
      </c>
      <c r="G6" s="4">
        <f t="shared" si="0"/>
        <v>168259759</v>
      </c>
      <c r="H6" s="4">
        <f t="shared" si="0"/>
        <v>0</v>
      </c>
    </row>
    <row r="7" spans="1:8" x14ac:dyDescent="0.25">
      <c r="A7" t="s">
        <v>36</v>
      </c>
      <c r="B7" s="1">
        <v>62764688</v>
      </c>
      <c r="C7" s="1">
        <v>72626391</v>
      </c>
      <c r="D7" s="8">
        <v>77752490</v>
      </c>
      <c r="E7" s="8">
        <v>149921213</v>
      </c>
      <c r="F7" s="8">
        <v>167270250</v>
      </c>
      <c r="G7" s="8">
        <v>162779517</v>
      </c>
      <c r="H7" s="8"/>
    </row>
    <row r="8" spans="1:8" x14ac:dyDescent="0.25">
      <c r="A8" t="s">
        <v>26</v>
      </c>
      <c r="B8" s="1">
        <v>4780888</v>
      </c>
      <c r="C8" s="1">
        <v>4780888</v>
      </c>
      <c r="D8" s="8">
        <v>5583543</v>
      </c>
      <c r="E8" s="8">
        <v>5179042</v>
      </c>
      <c r="F8" s="8">
        <v>5179042</v>
      </c>
      <c r="G8" s="8">
        <v>5480242</v>
      </c>
      <c r="H8" s="8"/>
    </row>
    <row r="9" spans="1:8" x14ac:dyDescent="0.25">
      <c r="B9" s="15"/>
      <c r="C9" s="15"/>
      <c r="D9" s="15"/>
      <c r="E9" s="14"/>
      <c r="F9" s="14"/>
    </row>
    <row r="10" spans="1:8" x14ac:dyDescent="0.25">
      <c r="B10" s="1"/>
      <c r="C10" s="1"/>
      <c r="D10" s="1"/>
      <c r="E10" s="8"/>
      <c r="F10" s="8"/>
    </row>
    <row r="11" spans="1:8" x14ac:dyDescent="0.25">
      <c r="B11" s="1"/>
      <c r="C11" s="1"/>
      <c r="D11" s="1"/>
      <c r="E11" s="1"/>
      <c r="F11" s="8"/>
    </row>
    <row r="12" spans="1:8" x14ac:dyDescent="0.25">
      <c r="C12" s="1"/>
      <c r="D12" s="1"/>
      <c r="E12" s="1"/>
      <c r="F12" s="1"/>
    </row>
    <row r="13" spans="1:8" x14ac:dyDescent="0.25">
      <c r="A13" s="24" t="s">
        <v>2</v>
      </c>
      <c r="B13" s="4">
        <f t="shared" ref="B13:H13" si="1">SUM(B14:B20)</f>
        <v>1155552151</v>
      </c>
      <c r="C13" s="4">
        <f t="shared" si="1"/>
        <v>1297034543</v>
      </c>
      <c r="D13" s="4">
        <f t="shared" si="1"/>
        <v>1292314791</v>
      </c>
      <c r="E13" s="4">
        <f t="shared" si="1"/>
        <v>1281061364</v>
      </c>
      <c r="F13" s="4">
        <f t="shared" si="1"/>
        <v>1354052405</v>
      </c>
      <c r="G13" s="4">
        <f t="shared" si="1"/>
        <v>1328678349</v>
      </c>
      <c r="H13" s="4">
        <f t="shared" si="1"/>
        <v>0</v>
      </c>
    </row>
    <row r="14" spans="1:8" x14ac:dyDescent="0.25">
      <c r="A14" s="7" t="s">
        <v>24</v>
      </c>
      <c r="B14" s="8">
        <v>193351158</v>
      </c>
      <c r="C14" s="8">
        <v>258688062</v>
      </c>
      <c r="D14" s="8">
        <v>393382334</v>
      </c>
      <c r="E14" s="8">
        <v>413899350</v>
      </c>
      <c r="F14" s="8">
        <v>448605534</v>
      </c>
      <c r="G14" s="8">
        <v>262647623</v>
      </c>
      <c r="H14" s="8"/>
    </row>
    <row r="15" spans="1:8" x14ac:dyDescent="0.25">
      <c r="A15" t="s">
        <v>25</v>
      </c>
      <c r="B15" s="8">
        <f>15738570+11518112+16103952</f>
        <v>43360634</v>
      </c>
      <c r="C15" s="8">
        <f>5687884+12119557+16103952</f>
        <v>33911393</v>
      </c>
      <c r="D15" s="1">
        <f>5328311+13246561+16103952</f>
        <v>34678824</v>
      </c>
      <c r="E15" s="8">
        <f>14155707+16103952</f>
        <v>30259659</v>
      </c>
      <c r="F15" s="1">
        <v>27006377</v>
      </c>
      <c r="G15" s="1">
        <v>23052489</v>
      </c>
      <c r="H15" s="1"/>
    </row>
    <row r="16" spans="1:8" x14ac:dyDescent="0.25">
      <c r="A16" t="s">
        <v>27</v>
      </c>
      <c r="B16" s="1">
        <v>40501830</v>
      </c>
      <c r="C16" s="8">
        <v>34594909</v>
      </c>
      <c r="D16" s="8">
        <v>34208445</v>
      </c>
      <c r="E16" s="8">
        <v>36064072</v>
      </c>
      <c r="F16" s="8">
        <v>30465236</v>
      </c>
      <c r="G16" s="8">
        <v>27196954</v>
      </c>
      <c r="H16" s="8"/>
    </row>
    <row r="17" spans="1:8" x14ac:dyDescent="0.25">
      <c r="A17" t="s">
        <v>9</v>
      </c>
      <c r="B17" s="1">
        <v>409835258</v>
      </c>
      <c r="C17" s="1">
        <v>418464367</v>
      </c>
      <c r="D17" s="1">
        <v>191868898</v>
      </c>
      <c r="E17" s="1">
        <v>85412442</v>
      </c>
      <c r="F17" s="1">
        <v>50823710</v>
      </c>
      <c r="G17" s="1">
        <v>110117294</v>
      </c>
      <c r="H17" s="1"/>
    </row>
    <row r="18" spans="1:8" x14ac:dyDescent="0.25">
      <c r="A18" t="s">
        <v>28</v>
      </c>
      <c r="B18" s="1">
        <v>460150668</v>
      </c>
      <c r="C18" s="1">
        <v>540369215</v>
      </c>
      <c r="D18" s="1">
        <v>630981523</v>
      </c>
      <c r="E18" s="1">
        <v>704074593</v>
      </c>
      <c r="F18" s="1">
        <v>786796581</v>
      </c>
      <c r="G18" s="1">
        <v>889729633</v>
      </c>
      <c r="H18" s="1"/>
    </row>
    <row r="19" spans="1:8" x14ac:dyDescent="0.25">
      <c r="A19" t="s">
        <v>29</v>
      </c>
      <c r="B19" s="1"/>
      <c r="C19" s="1"/>
      <c r="D19" s="1"/>
      <c r="E19" s="1">
        <v>2295307</v>
      </c>
      <c r="F19" s="1">
        <v>5563282</v>
      </c>
      <c r="G19" s="1">
        <v>7765087</v>
      </c>
      <c r="H19" s="1"/>
    </row>
    <row r="20" spans="1:8" x14ac:dyDescent="0.25">
      <c r="A20" t="s">
        <v>3</v>
      </c>
      <c r="B20" s="1">
        <v>8352603</v>
      </c>
      <c r="C20" s="1">
        <v>11006597</v>
      </c>
      <c r="D20" s="1">
        <v>7194767</v>
      </c>
      <c r="E20" s="1">
        <v>9055941</v>
      </c>
      <c r="F20" s="1">
        <v>4791685</v>
      </c>
      <c r="G20" s="1">
        <v>8169269</v>
      </c>
      <c r="H20" s="1"/>
    </row>
    <row r="21" spans="1:8" x14ac:dyDescent="0.25">
      <c r="C21" s="1"/>
      <c r="D21" s="1"/>
      <c r="E21" s="1"/>
      <c r="F21" s="1"/>
    </row>
    <row r="22" spans="1:8" x14ac:dyDescent="0.25">
      <c r="A22" s="2"/>
      <c r="B22" s="4">
        <f t="shared" ref="B22:E22" si="2">B13+B6</f>
        <v>1223097727</v>
      </c>
      <c r="C22" s="4">
        <f t="shared" si="2"/>
        <v>1374441822</v>
      </c>
      <c r="D22" s="4">
        <f t="shared" si="2"/>
        <v>1375650824</v>
      </c>
      <c r="E22" s="4">
        <f t="shared" si="2"/>
        <v>1436161619</v>
      </c>
      <c r="F22" s="4">
        <f>F13+F6</f>
        <v>1526501697</v>
      </c>
      <c r="G22" s="4">
        <f>G13+G6</f>
        <v>1496938108</v>
      </c>
      <c r="H22" s="4">
        <f>H13+H6</f>
        <v>0</v>
      </c>
    </row>
    <row r="23" spans="1:8" x14ac:dyDescent="0.25">
      <c r="F23" s="1"/>
    </row>
    <row r="24" spans="1:8" ht="15.75" x14ac:dyDescent="0.25">
      <c r="A24" s="25" t="s">
        <v>47</v>
      </c>
    </row>
    <row r="25" spans="1:8" ht="15.75" x14ac:dyDescent="0.25">
      <c r="A25" s="26" t="s">
        <v>48</v>
      </c>
    </row>
    <row r="26" spans="1:8" x14ac:dyDescent="0.25">
      <c r="A26" s="24" t="s">
        <v>49</v>
      </c>
      <c r="B26" s="4">
        <f t="shared" ref="B26:F26" si="3">SUM(B27:B28)</f>
        <v>90998052</v>
      </c>
      <c r="C26" s="4">
        <f t="shared" si="3"/>
        <v>112619364</v>
      </c>
      <c r="D26" s="4">
        <f t="shared" si="3"/>
        <v>78195340</v>
      </c>
      <c r="E26" s="4">
        <f t="shared" si="3"/>
        <v>81429563</v>
      </c>
      <c r="F26" s="4">
        <f t="shared" si="3"/>
        <v>211509956</v>
      </c>
      <c r="G26" s="4">
        <f t="shared" ref="G26" si="4">SUM(G27:G28)</f>
        <v>183950349</v>
      </c>
      <c r="H26" s="4"/>
    </row>
    <row r="27" spans="1:8" x14ac:dyDescent="0.25">
      <c r="A27" s="7" t="s">
        <v>12</v>
      </c>
      <c r="B27" s="8">
        <v>77381045</v>
      </c>
      <c r="C27" s="8">
        <v>77381045</v>
      </c>
      <c r="D27" s="8">
        <v>77381045</v>
      </c>
      <c r="E27" s="8">
        <v>77381045</v>
      </c>
      <c r="F27" s="8">
        <v>77381045</v>
      </c>
      <c r="G27" s="8">
        <v>77381045</v>
      </c>
      <c r="H27" s="8"/>
    </row>
    <row r="28" spans="1:8" x14ac:dyDescent="0.25">
      <c r="A28" s="7" t="s">
        <v>37</v>
      </c>
      <c r="B28" s="8">
        <v>13617007</v>
      </c>
      <c r="C28" s="8">
        <v>35238319</v>
      </c>
      <c r="D28" s="8">
        <v>814295</v>
      </c>
      <c r="E28" s="8">
        <v>4048518</v>
      </c>
      <c r="F28" s="8">
        <v>134128911</v>
      </c>
      <c r="G28" s="8">
        <v>106569304</v>
      </c>
      <c r="H28" s="8"/>
    </row>
    <row r="29" spans="1:8" x14ac:dyDescent="0.25">
      <c r="C29" s="1"/>
      <c r="D29" s="1"/>
      <c r="E29" s="1"/>
    </row>
    <row r="30" spans="1:8" x14ac:dyDescent="0.25">
      <c r="A30" s="24" t="s">
        <v>50</v>
      </c>
      <c r="B30" s="4">
        <f t="shared" ref="B30:F30" si="5">SUM(B31:B34)</f>
        <v>556939586</v>
      </c>
      <c r="C30" s="4">
        <f t="shared" si="5"/>
        <v>591884766</v>
      </c>
      <c r="D30" s="4">
        <f t="shared" si="5"/>
        <v>570868787</v>
      </c>
      <c r="E30" s="4">
        <f t="shared" si="5"/>
        <v>624505935</v>
      </c>
      <c r="F30" s="4">
        <f t="shared" si="5"/>
        <v>580252877</v>
      </c>
      <c r="G30" s="4">
        <f t="shared" ref="G30" si="6">SUM(G31:G34)</f>
        <v>581823583</v>
      </c>
      <c r="H30" s="4"/>
    </row>
    <row r="31" spans="1:8" x14ac:dyDescent="0.25">
      <c r="A31" s="7" t="s">
        <v>16</v>
      </c>
      <c r="B31" s="8">
        <v>75052737</v>
      </c>
      <c r="C31" s="8">
        <v>100987767</v>
      </c>
      <c r="D31" s="8">
        <v>65030362</v>
      </c>
      <c r="E31" s="8">
        <v>97101078</v>
      </c>
      <c r="F31" s="8">
        <v>124077119</v>
      </c>
      <c r="G31" s="8">
        <v>104660898</v>
      </c>
      <c r="H31" s="8"/>
    </row>
    <row r="32" spans="1:8" x14ac:dyDescent="0.25">
      <c r="A32" t="s">
        <v>14</v>
      </c>
      <c r="B32" s="1">
        <f>8316320+4539445</f>
        <v>12855765</v>
      </c>
      <c r="C32" s="1">
        <f>6087062+6263431</f>
        <v>12350493</v>
      </c>
      <c r="D32" s="1">
        <v>7396147</v>
      </c>
      <c r="E32" s="1">
        <f>1811305+3906428</f>
        <v>5717733</v>
      </c>
      <c r="F32" s="1">
        <v>7676915</v>
      </c>
      <c r="G32" s="1">
        <v>6362253</v>
      </c>
      <c r="H32" s="1"/>
    </row>
    <row r="33" spans="1:8" x14ac:dyDescent="0.25">
      <c r="A33" t="s">
        <v>13</v>
      </c>
      <c r="B33" s="1">
        <v>220228815</v>
      </c>
      <c r="C33" s="1">
        <v>265267956</v>
      </c>
      <c r="D33" s="1">
        <v>292169955</v>
      </c>
      <c r="E33" s="1">
        <v>302066773</v>
      </c>
      <c r="F33" s="1">
        <v>310481696</v>
      </c>
      <c r="G33" s="1">
        <v>317903385</v>
      </c>
      <c r="H33" s="1"/>
    </row>
    <row r="34" spans="1:8" x14ac:dyDescent="0.25">
      <c r="A34" t="s">
        <v>31</v>
      </c>
      <c r="B34" s="1">
        <v>248802269</v>
      </c>
      <c r="C34" s="1">
        <v>213278550</v>
      </c>
      <c r="D34" s="1">
        <v>206272323</v>
      </c>
      <c r="E34" s="1">
        <v>219620351</v>
      </c>
      <c r="F34" s="1">
        <v>138017147</v>
      </c>
      <c r="G34" s="1">
        <v>152897047</v>
      </c>
      <c r="H34" s="1"/>
    </row>
    <row r="35" spans="1:8" x14ac:dyDescent="0.25">
      <c r="A35" s="2"/>
      <c r="C35" s="1"/>
      <c r="E35" s="1"/>
    </row>
    <row r="36" spans="1:8" x14ac:dyDescent="0.25">
      <c r="A36" s="2"/>
      <c r="B36" s="4">
        <f t="shared" ref="B36:F36" si="7">B30+B26</f>
        <v>647937638</v>
      </c>
      <c r="C36" s="4">
        <f t="shared" si="7"/>
        <v>704504130</v>
      </c>
      <c r="D36" s="4">
        <f t="shared" si="7"/>
        <v>649064127</v>
      </c>
      <c r="E36" s="4">
        <f t="shared" si="7"/>
        <v>705935498</v>
      </c>
      <c r="F36" s="4">
        <f t="shared" si="7"/>
        <v>791762833</v>
      </c>
      <c r="G36" s="4">
        <f t="shared" ref="G36" si="8">G30+G26</f>
        <v>765773932</v>
      </c>
      <c r="H36" s="4"/>
    </row>
    <row r="37" spans="1:8" x14ac:dyDescent="0.25">
      <c r="A37" s="2"/>
      <c r="B37" s="2"/>
      <c r="C37" s="2"/>
      <c r="D37" s="2"/>
      <c r="E37" s="2"/>
    </row>
    <row r="38" spans="1:8" x14ac:dyDescent="0.25">
      <c r="A38" s="24" t="s">
        <v>51</v>
      </c>
      <c r="B38" s="4">
        <f t="shared" ref="B38:G38" si="9">SUM(B39:B41)</f>
        <v>575160089</v>
      </c>
      <c r="C38" s="4">
        <f t="shared" si="9"/>
        <v>669937692</v>
      </c>
      <c r="D38" s="4">
        <f t="shared" si="9"/>
        <v>726586697</v>
      </c>
      <c r="E38" s="4">
        <f t="shared" si="9"/>
        <v>730226121</v>
      </c>
      <c r="F38" s="4">
        <f t="shared" si="9"/>
        <v>734738864</v>
      </c>
      <c r="G38" s="4">
        <f t="shared" si="9"/>
        <v>731164176</v>
      </c>
      <c r="H38" s="4"/>
    </row>
    <row r="39" spans="1:8" x14ac:dyDescent="0.25">
      <c r="A39" t="s">
        <v>4</v>
      </c>
      <c r="B39" s="1">
        <v>240000000</v>
      </c>
      <c r="C39" s="1">
        <v>240000000</v>
      </c>
      <c r="D39" s="1">
        <v>240000000</v>
      </c>
      <c r="E39" s="1">
        <v>240000000</v>
      </c>
      <c r="F39" s="1">
        <v>240000000</v>
      </c>
      <c r="G39" s="1">
        <v>240000000</v>
      </c>
      <c r="H39" s="1"/>
    </row>
    <row r="40" spans="1:8" x14ac:dyDescent="0.25">
      <c r="A40" t="s">
        <v>30</v>
      </c>
      <c r="B40" s="1">
        <v>311090893</v>
      </c>
      <c r="C40" s="1">
        <v>405790893</v>
      </c>
      <c r="D40" s="1">
        <v>457590893</v>
      </c>
      <c r="E40" s="1">
        <v>466090893</v>
      </c>
      <c r="F40" s="1">
        <v>466090893</v>
      </c>
      <c r="G40" s="1">
        <v>466090893</v>
      </c>
      <c r="H40" s="1"/>
    </row>
    <row r="41" spans="1:8" x14ac:dyDescent="0.25">
      <c r="A41" t="s">
        <v>5</v>
      </c>
      <c r="B41" s="1">
        <v>24069196</v>
      </c>
      <c r="C41" s="1">
        <v>24146799</v>
      </c>
      <c r="D41" s="1">
        <v>28995804</v>
      </c>
      <c r="E41" s="1">
        <v>24135228</v>
      </c>
      <c r="F41" s="1">
        <v>28647971</v>
      </c>
      <c r="G41" s="1">
        <v>25073283</v>
      </c>
      <c r="H41" s="1"/>
    </row>
    <row r="42" spans="1:8" x14ac:dyDescent="0.25">
      <c r="D42" s="1"/>
      <c r="E42" s="1"/>
    </row>
    <row r="43" spans="1:8" x14ac:dyDescent="0.25">
      <c r="A43" s="2"/>
      <c r="B43" s="4">
        <f t="shared" ref="B43:G43" si="10">B36+B38</f>
        <v>1223097727</v>
      </c>
      <c r="C43" s="4">
        <f t="shared" si="10"/>
        <v>1374441822</v>
      </c>
      <c r="D43" s="4">
        <f t="shared" si="10"/>
        <v>1375650824</v>
      </c>
      <c r="E43" s="4">
        <f t="shared" si="10"/>
        <v>1436161619</v>
      </c>
      <c r="F43" s="4">
        <f t="shared" si="10"/>
        <v>1526501697</v>
      </c>
      <c r="G43" s="4">
        <f t="shared" si="10"/>
        <v>1496938108</v>
      </c>
      <c r="H43" s="4"/>
    </row>
    <row r="45" spans="1:8" x14ac:dyDescent="0.25">
      <c r="A45" s="27" t="s">
        <v>52</v>
      </c>
      <c r="B45" s="13">
        <f t="shared" ref="B45:G45" si="11">B38/(B39/10)</f>
        <v>23.965003708333334</v>
      </c>
      <c r="C45" s="13">
        <f t="shared" si="11"/>
        <v>27.914070500000001</v>
      </c>
      <c r="D45" s="13">
        <f t="shared" si="11"/>
        <v>30.274445708333332</v>
      </c>
      <c r="E45" s="13">
        <f t="shared" si="11"/>
        <v>30.426088374999999</v>
      </c>
      <c r="F45" s="13">
        <f t="shared" si="11"/>
        <v>30.614119333333335</v>
      </c>
      <c r="G45" s="13">
        <f t="shared" si="11"/>
        <v>30.465174000000001</v>
      </c>
      <c r="H45" s="13"/>
    </row>
    <row r="46" spans="1:8" x14ac:dyDescent="0.25">
      <c r="A46" s="27" t="s">
        <v>53</v>
      </c>
      <c r="B46" s="1">
        <f>B39/10</f>
        <v>24000000</v>
      </c>
      <c r="C46" s="1">
        <f t="shared" ref="C46:G46" si="12">C39/10</f>
        <v>24000000</v>
      </c>
      <c r="D46" s="1">
        <f t="shared" si="12"/>
        <v>24000000</v>
      </c>
      <c r="E46" s="1">
        <f t="shared" si="12"/>
        <v>24000000</v>
      </c>
      <c r="F46" s="1">
        <f t="shared" si="12"/>
        <v>24000000</v>
      </c>
      <c r="G46" s="1">
        <f t="shared" si="12"/>
        <v>24000000</v>
      </c>
      <c r="H46" s="1"/>
    </row>
    <row r="47" spans="1:8" x14ac:dyDescent="0.25">
      <c r="B47" s="1"/>
      <c r="C47" s="1"/>
      <c r="D47" s="1"/>
      <c r="E47" s="1"/>
    </row>
    <row r="48" spans="1:8" x14ac:dyDescent="0.25">
      <c r="F48" s="1"/>
      <c r="G48" s="1"/>
      <c r="H48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8"/>
  <sheetViews>
    <sheetView workbookViewId="0">
      <pane xSplit="1" ySplit="4" topLeftCell="B11" activePane="bottomRight" state="frozen"/>
      <selection pane="topRight" activeCell="B1" sqref="B1"/>
      <selection pane="bottomLeft" activeCell="A6" sqref="A6"/>
      <selection pane="bottomRight" activeCell="B22" sqref="B22"/>
    </sheetView>
  </sheetViews>
  <sheetFormatPr defaultRowHeight="15" x14ac:dyDescent="0.25"/>
  <cols>
    <col min="1" max="1" width="46.5703125" customWidth="1"/>
    <col min="2" max="6" width="14.5703125" bestFit="1" customWidth="1"/>
    <col min="7" max="8" width="12.7109375" bestFit="1" customWidth="1"/>
  </cols>
  <sheetData>
    <row r="1" spans="1:8" x14ac:dyDescent="0.25">
      <c r="A1" s="30" t="s">
        <v>74</v>
      </c>
    </row>
    <row r="2" spans="1:8" x14ac:dyDescent="0.25">
      <c r="A2" s="12" t="s">
        <v>54</v>
      </c>
    </row>
    <row r="3" spans="1:8" x14ac:dyDescent="0.25">
      <c r="A3" t="s">
        <v>46</v>
      </c>
      <c r="B3" s="2"/>
      <c r="C3" s="2"/>
      <c r="D3" s="2"/>
      <c r="E3" s="2"/>
      <c r="F3" s="2"/>
      <c r="G3" s="2"/>
      <c r="H3" s="2"/>
    </row>
    <row r="4" spans="1:8" x14ac:dyDescent="0.25">
      <c r="B4" s="2">
        <v>2013</v>
      </c>
      <c r="C4" s="2">
        <v>2014</v>
      </c>
      <c r="D4" s="2">
        <v>2015</v>
      </c>
      <c r="E4" s="2">
        <v>2016</v>
      </c>
      <c r="F4" s="2">
        <v>2017</v>
      </c>
      <c r="G4" s="2">
        <v>2018</v>
      </c>
      <c r="H4" s="2">
        <v>2019</v>
      </c>
    </row>
    <row r="5" spans="1:8" x14ac:dyDescent="0.25">
      <c r="A5" s="27" t="s">
        <v>55</v>
      </c>
      <c r="B5" s="1">
        <v>1551201853</v>
      </c>
      <c r="C5" s="1">
        <v>1138247504</v>
      </c>
      <c r="D5" s="1">
        <v>1115945708</v>
      </c>
      <c r="E5" s="1">
        <v>1053256215</v>
      </c>
      <c r="F5" s="1">
        <v>1119472556</v>
      </c>
      <c r="G5" s="1">
        <v>1236948172</v>
      </c>
    </row>
    <row r="6" spans="1:8" x14ac:dyDescent="0.25">
      <c r="A6" t="s">
        <v>8</v>
      </c>
      <c r="B6" s="5">
        <v>1228645022</v>
      </c>
      <c r="C6" s="5">
        <v>868437695</v>
      </c>
      <c r="D6" s="5">
        <v>908381226</v>
      </c>
      <c r="E6" s="5">
        <v>891271697</v>
      </c>
      <c r="F6" s="5">
        <v>940784356</v>
      </c>
      <c r="G6" s="5">
        <v>1114346207</v>
      </c>
      <c r="H6" s="4"/>
    </row>
    <row r="7" spans="1:8" x14ac:dyDescent="0.25">
      <c r="A7" s="27" t="s">
        <v>6</v>
      </c>
      <c r="B7" s="4">
        <f t="shared" ref="B7:F7" si="0">B5-B6</f>
        <v>322556831</v>
      </c>
      <c r="C7" s="4">
        <f t="shared" si="0"/>
        <v>269809809</v>
      </c>
      <c r="D7" s="4">
        <f t="shared" si="0"/>
        <v>207564482</v>
      </c>
      <c r="E7" s="4">
        <f t="shared" si="0"/>
        <v>161984518</v>
      </c>
      <c r="F7" s="4">
        <f t="shared" si="0"/>
        <v>178688200</v>
      </c>
      <c r="G7" s="4">
        <f t="shared" ref="G7" si="1">G5-G6</f>
        <v>122601965</v>
      </c>
      <c r="H7" s="8"/>
    </row>
    <row r="8" spans="1:8" x14ac:dyDescent="0.25">
      <c r="A8" s="2"/>
      <c r="B8" s="2"/>
      <c r="C8" s="4"/>
      <c r="D8" s="4"/>
      <c r="E8" s="4"/>
      <c r="F8" s="4"/>
      <c r="G8" s="4"/>
      <c r="H8" s="8"/>
    </row>
    <row r="9" spans="1:8" x14ac:dyDescent="0.25">
      <c r="A9" s="27" t="s">
        <v>56</v>
      </c>
      <c r="B9" s="4">
        <f>B10</f>
        <v>82777706</v>
      </c>
      <c r="C9" s="4">
        <f t="shared" ref="C9:G9" si="2">C10</f>
        <v>83909931</v>
      </c>
      <c r="D9" s="4">
        <f t="shared" si="2"/>
        <v>78224179</v>
      </c>
      <c r="E9" s="4">
        <f t="shared" si="2"/>
        <v>97063200</v>
      </c>
      <c r="F9" s="4">
        <f t="shared" si="2"/>
        <v>104135364</v>
      </c>
      <c r="G9" s="4">
        <f t="shared" si="2"/>
        <v>100827874</v>
      </c>
    </row>
    <row r="10" spans="1:8" x14ac:dyDescent="0.25">
      <c r="A10" s="29" t="s">
        <v>64</v>
      </c>
      <c r="B10" s="8">
        <v>82777706</v>
      </c>
      <c r="C10" s="8">
        <v>83909931</v>
      </c>
      <c r="D10" s="8">
        <v>78224179</v>
      </c>
      <c r="E10" s="8">
        <v>97063200</v>
      </c>
      <c r="F10" s="8">
        <v>104135364</v>
      </c>
      <c r="G10" s="8">
        <v>100827874</v>
      </c>
      <c r="H10" s="7"/>
    </row>
    <row r="11" spans="1:8" x14ac:dyDescent="0.25">
      <c r="A11" t="s">
        <v>32</v>
      </c>
      <c r="B11" s="1">
        <v>1880321</v>
      </c>
      <c r="C11" s="1">
        <v>2857484</v>
      </c>
      <c r="D11" s="1">
        <v>2452837</v>
      </c>
      <c r="E11" s="1">
        <v>2784964</v>
      </c>
      <c r="F11" s="1">
        <f>2227200-14626626</f>
        <v>-12399426</v>
      </c>
      <c r="G11" s="1">
        <f>2397757+703659</f>
        <v>3101416</v>
      </c>
    </row>
    <row r="12" spans="1:8" x14ac:dyDescent="0.25">
      <c r="A12" s="7"/>
      <c r="B12" s="1"/>
      <c r="C12" s="1"/>
      <c r="D12" s="1"/>
      <c r="E12" s="1"/>
      <c r="F12" s="1"/>
      <c r="G12" s="1"/>
    </row>
    <row r="13" spans="1:8" x14ac:dyDescent="0.25">
      <c r="A13" s="27" t="s">
        <v>7</v>
      </c>
      <c r="B13" s="4">
        <f>B7-B9+B11</f>
        <v>241659446</v>
      </c>
      <c r="C13" s="4">
        <f t="shared" ref="C13:G13" si="3">C7-C9+C11</f>
        <v>188757362</v>
      </c>
      <c r="D13" s="4">
        <f t="shared" si="3"/>
        <v>131793140</v>
      </c>
      <c r="E13" s="4">
        <f t="shared" si="3"/>
        <v>67706282</v>
      </c>
      <c r="F13" s="4">
        <f t="shared" si="3"/>
        <v>62153410</v>
      </c>
      <c r="G13" s="4">
        <f t="shared" si="3"/>
        <v>24875507</v>
      </c>
      <c r="H13" s="4"/>
    </row>
    <row r="14" spans="1:8" x14ac:dyDescent="0.25">
      <c r="A14" s="28" t="s">
        <v>57</v>
      </c>
      <c r="B14" s="4"/>
      <c r="C14" s="4"/>
      <c r="D14" s="4"/>
      <c r="E14" s="4"/>
      <c r="F14" s="4"/>
      <c r="G14" s="4"/>
      <c r="H14" s="8"/>
    </row>
    <row r="15" spans="1:8" x14ac:dyDescent="0.25">
      <c r="A15" t="s">
        <v>21</v>
      </c>
      <c r="B15" s="8">
        <v>27650882</v>
      </c>
      <c r="C15" s="8">
        <v>16358735</v>
      </c>
      <c r="D15" s="14">
        <v>18521561</v>
      </c>
      <c r="E15" s="14">
        <v>26035472</v>
      </c>
      <c r="F15" s="14">
        <v>26722157</v>
      </c>
      <c r="G15" s="14">
        <v>23143723</v>
      </c>
      <c r="H15" s="1"/>
    </row>
    <row r="16" spans="1:8" x14ac:dyDescent="0.25">
      <c r="A16" s="27" t="s">
        <v>58</v>
      </c>
      <c r="B16" s="4">
        <f>B13-B15</f>
        <v>214008564</v>
      </c>
      <c r="C16" s="4">
        <f t="shared" ref="C16:G16" si="4">C13-C15</f>
        <v>172398627</v>
      </c>
      <c r="D16" s="4">
        <f t="shared" si="4"/>
        <v>113271579</v>
      </c>
      <c r="E16" s="4">
        <f t="shared" si="4"/>
        <v>41670810</v>
      </c>
      <c r="F16" s="4">
        <f t="shared" si="4"/>
        <v>35431253</v>
      </c>
      <c r="G16" s="4">
        <f t="shared" si="4"/>
        <v>1731784</v>
      </c>
      <c r="H16" s="8"/>
    </row>
    <row r="17" spans="1:8" x14ac:dyDescent="0.25">
      <c r="A17" s="7" t="s">
        <v>15</v>
      </c>
      <c r="B17" s="14">
        <f>8560343+2140085</f>
        <v>10700428</v>
      </c>
      <c r="C17" s="14">
        <f>6895945+1723986</f>
        <v>8619931</v>
      </c>
      <c r="D17" s="8">
        <v>5663579</v>
      </c>
      <c r="E17" s="8">
        <f>1666834+416708</f>
        <v>2083542</v>
      </c>
      <c r="F17" s="8">
        <f>1417250+354312</f>
        <v>1771562</v>
      </c>
      <c r="G17" s="8">
        <f>69271+17318</f>
        <v>86589</v>
      </c>
      <c r="H17" s="1"/>
    </row>
    <row r="18" spans="1:8" x14ac:dyDescent="0.25">
      <c r="A18" s="27" t="s">
        <v>59</v>
      </c>
      <c r="B18" s="10">
        <f>B16-B17</f>
        <v>203308136</v>
      </c>
      <c r="C18" s="10">
        <f t="shared" ref="C18:G18" si="5">C16-C17</f>
        <v>163778696</v>
      </c>
      <c r="D18" s="10">
        <f t="shared" si="5"/>
        <v>107608000</v>
      </c>
      <c r="E18" s="10">
        <f t="shared" si="5"/>
        <v>39587268</v>
      </c>
      <c r="F18" s="10">
        <f t="shared" si="5"/>
        <v>33659691</v>
      </c>
      <c r="G18" s="10">
        <f t="shared" si="5"/>
        <v>1645195</v>
      </c>
      <c r="H18" s="1"/>
    </row>
    <row r="19" spans="1:8" x14ac:dyDescent="0.25">
      <c r="B19" s="12"/>
      <c r="C19" s="10"/>
      <c r="D19" s="10"/>
      <c r="E19" s="4"/>
      <c r="F19" s="4"/>
      <c r="G19" s="4"/>
      <c r="H19" s="1"/>
    </row>
    <row r="20" spans="1:8" x14ac:dyDescent="0.25">
      <c r="A20" s="24" t="s">
        <v>60</v>
      </c>
      <c r="B20" s="4">
        <f>56565667+434719</f>
        <v>57000386</v>
      </c>
      <c r="C20" s="10">
        <v>45001093</v>
      </c>
      <c r="D20" s="4">
        <v>26958995</v>
      </c>
      <c r="E20" s="4">
        <f>9896818-2748974</f>
        <v>7147844</v>
      </c>
      <c r="F20" s="4">
        <f>8414923-3267975</f>
        <v>5146948</v>
      </c>
      <c r="G20" s="4">
        <f>7421689-2201805</f>
        <v>5219884</v>
      </c>
      <c r="H20" s="1"/>
    </row>
    <row r="21" spans="1:8" x14ac:dyDescent="0.25">
      <c r="A21" s="2"/>
      <c r="B21" s="4"/>
      <c r="C21" s="10"/>
      <c r="D21" s="10"/>
      <c r="E21" s="4"/>
      <c r="F21" s="4"/>
      <c r="G21" s="4"/>
    </row>
    <row r="22" spans="1:8" x14ac:dyDescent="0.25">
      <c r="A22" s="27" t="s">
        <v>61</v>
      </c>
      <c r="B22" s="11">
        <f t="shared" ref="B22:F22" si="6">B18-B20</f>
        <v>146307750</v>
      </c>
      <c r="C22" s="11">
        <f t="shared" si="6"/>
        <v>118777603</v>
      </c>
      <c r="D22" s="11">
        <f>D18-D20</f>
        <v>80649005</v>
      </c>
      <c r="E22" s="11">
        <f t="shared" si="6"/>
        <v>32439424</v>
      </c>
      <c r="F22" s="11">
        <f t="shared" si="6"/>
        <v>28512743</v>
      </c>
      <c r="G22" s="11">
        <f>G18-G20</f>
        <v>-3574689</v>
      </c>
      <c r="H22" s="4"/>
    </row>
    <row r="23" spans="1:8" x14ac:dyDescent="0.25">
      <c r="A23" s="2"/>
      <c r="B23" s="12"/>
      <c r="C23" s="10"/>
      <c r="D23" s="10"/>
      <c r="E23" s="10"/>
      <c r="F23" s="10"/>
      <c r="G23" s="10"/>
    </row>
    <row r="24" spans="1:8" x14ac:dyDescent="0.25">
      <c r="A24" s="27" t="s">
        <v>62</v>
      </c>
      <c r="B24" s="16">
        <f>B22/('1'!B39/10)</f>
        <v>6.0961562499999999</v>
      </c>
      <c r="C24" s="16">
        <f>C22/('1'!C39/10)</f>
        <v>4.9490667916666666</v>
      </c>
      <c r="D24" s="16">
        <f>D22/('1'!D39/10)</f>
        <v>3.3603752083333331</v>
      </c>
      <c r="E24" s="16">
        <f>E22/('1'!E39/10)</f>
        <v>1.3516426666666668</v>
      </c>
      <c r="F24" s="16">
        <f>F22/('1'!F39/10)</f>
        <v>1.1880309583333333</v>
      </c>
      <c r="G24" s="16">
        <f>G22/('1'!G39/10)</f>
        <v>-0.14894537499999999</v>
      </c>
    </row>
    <row r="25" spans="1:8" x14ac:dyDescent="0.25">
      <c r="A25" s="28" t="s">
        <v>63</v>
      </c>
      <c r="B25" s="14">
        <f>'1'!B39/10</f>
        <v>24000000</v>
      </c>
      <c r="C25" s="14">
        <f>'1'!C39/10</f>
        <v>24000000</v>
      </c>
      <c r="D25" s="14">
        <f>'1'!D39/10</f>
        <v>24000000</v>
      </c>
      <c r="E25" s="14">
        <f>'1'!E39/10</f>
        <v>24000000</v>
      </c>
      <c r="F25" s="14">
        <f>'1'!F39/10</f>
        <v>24000000</v>
      </c>
      <c r="G25" s="14">
        <f>'1'!G39/10</f>
        <v>24000000</v>
      </c>
    </row>
    <row r="26" spans="1:8" x14ac:dyDescent="0.25">
      <c r="H26" s="4"/>
    </row>
    <row r="27" spans="1:8" x14ac:dyDescent="0.25">
      <c r="H27" s="8"/>
    </row>
    <row r="28" spans="1:8" x14ac:dyDescent="0.25">
      <c r="H28" s="8"/>
    </row>
    <row r="30" spans="1:8" x14ac:dyDescent="0.25">
      <c r="H30" s="4"/>
    </row>
    <row r="31" spans="1:8" x14ac:dyDescent="0.25">
      <c r="H31" s="8"/>
    </row>
    <row r="32" spans="1:8" x14ac:dyDescent="0.25">
      <c r="H32" s="1"/>
    </row>
    <row r="33" spans="1:8" x14ac:dyDescent="0.25">
      <c r="H33" s="1"/>
    </row>
    <row r="34" spans="1:8" x14ac:dyDescent="0.25">
      <c r="H34" s="1"/>
    </row>
    <row r="36" spans="1:8" x14ac:dyDescent="0.25">
      <c r="H36" s="4"/>
    </row>
    <row r="38" spans="1:8" x14ac:dyDescent="0.25">
      <c r="H38" s="4"/>
    </row>
    <row r="39" spans="1:8" x14ac:dyDescent="0.25">
      <c r="H39" s="1"/>
    </row>
    <row r="40" spans="1:8" x14ac:dyDescent="0.25">
      <c r="H40" s="1"/>
    </row>
    <row r="41" spans="1:8" x14ac:dyDescent="0.25">
      <c r="H41" s="1"/>
    </row>
    <row r="43" spans="1:8" x14ac:dyDescent="0.25">
      <c r="H43" s="4"/>
    </row>
    <row r="45" spans="1:8" x14ac:dyDescent="0.25">
      <c r="H45" s="13"/>
    </row>
    <row r="46" spans="1:8" x14ac:dyDescent="0.25">
      <c r="H46" s="1"/>
    </row>
    <row r="47" spans="1:8" x14ac:dyDescent="0.25">
      <c r="A47" s="9"/>
    </row>
    <row r="48" spans="1:8" x14ac:dyDescent="0.25">
      <c r="H4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48"/>
  <sheetViews>
    <sheetView tabSelected="1" workbookViewId="0">
      <pane xSplit="1" ySplit="4" topLeftCell="B23" activePane="bottomRight" state="frozen"/>
      <selection pane="topRight" activeCell="B1" sqref="B1"/>
      <selection pane="bottomLeft" activeCell="A6" sqref="A6"/>
      <selection pane="bottomRight" activeCell="D39" sqref="D39"/>
    </sheetView>
  </sheetViews>
  <sheetFormatPr defaultRowHeight="15" x14ac:dyDescent="0.25"/>
  <cols>
    <col min="1" max="1" width="49.85546875" bestFit="1" customWidth="1"/>
    <col min="2" max="3" width="17.7109375" bestFit="1" customWidth="1"/>
    <col min="4" max="5" width="17.85546875" bestFit="1" customWidth="1"/>
    <col min="6" max="7" width="17.7109375" bestFit="1" customWidth="1"/>
    <col min="8" max="8" width="12.7109375" bestFit="1" customWidth="1"/>
  </cols>
  <sheetData>
    <row r="1" spans="1:8" x14ac:dyDescent="0.25">
      <c r="A1" s="30" t="s">
        <v>74</v>
      </c>
    </row>
    <row r="2" spans="1:8" x14ac:dyDescent="0.25">
      <c r="A2" s="12" t="s">
        <v>65</v>
      </c>
    </row>
    <row r="3" spans="1:8" x14ac:dyDescent="0.25">
      <c r="A3" t="s">
        <v>46</v>
      </c>
      <c r="B3" s="2"/>
      <c r="C3" s="2"/>
      <c r="D3" s="2"/>
      <c r="E3" s="2"/>
      <c r="F3" s="2"/>
      <c r="G3" s="2"/>
      <c r="H3" s="2"/>
    </row>
    <row r="4" spans="1:8" x14ac:dyDescent="0.25">
      <c r="B4" s="2">
        <v>2013</v>
      </c>
      <c r="C4" s="2">
        <v>2014</v>
      </c>
      <c r="D4" s="2">
        <v>2015</v>
      </c>
      <c r="E4" s="2">
        <v>2016</v>
      </c>
      <c r="F4" s="2">
        <v>2017</v>
      </c>
      <c r="G4" s="2">
        <v>2018</v>
      </c>
      <c r="H4" s="2">
        <v>2019</v>
      </c>
    </row>
    <row r="5" spans="1:8" x14ac:dyDescent="0.25">
      <c r="A5" s="27" t="s">
        <v>66</v>
      </c>
    </row>
    <row r="6" spans="1:8" x14ac:dyDescent="0.25">
      <c r="A6" t="s">
        <v>18</v>
      </c>
      <c r="B6" s="17">
        <v>1784471000</v>
      </c>
      <c r="C6" s="17">
        <v>1311270000</v>
      </c>
      <c r="D6" s="17">
        <v>1286837709</v>
      </c>
      <c r="E6" s="17">
        <v>1300863459</v>
      </c>
      <c r="F6" s="17">
        <v>1157860731</v>
      </c>
      <c r="G6" s="17">
        <v>1182699470</v>
      </c>
      <c r="H6" s="4"/>
    </row>
    <row r="7" spans="1:8" x14ac:dyDescent="0.25">
      <c r="A7" s="7" t="s">
        <v>19</v>
      </c>
      <c r="B7" s="17">
        <v>-1647526000</v>
      </c>
      <c r="C7" s="17">
        <v>-1159923000</v>
      </c>
      <c r="D7" s="17">
        <v>-1103180143</v>
      </c>
      <c r="E7" s="17">
        <v>-1121226238</v>
      </c>
      <c r="F7" s="17">
        <v>-1029782599</v>
      </c>
      <c r="G7" s="17">
        <v>-1027291649</v>
      </c>
      <c r="H7" s="8"/>
    </row>
    <row r="8" spans="1:8" x14ac:dyDescent="0.25">
      <c r="A8" s="7" t="s">
        <v>23</v>
      </c>
      <c r="B8" s="17">
        <v>-79023000</v>
      </c>
      <c r="C8" s="17">
        <v>-80219000</v>
      </c>
      <c r="D8" s="17">
        <v>-90612306</v>
      </c>
      <c r="E8" s="17">
        <v>-73093072</v>
      </c>
      <c r="F8" s="17">
        <v>-82721988</v>
      </c>
      <c r="G8" s="17">
        <v>-102933052</v>
      </c>
      <c r="H8" s="8"/>
    </row>
    <row r="9" spans="1:8" ht="15.75" x14ac:dyDescent="0.25">
      <c r="A9" s="3"/>
      <c r="B9" s="18">
        <f t="shared" ref="B9:F9" si="0">SUM(B5:B8)</f>
        <v>57922000</v>
      </c>
      <c r="C9" s="18">
        <f t="shared" si="0"/>
        <v>71128000</v>
      </c>
      <c r="D9" s="18">
        <f t="shared" si="0"/>
        <v>93045260</v>
      </c>
      <c r="E9" s="18">
        <f t="shared" si="0"/>
        <v>106544149</v>
      </c>
      <c r="F9" s="18">
        <f t="shared" si="0"/>
        <v>45356144</v>
      </c>
      <c r="G9" s="18">
        <f t="shared" ref="G9" si="1">SUM(G5:G8)</f>
        <v>52474769</v>
      </c>
    </row>
    <row r="10" spans="1:8" ht="15.75" x14ac:dyDescent="0.25">
      <c r="A10" s="3"/>
      <c r="B10" s="17"/>
      <c r="C10" s="17"/>
      <c r="D10" s="17"/>
      <c r="E10" s="17"/>
      <c r="F10" s="17"/>
      <c r="G10" s="17"/>
    </row>
    <row r="11" spans="1:8" x14ac:dyDescent="0.25">
      <c r="A11" s="27" t="s">
        <v>67</v>
      </c>
      <c r="B11" s="17"/>
      <c r="C11" s="17"/>
      <c r="D11" s="17"/>
      <c r="E11" s="17"/>
      <c r="F11" s="17"/>
      <c r="G11" s="17"/>
    </row>
    <row r="12" spans="1:8" x14ac:dyDescent="0.25">
      <c r="A12" s="6" t="s">
        <v>10</v>
      </c>
      <c r="B12" s="17">
        <v>-449000</v>
      </c>
      <c r="C12" s="17">
        <v>-13437000</v>
      </c>
      <c r="D12" s="17">
        <v>-8652418</v>
      </c>
      <c r="E12" s="17">
        <v>-78051318</v>
      </c>
      <c r="F12" s="17">
        <v>-25492215</v>
      </c>
      <c r="G12" s="17">
        <v>-4587620</v>
      </c>
    </row>
    <row r="13" spans="1:8" x14ac:dyDescent="0.25">
      <c r="A13" s="6" t="s">
        <v>11</v>
      </c>
      <c r="B13" s="17"/>
      <c r="C13" s="17"/>
      <c r="D13" s="17"/>
      <c r="E13" s="17"/>
      <c r="F13" s="17"/>
      <c r="G13" s="17">
        <v>-301200</v>
      </c>
      <c r="H13" s="4"/>
    </row>
    <row r="14" spans="1:8" x14ac:dyDescent="0.25">
      <c r="A14" s="2"/>
      <c r="B14" s="18">
        <f t="shared" ref="B14:F14" si="2">SUM(B12:B13)</f>
        <v>-449000</v>
      </c>
      <c r="C14" s="18">
        <f t="shared" si="2"/>
        <v>-13437000</v>
      </c>
      <c r="D14" s="18">
        <f t="shared" si="2"/>
        <v>-8652418</v>
      </c>
      <c r="E14" s="18">
        <f t="shared" si="2"/>
        <v>-78051318</v>
      </c>
      <c r="F14" s="18">
        <f t="shared" si="2"/>
        <v>-25492215</v>
      </c>
      <c r="G14" s="18">
        <f t="shared" ref="G14" si="3">SUM(G12:G13)</f>
        <v>-4888820</v>
      </c>
      <c r="H14" s="8"/>
    </row>
    <row r="15" spans="1:8" x14ac:dyDescent="0.25">
      <c r="B15" s="17"/>
      <c r="C15" s="17"/>
      <c r="D15" s="17"/>
      <c r="E15" s="17"/>
      <c r="F15" s="17"/>
      <c r="G15" s="17"/>
      <c r="H15" s="1"/>
    </row>
    <row r="16" spans="1:8" x14ac:dyDescent="0.25">
      <c r="A16" s="27" t="s">
        <v>68</v>
      </c>
      <c r="B16" s="17"/>
      <c r="C16" s="17"/>
      <c r="D16" s="17"/>
      <c r="E16" s="17"/>
      <c r="F16" s="17"/>
      <c r="G16" s="17"/>
      <c r="H16" s="8"/>
    </row>
    <row r="17" spans="1:8" x14ac:dyDescent="0.25">
      <c r="A17" s="7" t="s">
        <v>33</v>
      </c>
      <c r="B17" s="17">
        <v>6173000</v>
      </c>
      <c r="C17" s="17">
        <v>25935000</v>
      </c>
      <c r="D17" s="17">
        <v>-35957405</v>
      </c>
      <c r="E17" s="17">
        <v>32070716</v>
      </c>
      <c r="F17" s="17">
        <v>26976041</v>
      </c>
      <c r="G17" s="17">
        <v>-19416221</v>
      </c>
      <c r="H17" s="1"/>
    </row>
    <row r="18" spans="1:8" x14ac:dyDescent="0.25">
      <c r="A18" t="s">
        <v>20</v>
      </c>
      <c r="B18" s="17"/>
      <c r="C18" s="17"/>
      <c r="D18" s="17"/>
      <c r="E18" s="17"/>
      <c r="F18" s="17"/>
      <c r="G18" s="17"/>
      <c r="H18" s="1"/>
    </row>
    <row r="19" spans="1:8" x14ac:dyDescent="0.25">
      <c r="A19" t="s">
        <v>34</v>
      </c>
      <c r="B19" s="17">
        <v>-2000000</v>
      </c>
      <c r="C19" s="17"/>
      <c r="D19" s="17">
        <v>-18521561</v>
      </c>
      <c r="E19" s="17">
        <v>-26035471</v>
      </c>
      <c r="F19" s="17">
        <v>-26722157</v>
      </c>
      <c r="G19" s="17">
        <v>-23143723</v>
      </c>
      <c r="H19" s="1"/>
    </row>
    <row r="20" spans="1:8" x14ac:dyDescent="0.25">
      <c r="A20" t="s">
        <v>35</v>
      </c>
      <c r="B20" s="17">
        <v>-4087000</v>
      </c>
      <c r="C20" s="17">
        <v>-9125000</v>
      </c>
      <c r="D20" s="17">
        <v>-7817185</v>
      </c>
      <c r="E20" s="17">
        <v>-4895863</v>
      </c>
      <c r="F20" s="17">
        <v>-1739905</v>
      </c>
      <c r="G20" s="17">
        <v>-1604870</v>
      </c>
      <c r="H20" s="1"/>
    </row>
    <row r="21" spans="1:8" x14ac:dyDescent="0.25">
      <c r="A21" t="s">
        <v>12</v>
      </c>
      <c r="B21" s="17">
        <v>-27651000</v>
      </c>
      <c r="C21" s="17">
        <v>-16358000</v>
      </c>
      <c r="D21" s="17"/>
      <c r="E21" s="17"/>
      <c r="F21" s="17"/>
      <c r="G21" s="17"/>
    </row>
    <row r="22" spans="1:8" x14ac:dyDescent="0.25">
      <c r="A22" t="s">
        <v>17</v>
      </c>
      <c r="B22" s="17"/>
      <c r="C22" s="17"/>
      <c r="D22" s="17"/>
      <c r="E22" s="17"/>
      <c r="F22" s="17"/>
      <c r="G22" s="17"/>
      <c r="H22" s="4"/>
    </row>
    <row r="23" spans="1:8" x14ac:dyDescent="0.25">
      <c r="A23" t="s">
        <v>22</v>
      </c>
      <c r="B23" s="17">
        <v>-33883000</v>
      </c>
      <c r="C23" s="17">
        <v>-55489000</v>
      </c>
      <c r="D23" s="17">
        <v>-25908521</v>
      </c>
      <c r="E23" s="17">
        <v>-27771039</v>
      </c>
      <c r="F23" s="17">
        <v>-22642163</v>
      </c>
      <c r="G23" s="17">
        <v>-43550</v>
      </c>
    </row>
    <row r="24" spans="1:8" x14ac:dyDescent="0.25">
      <c r="A24" s="2"/>
      <c r="B24" s="19">
        <f t="shared" ref="B24:F24" si="4">SUM(B17:B23)</f>
        <v>-61448000</v>
      </c>
      <c r="C24" s="19">
        <f t="shared" si="4"/>
        <v>-55037000</v>
      </c>
      <c r="D24" s="19">
        <f t="shared" si="4"/>
        <v>-88204672</v>
      </c>
      <c r="E24" s="19">
        <f t="shared" si="4"/>
        <v>-26631657</v>
      </c>
      <c r="F24" s="19">
        <f t="shared" si="4"/>
        <v>-24128184</v>
      </c>
      <c r="G24" s="19">
        <f t="shared" ref="G24" si="5">SUM(G17:G23)</f>
        <v>-44208364</v>
      </c>
    </row>
    <row r="25" spans="1:8" x14ac:dyDescent="0.25">
      <c r="B25" s="17"/>
      <c r="C25" s="17"/>
      <c r="D25" s="17"/>
      <c r="E25" s="17"/>
      <c r="F25" s="17"/>
      <c r="G25" s="17"/>
    </row>
    <row r="26" spans="1:8" x14ac:dyDescent="0.25">
      <c r="A26" s="2" t="s">
        <v>69</v>
      </c>
      <c r="B26" s="20">
        <f t="shared" ref="B26:F26" si="6">B9+B14+B24</f>
        <v>-3975000</v>
      </c>
      <c r="C26" s="20">
        <f t="shared" si="6"/>
        <v>2654000</v>
      </c>
      <c r="D26" s="20">
        <f t="shared" si="6"/>
        <v>-3811830</v>
      </c>
      <c r="E26" s="20">
        <f t="shared" si="6"/>
        <v>1861174</v>
      </c>
      <c r="F26" s="20">
        <f t="shared" si="6"/>
        <v>-4264255</v>
      </c>
      <c r="G26" s="20">
        <f t="shared" ref="G26" si="7">G9+G14+G24</f>
        <v>3377585</v>
      </c>
      <c r="H26" s="4"/>
    </row>
    <row r="27" spans="1:8" x14ac:dyDescent="0.25">
      <c r="A27" s="28" t="s">
        <v>70</v>
      </c>
      <c r="B27" s="17">
        <v>12328000</v>
      </c>
      <c r="C27" s="17">
        <v>8353000</v>
      </c>
      <c r="D27" s="17">
        <v>11006597</v>
      </c>
      <c r="E27" s="17">
        <v>7194767</v>
      </c>
      <c r="F27" s="17">
        <v>9055941</v>
      </c>
      <c r="G27" s="17">
        <v>4791685</v>
      </c>
      <c r="H27" s="8"/>
    </row>
    <row r="28" spans="1:8" x14ac:dyDescent="0.25">
      <c r="A28" s="27" t="s">
        <v>71</v>
      </c>
      <c r="B28" s="20">
        <f t="shared" ref="B28:F28" si="8">B26+B27</f>
        <v>8353000</v>
      </c>
      <c r="C28" s="20">
        <f t="shared" si="8"/>
        <v>11007000</v>
      </c>
      <c r="D28" s="20">
        <f t="shared" si="8"/>
        <v>7194767</v>
      </c>
      <c r="E28" s="20">
        <f t="shared" si="8"/>
        <v>9055941</v>
      </c>
      <c r="F28" s="20">
        <f t="shared" si="8"/>
        <v>4791686</v>
      </c>
      <c r="G28" s="20">
        <f t="shared" ref="G28" si="9">G26+G27</f>
        <v>8169270</v>
      </c>
      <c r="H28" s="8"/>
    </row>
    <row r="29" spans="1:8" x14ac:dyDescent="0.25">
      <c r="B29" s="2"/>
      <c r="C29" s="2"/>
      <c r="D29" s="2"/>
      <c r="E29" s="2"/>
      <c r="F29" s="2"/>
      <c r="G29" s="2"/>
    </row>
    <row r="30" spans="1:8" x14ac:dyDescent="0.25">
      <c r="A30" s="27" t="s">
        <v>72</v>
      </c>
      <c r="B30" s="13">
        <f>B9/('1'!B39/10)</f>
        <v>2.4134166666666665</v>
      </c>
      <c r="C30" s="13">
        <f>C9/('1'!C39/10)</f>
        <v>2.9636666666666667</v>
      </c>
      <c r="D30" s="13">
        <f>D9/('1'!D39/10)</f>
        <v>3.8768858333333331</v>
      </c>
      <c r="E30" s="13">
        <f>E9/('1'!E39/10)</f>
        <v>4.4393395416666666</v>
      </c>
      <c r="F30" s="13">
        <f>F9/('1'!F39/10)</f>
        <v>1.8898393333333334</v>
      </c>
      <c r="G30" s="13">
        <f>G9/('1'!G39/10)</f>
        <v>2.1864487083333333</v>
      </c>
      <c r="H30" s="4"/>
    </row>
    <row r="31" spans="1:8" x14ac:dyDescent="0.25">
      <c r="A31" s="27" t="s">
        <v>73</v>
      </c>
      <c r="B31" s="17">
        <f>'1'!B39/10</f>
        <v>24000000</v>
      </c>
      <c r="C31" s="17">
        <f>'1'!C39/10</f>
        <v>24000000</v>
      </c>
      <c r="D31" s="17">
        <f>'1'!D39/10</f>
        <v>24000000</v>
      </c>
      <c r="E31" s="17">
        <f>'1'!E39/10</f>
        <v>24000000</v>
      </c>
      <c r="F31" s="17">
        <f>'1'!F39/10</f>
        <v>24000000</v>
      </c>
      <c r="G31" s="17">
        <f>'1'!G39/10</f>
        <v>24000000</v>
      </c>
      <c r="H31" s="8"/>
    </row>
    <row r="32" spans="1:8" x14ac:dyDescent="0.25">
      <c r="H32" s="1"/>
    </row>
    <row r="33" spans="8:8" x14ac:dyDescent="0.25">
      <c r="H33" s="1"/>
    </row>
    <row r="34" spans="8:8" x14ac:dyDescent="0.25">
      <c r="H34" s="1"/>
    </row>
    <row r="36" spans="8:8" x14ac:dyDescent="0.25">
      <c r="H36" s="4"/>
    </row>
    <row r="38" spans="8:8" x14ac:dyDescent="0.25">
      <c r="H38" s="4"/>
    </row>
    <row r="39" spans="8:8" x14ac:dyDescent="0.25">
      <c r="H39" s="1"/>
    </row>
    <row r="40" spans="8:8" x14ac:dyDescent="0.25">
      <c r="H40" s="1"/>
    </row>
    <row r="41" spans="8:8" x14ac:dyDescent="0.25">
      <c r="H41" s="1"/>
    </row>
    <row r="43" spans="8:8" x14ac:dyDescent="0.25">
      <c r="H43" s="4"/>
    </row>
    <row r="45" spans="8:8" x14ac:dyDescent="0.25">
      <c r="H45" s="13"/>
    </row>
    <row r="46" spans="8:8" x14ac:dyDescent="0.25">
      <c r="H46" s="1"/>
    </row>
    <row r="48" spans="8:8" x14ac:dyDescent="0.25">
      <c r="H48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3" sqref="A3"/>
    </sheetView>
  </sheetViews>
  <sheetFormatPr defaultRowHeight="15" x14ac:dyDescent="0.25"/>
  <cols>
    <col min="2" max="2" width="10.28515625" bestFit="1" customWidth="1"/>
  </cols>
  <sheetData>
    <row r="1" spans="1:8" x14ac:dyDescent="0.25">
      <c r="A1" s="30" t="s">
        <v>74</v>
      </c>
    </row>
    <row r="2" spans="1:8" x14ac:dyDescent="0.25">
      <c r="A2" s="12" t="s">
        <v>75</v>
      </c>
    </row>
    <row r="3" spans="1:8" x14ac:dyDescent="0.25">
      <c r="A3" t="s">
        <v>46</v>
      </c>
      <c r="B3" s="2"/>
      <c r="C3" s="2"/>
      <c r="D3" s="2"/>
      <c r="E3" s="2"/>
      <c r="F3" s="2"/>
      <c r="G3" s="2"/>
      <c r="H3" s="2"/>
    </row>
    <row r="4" spans="1:8" x14ac:dyDescent="0.25">
      <c r="B4" s="2">
        <v>2013</v>
      </c>
      <c r="C4" s="2">
        <v>2014</v>
      </c>
      <c r="D4" s="2">
        <v>2015</v>
      </c>
      <c r="E4" s="2">
        <v>2016</v>
      </c>
      <c r="F4" s="2">
        <v>2017</v>
      </c>
      <c r="G4" s="2">
        <v>2018</v>
      </c>
    </row>
    <row r="5" spans="1:8" x14ac:dyDescent="0.25">
      <c r="A5" t="s">
        <v>38</v>
      </c>
      <c r="B5" s="21">
        <f>'2'!B22/'1'!B22</f>
        <v>0.11962065399210738</v>
      </c>
      <c r="C5" s="21">
        <f>'2'!C22/'1'!C22</f>
        <v>8.6418792777392658E-2</v>
      </c>
      <c r="D5" s="21">
        <f>'2'!D22/'1'!D22</f>
        <v>5.8626072541792043E-2</v>
      </c>
      <c r="E5" s="21">
        <f>'2'!E22/'1'!E22</f>
        <v>2.2587585944949279E-2</v>
      </c>
      <c r="F5" s="21">
        <f>'2'!F22/'1'!F22</f>
        <v>1.8678487587688544E-2</v>
      </c>
      <c r="G5" s="21">
        <f>'2'!G22/'1'!G22</f>
        <v>-2.3880005331523031E-3</v>
      </c>
    </row>
    <row r="6" spans="1:8" x14ac:dyDescent="0.25">
      <c r="A6" t="s">
        <v>39</v>
      </c>
      <c r="B6" s="21">
        <f>'2'!B22/'1'!B38</f>
        <v>0.25437743820920788</v>
      </c>
      <c r="C6" s="21">
        <f>'2'!C22/'1'!C38</f>
        <v>0.17729649252217325</v>
      </c>
      <c r="D6" s="21">
        <f>'2'!D22/'1'!D38</f>
        <v>0.11099708449520375</v>
      </c>
      <c r="E6" s="21">
        <f>'2'!E22/'1'!E38</f>
        <v>4.4423806636191256E-2</v>
      </c>
      <c r="F6" s="21">
        <f>'2'!F22/'1'!F38</f>
        <v>3.8806635114921592E-2</v>
      </c>
      <c r="G6" s="21">
        <f>'2'!G22/'1'!G38</f>
        <v>-4.8890373972589165E-3</v>
      </c>
    </row>
    <row r="7" spans="1:8" x14ac:dyDescent="0.25">
      <c r="A7" t="s">
        <v>40</v>
      </c>
      <c r="B7" s="21">
        <f>'1'!B27/'1'!B38</f>
        <v>0.1345382728737981</v>
      </c>
      <c r="C7" s="21">
        <f>'1'!C27/'1'!C38</f>
        <v>0.11550483862012648</v>
      </c>
      <c r="D7" s="21">
        <f>'1'!D27/'1'!D38</f>
        <v>0.10649939686412949</v>
      </c>
      <c r="E7" s="21">
        <f>'1'!E27/'1'!E38</f>
        <v>0.10596860722269343</v>
      </c>
      <c r="F7" s="21">
        <f>'1'!F27/'1'!F38</f>
        <v>0.10531775136914494</v>
      </c>
      <c r="G7" s="21">
        <f>'1'!G27/'1'!G38</f>
        <v>0.10583265365014273</v>
      </c>
    </row>
    <row r="8" spans="1:8" x14ac:dyDescent="0.25">
      <c r="A8" t="s">
        <v>41</v>
      </c>
      <c r="B8" s="22">
        <f>'1'!B13/'1'!B30</f>
        <v>2.0748249541737547</v>
      </c>
      <c r="C8" s="22">
        <f>'1'!C13/'1'!C30</f>
        <v>2.1913632813452071</v>
      </c>
      <c r="D8" s="22">
        <f>'1'!D13/'1'!D30</f>
        <v>2.2637685233962528</v>
      </c>
      <c r="E8" s="22">
        <f>'1'!E13/'1'!E30</f>
        <v>2.0513197588746697</v>
      </c>
      <c r="F8" s="22">
        <f>'1'!F13/'1'!F30</f>
        <v>2.3335556938565598</v>
      </c>
      <c r="G8" s="22">
        <f>'1'!G13/'1'!G30</f>
        <v>2.2836447126276078</v>
      </c>
    </row>
    <row r="9" spans="1:8" x14ac:dyDescent="0.25">
      <c r="A9" t="s">
        <v>42</v>
      </c>
      <c r="B9" s="21">
        <f>'2'!B22/'2'!B5</f>
        <v>9.4318962884838695E-2</v>
      </c>
      <c r="C9" s="21">
        <f>'2'!C22/'2'!C5</f>
        <v>0.10435129669302574</v>
      </c>
      <c r="D9" s="21">
        <f>'2'!D22/'2'!D5</f>
        <v>7.2269649340324357E-2</v>
      </c>
      <c r="E9" s="21">
        <f>'2'!E22/'2'!E5</f>
        <v>3.0799176437805307E-2</v>
      </c>
      <c r="F9" s="21">
        <f>'2'!F22/'2'!F5</f>
        <v>2.5469800797867884E-2</v>
      </c>
      <c r="G9" s="21">
        <f>'2'!G22/'2'!G5</f>
        <v>-2.8899262563443929E-3</v>
      </c>
    </row>
    <row r="10" spans="1:8" x14ac:dyDescent="0.25">
      <c r="A10" t="s">
        <v>43</v>
      </c>
      <c r="B10" s="21">
        <f>'2'!B13/'2'!B5</f>
        <v>0.15578852328769105</v>
      </c>
      <c r="C10" s="21">
        <f>'2'!C13/'2'!C5</f>
        <v>0.16583156241210611</v>
      </c>
      <c r="D10" s="21">
        <f>'2'!D13/'2'!D5</f>
        <v>0.1180999568842824</v>
      </c>
      <c r="E10" s="21">
        <f>'2'!E13/'2'!E5</f>
        <v>6.4282822200104464E-2</v>
      </c>
      <c r="F10" s="21">
        <f>'2'!F13/'2'!F5</f>
        <v>5.5520262347547894E-2</v>
      </c>
      <c r="G10" s="21">
        <f>'2'!G13/'2'!G5</f>
        <v>2.0110387454455123E-2</v>
      </c>
    </row>
    <row r="11" spans="1:8" x14ac:dyDescent="0.25">
      <c r="A11" t="s">
        <v>44</v>
      </c>
      <c r="B11" s="21">
        <f>'2'!B22/('1'!B27+'1'!B38)</f>
        <v>0.224212302300624</v>
      </c>
      <c r="C11" s="21">
        <f>'2'!C22/('1'!C27+'1'!C38)</f>
        <v>0.15893834467046153</v>
      </c>
      <c r="D11" s="21">
        <f>'2'!D22/('1'!D27+'1'!D38)</f>
        <v>0.10031373248803806</v>
      </c>
      <c r="E11" s="21">
        <f>'2'!E22/('1'!E27+'1'!E38)</f>
        <v>4.0167330560808817E-2</v>
      </c>
      <c r="F11" s="21">
        <f>'2'!F22/('1'!F27+'1'!F38)</f>
        <v>3.5109030925136453E-2</v>
      </c>
      <c r="G11" s="21">
        <f>'2'!G22/('1'!G27+'1'!G38)</f>
        <v>-4.4211367616258535E-3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2020-04-11T14:34:49Z</dcterms:modified>
</cp:coreProperties>
</file>