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nik\Google Drive\Financial Statements\Checked &amp; Final\FS Template\Formate_3\IT\A\"/>
    </mc:Choice>
  </mc:AlternateContent>
  <bookViews>
    <workbookView xWindow="0" yWindow="0" windowWidth="20490" windowHeight="7755" activeTab="2"/>
  </bookViews>
  <sheets>
    <sheet name="1" sheetId="1" r:id="rId1"/>
    <sheet name="2" sheetId="2" r:id="rId2"/>
    <sheet name="3" sheetId="3" r:id="rId3"/>
    <sheet name="Ratio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7" i="2" l="1"/>
  <c r="H8" i="2"/>
  <c r="H44" i="1"/>
  <c r="H33" i="2" s="1"/>
  <c r="H36" i="1"/>
  <c r="H43" i="1" s="1"/>
  <c r="H28" i="1"/>
  <c r="B25" i="1"/>
  <c r="C25" i="1"/>
  <c r="D25" i="1"/>
  <c r="E25" i="1"/>
  <c r="F25" i="1"/>
  <c r="H25" i="1"/>
  <c r="G25" i="1"/>
  <c r="H12" i="1"/>
  <c r="H9" i="4" s="1"/>
  <c r="H7" i="1"/>
  <c r="H21" i="1" s="1"/>
  <c r="H30" i="3"/>
  <c r="H10" i="3"/>
  <c r="H10" i="2"/>
  <c r="H16" i="2" s="1"/>
  <c r="H34" i="1" l="1"/>
  <c r="H41" i="1" s="1"/>
  <c r="H37" i="3"/>
  <c r="H22" i="2"/>
  <c r="H25" i="2" s="1"/>
  <c r="H30" i="2" s="1"/>
  <c r="H11" i="4"/>
  <c r="H6" i="4"/>
  <c r="H38" i="3"/>
  <c r="H7" i="4"/>
  <c r="C10" i="2"/>
  <c r="D10" i="2"/>
  <c r="E10" i="2"/>
  <c r="F10" i="2"/>
  <c r="G10" i="2"/>
  <c r="B10" i="2"/>
  <c r="C44" i="1"/>
  <c r="D44" i="1"/>
  <c r="E44" i="1"/>
  <c r="F44" i="1"/>
  <c r="G44" i="1"/>
  <c r="B44" i="1"/>
  <c r="B33" i="2" l="1"/>
  <c r="B38" i="3"/>
  <c r="G33" i="2"/>
  <c r="G38" i="3"/>
  <c r="C33" i="2"/>
  <c r="C38" i="3"/>
  <c r="E38" i="3"/>
  <c r="E33" i="2"/>
  <c r="D33" i="2"/>
  <c r="D38" i="3"/>
  <c r="F38" i="3"/>
  <c r="F33" i="2"/>
  <c r="H10" i="4"/>
  <c r="H32" i="2"/>
  <c r="H12" i="4"/>
  <c r="B8" i="2"/>
  <c r="B16" i="2" s="1"/>
  <c r="B30" i="3"/>
  <c r="B24" i="3"/>
  <c r="B10" i="3"/>
  <c r="B28" i="1"/>
  <c r="B34" i="1" s="1"/>
  <c r="B36" i="1"/>
  <c r="B12" i="1"/>
  <c r="B7" i="1"/>
  <c r="G32" i="3"/>
  <c r="G34" i="3" s="1"/>
  <c r="G30" i="3"/>
  <c r="G24" i="3"/>
  <c r="H24" i="3"/>
  <c r="H32" i="3" s="1"/>
  <c r="H34" i="3" s="1"/>
  <c r="I24" i="3"/>
  <c r="G10" i="3"/>
  <c r="G37" i="3" s="1"/>
  <c r="G8" i="2"/>
  <c r="G16" i="2" s="1"/>
  <c r="G22" i="2" s="1"/>
  <c r="G25" i="2" s="1"/>
  <c r="G30" i="2" s="1"/>
  <c r="G32" i="2" s="1"/>
  <c r="G28" i="1"/>
  <c r="G34" i="1" s="1"/>
  <c r="G36" i="1"/>
  <c r="G43" i="1" s="1"/>
  <c r="G12" i="1"/>
  <c r="G7" i="1"/>
  <c r="B9" i="4" l="1"/>
  <c r="B21" i="1"/>
  <c r="G21" i="1"/>
  <c r="G6" i="4" s="1"/>
  <c r="G8" i="4"/>
  <c r="B32" i="3"/>
  <c r="B34" i="3" s="1"/>
  <c r="B37" i="3"/>
  <c r="B41" i="1"/>
  <c r="B43" i="1"/>
  <c r="G41" i="1"/>
  <c r="G12" i="4"/>
  <c r="G11" i="4"/>
  <c r="G10" i="4"/>
  <c r="G9" i="4"/>
  <c r="G7" i="4"/>
  <c r="B22" i="2" l="1"/>
  <c r="B25" i="2" s="1"/>
  <c r="B30" i="2" s="1"/>
  <c r="B11" i="4"/>
  <c r="C8" i="2"/>
  <c r="D8" i="2"/>
  <c r="E8" i="2"/>
  <c r="F8" i="2"/>
  <c r="B32" i="2" l="1"/>
  <c r="B10" i="4"/>
  <c r="B7" i="4"/>
  <c r="B12" i="4"/>
  <c r="B6" i="4"/>
  <c r="C16" i="2"/>
  <c r="D16" i="2"/>
  <c r="E16" i="2"/>
  <c r="F16" i="2"/>
  <c r="C7" i="1"/>
  <c r="D7" i="1"/>
  <c r="E7" i="1"/>
  <c r="F7" i="1"/>
  <c r="E22" i="2" l="1"/>
  <c r="E25" i="2" s="1"/>
  <c r="E11" i="4"/>
  <c r="D22" i="2"/>
  <c r="D25" i="2" s="1"/>
  <c r="D11" i="4"/>
  <c r="F22" i="2"/>
  <c r="F25" i="2" s="1"/>
  <c r="F11" i="4"/>
  <c r="C22" i="2"/>
  <c r="C25" i="2" s="1"/>
  <c r="C11" i="4"/>
  <c r="C30" i="3" l="1"/>
  <c r="D30" i="3"/>
  <c r="E30" i="3"/>
  <c r="F30" i="3"/>
  <c r="C24" i="3"/>
  <c r="D24" i="3"/>
  <c r="E24" i="3"/>
  <c r="F24" i="3"/>
  <c r="C10" i="3"/>
  <c r="C37" i="3" s="1"/>
  <c r="D10" i="3"/>
  <c r="D37" i="3" s="1"/>
  <c r="E10" i="3"/>
  <c r="E37" i="3" s="1"/>
  <c r="F10" i="3"/>
  <c r="F37" i="3" s="1"/>
  <c r="C27" i="2"/>
  <c r="C30" i="2" s="1"/>
  <c r="D27" i="2"/>
  <c r="D30" i="2" s="1"/>
  <c r="E27" i="2"/>
  <c r="E30" i="2" s="1"/>
  <c r="F27" i="2"/>
  <c r="F30" i="2" s="1"/>
  <c r="C28" i="1"/>
  <c r="C34" i="1" s="1"/>
  <c r="D28" i="1"/>
  <c r="D34" i="1" s="1"/>
  <c r="E28" i="1"/>
  <c r="E34" i="1" s="1"/>
  <c r="F28" i="1"/>
  <c r="F34" i="1" s="1"/>
  <c r="C36" i="1"/>
  <c r="D36" i="1"/>
  <c r="E36" i="1"/>
  <c r="F36" i="1"/>
  <c r="C12" i="1"/>
  <c r="C9" i="4" s="1"/>
  <c r="D12" i="1"/>
  <c r="D9" i="4" s="1"/>
  <c r="E12" i="1"/>
  <c r="F12" i="1"/>
  <c r="F9" i="4" s="1"/>
  <c r="E10" i="4" l="1"/>
  <c r="E32" i="2"/>
  <c r="D10" i="4"/>
  <c r="D32" i="2"/>
  <c r="F10" i="4"/>
  <c r="F32" i="2"/>
  <c r="C10" i="4"/>
  <c r="C32" i="2"/>
  <c r="C43" i="1"/>
  <c r="C12" i="4"/>
  <c r="C7" i="4"/>
  <c r="E9" i="4"/>
  <c r="F43" i="1"/>
  <c r="F12" i="4"/>
  <c r="F7" i="4"/>
  <c r="D43" i="1"/>
  <c r="D12" i="4"/>
  <c r="D7" i="4"/>
  <c r="E43" i="1"/>
  <c r="E7" i="4"/>
  <c r="E12" i="4"/>
  <c r="F32" i="3"/>
  <c r="F34" i="3" s="1"/>
  <c r="C41" i="1"/>
  <c r="D41" i="1"/>
  <c r="F41" i="1"/>
  <c r="F21" i="1"/>
  <c r="F6" i="4" s="1"/>
  <c r="E32" i="3"/>
  <c r="E34" i="3" s="1"/>
  <c r="E41" i="1"/>
  <c r="E21" i="1"/>
  <c r="E6" i="4" s="1"/>
  <c r="D32" i="3"/>
  <c r="D34" i="3" s="1"/>
  <c r="D21" i="1"/>
  <c r="D6" i="4" s="1"/>
  <c r="C32" i="3"/>
  <c r="C34" i="3" s="1"/>
  <c r="C21" i="1"/>
  <c r="C6" i="4" s="1"/>
</calcChain>
</file>

<file path=xl/sharedStrings.xml><?xml version="1.0" encoding="utf-8"?>
<sst xmlns="http://schemas.openxmlformats.org/spreadsheetml/2006/main" count="93" uniqueCount="86">
  <si>
    <t>ASSETS</t>
  </si>
  <si>
    <t>NON CURRENT ASSETS</t>
  </si>
  <si>
    <t xml:space="preserve">Property,Plant  and  Equipment </t>
  </si>
  <si>
    <t>CURRENT ASSETS</t>
  </si>
  <si>
    <t>Cash and Cash Equivalents</t>
  </si>
  <si>
    <t>Share Capital</t>
  </si>
  <si>
    <t>Gross Profit</t>
  </si>
  <si>
    <t>Operating Profit</t>
  </si>
  <si>
    <t>Current</t>
  </si>
  <si>
    <t>Deferred</t>
  </si>
  <si>
    <t>Cost of goods sold</t>
  </si>
  <si>
    <t>Inventories</t>
  </si>
  <si>
    <t>Advances, Deposits &amp; Pre-Payments</t>
  </si>
  <si>
    <t>Finance Expenses</t>
  </si>
  <si>
    <t>Contribution to WPPF</t>
  </si>
  <si>
    <t>Profit Before contribution to WPPF</t>
  </si>
  <si>
    <t>Retained earnings</t>
  </si>
  <si>
    <t>Provision for income tax</t>
  </si>
  <si>
    <t>Liabilities for expenses</t>
  </si>
  <si>
    <t>Administrative Expenses</t>
  </si>
  <si>
    <t>Selling &amp; distribution expenses</t>
  </si>
  <si>
    <t>Cash Received from Customers &amp; others</t>
  </si>
  <si>
    <t>Cash Paid to Suppliers, employees and others</t>
  </si>
  <si>
    <t>Income tax</t>
  </si>
  <si>
    <t>INTECH WORLD LIMITED</t>
  </si>
  <si>
    <t>Deferred tax assets</t>
  </si>
  <si>
    <t>Non current assets held for sale</t>
  </si>
  <si>
    <t>Trade receivables</t>
  </si>
  <si>
    <t>Investment in shares</t>
  </si>
  <si>
    <t>Non operating income</t>
  </si>
  <si>
    <t>Provision for investment in shares</t>
  </si>
  <si>
    <t>Depreciation</t>
  </si>
  <si>
    <t>Acquisition of property, plant &amp; equipment</t>
  </si>
  <si>
    <t>Investment in intech resort limited</t>
  </si>
  <si>
    <t>Advance for land &amp; others</t>
  </si>
  <si>
    <t>Interest and dividend received/paid</t>
  </si>
  <si>
    <t>Debt to Equity</t>
  </si>
  <si>
    <t>Current Ratio</t>
  </si>
  <si>
    <t>Operating Margin</t>
  </si>
  <si>
    <t>FDR in CVCFL</t>
  </si>
  <si>
    <t>Term loan from CVCFL -Current Maturity</t>
  </si>
  <si>
    <t xml:space="preserve">Fishery BMRERAS Technology </t>
  </si>
  <si>
    <t>ISP GPON Technology ( BMRE)</t>
  </si>
  <si>
    <t>Investment in Solquest Limited for providing Alternative Delivery  Channel</t>
  </si>
  <si>
    <t>Loan repayment</t>
  </si>
  <si>
    <t xml:space="preserve">Advaced  for land &amp; ohters </t>
  </si>
  <si>
    <t>Refund from Advnace for land</t>
  </si>
  <si>
    <t>Balance Sheet</t>
  </si>
  <si>
    <t>As at year end</t>
  </si>
  <si>
    <t>Liabilities and Capital</t>
  </si>
  <si>
    <t>Liabilities</t>
  </si>
  <si>
    <t>Non Current Liabilities</t>
  </si>
  <si>
    <t>Current Liabilities</t>
  </si>
  <si>
    <t>Shareholders’ Equity</t>
  </si>
  <si>
    <t>Net assets value per share</t>
  </si>
  <si>
    <t>Shares to calculate NAVPS</t>
  </si>
  <si>
    <t>Income Statement</t>
  </si>
  <si>
    <t>Others</t>
  </si>
  <si>
    <t>Operating Income/(Expenses)</t>
  </si>
  <si>
    <t>Net Revenues</t>
  </si>
  <si>
    <t>Non-Operating Income/(Expenses)</t>
  </si>
  <si>
    <t>Profit Before Taxation</t>
  </si>
  <si>
    <t>Provision for Taxation</t>
  </si>
  <si>
    <t>Net Profit</t>
  </si>
  <si>
    <t>Earnings per share (par value Taka 10)</t>
  </si>
  <si>
    <t>Shares to Calculate EPS</t>
  </si>
  <si>
    <t>Cash Flow Statement</t>
  </si>
  <si>
    <t>Net Cash Flows - Operating Activities</t>
  </si>
  <si>
    <t>Net Cash Flows - Investment Activities</t>
  </si>
  <si>
    <t>Net Cash Flows - Financing Activities</t>
  </si>
  <si>
    <t>Net Change in Cash Flows</t>
  </si>
  <si>
    <t>Cash and Cash Equivalents at Beginning Period</t>
  </si>
  <si>
    <t>Cash and Cash Equivalents at End of Period</t>
  </si>
  <si>
    <t>Net Operating Cash Flow Per Share</t>
  </si>
  <si>
    <t>Shares to Calculate NOCFPS</t>
  </si>
  <si>
    <t>Ratios</t>
  </si>
  <si>
    <t>Return on Asset (ROA)</t>
  </si>
  <si>
    <t>Return on Equity (ROE)</t>
  </si>
  <si>
    <t>Net Margin</t>
  </si>
  <si>
    <t>Return on Invested Capital (ROIC)</t>
  </si>
  <si>
    <t>Other Receivables</t>
  </si>
  <si>
    <t>Term loan from CVCFL (Less current maturity)</t>
  </si>
  <si>
    <t>Provision for Bad &amp; Doubtful Debts</t>
  </si>
  <si>
    <t>FDR &amp; Dividend Income</t>
  </si>
  <si>
    <t>Advance for PCB project</t>
  </si>
  <si>
    <t>Loan from CVCFL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</si>
</sst>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0.0%"/>
    <numFmt numFmtId="165" formatCode="0.0"/>
    <numFmt numFmtId="166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5" fillId="0" borderId="0" applyFont="0" applyFill="0" applyBorder="0" applyAlignment="0" applyProtection="0"/>
    <xf numFmtId="43" fontId="5" fillId="0" borderId="0" applyFont="0" applyFill="0" applyBorder="0" applyAlignment="0" applyProtection="0"/>
  </cellStyleXfs>
  <cellXfs count="38">
    <xf numFmtId="0" fontId="0" fillId="0" borderId="0" xfId="0"/>
    <xf numFmtId="3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3" fontId="1" fillId="0" borderId="0" xfId="0" applyNumberFormat="1" applyFon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0" fontId="0" fillId="0" borderId="0" xfId="0" applyFont="1"/>
    <xf numFmtId="3" fontId="0" fillId="0" borderId="0" xfId="0" applyNumberFormat="1" applyFont="1"/>
    <xf numFmtId="0" fontId="0" fillId="0" borderId="0" xfId="0" applyBorder="1"/>
    <xf numFmtId="2" fontId="1" fillId="0" borderId="0" xfId="0" applyNumberFormat="1" applyFont="1"/>
    <xf numFmtId="0" fontId="3" fillId="0" borderId="0" xfId="0" applyFont="1"/>
    <xf numFmtId="2" fontId="1" fillId="0" borderId="3" xfId="0" applyNumberFormat="1" applyFont="1" applyBorder="1"/>
    <xf numFmtId="2" fontId="0" fillId="0" borderId="0" xfId="0" applyNumberFormat="1"/>
    <xf numFmtId="3" fontId="2" fillId="0" borderId="0" xfId="0" applyNumberFormat="1" applyFont="1"/>
    <xf numFmtId="164" fontId="0" fillId="0" borderId="0" xfId="1" applyNumberFormat="1" applyFont="1"/>
    <xf numFmtId="9" fontId="0" fillId="0" borderId="0" xfId="0" applyNumberFormat="1"/>
    <xf numFmtId="165" fontId="0" fillId="0" borderId="0" xfId="0" applyNumberFormat="1"/>
    <xf numFmtId="43" fontId="0" fillId="0" borderId="0" xfId="2" applyFont="1"/>
    <xf numFmtId="166" fontId="0" fillId="0" borderId="0" xfId="2" applyNumberFormat="1" applyFont="1"/>
    <xf numFmtId="166" fontId="1" fillId="0" borderId="4" xfId="2" applyNumberFormat="1" applyFont="1" applyBorder="1"/>
    <xf numFmtId="166" fontId="4" fillId="0" borderId="4" xfId="2" applyNumberFormat="1" applyFont="1" applyBorder="1"/>
    <xf numFmtId="166" fontId="4" fillId="0" borderId="0" xfId="2" applyNumberFormat="1" applyFont="1" applyFill="1" applyBorder="1"/>
    <xf numFmtId="166" fontId="1" fillId="0" borderId="0" xfId="2" applyNumberFormat="1" applyFont="1"/>
    <xf numFmtId="166" fontId="0" fillId="0" borderId="1" xfId="2" applyNumberFormat="1" applyFont="1" applyBorder="1"/>
    <xf numFmtId="166" fontId="1" fillId="0" borderId="2" xfId="2" applyNumberFormat="1" applyFont="1" applyBorder="1"/>
    <xf numFmtId="166" fontId="0" fillId="0" borderId="0" xfId="2" applyNumberFormat="1" applyFont="1" applyBorder="1"/>
    <xf numFmtId="166" fontId="1" fillId="0" borderId="0" xfId="2" applyNumberFormat="1" applyFont="1" applyBorder="1"/>
    <xf numFmtId="166" fontId="0" fillId="0" borderId="0" xfId="2" applyNumberFormat="1" applyFont="1" applyAlignment="1">
      <alignment wrapText="1"/>
    </xf>
    <xf numFmtId="0" fontId="2" fillId="0" borderId="0" xfId="0" applyFont="1" applyFill="1"/>
    <xf numFmtId="0" fontId="1" fillId="0" borderId="1" xfId="0" applyFont="1" applyBorder="1" applyAlignment="1">
      <alignment horizontal="left"/>
    </xf>
    <xf numFmtId="0" fontId="6" fillId="0" borderId="0" xfId="0" applyFont="1"/>
    <xf numFmtId="0" fontId="2" fillId="0" borderId="1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1" fillId="0" borderId="1" xfId="0" applyFont="1" applyBorder="1"/>
    <xf numFmtId="0" fontId="1" fillId="0" borderId="2" xfId="0" applyFont="1" applyBorder="1"/>
    <xf numFmtId="166" fontId="0" fillId="0" borderId="1" xfId="2" applyNumberFormat="1" applyFont="1" applyFill="1" applyBorder="1"/>
  </cellXfs>
  <cellStyles count="3">
    <cellStyle name="Comma" xfId="2" builtinId="3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49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J4" sqref="J4"/>
    </sheetView>
  </sheetViews>
  <sheetFormatPr defaultRowHeight="15" x14ac:dyDescent="0.25"/>
  <cols>
    <col min="1" max="1" width="41.140625" bestFit="1" customWidth="1"/>
    <col min="2" max="2" width="11.140625" bestFit="1" customWidth="1"/>
    <col min="3" max="7" width="14.85546875" bestFit="1" customWidth="1"/>
    <col min="8" max="8" width="13.28515625" bestFit="1" customWidth="1"/>
  </cols>
  <sheetData>
    <row r="1" spans="1:8" ht="15.75" x14ac:dyDescent="0.25">
      <c r="A1" s="4" t="s">
        <v>24</v>
      </c>
    </row>
    <row r="2" spans="1:8" ht="15.75" x14ac:dyDescent="0.25">
      <c r="A2" s="4" t="s">
        <v>47</v>
      </c>
      <c r="B2" s="4"/>
    </row>
    <row r="3" spans="1:8" ht="15.75" x14ac:dyDescent="0.25">
      <c r="A3" s="4" t="s">
        <v>48</v>
      </c>
      <c r="B3" s="4"/>
    </row>
    <row r="4" spans="1:8" ht="15.75" x14ac:dyDescent="0.25">
      <c r="B4" s="4"/>
    </row>
    <row r="5" spans="1:8" ht="15.75" x14ac:dyDescent="0.25">
      <c r="B5" s="30">
        <v>2013</v>
      </c>
      <c r="C5" s="4">
        <v>2014</v>
      </c>
      <c r="D5" s="4">
        <v>2015</v>
      </c>
      <c r="E5" s="4">
        <v>2016</v>
      </c>
      <c r="F5" s="4">
        <v>2017</v>
      </c>
      <c r="G5" s="4">
        <v>2018</v>
      </c>
      <c r="H5" s="4">
        <v>2019</v>
      </c>
    </row>
    <row r="6" spans="1:8" x14ac:dyDescent="0.25">
      <c r="A6" s="31" t="s">
        <v>0</v>
      </c>
      <c r="B6" s="2"/>
    </row>
    <row r="7" spans="1:8" x14ac:dyDescent="0.25">
      <c r="A7" s="32" t="s">
        <v>1</v>
      </c>
      <c r="B7" s="5">
        <f t="shared" ref="B7:H7" si="0">SUM(B8:B10)</f>
        <v>136931659</v>
      </c>
      <c r="C7" s="5">
        <f t="shared" si="0"/>
        <v>165623398</v>
      </c>
      <c r="D7" s="5">
        <f t="shared" si="0"/>
        <v>147485945</v>
      </c>
      <c r="E7" s="5">
        <f t="shared" si="0"/>
        <v>160502740</v>
      </c>
      <c r="F7" s="5">
        <f t="shared" si="0"/>
        <v>159781968</v>
      </c>
      <c r="G7" s="5">
        <f t="shared" si="0"/>
        <v>151164583</v>
      </c>
      <c r="H7" s="5">
        <f t="shared" si="0"/>
        <v>158316408</v>
      </c>
    </row>
    <row r="8" spans="1:8" x14ac:dyDescent="0.25">
      <c r="A8" t="s">
        <v>2</v>
      </c>
      <c r="B8" s="1">
        <v>92776613</v>
      </c>
      <c r="C8" s="9">
        <v>104267595</v>
      </c>
      <c r="D8" s="1">
        <v>85577562</v>
      </c>
      <c r="E8" s="9">
        <v>98428787</v>
      </c>
      <c r="F8" s="9">
        <v>127796315</v>
      </c>
      <c r="G8" s="9">
        <v>116130966</v>
      </c>
      <c r="H8" s="9">
        <v>122856296</v>
      </c>
    </row>
    <row r="9" spans="1:8" x14ac:dyDescent="0.25">
      <c r="A9" t="s">
        <v>25</v>
      </c>
      <c r="B9" s="1">
        <v>1655046</v>
      </c>
      <c r="C9" s="9">
        <v>1595803</v>
      </c>
      <c r="D9" s="1">
        <v>2148383</v>
      </c>
      <c r="E9" s="9">
        <v>2313953</v>
      </c>
      <c r="F9" s="9">
        <v>3333653</v>
      </c>
      <c r="G9" s="9">
        <v>6381617</v>
      </c>
      <c r="H9" s="9">
        <v>6808112</v>
      </c>
    </row>
    <row r="10" spans="1:8" x14ac:dyDescent="0.25">
      <c r="A10" t="s">
        <v>26</v>
      </c>
      <c r="B10" s="1">
        <v>42500000</v>
      </c>
      <c r="C10" s="9">
        <v>59760000</v>
      </c>
      <c r="D10" s="1">
        <v>59760000</v>
      </c>
      <c r="E10" s="9">
        <v>59760000</v>
      </c>
      <c r="F10" s="9">
        <v>28652000</v>
      </c>
      <c r="G10" s="9">
        <v>28652000</v>
      </c>
      <c r="H10" s="9">
        <v>28652000</v>
      </c>
    </row>
    <row r="11" spans="1:8" x14ac:dyDescent="0.25">
      <c r="C11" s="1"/>
      <c r="D11" s="1"/>
      <c r="E11" s="1"/>
      <c r="F11" s="1"/>
      <c r="G11" s="1"/>
    </row>
    <row r="12" spans="1:8" x14ac:dyDescent="0.25">
      <c r="A12" s="32" t="s">
        <v>3</v>
      </c>
      <c r="B12" s="5">
        <f t="shared" ref="B12:H12" si="1">SUM(B13:B19)</f>
        <v>80902443</v>
      </c>
      <c r="C12" s="5">
        <f t="shared" si="1"/>
        <v>75870727</v>
      </c>
      <c r="D12" s="5">
        <f t="shared" si="1"/>
        <v>119338824</v>
      </c>
      <c r="E12" s="5">
        <f t="shared" si="1"/>
        <v>106499532</v>
      </c>
      <c r="F12" s="5">
        <f t="shared" si="1"/>
        <v>135339862</v>
      </c>
      <c r="G12" s="5">
        <f t="shared" si="1"/>
        <v>207588097</v>
      </c>
      <c r="H12" s="5">
        <f t="shared" si="1"/>
        <v>230129559</v>
      </c>
    </row>
    <row r="13" spans="1:8" x14ac:dyDescent="0.25">
      <c r="A13" t="s">
        <v>11</v>
      </c>
      <c r="B13" s="1">
        <v>5524500</v>
      </c>
      <c r="C13" s="9">
        <v>4176815</v>
      </c>
      <c r="D13" s="9">
        <v>49071815</v>
      </c>
      <c r="E13" s="9">
        <v>42343630</v>
      </c>
      <c r="F13" s="9">
        <v>20575470</v>
      </c>
      <c r="G13" s="9">
        <v>38323394</v>
      </c>
      <c r="H13" s="9">
        <v>48169002</v>
      </c>
    </row>
    <row r="14" spans="1:8" x14ac:dyDescent="0.25">
      <c r="A14" s="8" t="s">
        <v>12</v>
      </c>
      <c r="B14" s="9">
        <v>1061691</v>
      </c>
      <c r="C14" s="9">
        <v>8011774</v>
      </c>
      <c r="D14" s="9">
        <v>8205659</v>
      </c>
      <c r="E14" s="9">
        <v>8206958</v>
      </c>
      <c r="F14" s="9">
        <v>65939005</v>
      </c>
      <c r="G14" s="9">
        <v>112254383</v>
      </c>
      <c r="H14" s="9">
        <v>106784352</v>
      </c>
    </row>
    <row r="15" spans="1:8" x14ac:dyDescent="0.25">
      <c r="A15" s="8" t="s">
        <v>27</v>
      </c>
      <c r="B15" s="9">
        <v>69593867</v>
      </c>
      <c r="C15" s="9">
        <v>63056738</v>
      </c>
      <c r="D15" s="9">
        <v>61310847</v>
      </c>
      <c r="E15" s="9">
        <v>55010021</v>
      </c>
      <c r="F15" s="9">
        <v>47954145</v>
      </c>
      <c r="G15" s="9">
        <v>46767239</v>
      </c>
      <c r="H15" s="9">
        <v>63955925</v>
      </c>
    </row>
    <row r="16" spans="1:8" x14ac:dyDescent="0.25">
      <c r="A16" s="8" t="s">
        <v>39</v>
      </c>
      <c r="B16" s="9">
        <v>73800</v>
      </c>
      <c r="C16" s="9"/>
      <c r="D16" s="9"/>
      <c r="E16" s="9"/>
      <c r="F16" s="9"/>
      <c r="G16" s="9">
        <v>6000000</v>
      </c>
      <c r="H16" s="9">
        <v>6000000</v>
      </c>
    </row>
    <row r="17" spans="1:8" x14ac:dyDescent="0.25">
      <c r="A17" s="8" t="s">
        <v>28</v>
      </c>
      <c r="B17" s="8"/>
      <c r="C17" s="1">
        <v>83685</v>
      </c>
      <c r="D17" s="1">
        <v>49770</v>
      </c>
      <c r="E17" s="1">
        <v>50715</v>
      </c>
      <c r="F17" s="1">
        <v>53130</v>
      </c>
      <c r="G17" s="1">
        <v>42000</v>
      </c>
      <c r="H17" s="9">
        <v>41790</v>
      </c>
    </row>
    <row r="18" spans="1:8" x14ac:dyDescent="0.25">
      <c r="A18" s="8" t="s">
        <v>80</v>
      </c>
      <c r="B18" s="8"/>
      <c r="C18" s="1"/>
      <c r="D18" s="1"/>
      <c r="E18" s="1"/>
      <c r="F18" s="1"/>
      <c r="G18" s="1">
        <v>584925</v>
      </c>
      <c r="H18" s="9">
        <v>432658</v>
      </c>
    </row>
    <row r="19" spans="1:8" x14ac:dyDescent="0.25">
      <c r="A19" t="s">
        <v>4</v>
      </c>
      <c r="B19" s="9">
        <v>4648585</v>
      </c>
      <c r="C19" s="1">
        <v>541715</v>
      </c>
      <c r="D19" s="1">
        <v>700733</v>
      </c>
      <c r="E19" s="1">
        <v>888208</v>
      </c>
      <c r="F19" s="1">
        <v>818112</v>
      </c>
      <c r="G19" s="1">
        <v>3616156</v>
      </c>
      <c r="H19" s="9">
        <v>4745832</v>
      </c>
    </row>
    <row r="20" spans="1:8" x14ac:dyDescent="0.25">
      <c r="C20" s="1"/>
      <c r="D20" s="1"/>
      <c r="E20" s="1"/>
      <c r="F20" s="1"/>
      <c r="G20" s="1"/>
    </row>
    <row r="21" spans="1:8" x14ac:dyDescent="0.25">
      <c r="A21" s="3"/>
      <c r="B21" s="5">
        <f>SUM(B7,B12)+1</f>
        <v>217834103</v>
      </c>
      <c r="C21" s="5">
        <f>SUM(C7,C12)</f>
        <v>241494125</v>
      </c>
      <c r="D21" s="5">
        <f>SUM(D7,D12)</f>
        <v>266824769</v>
      </c>
      <c r="E21" s="5">
        <f>SUM(E7,E12)</f>
        <v>267002272</v>
      </c>
      <c r="F21" s="5">
        <f>SUM(F7,F12)</f>
        <v>295121830</v>
      </c>
      <c r="G21" s="5">
        <f>SUM(G7,G12)+2</f>
        <v>358752682</v>
      </c>
      <c r="H21" s="5">
        <f>SUM(H7,H12)</f>
        <v>388445967</v>
      </c>
    </row>
    <row r="22" spans="1:8" x14ac:dyDescent="0.25">
      <c r="F22" s="1"/>
      <c r="G22" s="1"/>
    </row>
    <row r="23" spans="1:8" ht="15.75" x14ac:dyDescent="0.25">
      <c r="A23" s="33" t="s">
        <v>49</v>
      </c>
      <c r="B23" s="6"/>
    </row>
    <row r="24" spans="1:8" ht="15.75" x14ac:dyDescent="0.25">
      <c r="A24" s="34" t="s">
        <v>50</v>
      </c>
      <c r="D24" s="1"/>
      <c r="E24" s="1"/>
    </row>
    <row r="25" spans="1:8" x14ac:dyDescent="0.25">
      <c r="A25" s="32" t="s">
        <v>51</v>
      </c>
      <c r="B25" s="5">
        <f t="shared" ref="B25:F25" si="2">B26</f>
        <v>0</v>
      </c>
      <c r="C25" s="5">
        <f t="shared" si="2"/>
        <v>0</v>
      </c>
      <c r="D25" s="5">
        <f t="shared" si="2"/>
        <v>0</v>
      </c>
      <c r="E25" s="5">
        <f t="shared" si="2"/>
        <v>0</v>
      </c>
      <c r="F25" s="5">
        <f t="shared" si="2"/>
        <v>0</v>
      </c>
      <c r="G25" s="5">
        <f>G26</f>
        <v>13361472</v>
      </c>
      <c r="H25" s="5">
        <f>H26</f>
        <v>29857484</v>
      </c>
    </row>
    <row r="26" spans="1:8" x14ac:dyDescent="0.25">
      <c r="A26" t="s">
        <v>81</v>
      </c>
      <c r="D26" s="1"/>
      <c r="E26" s="1"/>
      <c r="G26" s="9">
        <v>13361472</v>
      </c>
      <c r="H26">
        <v>29857484</v>
      </c>
    </row>
    <row r="27" spans="1:8" x14ac:dyDescent="0.25">
      <c r="C27" s="1"/>
      <c r="D27" s="1"/>
      <c r="E27" s="1"/>
    </row>
    <row r="28" spans="1:8" x14ac:dyDescent="0.25">
      <c r="A28" s="32" t="s">
        <v>52</v>
      </c>
      <c r="B28" s="5">
        <f t="shared" ref="B28:H28" si="3">SUM(B29:B32)</f>
        <v>3947863</v>
      </c>
      <c r="C28" s="5">
        <f t="shared" si="3"/>
        <v>5689902</v>
      </c>
      <c r="D28" s="5">
        <f t="shared" si="3"/>
        <v>6478534</v>
      </c>
      <c r="E28" s="5">
        <f t="shared" si="3"/>
        <v>7448781</v>
      </c>
      <c r="F28" s="5">
        <f t="shared" si="3"/>
        <v>7711470</v>
      </c>
      <c r="G28" s="5">
        <f t="shared" si="3"/>
        <v>22569645</v>
      </c>
      <c r="H28" s="5">
        <f t="shared" si="3"/>
        <v>23408713</v>
      </c>
    </row>
    <row r="29" spans="1:8" x14ac:dyDescent="0.25">
      <c r="A29" t="s">
        <v>18</v>
      </c>
      <c r="B29" s="1">
        <v>3931232</v>
      </c>
      <c r="C29" s="1">
        <v>5652153</v>
      </c>
      <c r="D29" s="1">
        <v>6459804</v>
      </c>
      <c r="E29" s="1">
        <v>7420563</v>
      </c>
      <c r="F29" s="1">
        <v>7581037</v>
      </c>
      <c r="G29" s="1">
        <v>18159907</v>
      </c>
      <c r="H29" s="1">
        <v>14022884</v>
      </c>
    </row>
    <row r="30" spans="1:8" x14ac:dyDescent="0.25">
      <c r="A30" t="s">
        <v>40</v>
      </c>
      <c r="C30" s="1"/>
      <c r="D30" s="1"/>
      <c r="E30" s="1"/>
      <c r="F30" s="1"/>
      <c r="G30" s="1">
        <v>3960000</v>
      </c>
      <c r="H30" s="20">
        <v>3642516</v>
      </c>
    </row>
    <row r="31" spans="1:8" x14ac:dyDescent="0.25">
      <c r="A31" t="s">
        <v>82</v>
      </c>
      <c r="C31" s="1"/>
      <c r="D31" s="1"/>
      <c r="E31" s="1"/>
      <c r="F31" s="1"/>
      <c r="G31" s="1"/>
      <c r="H31" s="20">
        <v>4286170</v>
      </c>
    </row>
    <row r="32" spans="1:8" x14ac:dyDescent="0.25">
      <c r="A32" t="s">
        <v>17</v>
      </c>
      <c r="B32" s="1">
        <v>16631</v>
      </c>
      <c r="C32" s="1">
        <v>37749</v>
      </c>
      <c r="D32" s="1">
        <v>18730</v>
      </c>
      <c r="E32" s="1">
        <v>28218</v>
      </c>
      <c r="F32" s="1">
        <v>130433</v>
      </c>
      <c r="G32" s="1">
        <v>449738</v>
      </c>
      <c r="H32" s="1">
        <v>1457143</v>
      </c>
    </row>
    <row r="33" spans="1:8" x14ac:dyDescent="0.25">
      <c r="A33" s="3"/>
      <c r="B33" s="3"/>
      <c r="C33" s="1"/>
      <c r="E33" s="1"/>
    </row>
    <row r="34" spans="1:8" x14ac:dyDescent="0.25">
      <c r="A34" s="3"/>
      <c r="B34" s="5">
        <f>SUM(B28)</f>
        <v>3947863</v>
      </c>
      <c r="C34" s="5">
        <f>SUM(C28)</f>
        <v>5689902</v>
      </c>
      <c r="D34" s="5">
        <f>SUM(D28)</f>
        <v>6478534</v>
      </c>
      <c r="E34" s="5">
        <f>SUM(E28)</f>
        <v>7448781</v>
      </c>
      <c r="F34" s="5">
        <f>SUM(F28)</f>
        <v>7711470</v>
      </c>
      <c r="G34" s="5">
        <f>G25+G28</f>
        <v>35931117</v>
      </c>
      <c r="H34" s="5">
        <f>H25+H28</f>
        <v>53266197</v>
      </c>
    </row>
    <row r="35" spans="1:8" x14ac:dyDescent="0.25">
      <c r="A35" s="3"/>
      <c r="B35" s="5"/>
      <c r="C35" s="5"/>
      <c r="D35" s="5"/>
      <c r="E35" s="5"/>
      <c r="F35" s="5"/>
      <c r="G35" s="5"/>
    </row>
    <row r="36" spans="1:8" x14ac:dyDescent="0.25">
      <c r="A36" s="32" t="s">
        <v>53</v>
      </c>
      <c r="B36" s="5">
        <f t="shared" ref="B36:H36" si="4">SUM(B37:B38)</f>
        <v>213886240</v>
      </c>
      <c r="C36" s="5">
        <f t="shared" si="4"/>
        <v>235804223</v>
      </c>
      <c r="D36" s="5">
        <f t="shared" si="4"/>
        <v>260346235</v>
      </c>
      <c r="E36" s="5">
        <f t="shared" si="4"/>
        <v>259553491</v>
      </c>
      <c r="F36" s="5">
        <f t="shared" si="4"/>
        <v>287410360</v>
      </c>
      <c r="G36" s="5">
        <f t="shared" si="4"/>
        <v>322821565</v>
      </c>
      <c r="H36" s="5">
        <f t="shared" si="4"/>
        <v>335179770</v>
      </c>
    </row>
    <row r="37" spans="1:8" x14ac:dyDescent="0.25">
      <c r="A37" t="s">
        <v>5</v>
      </c>
      <c r="B37" s="1">
        <v>192728100</v>
      </c>
      <c r="C37" s="1">
        <v>212000910</v>
      </c>
      <c r="D37" s="1">
        <v>233201000</v>
      </c>
      <c r="E37" s="1">
        <v>233201000</v>
      </c>
      <c r="F37" s="1">
        <v>256521100</v>
      </c>
      <c r="G37" s="1">
        <v>282173210</v>
      </c>
      <c r="H37" s="1">
        <v>313212260</v>
      </c>
    </row>
    <row r="38" spans="1:8" x14ac:dyDescent="0.25">
      <c r="A38" t="s">
        <v>16</v>
      </c>
      <c r="B38" s="1">
        <v>21158140</v>
      </c>
      <c r="C38" s="1">
        <v>23803313</v>
      </c>
      <c r="D38" s="1">
        <v>27145235</v>
      </c>
      <c r="E38" s="1">
        <v>26352491</v>
      </c>
      <c r="F38" s="1">
        <v>30889260</v>
      </c>
      <c r="G38" s="1">
        <v>40648355</v>
      </c>
      <c r="H38" s="1">
        <v>21967510</v>
      </c>
    </row>
    <row r="39" spans="1:8" x14ac:dyDescent="0.25">
      <c r="A39" s="3"/>
      <c r="B39" s="5"/>
      <c r="C39" s="5"/>
      <c r="D39" s="5"/>
      <c r="E39" s="5"/>
      <c r="F39" s="5"/>
      <c r="G39" s="5"/>
    </row>
    <row r="40" spans="1:8" x14ac:dyDescent="0.25">
      <c r="A40" s="3"/>
      <c r="B40" s="3"/>
      <c r="C40" s="3"/>
      <c r="D40" s="3"/>
      <c r="E40" s="3"/>
    </row>
    <row r="41" spans="1:8" x14ac:dyDescent="0.25">
      <c r="A41" s="3"/>
      <c r="B41" s="5">
        <f t="shared" ref="B41:H41" si="5">SUM(B36,B34)</f>
        <v>217834103</v>
      </c>
      <c r="C41" s="5">
        <f t="shared" si="5"/>
        <v>241494125</v>
      </c>
      <c r="D41" s="5">
        <f t="shared" si="5"/>
        <v>266824769</v>
      </c>
      <c r="E41" s="5">
        <f t="shared" si="5"/>
        <v>267002272</v>
      </c>
      <c r="F41" s="5">
        <f t="shared" si="5"/>
        <v>295121830</v>
      </c>
      <c r="G41" s="5">
        <f t="shared" si="5"/>
        <v>358752682</v>
      </c>
      <c r="H41" s="5">
        <f t="shared" si="5"/>
        <v>388445967</v>
      </c>
    </row>
    <row r="43" spans="1:8" x14ac:dyDescent="0.25">
      <c r="A43" s="35" t="s">
        <v>54</v>
      </c>
      <c r="B43" s="11">
        <f t="shared" ref="B43:H43" si="6">B36/(B37/10)</f>
        <v>11.097823306513165</v>
      </c>
      <c r="C43" s="11">
        <f t="shared" si="6"/>
        <v>11.122792963483034</v>
      </c>
      <c r="D43" s="11">
        <f t="shared" si="6"/>
        <v>11.164027384102127</v>
      </c>
      <c r="E43" s="11">
        <f t="shared" si="6"/>
        <v>11.130033361778038</v>
      </c>
      <c r="F43" s="11">
        <f t="shared" si="6"/>
        <v>11.204160593417072</v>
      </c>
      <c r="G43" s="11">
        <f t="shared" si="6"/>
        <v>11.440546216276166</v>
      </c>
      <c r="H43" s="11">
        <f t="shared" si="6"/>
        <v>10.701361753847056</v>
      </c>
    </row>
    <row r="44" spans="1:8" x14ac:dyDescent="0.25">
      <c r="A44" s="35" t="s">
        <v>55</v>
      </c>
      <c r="B44">
        <f>B37/10</f>
        <v>19272810</v>
      </c>
      <c r="C44">
        <f t="shared" ref="C44:H44" si="7">C37/10</f>
        <v>21200091</v>
      </c>
      <c r="D44">
        <f t="shared" si="7"/>
        <v>23320100</v>
      </c>
      <c r="E44">
        <f t="shared" si="7"/>
        <v>23320100</v>
      </c>
      <c r="F44">
        <f t="shared" si="7"/>
        <v>25652110</v>
      </c>
      <c r="G44">
        <f t="shared" si="7"/>
        <v>28217321</v>
      </c>
      <c r="H44">
        <f t="shared" si="7"/>
        <v>31321226</v>
      </c>
    </row>
    <row r="45" spans="1:8" x14ac:dyDescent="0.25">
      <c r="C45" s="1"/>
      <c r="D45" s="1"/>
      <c r="E45" s="1"/>
      <c r="F45" s="1"/>
      <c r="G45" s="1"/>
    </row>
    <row r="49" spans="2:8" x14ac:dyDescent="0.25">
      <c r="B49" s="1"/>
      <c r="C49" s="1"/>
      <c r="D49" s="1"/>
      <c r="E49" s="1"/>
      <c r="F49" s="1"/>
      <c r="G49" s="1"/>
      <c r="H49" s="1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6"/>
  <sheetViews>
    <sheetView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J4" sqref="J4"/>
    </sheetView>
  </sheetViews>
  <sheetFormatPr defaultRowHeight="15" x14ac:dyDescent="0.25"/>
  <cols>
    <col min="1" max="1" width="32.5703125" bestFit="1" customWidth="1"/>
    <col min="2" max="2" width="14.5703125" customWidth="1"/>
    <col min="3" max="5" width="14.28515625" bestFit="1" customWidth="1"/>
    <col min="6" max="7" width="15.28515625" bestFit="1" customWidth="1"/>
    <col min="8" max="8" width="12.5703125" bestFit="1" customWidth="1"/>
  </cols>
  <sheetData>
    <row r="1" spans="1:9" ht="15.75" x14ac:dyDescent="0.25">
      <c r="A1" s="4" t="s">
        <v>24</v>
      </c>
    </row>
    <row r="2" spans="1:9" ht="15.75" x14ac:dyDescent="0.25">
      <c r="A2" s="4" t="s">
        <v>56</v>
      </c>
      <c r="B2" s="4"/>
      <c r="C2" s="15"/>
      <c r="D2" s="15"/>
      <c r="E2" s="15"/>
      <c r="F2" s="15"/>
    </row>
    <row r="3" spans="1:9" ht="15.75" x14ac:dyDescent="0.25">
      <c r="A3" s="4" t="s">
        <v>48</v>
      </c>
      <c r="B3" s="4"/>
      <c r="C3" s="15"/>
      <c r="D3" s="15"/>
      <c r="E3" s="15"/>
      <c r="F3" s="15"/>
    </row>
    <row r="4" spans="1:9" ht="15.75" x14ac:dyDescent="0.25">
      <c r="B4" s="4"/>
      <c r="C4" s="15"/>
      <c r="D4" s="15"/>
      <c r="E4" s="15"/>
      <c r="F4" s="15"/>
    </row>
    <row r="5" spans="1:9" ht="15.75" x14ac:dyDescent="0.25">
      <c r="A5" s="4"/>
      <c r="B5" s="30">
        <v>2013</v>
      </c>
      <c r="C5" s="4">
        <v>2014</v>
      </c>
      <c r="D5" s="4">
        <v>2015</v>
      </c>
      <c r="E5" s="4">
        <v>2016</v>
      </c>
      <c r="F5" s="4">
        <v>2017</v>
      </c>
      <c r="G5" s="4">
        <v>2018</v>
      </c>
      <c r="H5" s="4">
        <v>2019</v>
      </c>
    </row>
    <row r="6" spans="1:9" x14ac:dyDescent="0.25">
      <c r="A6" s="35" t="s">
        <v>59</v>
      </c>
      <c r="B6" s="1">
        <v>47316448</v>
      </c>
      <c r="C6" s="20">
        <v>77609265</v>
      </c>
      <c r="D6" s="20">
        <v>60452427</v>
      </c>
      <c r="E6" s="20">
        <v>53674546</v>
      </c>
      <c r="F6" s="20">
        <v>127162769</v>
      </c>
      <c r="G6" s="20">
        <v>136476604</v>
      </c>
      <c r="H6" s="20">
        <v>119113752</v>
      </c>
      <c r="I6" s="20"/>
    </row>
    <row r="7" spans="1:9" x14ac:dyDescent="0.25">
      <c r="A7" t="s">
        <v>10</v>
      </c>
      <c r="B7" s="25">
        <v>-4012895</v>
      </c>
      <c r="C7" s="25">
        <v>32068555</v>
      </c>
      <c r="D7" s="25">
        <v>10473359</v>
      </c>
      <c r="E7" s="25">
        <v>42299066</v>
      </c>
      <c r="F7" s="25">
        <v>64075654</v>
      </c>
      <c r="G7" s="37">
        <v>57664378</v>
      </c>
      <c r="H7" s="25">
        <v>50853285</v>
      </c>
      <c r="I7" s="20"/>
    </row>
    <row r="8" spans="1:9" x14ac:dyDescent="0.25">
      <c r="A8" s="35" t="s">
        <v>6</v>
      </c>
      <c r="B8" s="24">
        <f>SUM(B6:B7)</f>
        <v>43303553</v>
      </c>
      <c r="C8" s="24">
        <f t="shared" ref="C8:H8" si="0">C6-C7</f>
        <v>45540710</v>
      </c>
      <c r="D8" s="24">
        <f t="shared" si="0"/>
        <v>49979068</v>
      </c>
      <c r="E8" s="24">
        <f t="shared" si="0"/>
        <v>11375480</v>
      </c>
      <c r="F8" s="24">
        <f t="shared" si="0"/>
        <v>63087115</v>
      </c>
      <c r="G8" s="24">
        <f t="shared" si="0"/>
        <v>78812226</v>
      </c>
      <c r="H8" s="24">
        <f t="shared" si="0"/>
        <v>68260467</v>
      </c>
      <c r="I8" s="20"/>
    </row>
    <row r="9" spans="1:9" x14ac:dyDescent="0.25">
      <c r="A9" s="3"/>
      <c r="B9" s="3"/>
      <c r="C9" s="24"/>
      <c r="D9" s="24"/>
      <c r="E9" s="24"/>
      <c r="F9" s="24"/>
      <c r="G9" s="20"/>
      <c r="H9" s="20"/>
      <c r="I9" s="20"/>
    </row>
    <row r="10" spans="1:9" x14ac:dyDescent="0.25">
      <c r="A10" s="35" t="s">
        <v>58</v>
      </c>
      <c r="B10" s="24">
        <f>SUM(B11:B14)</f>
        <v>16880696</v>
      </c>
      <c r="C10" s="24">
        <f t="shared" ref="C10:H10" si="1">SUM(C11:C14)</f>
        <v>22368204</v>
      </c>
      <c r="D10" s="24">
        <f t="shared" si="1"/>
        <v>24607134</v>
      </c>
      <c r="E10" s="24">
        <f t="shared" si="1"/>
        <v>11824626</v>
      </c>
      <c r="F10" s="24">
        <f t="shared" si="1"/>
        <v>34403580</v>
      </c>
      <c r="G10" s="24">
        <f t="shared" si="1"/>
        <v>43314644</v>
      </c>
      <c r="H10" s="24">
        <f t="shared" si="1"/>
        <v>50856081</v>
      </c>
      <c r="I10" s="20"/>
    </row>
    <row r="11" spans="1:9" x14ac:dyDescent="0.25">
      <c r="A11" t="s">
        <v>19</v>
      </c>
      <c r="B11" s="20">
        <v>4307940</v>
      </c>
      <c r="C11" s="20">
        <v>4716136</v>
      </c>
      <c r="D11" s="20">
        <v>5370706</v>
      </c>
      <c r="E11" s="20">
        <v>3237166</v>
      </c>
      <c r="F11" s="20">
        <v>5922071</v>
      </c>
      <c r="G11" s="20">
        <v>10865759</v>
      </c>
      <c r="H11" s="20">
        <v>21399845</v>
      </c>
      <c r="I11" s="20"/>
    </row>
    <row r="12" spans="1:9" x14ac:dyDescent="0.25">
      <c r="A12" s="8" t="s">
        <v>20</v>
      </c>
      <c r="B12" s="20">
        <v>950286</v>
      </c>
      <c r="C12" s="20">
        <v>982550</v>
      </c>
      <c r="D12" s="20">
        <v>546395</v>
      </c>
      <c r="E12" s="20">
        <v>238686</v>
      </c>
      <c r="F12" s="20">
        <v>700800</v>
      </c>
      <c r="G12" s="20">
        <v>2070880</v>
      </c>
      <c r="H12" s="20">
        <v>1549273</v>
      </c>
      <c r="I12" s="20"/>
    </row>
    <row r="13" spans="1:9" x14ac:dyDescent="0.25">
      <c r="A13" s="8" t="s">
        <v>31</v>
      </c>
      <c r="B13" s="20">
        <v>15157751</v>
      </c>
      <c r="C13" s="20">
        <v>16669518</v>
      </c>
      <c r="D13" s="20">
        <v>18690033</v>
      </c>
      <c r="E13" s="20">
        <v>8348774</v>
      </c>
      <c r="F13" s="20">
        <v>27780709</v>
      </c>
      <c r="G13" s="20">
        <v>30378005</v>
      </c>
      <c r="H13" s="20">
        <v>27906963</v>
      </c>
      <c r="I13" s="20"/>
    </row>
    <row r="14" spans="1:9" x14ac:dyDescent="0.25">
      <c r="A14" s="8" t="s">
        <v>57</v>
      </c>
      <c r="B14" s="20">
        <v>-3535281</v>
      </c>
      <c r="C14" s="20"/>
      <c r="D14" s="20"/>
      <c r="E14" s="20"/>
      <c r="F14" s="20"/>
      <c r="G14" s="20"/>
      <c r="H14" s="20"/>
      <c r="I14" s="20"/>
    </row>
    <row r="15" spans="1:9" ht="15.75" customHeight="1" x14ac:dyDescent="0.25">
      <c r="C15" s="20"/>
      <c r="D15" s="20"/>
      <c r="E15" s="20"/>
      <c r="F15" s="20"/>
      <c r="G15" s="20"/>
      <c r="H15" s="20"/>
      <c r="I15" s="20"/>
    </row>
    <row r="16" spans="1:9" x14ac:dyDescent="0.25">
      <c r="A16" s="35" t="s">
        <v>7</v>
      </c>
      <c r="B16" s="26">
        <f>B8-B10</f>
        <v>26422857</v>
      </c>
      <c r="C16" s="26">
        <f t="shared" ref="C16:H16" si="2">C8-C10</f>
        <v>23172506</v>
      </c>
      <c r="D16" s="26">
        <f t="shared" si="2"/>
        <v>25371934</v>
      </c>
      <c r="E16" s="26">
        <f t="shared" si="2"/>
        <v>-449146</v>
      </c>
      <c r="F16" s="26">
        <f t="shared" si="2"/>
        <v>28683535</v>
      </c>
      <c r="G16" s="26">
        <f t="shared" si="2"/>
        <v>35497582</v>
      </c>
      <c r="H16" s="26">
        <f t="shared" si="2"/>
        <v>17404386</v>
      </c>
      <c r="I16" s="20"/>
    </row>
    <row r="17" spans="1:9" x14ac:dyDescent="0.25">
      <c r="A17" s="36" t="s">
        <v>60</v>
      </c>
      <c r="B17" s="28"/>
      <c r="C17" s="28"/>
      <c r="D17" s="28"/>
      <c r="E17" s="28"/>
      <c r="F17" s="28"/>
      <c r="G17" s="28"/>
      <c r="H17" s="20"/>
      <c r="I17" s="20"/>
    </row>
    <row r="18" spans="1:9" x14ac:dyDescent="0.25">
      <c r="A18" t="s">
        <v>13</v>
      </c>
      <c r="B18" s="20">
        <v>11713</v>
      </c>
      <c r="C18" s="20">
        <v>6623</v>
      </c>
      <c r="D18" s="20">
        <v>11576</v>
      </c>
      <c r="E18" s="27">
        <v>3531</v>
      </c>
      <c r="F18" s="27">
        <v>13538</v>
      </c>
      <c r="G18" s="20">
        <v>1754704</v>
      </c>
      <c r="H18" s="20">
        <v>4256313</v>
      </c>
      <c r="I18" s="20"/>
    </row>
    <row r="19" spans="1:9" x14ac:dyDescent="0.25">
      <c r="A19" t="s">
        <v>29</v>
      </c>
      <c r="B19" s="20">
        <v>15000</v>
      </c>
      <c r="C19" s="20">
        <v>9980</v>
      </c>
      <c r="D19" s="20">
        <v>14964</v>
      </c>
      <c r="E19" s="20">
        <v>2906</v>
      </c>
      <c r="F19" s="20">
        <v>8518</v>
      </c>
      <c r="G19" s="20">
        <v>584925</v>
      </c>
      <c r="H19" s="20">
        <v>438207</v>
      </c>
      <c r="I19" s="20"/>
    </row>
    <row r="20" spans="1:9" x14ac:dyDescent="0.25">
      <c r="A20" t="s">
        <v>30</v>
      </c>
      <c r="B20" s="20">
        <v>-30185</v>
      </c>
      <c r="C20" s="20">
        <v>9885</v>
      </c>
      <c r="D20" s="20">
        <v>-33915</v>
      </c>
      <c r="E20" s="20">
        <v>945</v>
      </c>
      <c r="F20" s="20">
        <v>2415</v>
      </c>
      <c r="G20" s="20">
        <v>11130</v>
      </c>
      <c r="H20" s="20">
        <v>210</v>
      </c>
      <c r="I20" s="20"/>
    </row>
    <row r="21" spans="1:9" x14ac:dyDescent="0.25">
      <c r="C21" s="20"/>
      <c r="D21" s="20"/>
      <c r="E21" s="20"/>
      <c r="F21" s="20"/>
      <c r="G21" s="20"/>
      <c r="H21" s="20"/>
      <c r="I21" s="20"/>
    </row>
    <row r="22" spans="1:9" x14ac:dyDescent="0.25">
      <c r="A22" s="35" t="s">
        <v>15</v>
      </c>
      <c r="B22" s="26">
        <f>B16-B18+B19+B20</f>
        <v>26395959</v>
      </c>
      <c r="C22" s="26">
        <f>C16-C18+C19+C20</f>
        <v>23185748</v>
      </c>
      <c r="D22" s="26">
        <f t="shared" ref="D22:E22" si="3">D16-D18+D19+D20</f>
        <v>25341407</v>
      </c>
      <c r="E22" s="26">
        <f t="shared" si="3"/>
        <v>-448826</v>
      </c>
      <c r="F22" s="26">
        <f>F16-F18+F19+F20</f>
        <v>28680930</v>
      </c>
      <c r="G22" s="24">
        <f>G16-G18+G19-G20</f>
        <v>34316673</v>
      </c>
      <c r="H22" s="24">
        <f>H16-H18+H19-H20</f>
        <v>13586070</v>
      </c>
      <c r="I22" s="20"/>
    </row>
    <row r="23" spans="1:9" x14ac:dyDescent="0.25">
      <c r="C23" s="27"/>
      <c r="D23" s="27"/>
      <c r="E23" s="27"/>
      <c r="F23" s="27"/>
      <c r="G23" s="20"/>
      <c r="H23" s="20"/>
      <c r="I23" s="20"/>
    </row>
    <row r="24" spans="1:9" x14ac:dyDescent="0.25">
      <c r="A24" s="8" t="s">
        <v>14</v>
      </c>
      <c r="B24" s="8">
        <v>0</v>
      </c>
      <c r="C24" s="27">
        <v>1159287</v>
      </c>
      <c r="D24" s="27">
        <v>1270994</v>
      </c>
      <c r="E24" s="20">
        <v>0</v>
      </c>
      <c r="F24" s="20">
        <v>1434046</v>
      </c>
      <c r="G24" s="20">
        <v>1715834</v>
      </c>
      <c r="H24" s="20">
        <v>646956</v>
      </c>
      <c r="I24" s="20"/>
    </row>
    <row r="25" spans="1:9" x14ac:dyDescent="0.25">
      <c r="A25" s="35" t="s">
        <v>61</v>
      </c>
      <c r="B25" s="26">
        <f t="shared" ref="B25:H25" si="4">B22-B24</f>
        <v>26395959</v>
      </c>
      <c r="C25" s="26">
        <f t="shared" si="4"/>
        <v>22026461</v>
      </c>
      <c r="D25" s="26">
        <f t="shared" si="4"/>
        <v>24070413</v>
      </c>
      <c r="E25" s="26">
        <f t="shared" si="4"/>
        <v>-448826</v>
      </c>
      <c r="F25" s="26">
        <f t="shared" si="4"/>
        <v>27246884</v>
      </c>
      <c r="G25" s="26">
        <f t="shared" si="4"/>
        <v>32600839</v>
      </c>
      <c r="H25" s="26">
        <f t="shared" si="4"/>
        <v>12939114</v>
      </c>
      <c r="I25" s="20"/>
    </row>
    <row r="26" spans="1:9" x14ac:dyDescent="0.25">
      <c r="C26" s="28"/>
      <c r="D26" s="28"/>
      <c r="E26" s="24"/>
      <c r="F26" s="24"/>
      <c r="G26" s="20"/>
      <c r="H26" s="20"/>
      <c r="I26" s="20"/>
    </row>
    <row r="27" spans="1:9" x14ac:dyDescent="0.25">
      <c r="A27" s="32" t="s">
        <v>62</v>
      </c>
      <c r="B27" s="28">
        <v>-314935</v>
      </c>
      <c r="C27" s="28">
        <f t="shared" ref="C27:F27" si="5">SUM(C28:C29)</f>
        <v>108478</v>
      </c>
      <c r="D27" s="28">
        <f t="shared" si="5"/>
        <v>-471599</v>
      </c>
      <c r="E27" s="28">
        <f t="shared" si="5"/>
        <v>343918</v>
      </c>
      <c r="F27" s="28">
        <f t="shared" si="5"/>
        <v>-609985</v>
      </c>
      <c r="G27" s="20">
        <v>-2728660</v>
      </c>
      <c r="H27" s="20">
        <f>SUM(H28:H29)</f>
        <v>580911</v>
      </c>
      <c r="I27" s="20"/>
    </row>
    <row r="28" spans="1:9" x14ac:dyDescent="0.25">
      <c r="A28" t="s">
        <v>8</v>
      </c>
      <c r="C28" s="20">
        <v>108478</v>
      </c>
      <c r="D28" s="20">
        <v>-471599</v>
      </c>
      <c r="E28" s="20">
        <v>343918</v>
      </c>
      <c r="F28" s="20"/>
      <c r="G28" s="20"/>
      <c r="H28" s="20">
        <v>1007406</v>
      </c>
      <c r="I28" s="20"/>
    </row>
    <row r="29" spans="1:9" x14ac:dyDescent="0.25">
      <c r="A29" t="s">
        <v>9</v>
      </c>
      <c r="C29" s="27"/>
      <c r="D29" s="27"/>
      <c r="E29" s="27"/>
      <c r="F29" s="27">
        <v>-609985</v>
      </c>
      <c r="G29" s="20"/>
      <c r="H29" s="20">
        <v>-426495</v>
      </c>
      <c r="I29" s="20"/>
    </row>
    <row r="30" spans="1:9" x14ac:dyDescent="0.25">
      <c r="A30" s="35" t="s">
        <v>63</v>
      </c>
      <c r="B30" s="26">
        <f t="shared" ref="B30:H30" si="6">B25-B27</f>
        <v>26710894</v>
      </c>
      <c r="C30" s="26">
        <f t="shared" si="6"/>
        <v>21917983</v>
      </c>
      <c r="D30" s="26">
        <f t="shared" si="6"/>
        <v>24542012</v>
      </c>
      <c r="E30" s="26">
        <f t="shared" si="6"/>
        <v>-792744</v>
      </c>
      <c r="F30" s="26">
        <f t="shared" si="6"/>
        <v>27856869</v>
      </c>
      <c r="G30" s="26">
        <f t="shared" si="6"/>
        <v>35329499</v>
      </c>
      <c r="H30" s="26">
        <f t="shared" si="6"/>
        <v>12358203</v>
      </c>
      <c r="I30" s="20"/>
    </row>
    <row r="31" spans="1:9" x14ac:dyDescent="0.25">
      <c r="A31" s="3"/>
      <c r="B31" s="3"/>
      <c r="E31" s="1"/>
      <c r="F31" s="1"/>
    </row>
    <row r="32" spans="1:9" x14ac:dyDescent="0.25">
      <c r="A32" s="35" t="s">
        <v>64</v>
      </c>
      <c r="B32" s="13">
        <f>B30/('1'!B37/10)</f>
        <v>1.3859366641397908</v>
      </c>
      <c r="C32" s="13">
        <f>C30/('1'!C37/10)</f>
        <v>1.0338626848347019</v>
      </c>
      <c r="D32" s="13">
        <f>D30/('1'!D37/10)</f>
        <v>1.0523973739392198</v>
      </c>
      <c r="E32" s="13">
        <f>E30/('1'!E37/10)</f>
        <v>-3.3994022324089518E-2</v>
      </c>
      <c r="F32" s="13">
        <f>F30/('1'!F37/10)</f>
        <v>1.0859484463461291</v>
      </c>
      <c r="G32" s="13">
        <f>G30/('1'!G37/10)</f>
        <v>1.2520500794529714</v>
      </c>
      <c r="H32" s="13">
        <f>H30/('1'!H37/10)</f>
        <v>0.39456319494007036</v>
      </c>
    </row>
    <row r="33" spans="1:8" x14ac:dyDescent="0.25">
      <c r="A33" s="36" t="s">
        <v>65</v>
      </c>
      <c r="B33" s="20">
        <f>'1'!B44</f>
        <v>19272810</v>
      </c>
      <c r="C33" s="20">
        <f>'1'!C44</f>
        <v>21200091</v>
      </c>
      <c r="D33" s="20">
        <f>'1'!D44</f>
        <v>23320100</v>
      </c>
      <c r="E33" s="20">
        <f>'1'!E44</f>
        <v>23320100</v>
      </c>
      <c r="F33" s="20">
        <f>'1'!F44</f>
        <v>25652110</v>
      </c>
      <c r="G33" s="20">
        <f>'1'!G44</f>
        <v>28217321</v>
      </c>
      <c r="H33" s="20">
        <f>'1'!H44</f>
        <v>31321226</v>
      </c>
    </row>
    <row r="56" spans="1:2" x14ac:dyDescent="0.25">
      <c r="A56" s="10"/>
      <c r="B56" s="10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38"/>
  <sheetViews>
    <sheetView tabSelected="1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C20" sqref="C20"/>
    </sheetView>
  </sheetViews>
  <sheetFormatPr defaultRowHeight="15" x14ac:dyDescent="0.25"/>
  <cols>
    <col min="1" max="1" width="42.28515625" bestFit="1" customWidth="1"/>
    <col min="2" max="2" width="15.85546875" customWidth="1"/>
    <col min="3" max="5" width="15" bestFit="1" customWidth="1"/>
    <col min="6" max="6" width="16" bestFit="1" customWidth="1"/>
    <col min="7" max="7" width="15.28515625" bestFit="1" customWidth="1"/>
    <col min="8" max="8" width="12.5703125" bestFit="1" customWidth="1"/>
    <col min="9" max="9" width="9.28515625" bestFit="1" customWidth="1"/>
  </cols>
  <sheetData>
    <row r="1" spans="1:9" ht="15.75" x14ac:dyDescent="0.25">
      <c r="A1" s="4" t="s">
        <v>24</v>
      </c>
    </row>
    <row r="2" spans="1:9" ht="15.75" x14ac:dyDescent="0.25">
      <c r="A2" s="4" t="s">
        <v>66</v>
      </c>
      <c r="B2" s="4"/>
      <c r="C2" s="4"/>
      <c r="D2" s="4"/>
      <c r="E2" s="4"/>
    </row>
    <row r="3" spans="1:9" ht="15.75" x14ac:dyDescent="0.25">
      <c r="A3" s="4" t="s">
        <v>48</v>
      </c>
      <c r="B3" s="4"/>
      <c r="C3" s="4"/>
      <c r="D3" s="4"/>
      <c r="E3" s="4"/>
    </row>
    <row r="4" spans="1:9" ht="15.75" x14ac:dyDescent="0.25">
      <c r="B4" s="4"/>
      <c r="C4" s="4"/>
      <c r="D4" s="4"/>
      <c r="E4" s="4"/>
    </row>
    <row r="5" spans="1:9" ht="15.75" x14ac:dyDescent="0.25">
      <c r="A5" s="4"/>
      <c r="B5" s="30">
        <v>2013</v>
      </c>
      <c r="C5" s="4">
        <v>2014</v>
      </c>
      <c r="D5" s="4">
        <v>2015</v>
      </c>
      <c r="E5" s="4">
        <v>2016</v>
      </c>
      <c r="F5" s="4">
        <v>2017</v>
      </c>
      <c r="G5" s="4">
        <v>2018</v>
      </c>
      <c r="H5" s="4">
        <v>2019</v>
      </c>
    </row>
    <row r="6" spans="1:9" x14ac:dyDescent="0.25">
      <c r="A6" s="35" t="s">
        <v>67</v>
      </c>
      <c r="B6" s="3"/>
      <c r="C6" s="20"/>
      <c r="D6" s="20"/>
      <c r="E6" s="20"/>
      <c r="F6" s="20"/>
      <c r="G6" s="20"/>
      <c r="H6" s="20"/>
      <c r="I6" s="20"/>
    </row>
    <row r="7" spans="1:9" x14ac:dyDescent="0.25">
      <c r="A7" t="s">
        <v>21</v>
      </c>
      <c r="B7">
        <v>8014131</v>
      </c>
      <c r="C7" s="20">
        <v>84516416</v>
      </c>
      <c r="D7" s="20">
        <v>62193318</v>
      </c>
      <c r="E7" s="20">
        <v>59975372</v>
      </c>
      <c r="F7" s="20">
        <v>134218645</v>
      </c>
      <c r="G7" s="20">
        <v>137663510</v>
      </c>
      <c r="H7" s="20">
        <v>101927990</v>
      </c>
      <c r="I7" s="20"/>
    </row>
    <row r="8" spans="1:9" x14ac:dyDescent="0.25">
      <c r="A8" s="8" t="s">
        <v>22</v>
      </c>
      <c r="B8" s="8">
        <v>-19410909</v>
      </c>
      <c r="C8" s="20">
        <v>-26342021</v>
      </c>
      <c r="D8" s="20">
        <v>-61630966</v>
      </c>
      <c r="E8" s="20">
        <v>-38087897</v>
      </c>
      <c r="F8" s="20">
        <v>-107949522</v>
      </c>
      <c r="G8" s="20">
        <v>-81218861</v>
      </c>
      <c r="H8" s="20">
        <v>-89764594</v>
      </c>
      <c r="I8" s="20"/>
    </row>
    <row r="9" spans="1:9" ht="15.75" x14ac:dyDescent="0.25">
      <c r="A9" s="12" t="s">
        <v>23</v>
      </c>
      <c r="B9" s="12"/>
      <c r="C9" s="20">
        <v>11486</v>
      </c>
      <c r="D9" s="20">
        <v>-100000</v>
      </c>
      <c r="E9" s="20">
        <v>-500000</v>
      </c>
      <c r="F9" s="20">
        <v>-307500</v>
      </c>
      <c r="G9" s="20">
        <v>0</v>
      </c>
      <c r="H9" s="25"/>
      <c r="I9" s="20"/>
    </row>
    <row r="10" spans="1:9" x14ac:dyDescent="0.25">
      <c r="A10" s="3"/>
      <c r="B10" s="21">
        <f t="shared" ref="B10:H10" si="0">SUM(B7:B9)</f>
        <v>-11396778</v>
      </c>
      <c r="C10" s="21">
        <f t="shared" si="0"/>
        <v>58185881</v>
      </c>
      <c r="D10" s="21">
        <f t="shared" si="0"/>
        <v>462352</v>
      </c>
      <c r="E10" s="21">
        <f t="shared" si="0"/>
        <v>21387475</v>
      </c>
      <c r="F10" s="21">
        <f t="shared" si="0"/>
        <v>25961623</v>
      </c>
      <c r="G10" s="21">
        <f t="shared" si="0"/>
        <v>56444649</v>
      </c>
      <c r="H10" s="21">
        <f t="shared" si="0"/>
        <v>12163396</v>
      </c>
      <c r="I10" s="20"/>
    </row>
    <row r="11" spans="1:9" x14ac:dyDescent="0.25">
      <c r="C11" s="20"/>
      <c r="D11" s="20"/>
      <c r="E11" s="20"/>
      <c r="F11" s="20"/>
      <c r="G11" s="20"/>
      <c r="H11" s="20"/>
      <c r="I11" s="20"/>
    </row>
    <row r="12" spans="1:9" x14ac:dyDescent="0.25">
      <c r="A12" s="35" t="s">
        <v>68</v>
      </c>
      <c r="B12" s="3"/>
      <c r="C12" s="20"/>
      <c r="D12" s="20"/>
      <c r="E12" s="20"/>
      <c r="F12" s="20"/>
      <c r="G12" s="20"/>
      <c r="H12" s="20"/>
      <c r="I12" s="20"/>
    </row>
    <row r="13" spans="1:9" x14ac:dyDescent="0.25">
      <c r="A13" s="7" t="s">
        <v>32</v>
      </c>
      <c r="B13" s="29">
        <v>-320000</v>
      </c>
      <c r="C13" s="20">
        <v>-52420285</v>
      </c>
      <c r="D13" s="20">
        <v>0</v>
      </c>
      <c r="E13" s="20">
        <v>-21200000</v>
      </c>
      <c r="F13" s="20">
        <v>-57148237</v>
      </c>
      <c r="G13" s="20">
        <v>-18712657</v>
      </c>
      <c r="H13" s="20">
        <v>-22180800</v>
      </c>
      <c r="I13" s="20"/>
    </row>
    <row r="14" spans="1:9" x14ac:dyDescent="0.25">
      <c r="A14" s="7" t="s">
        <v>33</v>
      </c>
      <c r="B14" s="7">
        <v>0</v>
      </c>
      <c r="C14" s="20">
        <v>42500000</v>
      </c>
      <c r="D14" s="20">
        <v>0</v>
      </c>
      <c r="E14" s="20">
        <v>0</v>
      </c>
      <c r="F14" s="20">
        <v>31108000</v>
      </c>
      <c r="G14" s="20">
        <v>0</v>
      </c>
      <c r="H14" s="20"/>
      <c r="I14" s="20"/>
    </row>
    <row r="15" spans="1:9" x14ac:dyDescent="0.25">
      <c r="A15" s="7" t="s">
        <v>28</v>
      </c>
      <c r="B15" s="29">
        <v>-3000000</v>
      </c>
      <c r="C15" s="20"/>
      <c r="D15" s="20"/>
      <c r="E15" s="20"/>
      <c r="F15" s="20"/>
      <c r="G15" s="20"/>
      <c r="H15" s="20"/>
      <c r="I15" s="20"/>
    </row>
    <row r="16" spans="1:9" x14ac:dyDescent="0.25">
      <c r="A16" s="7" t="s">
        <v>46</v>
      </c>
      <c r="B16" s="29">
        <v>15000000</v>
      </c>
      <c r="C16" s="20"/>
      <c r="D16" s="20"/>
      <c r="E16" s="20"/>
      <c r="F16" s="20"/>
      <c r="G16" s="20"/>
      <c r="H16" s="20"/>
      <c r="I16" s="20"/>
    </row>
    <row r="17" spans="1:9" x14ac:dyDescent="0.25">
      <c r="A17" s="7" t="s">
        <v>41</v>
      </c>
      <c r="B17" s="7">
        <v>0</v>
      </c>
      <c r="C17" s="20"/>
      <c r="D17" s="20"/>
      <c r="E17" s="20"/>
      <c r="F17" s="20"/>
      <c r="G17" s="20">
        <v>-7436400</v>
      </c>
      <c r="H17" s="20">
        <v>-1590000</v>
      </c>
      <c r="I17" s="20"/>
    </row>
    <row r="18" spans="1:9" x14ac:dyDescent="0.25">
      <c r="A18" s="7" t="s">
        <v>45</v>
      </c>
      <c r="B18" s="7"/>
      <c r="C18" s="20"/>
      <c r="D18" s="20"/>
      <c r="E18" s="20"/>
      <c r="F18" s="20"/>
      <c r="G18" s="20"/>
      <c r="H18" s="20"/>
      <c r="I18" s="20"/>
    </row>
    <row r="19" spans="1:9" x14ac:dyDescent="0.25">
      <c r="A19" s="7" t="s">
        <v>42</v>
      </c>
      <c r="B19" s="7">
        <v>0</v>
      </c>
      <c r="C19" s="20"/>
      <c r="D19" s="20"/>
      <c r="E19" s="20"/>
      <c r="F19" s="20"/>
      <c r="G19" s="20">
        <v>-5015094</v>
      </c>
      <c r="H19" s="20">
        <v>-3402000</v>
      </c>
      <c r="I19" s="20"/>
    </row>
    <row r="20" spans="1:9" ht="30" x14ac:dyDescent="0.25">
      <c r="A20" s="7" t="s">
        <v>43</v>
      </c>
      <c r="B20" s="7"/>
      <c r="C20" s="20"/>
      <c r="D20" s="20"/>
      <c r="E20" s="20"/>
      <c r="F20" s="20"/>
      <c r="G20" s="20">
        <v>-27803926</v>
      </c>
      <c r="H20" s="20"/>
      <c r="I20" s="20"/>
    </row>
    <row r="21" spans="1:9" x14ac:dyDescent="0.25">
      <c r="A21" s="7" t="s">
        <v>83</v>
      </c>
      <c r="B21" s="7"/>
      <c r="C21" s="20"/>
      <c r="D21" s="20"/>
      <c r="E21" s="20"/>
      <c r="F21" s="20"/>
      <c r="G21" s="20">
        <v>-6000000</v>
      </c>
      <c r="H21" s="20">
        <v>587550</v>
      </c>
      <c r="I21" s="20"/>
    </row>
    <row r="22" spans="1:9" x14ac:dyDescent="0.25">
      <c r="A22" s="7" t="s">
        <v>84</v>
      </c>
      <c r="B22" s="7"/>
      <c r="C22" s="20"/>
      <c r="D22" s="20"/>
      <c r="E22" s="20"/>
      <c r="F22" s="20"/>
      <c r="G22" s="20"/>
      <c r="H22" s="20">
        <v>-627000</v>
      </c>
      <c r="I22" s="20"/>
    </row>
    <row r="23" spans="1:9" x14ac:dyDescent="0.25">
      <c r="A23" s="7" t="s">
        <v>34</v>
      </c>
      <c r="B23" s="7"/>
      <c r="C23" s="20">
        <v>-52370956</v>
      </c>
      <c r="D23" s="20">
        <v>-300000</v>
      </c>
      <c r="E23" s="20">
        <v>0</v>
      </c>
      <c r="F23" s="20">
        <v>0</v>
      </c>
      <c r="G23" s="20">
        <v>-6000000</v>
      </c>
      <c r="H23" s="20"/>
      <c r="I23" s="20"/>
    </row>
    <row r="24" spans="1:9" x14ac:dyDescent="0.25">
      <c r="A24" s="3"/>
      <c r="B24" s="21">
        <f>SUM(B13:B23)</f>
        <v>11680000</v>
      </c>
      <c r="C24" s="21">
        <f>SUM(C13:C23)</f>
        <v>-62291241</v>
      </c>
      <c r="D24" s="21">
        <f>SUM(D13:D23)</f>
        <v>-300000</v>
      </c>
      <c r="E24" s="21">
        <f>SUM(E13:E23)</f>
        <v>-21200000</v>
      </c>
      <c r="F24" s="21">
        <f>SUM(F13:F23)</f>
        <v>-26040237</v>
      </c>
      <c r="G24" s="21">
        <f t="shared" ref="G24:I24" si="1">SUM(G13:G23)</f>
        <v>-70968077</v>
      </c>
      <c r="H24" s="21">
        <f t="shared" si="1"/>
        <v>-27212250</v>
      </c>
      <c r="I24" s="21">
        <f t="shared" si="1"/>
        <v>0</v>
      </c>
    </row>
    <row r="25" spans="1:9" x14ac:dyDescent="0.25">
      <c r="C25" s="20"/>
      <c r="D25" s="20"/>
      <c r="E25" s="20"/>
      <c r="F25" s="20"/>
      <c r="G25" s="20"/>
      <c r="H25" s="20"/>
      <c r="I25" s="20"/>
    </row>
    <row r="26" spans="1:9" x14ac:dyDescent="0.25">
      <c r="A26" s="35" t="s">
        <v>69</v>
      </c>
      <c r="B26" s="3"/>
      <c r="C26" s="20"/>
      <c r="D26" s="20"/>
      <c r="E26" s="20"/>
      <c r="F26" s="20"/>
      <c r="G26" s="20"/>
      <c r="H26" s="20"/>
      <c r="I26" s="20"/>
    </row>
    <row r="27" spans="1:9" x14ac:dyDescent="0.25">
      <c r="A27" t="s">
        <v>35</v>
      </c>
      <c r="B27">
        <v>15000</v>
      </c>
      <c r="C27" s="20">
        <v>-1510</v>
      </c>
      <c r="D27" s="20">
        <v>-3334</v>
      </c>
      <c r="E27" s="20">
        <v>0</v>
      </c>
      <c r="F27" s="20">
        <v>8518</v>
      </c>
      <c r="G27" s="20"/>
      <c r="H27" s="20"/>
      <c r="I27" s="20"/>
    </row>
    <row r="28" spans="1:9" x14ac:dyDescent="0.25">
      <c r="A28" t="s">
        <v>44</v>
      </c>
      <c r="C28" s="20"/>
      <c r="D28" s="20"/>
      <c r="E28" s="20"/>
      <c r="F28" s="20"/>
      <c r="G28" s="20">
        <v>-2478528</v>
      </c>
      <c r="H28" s="20"/>
      <c r="I28" s="20"/>
    </row>
    <row r="29" spans="1:9" x14ac:dyDescent="0.25">
      <c r="A29" t="s">
        <v>85</v>
      </c>
      <c r="C29" s="20"/>
      <c r="D29" s="20"/>
      <c r="E29" s="20"/>
      <c r="F29" s="20"/>
      <c r="G29" s="25">
        <v>19800000</v>
      </c>
      <c r="H29" s="25">
        <v>16178527</v>
      </c>
      <c r="I29" s="20"/>
    </row>
    <row r="30" spans="1:9" x14ac:dyDescent="0.25">
      <c r="A30" s="3"/>
      <c r="B30" s="22">
        <f t="shared" ref="B30:F30" si="2">SUM(B27:B27)</f>
        <v>15000</v>
      </c>
      <c r="C30" s="22">
        <f t="shared" si="2"/>
        <v>-1510</v>
      </c>
      <c r="D30" s="22">
        <f t="shared" si="2"/>
        <v>-3334</v>
      </c>
      <c r="E30" s="22">
        <f t="shared" si="2"/>
        <v>0</v>
      </c>
      <c r="F30" s="22">
        <f t="shared" si="2"/>
        <v>8518</v>
      </c>
      <c r="G30" s="23">
        <f>SUM(G27:G29)</f>
        <v>17321472</v>
      </c>
      <c r="H30" s="23">
        <f>SUM(H27:H29)</f>
        <v>16178527</v>
      </c>
      <c r="I30" s="20"/>
    </row>
    <row r="31" spans="1:9" x14ac:dyDescent="0.25">
      <c r="C31" s="20"/>
      <c r="D31" s="20"/>
      <c r="E31" s="20"/>
      <c r="F31" s="20"/>
      <c r="G31" s="20"/>
      <c r="H31" s="20"/>
      <c r="I31" s="20"/>
    </row>
    <row r="32" spans="1:9" x14ac:dyDescent="0.25">
      <c r="A32" s="3" t="s">
        <v>70</v>
      </c>
      <c r="B32" s="24">
        <f t="shared" ref="B32:H32" si="3">SUM(B10,B24,B30)</f>
        <v>298222</v>
      </c>
      <c r="C32" s="24">
        <f t="shared" si="3"/>
        <v>-4106870</v>
      </c>
      <c r="D32" s="24">
        <f t="shared" si="3"/>
        <v>159018</v>
      </c>
      <c r="E32" s="24">
        <f t="shared" si="3"/>
        <v>187475</v>
      </c>
      <c r="F32" s="24">
        <f t="shared" si="3"/>
        <v>-70096</v>
      </c>
      <c r="G32" s="24">
        <f t="shared" si="3"/>
        <v>2798044</v>
      </c>
      <c r="H32" s="24">
        <f t="shared" si="3"/>
        <v>1129673</v>
      </c>
      <c r="I32" s="20"/>
    </row>
    <row r="33" spans="1:9" x14ac:dyDescent="0.25">
      <c r="A33" s="36" t="s">
        <v>71</v>
      </c>
      <c r="B33">
        <v>4350363</v>
      </c>
      <c r="C33" s="20">
        <v>4648585</v>
      </c>
      <c r="D33" s="20">
        <v>541715</v>
      </c>
      <c r="E33" s="20">
        <v>700733</v>
      </c>
      <c r="F33" s="20">
        <v>888208</v>
      </c>
      <c r="G33" s="20">
        <v>818112</v>
      </c>
      <c r="H33" s="20">
        <v>3616156</v>
      </c>
      <c r="I33" s="20"/>
    </row>
    <row r="34" spans="1:9" x14ac:dyDescent="0.25">
      <c r="A34" s="35" t="s">
        <v>72</v>
      </c>
      <c r="B34" s="24">
        <f t="shared" ref="B34:H34" si="4">SUM(B32:B33)</f>
        <v>4648585</v>
      </c>
      <c r="C34" s="24">
        <f t="shared" si="4"/>
        <v>541715</v>
      </c>
      <c r="D34" s="24">
        <f t="shared" si="4"/>
        <v>700733</v>
      </c>
      <c r="E34" s="24">
        <f t="shared" si="4"/>
        <v>888208</v>
      </c>
      <c r="F34" s="24">
        <f t="shared" si="4"/>
        <v>818112</v>
      </c>
      <c r="G34" s="24">
        <f t="shared" si="4"/>
        <v>3616156</v>
      </c>
      <c r="H34" s="24">
        <f t="shared" si="4"/>
        <v>4745829</v>
      </c>
      <c r="I34" s="20"/>
    </row>
    <row r="35" spans="1:9" x14ac:dyDescent="0.25">
      <c r="C35" s="24"/>
      <c r="D35" s="24"/>
      <c r="E35" s="24"/>
      <c r="F35" s="24"/>
      <c r="G35" s="20"/>
      <c r="H35" s="20"/>
      <c r="I35" s="20"/>
    </row>
    <row r="37" spans="1:9" x14ac:dyDescent="0.25">
      <c r="A37" s="35" t="s">
        <v>73</v>
      </c>
      <c r="B37" s="14">
        <f>B10/('1'!B37/10)</f>
        <v>-0.59133971641914174</v>
      </c>
      <c r="C37" s="14">
        <f>C10/('1'!C37/10)</f>
        <v>2.7446052472133258</v>
      </c>
      <c r="D37" s="14">
        <f>D10/('1'!D37/10)</f>
        <v>1.9826330075771545E-2</v>
      </c>
      <c r="E37" s="14">
        <f>E10/('1'!E37/10)</f>
        <v>0.91712621300937813</v>
      </c>
      <c r="F37" s="14">
        <f>F10/('1'!F37/10)</f>
        <v>1.0120657910791744</v>
      </c>
      <c r="G37" s="14">
        <f>G10/('1'!G37/10)</f>
        <v>2.0003546403288959</v>
      </c>
      <c r="H37" s="14">
        <f>H10/('1'!H37/10)</f>
        <v>0.3883435469607735</v>
      </c>
    </row>
    <row r="38" spans="1:9" x14ac:dyDescent="0.25">
      <c r="A38" s="35" t="s">
        <v>74</v>
      </c>
      <c r="B38" s="20">
        <f>'1'!B44</f>
        <v>19272810</v>
      </c>
      <c r="C38" s="20">
        <f>'1'!C44</f>
        <v>21200091</v>
      </c>
      <c r="D38" s="20">
        <f>'1'!D44</f>
        <v>23320100</v>
      </c>
      <c r="E38" s="20">
        <f>'1'!E44</f>
        <v>23320100</v>
      </c>
      <c r="F38" s="20">
        <f>'1'!F44</f>
        <v>25652110</v>
      </c>
      <c r="G38" s="20">
        <f>'1'!G44</f>
        <v>28217321</v>
      </c>
      <c r="H38" s="20">
        <f>'1'!H44</f>
        <v>31321226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J5" sqref="J5"/>
    </sheetView>
  </sheetViews>
  <sheetFormatPr defaultRowHeight="15" x14ac:dyDescent="0.25"/>
  <cols>
    <col min="1" max="1" width="16.5703125" bestFit="1" customWidth="1"/>
    <col min="2" max="2" width="16.5703125" customWidth="1"/>
  </cols>
  <sheetData>
    <row r="1" spans="1:8" ht="15.75" x14ac:dyDescent="0.25">
      <c r="A1" s="4" t="s">
        <v>24</v>
      </c>
    </row>
    <row r="2" spans="1:8" x14ac:dyDescent="0.25">
      <c r="A2" s="3" t="s">
        <v>75</v>
      </c>
    </row>
    <row r="3" spans="1:8" ht="15.75" x14ac:dyDescent="0.25">
      <c r="A3" s="4" t="s">
        <v>48</v>
      </c>
    </row>
    <row r="5" spans="1:8" x14ac:dyDescent="0.25">
      <c r="B5">
        <v>2013</v>
      </c>
      <c r="C5">
        <v>2014</v>
      </c>
      <c r="D5">
        <v>2015</v>
      </c>
      <c r="E5">
        <v>2016</v>
      </c>
      <c r="F5">
        <v>2017</v>
      </c>
      <c r="G5">
        <v>2018</v>
      </c>
      <c r="H5">
        <v>2019</v>
      </c>
    </row>
    <row r="6" spans="1:8" x14ac:dyDescent="0.25">
      <c r="A6" s="8" t="s">
        <v>76</v>
      </c>
      <c r="B6" s="16">
        <f>'2'!B30/'1'!B21</f>
        <v>0.12262035022128744</v>
      </c>
      <c r="C6" s="16">
        <f>'2'!C30/'1'!C21</f>
        <v>9.0759901508991159E-2</v>
      </c>
      <c r="D6" s="16">
        <f>'2'!D30/'1'!D21</f>
        <v>9.1978012730894565E-2</v>
      </c>
      <c r="E6" s="16">
        <f>'2'!E30/'1'!E21</f>
        <v>-2.9690533869314792E-3</v>
      </c>
      <c r="F6" s="16">
        <f>'2'!F30/'1'!F21</f>
        <v>9.4391082489560324E-2</v>
      </c>
      <c r="G6" s="16">
        <f>'2'!G30/'1'!G21</f>
        <v>9.8478703498584577E-2</v>
      </c>
      <c r="H6" s="16">
        <f>'2'!H30/'1'!H21</f>
        <v>3.1814471123084151E-2</v>
      </c>
    </row>
    <row r="7" spans="1:8" x14ac:dyDescent="0.25">
      <c r="A7" s="8" t="s">
        <v>77</v>
      </c>
      <c r="B7" s="16">
        <f>'2'!B30/'1'!B36</f>
        <v>0.12488364842918366</v>
      </c>
      <c r="C7" s="16">
        <f>'2'!C30/'1'!C36</f>
        <v>9.2949917186173542E-2</v>
      </c>
      <c r="D7" s="16">
        <f>'2'!D30/'1'!D36</f>
        <v>9.4266821258237127E-2</v>
      </c>
      <c r="E7" s="16">
        <f>'2'!E30/'1'!E36</f>
        <v>-3.0542605955548485E-3</v>
      </c>
      <c r="F7" s="16">
        <f>'2'!F30/'1'!F36</f>
        <v>9.6923677351087825E-2</v>
      </c>
      <c r="G7" s="16">
        <f>'2'!G30/'1'!G36</f>
        <v>0.10943971168716687</v>
      </c>
      <c r="H7" s="16">
        <f>'2'!H30/'1'!H36</f>
        <v>3.687037257648336E-2</v>
      </c>
    </row>
    <row r="8" spans="1:8" x14ac:dyDescent="0.25">
      <c r="A8" s="8" t="s">
        <v>36</v>
      </c>
      <c r="B8" s="17">
        <v>-1</v>
      </c>
      <c r="C8" s="17">
        <v>0</v>
      </c>
      <c r="D8" s="17">
        <v>0</v>
      </c>
      <c r="E8" s="17">
        <v>0</v>
      </c>
      <c r="F8" s="17">
        <v>0</v>
      </c>
      <c r="G8" s="19">
        <f>'1'!G26/'1'!G36</f>
        <v>4.1389651276859403E-2</v>
      </c>
      <c r="H8" s="17">
        <v>1</v>
      </c>
    </row>
    <row r="9" spans="1:8" x14ac:dyDescent="0.25">
      <c r="A9" s="8" t="s">
        <v>37</v>
      </c>
      <c r="B9" s="18">
        <f>'1'!B12/'1'!B28</f>
        <v>20.492717959057849</v>
      </c>
      <c r="C9" s="18">
        <f>'1'!C12/'1'!C28</f>
        <v>13.334276583322525</v>
      </c>
      <c r="D9" s="18">
        <f>'1'!D12/'1'!D28</f>
        <v>18.420652573560623</v>
      </c>
      <c r="E9" s="18">
        <f>'1'!E12/'1'!E28</f>
        <v>14.297578623938602</v>
      </c>
      <c r="F9" s="18">
        <f>'1'!F12/'1'!F28</f>
        <v>17.550462103853093</v>
      </c>
      <c r="G9" s="18">
        <f>'1'!G12/'1'!G28</f>
        <v>9.1976677967243177</v>
      </c>
      <c r="H9" s="18">
        <f>'1'!H12/'1'!H28</f>
        <v>9.8309359852461782</v>
      </c>
    </row>
    <row r="10" spans="1:8" x14ac:dyDescent="0.25">
      <c r="A10" s="8" t="s">
        <v>78</v>
      </c>
      <c r="B10" s="16">
        <f>'2'!B30/'2'!B6</f>
        <v>0.56451604313155546</v>
      </c>
      <c r="C10" s="16">
        <f>'2'!C30/'2'!C6</f>
        <v>0.28241451584421007</v>
      </c>
      <c r="D10" s="16">
        <f>'2'!D30/'2'!D6</f>
        <v>0.40597231935783157</v>
      </c>
      <c r="E10" s="16">
        <f>'2'!E30/'2'!E6</f>
        <v>-1.4769458879074637E-2</v>
      </c>
      <c r="F10" s="16">
        <f>'2'!F30/'2'!F6</f>
        <v>0.21906466192160379</v>
      </c>
      <c r="G10" s="16">
        <f>'2'!G30/'2'!G6</f>
        <v>0.25886853837599888</v>
      </c>
      <c r="H10" s="16">
        <f>'2'!H30/'2'!H6</f>
        <v>0.10375126962670103</v>
      </c>
    </row>
    <row r="11" spans="1:8" x14ac:dyDescent="0.25">
      <c r="A11" t="s">
        <v>38</v>
      </c>
      <c r="B11" s="16">
        <f>'2'!B16/'2'!B6</f>
        <v>0.55842858280486307</v>
      </c>
      <c r="C11" s="16">
        <f>'2'!C16/'2'!C6</f>
        <v>0.29857911938735665</v>
      </c>
      <c r="D11" s="16">
        <f>'2'!D16/'2'!D6</f>
        <v>0.41970083351657661</v>
      </c>
      <c r="E11" s="16">
        <f>'2'!E16/'2'!E6</f>
        <v>-8.3679515426176125E-3</v>
      </c>
      <c r="F11" s="16">
        <f>'2'!F16/'2'!F6</f>
        <v>0.22556551123859217</v>
      </c>
      <c r="G11" s="16">
        <f>'2'!G16/'2'!G6</f>
        <v>0.26010012675872268</v>
      </c>
      <c r="H11" s="16">
        <f>'2'!H16/'2'!H6</f>
        <v>0.14611567268907791</v>
      </c>
    </row>
    <row r="12" spans="1:8" x14ac:dyDescent="0.25">
      <c r="A12" s="8" t="s">
        <v>79</v>
      </c>
      <c r="B12" s="16">
        <f>'2'!B30/('1'!B36)</f>
        <v>0.12488364842918366</v>
      </c>
      <c r="C12" s="16">
        <f>'2'!C30/('1'!C36)</f>
        <v>9.2949917186173542E-2</v>
      </c>
      <c r="D12" s="16">
        <f>'2'!D30/('1'!D36)</f>
        <v>9.4266821258237127E-2</v>
      </c>
      <c r="E12" s="16">
        <f>'2'!E30/('1'!E36)</f>
        <v>-3.0542605955548485E-3</v>
      </c>
      <c r="F12" s="16">
        <f>'2'!F30/('1'!F36)</f>
        <v>9.6923677351087825E-2</v>
      </c>
      <c r="G12" s="16">
        <f>'2'!G30/('1'!G36)</f>
        <v>0.10943971168716687</v>
      </c>
      <c r="H12" s="16">
        <f>'2'!H30/('1'!H36)</f>
        <v>3.687037257648336E-2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</vt:lpstr>
      <vt:lpstr>2</vt:lpstr>
      <vt:lpstr>3</vt:lpstr>
      <vt:lpstr>Ratio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Saikat Sunny</dc:creator>
  <cp:lastModifiedBy>Anik</cp:lastModifiedBy>
  <dcterms:created xsi:type="dcterms:W3CDTF">2017-04-17T04:07:28Z</dcterms:created>
  <dcterms:modified xsi:type="dcterms:W3CDTF">2020-04-11T15:34:13Z</dcterms:modified>
</cp:coreProperties>
</file>