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ment\A\"/>
    </mc:Choice>
  </mc:AlternateContent>
  <bookViews>
    <workbookView xWindow="0" yWindow="0" windowWidth="20490" windowHeight="7650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3" l="1"/>
  <c r="D39" i="3"/>
  <c r="E39" i="3"/>
  <c r="F39" i="3"/>
  <c r="G39" i="3"/>
  <c r="H39" i="3"/>
  <c r="I39" i="3"/>
  <c r="J39" i="3"/>
  <c r="B39" i="3"/>
  <c r="C30" i="2" l="1"/>
  <c r="D30" i="2"/>
  <c r="E30" i="2"/>
  <c r="F30" i="2"/>
  <c r="G30" i="2"/>
  <c r="H30" i="2"/>
  <c r="I30" i="2"/>
  <c r="J30" i="2"/>
  <c r="B30" i="2"/>
  <c r="C51" i="1"/>
  <c r="D51" i="1"/>
  <c r="E51" i="1"/>
  <c r="F51" i="1"/>
  <c r="G51" i="1"/>
  <c r="H51" i="1"/>
  <c r="I51" i="1"/>
  <c r="J51" i="1"/>
  <c r="B51" i="1"/>
  <c r="D26" i="2" l="1"/>
  <c r="E26" i="2"/>
  <c r="F26" i="2"/>
  <c r="G26" i="2"/>
  <c r="H26" i="2"/>
  <c r="I26" i="2"/>
  <c r="J26" i="2"/>
  <c r="B26" i="2"/>
  <c r="C26" i="2"/>
  <c r="J34" i="3" l="1"/>
  <c r="J27" i="3"/>
  <c r="J32" i="3"/>
  <c r="J18" i="2" l="1"/>
  <c r="J7" i="1"/>
  <c r="J13" i="1"/>
  <c r="J9" i="4" s="1"/>
  <c r="J10" i="2"/>
  <c r="J15" i="2" s="1"/>
  <c r="J11" i="4" s="1"/>
  <c r="J42" i="1"/>
  <c r="J8" i="4" s="1"/>
  <c r="J32" i="1"/>
  <c r="J27" i="1"/>
  <c r="J22" i="3"/>
  <c r="J33" i="3" s="1"/>
  <c r="J35" i="3" s="1"/>
  <c r="J14" i="3"/>
  <c r="J23" i="1" l="1"/>
  <c r="J38" i="3"/>
  <c r="J20" i="2"/>
  <c r="J22" i="2" s="1"/>
  <c r="J27" i="2" s="1"/>
  <c r="J7" i="4" s="1"/>
  <c r="J50" i="1"/>
  <c r="J48" i="1"/>
  <c r="B32" i="1"/>
  <c r="B42" i="1"/>
  <c r="B13" i="1"/>
  <c r="B9" i="4" s="1"/>
  <c r="B7" i="1"/>
  <c r="B23" i="1" l="1"/>
  <c r="J6" i="4"/>
  <c r="J12" i="4"/>
  <c r="J29" i="2"/>
  <c r="J10" i="4"/>
  <c r="I32" i="3"/>
  <c r="I22" i="3"/>
  <c r="I14" i="3"/>
  <c r="I38" i="3" s="1"/>
  <c r="I18" i="2"/>
  <c r="I7" i="1"/>
  <c r="I10" i="2"/>
  <c r="I15" i="2" s="1"/>
  <c r="I32" i="1"/>
  <c r="I27" i="1"/>
  <c r="I42" i="1"/>
  <c r="I13" i="1"/>
  <c r="I9" i="4" l="1"/>
  <c r="I8" i="4"/>
  <c r="I48" i="1"/>
  <c r="I20" i="2"/>
  <c r="I22" i="2" s="1"/>
  <c r="I27" i="2" s="1"/>
  <c r="I11" i="4"/>
  <c r="I33" i="3"/>
  <c r="I35" i="3" s="1"/>
  <c r="I23" i="1"/>
  <c r="I50" i="1"/>
  <c r="G18" i="2"/>
  <c r="H18" i="2"/>
  <c r="I29" i="2" l="1"/>
  <c r="I10" i="4"/>
  <c r="I6" i="4"/>
  <c r="I12" i="4"/>
  <c r="I7" i="4"/>
  <c r="F37" i="1"/>
  <c r="D37" i="1"/>
  <c r="C37" i="1"/>
  <c r="C32" i="3" l="1"/>
  <c r="D32" i="3"/>
  <c r="E32" i="3"/>
  <c r="F32" i="3"/>
  <c r="G32" i="3"/>
  <c r="H32" i="3"/>
  <c r="C22" i="3"/>
  <c r="D22" i="3"/>
  <c r="E22" i="3"/>
  <c r="F22" i="3"/>
  <c r="G22" i="3"/>
  <c r="H22" i="3"/>
  <c r="C14" i="3"/>
  <c r="C38" i="3" s="1"/>
  <c r="D14" i="3"/>
  <c r="E14" i="3"/>
  <c r="E38" i="3" s="1"/>
  <c r="F14" i="3"/>
  <c r="F38" i="3" s="1"/>
  <c r="G14" i="3"/>
  <c r="G38" i="3" s="1"/>
  <c r="H14" i="3"/>
  <c r="H38" i="3" s="1"/>
  <c r="G10" i="2"/>
  <c r="G15" i="2" s="1"/>
  <c r="H10" i="2"/>
  <c r="H15" i="2" s="1"/>
  <c r="C32" i="1"/>
  <c r="D32" i="1"/>
  <c r="E32" i="1"/>
  <c r="F32" i="1"/>
  <c r="G32" i="1"/>
  <c r="H32" i="1"/>
  <c r="C27" i="1"/>
  <c r="D27" i="1"/>
  <c r="E27" i="1"/>
  <c r="F27" i="1"/>
  <c r="G27" i="1"/>
  <c r="H27" i="1"/>
  <c r="B27" i="1"/>
  <c r="B48" i="1" s="1"/>
  <c r="C42" i="1"/>
  <c r="D42" i="1"/>
  <c r="E42" i="1"/>
  <c r="F42" i="1"/>
  <c r="G42" i="1"/>
  <c r="H42" i="1"/>
  <c r="B8" i="4"/>
  <c r="G7" i="1"/>
  <c r="H7" i="1"/>
  <c r="C13" i="1"/>
  <c r="C9" i="4" s="1"/>
  <c r="D13" i="1"/>
  <c r="D9" i="4" s="1"/>
  <c r="E13" i="1"/>
  <c r="E9" i="4" s="1"/>
  <c r="F13" i="1"/>
  <c r="F9" i="4" s="1"/>
  <c r="G13" i="1"/>
  <c r="G9" i="4" s="1"/>
  <c r="H13" i="1"/>
  <c r="H9" i="4" s="1"/>
  <c r="C7" i="1"/>
  <c r="C23" i="1" s="1"/>
  <c r="D7" i="1"/>
  <c r="E7" i="1"/>
  <c r="F7" i="1"/>
  <c r="F23" i="1" s="1"/>
  <c r="C8" i="4" l="1"/>
  <c r="C48" i="1"/>
  <c r="H48" i="1"/>
  <c r="F8" i="4"/>
  <c r="F48" i="1"/>
  <c r="G48" i="1"/>
  <c r="E8" i="4"/>
  <c r="E48" i="1"/>
  <c r="D8" i="4"/>
  <c r="D48" i="1"/>
  <c r="C33" i="3"/>
  <c r="C35" i="3" s="1"/>
  <c r="D33" i="3"/>
  <c r="D35" i="3" s="1"/>
  <c r="F33" i="3"/>
  <c r="F35" i="3" s="1"/>
  <c r="E33" i="3"/>
  <c r="E35" i="3" s="1"/>
  <c r="E23" i="1"/>
  <c r="D23" i="1"/>
  <c r="H20" i="2"/>
  <c r="H22" i="2" s="1"/>
  <c r="H27" i="2" s="1"/>
  <c r="H10" i="4" s="1"/>
  <c r="H11" i="4"/>
  <c r="G20" i="2"/>
  <c r="G22" i="2" s="1"/>
  <c r="G27" i="2" s="1"/>
  <c r="G10" i="4" s="1"/>
  <c r="G11" i="4"/>
  <c r="E50" i="1"/>
  <c r="H50" i="1"/>
  <c r="H8" i="4"/>
  <c r="D50" i="1"/>
  <c r="G33" i="3"/>
  <c r="G35" i="3" s="1"/>
  <c r="D38" i="3"/>
  <c r="F50" i="1"/>
  <c r="G50" i="1"/>
  <c r="G8" i="4"/>
  <c r="B50" i="1"/>
  <c r="C50" i="1"/>
  <c r="H33" i="3"/>
  <c r="H35" i="3" s="1"/>
  <c r="G23" i="1"/>
  <c r="H23" i="1"/>
  <c r="F10" i="2"/>
  <c r="F15" i="2" s="1"/>
  <c r="E10" i="2"/>
  <c r="E15" i="2" s="1"/>
  <c r="D10" i="2"/>
  <c r="D15" i="2" s="1"/>
  <c r="C10" i="2"/>
  <c r="C15" i="2" s="1"/>
  <c r="B10" i="2"/>
  <c r="B15" i="2" s="1"/>
  <c r="E11" i="4" l="1"/>
  <c r="E20" i="2"/>
  <c r="E22" i="2" s="1"/>
  <c r="E27" i="2" s="1"/>
  <c r="E10" i="4" s="1"/>
  <c r="H29" i="2"/>
  <c r="H12" i="4"/>
  <c r="H6" i="4"/>
  <c r="H7" i="4"/>
  <c r="B11" i="4"/>
  <c r="B20" i="2"/>
  <c r="B22" i="2" s="1"/>
  <c r="F11" i="4"/>
  <c r="F20" i="2"/>
  <c r="F22" i="2" s="1"/>
  <c r="F27" i="2" s="1"/>
  <c r="F10" i="4" s="1"/>
  <c r="D11" i="4"/>
  <c r="D20" i="2"/>
  <c r="D22" i="2" s="1"/>
  <c r="D27" i="2" s="1"/>
  <c r="D10" i="4" s="1"/>
  <c r="C11" i="4"/>
  <c r="C20" i="2"/>
  <c r="C22" i="2" s="1"/>
  <c r="C27" i="2" s="1"/>
  <c r="C10" i="4" s="1"/>
  <c r="G29" i="2"/>
  <c r="G12" i="4"/>
  <c r="G6" i="4"/>
  <c r="G7" i="4"/>
  <c r="B32" i="3"/>
  <c r="B22" i="3"/>
  <c r="B14" i="3"/>
  <c r="B38" i="3" s="1"/>
  <c r="C12" i="4" l="1"/>
  <c r="C6" i="4"/>
  <c r="C7" i="4"/>
  <c r="C29" i="2"/>
  <c r="F12" i="4"/>
  <c r="F6" i="4"/>
  <c r="F7" i="4"/>
  <c r="F29" i="2"/>
  <c r="E7" i="4"/>
  <c r="E12" i="4"/>
  <c r="E6" i="4"/>
  <c r="E29" i="2"/>
  <c r="D12" i="4"/>
  <c r="D6" i="4"/>
  <c r="D7" i="4"/>
  <c r="D29" i="2"/>
  <c r="B27" i="2"/>
  <c r="B10" i="4" s="1"/>
  <c r="B33" i="3"/>
  <c r="B35" i="3" s="1"/>
  <c r="B6" i="4" l="1"/>
  <c r="B12" i="4"/>
  <c r="B7" i="4"/>
  <c r="B29" i="2"/>
</calcChain>
</file>

<file path=xl/sharedStrings.xml><?xml version="1.0" encoding="utf-8"?>
<sst xmlns="http://schemas.openxmlformats.org/spreadsheetml/2006/main" count="105" uniqueCount="97">
  <si>
    <t>M.I. Cement Factory Ltd.</t>
  </si>
  <si>
    <t>Property, plant &amp; equipment</t>
  </si>
  <si>
    <t>Capital work in process</t>
  </si>
  <si>
    <t>Investment in associate companies</t>
  </si>
  <si>
    <t>Investment in shares</t>
  </si>
  <si>
    <t>Inventories</t>
  </si>
  <si>
    <t>Trade receivables</t>
  </si>
  <si>
    <t>Current account with sister concerns</t>
  </si>
  <si>
    <t>Other receivables</t>
  </si>
  <si>
    <t>Advances, deposits and prepayments</t>
  </si>
  <si>
    <t>Advance income tax</t>
  </si>
  <si>
    <t>Cash and cash equivalents</t>
  </si>
  <si>
    <t>Share capital</t>
  </si>
  <si>
    <t>Share Premium</t>
  </si>
  <si>
    <t>Retained Earnings</t>
  </si>
  <si>
    <t>Revaluation Reserve</t>
  </si>
  <si>
    <t>Liabilities</t>
  </si>
  <si>
    <t>Long term borrowings ner off current maturity</t>
  </si>
  <si>
    <t>Liabilities for gratuity</t>
  </si>
  <si>
    <t>Deferred tax liability</t>
  </si>
  <si>
    <t>Current Liabilities</t>
  </si>
  <si>
    <t>Trade payable</t>
  </si>
  <si>
    <t>Other payables</t>
  </si>
  <si>
    <t>Current portion of long term borrowings</t>
  </si>
  <si>
    <t>Short term loan</t>
  </si>
  <si>
    <t>Provision for tax liabilities</t>
  </si>
  <si>
    <t>Liabilities for WPPF</t>
  </si>
  <si>
    <t>Payable to IPO applicants</t>
  </si>
  <si>
    <t>Unclaimed dividend</t>
  </si>
  <si>
    <t>Cost of Sales</t>
  </si>
  <si>
    <t>Gross Profit</t>
  </si>
  <si>
    <t>Other operating income</t>
  </si>
  <si>
    <t>Administrative Expenses</t>
  </si>
  <si>
    <t>Selling &amp; Distribution expenses</t>
  </si>
  <si>
    <t>Operating Profit</t>
  </si>
  <si>
    <t>Non-operating income</t>
  </si>
  <si>
    <t>Share of profit from associates</t>
  </si>
  <si>
    <t>Contribution to WPPF</t>
  </si>
  <si>
    <t>Current tax</t>
  </si>
  <si>
    <t>Cash received from other operating income</t>
  </si>
  <si>
    <t>Cash received from non operating income</t>
  </si>
  <si>
    <t>Cash received from term deposit and other</t>
  </si>
  <si>
    <t>Cash paid to suppliers &amp; employees</t>
  </si>
  <si>
    <t>Cash paid for operating expenses</t>
  </si>
  <si>
    <t>Income tax paid</t>
  </si>
  <si>
    <t>Acquisition of property, plant and equipment</t>
  </si>
  <si>
    <t>Paid to associate companies</t>
  </si>
  <si>
    <t>Receipt of short term loan</t>
  </si>
  <si>
    <t>Repayment of long term loan</t>
  </si>
  <si>
    <t>Paid against financial expenses</t>
  </si>
  <si>
    <t>Paid to IPO applicants</t>
  </si>
  <si>
    <t>Increase of IPO applicants fund dur to foreign exchange fluctuation</t>
  </si>
  <si>
    <t>Dividend Paid</t>
  </si>
  <si>
    <t>Cash received from customer</t>
  </si>
  <si>
    <t>Proceed from sale of property</t>
  </si>
  <si>
    <t>Proceed from issue of share</t>
  </si>
  <si>
    <t>Financial Income/Expenses</t>
  </si>
  <si>
    <t>Increase/decrease of payment for capital work in progress</t>
  </si>
  <si>
    <t>Intangible Assets</t>
  </si>
  <si>
    <t>ROA</t>
  </si>
  <si>
    <t>ROE</t>
  </si>
  <si>
    <t>Debt to Equity</t>
  </si>
  <si>
    <t>Current Ratio</t>
  </si>
  <si>
    <t>Operating Margin</t>
  </si>
  <si>
    <t>ROIC</t>
  </si>
  <si>
    <t>Ratios</t>
  </si>
  <si>
    <t>Net Margin</t>
  </si>
  <si>
    <t>Operating Incomes/Expenses</t>
  </si>
  <si>
    <t>Non-Operating Income/(Expenses)</t>
  </si>
  <si>
    <t>Net Operating Cash Flow Per Share</t>
  </si>
  <si>
    <t>Deferred tax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</si>
  <si>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</si>
  <si>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</si>
  <si>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</si>
  <si>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</si>
  <si>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</si>
  <si>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Provision for Taxation</t>
  </si>
  <si>
    <t>Balance Sheet</t>
  </si>
  <si>
    <t>Income Statement</t>
  </si>
  <si>
    <t>Cash Flow Statement</t>
  </si>
  <si>
    <t>As at year end</t>
  </si>
  <si>
    <t>ASSETS</t>
  </si>
  <si>
    <t>NON CURRENT ASSETS</t>
  </si>
  <si>
    <t>CURRENT ASSETS</t>
  </si>
  <si>
    <t>Liabilities and Capital</t>
  </si>
  <si>
    <t>Non Current Liabilities</t>
  </si>
  <si>
    <t>Shareholders’ Equity</t>
  </si>
  <si>
    <t>Net assets value per share</t>
  </si>
  <si>
    <t>Shares to calculate NAVPS</t>
  </si>
  <si>
    <t>Net Revenues</t>
  </si>
  <si>
    <t>Profit Before contribution to WPPF</t>
  </si>
  <si>
    <t>Profit Before Taxation</t>
  </si>
  <si>
    <t>Net Profit</t>
  </si>
  <si>
    <t>Earnings per share (par value Taka 10)</t>
  </si>
  <si>
    <t>Shares to Calculate EPS</t>
  </si>
  <si>
    <t>Net Cash Flows - Operating Activities</t>
  </si>
  <si>
    <t>Shares to Calculate NOCFPS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</si>
</sst>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164" fontId="0" fillId="0" borderId="0" xfId="1" applyNumberFormat="1" applyFont="1"/>
    <xf numFmtId="2" fontId="1" fillId="0" borderId="0" xfId="0" applyNumberFormat="1" applyFont="1"/>
    <xf numFmtId="164" fontId="1" fillId="0" borderId="0" xfId="1" applyNumberFormat="1" applyFont="1"/>
    <xf numFmtId="164" fontId="1" fillId="0" borderId="0" xfId="0" applyNumberFormat="1" applyFont="1"/>
    <xf numFmtId="43" fontId="1" fillId="0" borderId="0" xfId="0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3" fontId="0" fillId="0" borderId="0" xfId="0" applyNumberFormat="1"/>
    <xf numFmtId="164" fontId="0" fillId="0" borderId="0" xfId="0" applyNumberFormat="1"/>
    <xf numFmtId="164" fontId="3" fillId="0" borderId="0" xfId="1" applyNumberFormat="1" applyFont="1"/>
    <xf numFmtId="3" fontId="0" fillId="0" borderId="0" xfId="0" applyNumberFormat="1" applyFont="1"/>
    <xf numFmtId="10" fontId="0" fillId="0" borderId="0" xfId="2" applyNumberFormat="1" applyFont="1"/>
    <xf numFmtId="2" fontId="0" fillId="0" borderId="0" xfId="0" applyNumberFormat="1"/>
    <xf numFmtId="0" fontId="1" fillId="0" borderId="5" xfId="0" applyFont="1" applyBorder="1"/>
    <xf numFmtId="0" fontId="1" fillId="0" borderId="7" xfId="0" applyFont="1" applyBorder="1"/>
    <xf numFmtId="3" fontId="1" fillId="0" borderId="0" xfId="0" applyNumberFormat="1" applyFont="1"/>
    <xf numFmtId="0" fontId="4" fillId="0" borderId="0" xfId="0" applyFont="1"/>
    <xf numFmtId="0" fontId="5" fillId="0" borderId="0" xfId="0" applyFont="1"/>
    <xf numFmtId="0" fontId="1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B51" sqref="B51:J51"/>
    </sheetView>
  </sheetViews>
  <sheetFormatPr defaultRowHeight="15" x14ac:dyDescent="0.25"/>
  <cols>
    <col min="1" max="1" width="42.7109375" bestFit="1" customWidth="1"/>
    <col min="2" max="4" width="17" bestFit="1" customWidth="1"/>
    <col min="5" max="6" width="18" bestFit="1" customWidth="1"/>
    <col min="7" max="10" width="15.28515625" bestFit="1" customWidth="1"/>
  </cols>
  <sheetData>
    <row r="1" spans="1:10" ht="18.75" x14ac:dyDescent="0.3">
      <c r="A1" s="3" t="s">
        <v>0</v>
      </c>
    </row>
    <row r="2" spans="1:10" ht="15.75" x14ac:dyDescent="0.25">
      <c r="A2" s="26" t="s">
        <v>77</v>
      </c>
    </row>
    <row r="3" spans="1:10" x14ac:dyDescent="0.25">
      <c r="A3" t="s">
        <v>80</v>
      </c>
    </row>
    <row r="5" spans="1:10" x14ac:dyDescent="0.25">
      <c r="B5" s="1">
        <v>2011</v>
      </c>
      <c r="C5" s="1">
        <v>2012</v>
      </c>
      <c r="D5" s="1">
        <v>2013</v>
      </c>
      <c r="E5" s="1">
        <v>2014</v>
      </c>
      <c r="F5" s="1">
        <v>2015</v>
      </c>
      <c r="G5" s="1">
        <v>2016</v>
      </c>
      <c r="H5" s="1">
        <v>2017</v>
      </c>
      <c r="I5" s="1">
        <v>2018</v>
      </c>
      <c r="J5" s="1">
        <v>2019</v>
      </c>
    </row>
    <row r="6" spans="1:10" x14ac:dyDescent="0.25">
      <c r="A6" s="27" t="s">
        <v>81</v>
      </c>
    </row>
    <row r="7" spans="1:10" x14ac:dyDescent="0.25">
      <c r="A7" s="25" t="s">
        <v>82</v>
      </c>
      <c r="B7" s="7">
        <f>SUM(B8:B11)</f>
        <v>2252239924</v>
      </c>
      <c r="C7" s="7">
        <f t="shared" ref="C7:F7" si="0">SUM(C8:C11)</f>
        <v>4162027270</v>
      </c>
      <c r="D7" s="7">
        <f t="shared" si="0"/>
        <v>4211043252</v>
      </c>
      <c r="E7" s="7">
        <f t="shared" si="0"/>
        <v>4075959672</v>
      </c>
      <c r="F7" s="7">
        <f t="shared" si="0"/>
        <v>4309107814</v>
      </c>
      <c r="G7" s="7">
        <f t="shared" ref="G7" si="1">SUM(G8:G11)</f>
        <v>5550615390</v>
      </c>
      <c r="H7" s="7">
        <f t="shared" ref="H7" si="2">SUM(H8:H11)</f>
        <v>7780682031</v>
      </c>
      <c r="I7" s="7">
        <f>SUM(I8:I11)</f>
        <v>8409590847</v>
      </c>
      <c r="J7" s="7">
        <f>SUM(J8:J11)</f>
        <v>8646424720</v>
      </c>
    </row>
    <row r="8" spans="1:10" x14ac:dyDescent="0.25">
      <c r="A8" t="s">
        <v>1</v>
      </c>
      <c r="B8" s="5">
        <v>1118455992</v>
      </c>
      <c r="C8" s="5">
        <v>2770455941</v>
      </c>
      <c r="D8" s="5">
        <v>4082860704</v>
      </c>
      <c r="E8" s="5">
        <v>3926836388</v>
      </c>
      <c r="F8" s="5">
        <v>4203551837</v>
      </c>
      <c r="G8" s="16">
        <v>4951214875</v>
      </c>
      <c r="H8" s="16">
        <v>4709505952</v>
      </c>
      <c r="I8" s="16">
        <v>7797130370</v>
      </c>
      <c r="J8" s="16">
        <v>8041020727</v>
      </c>
    </row>
    <row r="9" spans="1:10" x14ac:dyDescent="0.25">
      <c r="A9" t="s">
        <v>2</v>
      </c>
      <c r="B9" s="5">
        <v>1113578932</v>
      </c>
      <c r="C9" s="5">
        <v>1365071599</v>
      </c>
      <c r="D9" s="5">
        <v>92183867</v>
      </c>
      <c r="E9" s="5">
        <v>91468281</v>
      </c>
      <c r="F9" s="5">
        <v>6600233</v>
      </c>
      <c r="G9" s="16">
        <v>465481202</v>
      </c>
      <c r="H9" s="16">
        <v>2872591490</v>
      </c>
      <c r="I9" s="16">
        <v>345775536</v>
      </c>
      <c r="J9" s="16">
        <v>307153556</v>
      </c>
    </row>
    <row r="10" spans="1:10" x14ac:dyDescent="0.25">
      <c r="A10" t="s">
        <v>58</v>
      </c>
      <c r="B10" s="5"/>
      <c r="C10" s="5"/>
      <c r="D10" s="5"/>
      <c r="E10" s="5"/>
      <c r="F10" s="5"/>
      <c r="I10" s="16">
        <v>232155086</v>
      </c>
      <c r="J10" s="16">
        <v>41908080</v>
      </c>
    </row>
    <row r="11" spans="1:10" x14ac:dyDescent="0.25">
      <c r="A11" t="s">
        <v>3</v>
      </c>
      <c r="B11" s="5">
        <v>20205000</v>
      </c>
      <c r="C11" s="5">
        <v>26499730</v>
      </c>
      <c r="D11" s="5">
        <v>35998681</v>
      </c>
      <c r="E11" s="18">
        <v>57655003</v>
      </c>
      <c r="F11" s="18">
        <v>98955744</v>
      </c>
      <c r="G11" s="19">
        <v>133919313</v>
      </c>
      <c r="H11" s="19">
        <v>198584589</v>
      </c>
      <c r="I11" s="19">
        <v>34529855</v>
      </c>
      <c r="J11" s="16">
        <v>256342357</v>
      </c>
    </row>
    <row r="13" spans="1:10" x14ac:dyDescent="0.25">
      <c r="A13" s="25" t="s">
        <v>83</v>
      </c>
      <c r="B13" s="7">
        <f>SUM(B14:B21)</f>
        <v>4752218577</v>
      </c>
      <c r="C13" s="7">
        <f t="shared" ref="C13:I13" si="3">SUM(C14:C21)</f>
        <v>5759451243</v>
      </c>
      <c r="D13" s="7">
        <f t="shared" si="3"/>
        <v>5572352659</v>
      </c>
      <c r="E13" s="7">
        <f t="shared" si="3"/>
        <v>7271045789</v>
      </c>
      <c r="F13" s="7">
        <f t="shared" si="3"/>
        <v>7754595170</v>
      </c>
      <c r="G13" s="1">
        <f t="shared" si="3"/>
        <v>8609003487</v>
      </c>
      <c r="H13" s="1">
        <f t="shared" si="3"/>
        <v>10138764676</v>
      </c>
      <c r="I13" s="1">
        <f t="shared" si="3"/>
        <v>11304321268</v>
      </c>
      <c r="J13" s="24">
        <f>SUM(J14:J21)</f>
        <v>10624328544</v>
      </c>
    </row>
    <row r="14" spans="1:10" x14ac:dyDescent="0.25">
      <c r="A14" t="s">
        <v>4</v>
      </c>
      <c r="B14" s="5"/>
      <c r="C14" s="5">
        <v>93494348</v>
      </c>
      <c r="D14" s="5">
        <v>91830612</v>
      </c>
      <c r="E14" s="5">
        <v>119992366</v>
      </c>
      <c r="F14" s="5">
        <v>126227071</v>
      </c>
      <c r="G14" s="16">
        <v>130919903</v>
      </c>
      <c r="H14" s="16">
        <v>379375055</v>
      </c>
      <c r="I14" s="16">
        <v>56337091</v>
      </c>
      <c r="J14" s="16">
        <v>54941236</v>
      </c>
    </row>
    <row r="15" spans="1:10" x14ac:dyDescent="0.25">
      <c r="A15" t="s">
        <v>5</v>
      </c>
      <c r="B15" s="5">
        <v>587645695</v>
      </c>
      <c r="C15" s="5">
        <v>442126977</v>
      </c>
      <c r="D15" s="5">
        <v>432775981</v>
      </c>
      <c r="E15" s="5">
        <v>626525720</v>
      </c>
      <c r="F15" s="5">
        <v>722240942</v>
      </c>
      <c r="G15" s="16">
        <v>797868489</v>
      </c>
      <c r="H15" s="16">
        <v>980360894</v>
      </c>
      <c r="I15" s="16">
        <v>1052792176</v>
      </c>
      <c r="J15" s="16">
        <v>1297877700</v>
      </c>
    </row>
    <row r="16" spans="1:10" x14ac:dyDescent="0.25">
      <c r="A16" t="s">
        <v>6</v>
      </c>
      <c r="B16" s="5">
        <v>343047480</v>
      </c>
      <c r="C16" s="5">
        <v>753851554</v>
      </c>
      <c r="D16" s="5">
        <v>667643514</v>
      </c>
      <c r="E16" s="5">
        <v>1169445807</v>
      </c>
      <c r="F16" s="5">
        <v>1169678553</v>
      </c>
      <c r="G16" s="16">
        <v>1065262109</v>
      </c>
      <c r="H16" s="16">
        <v>1610719068</v>
      </c>
      <c r="I16" s="16">
        <v>2395121071</v>
      </c>
      <c r="J16" s="16">
        <v>3402639887</v>
      </c>
    </row>
    <row r="17" spans="1:10" x14ac:dyDescent="0.25">
      <c r="A17" t="s">
        <v>7</v>
      </c>
      <c r="B17" s="5">
        <v>356162941</v>
      </c>
      <c r="C17" s="5">
        <v>513012411</v>
      </c>
      <c r="D17" s="5">
        <v>689651863</v>
      </c>
      <c r="E17" s="5">
        <v>889818785</v>
      </c>
      <c r="F17" s="5">
        <v>913117394</v>
      </c>
      <c r="G17" s="16">
        <v>969556496</v>
      </c>
      <c r="H17" s="16">
        <v>916032230</v>
      </c>
      <c r="I17" s="16">
        <v>467229310</v>
      </c>
      <c r="J17" s="16">
        <v>284715391</v>
      </c>
    </row>
    <row r="18" spans="1:10" x14ac:dyDescent="0.25">
      <c r="A18" t="s">
        <v>8</v>
      </c>
      <c r="B18" s="5">
        <v>303651</v>
      </c>
      <c r="C18" s="5">
        <v>61234099</v>
      </c>
      <c r="D18" s="5">
        <v>109357300</v>
      </c>
      <c r="E18" s="5">
        <v>57331527</v>
      </c>
      <c r="F18" s="5">
        <v>53961432</v>
      </c>
      <c r="G18" s="16">
        <v>75030322</v>
      </c>
      <c r="H18" s="16">
        <v>190901018</v>
      </c>
      <c r="I18" s="16">
        <v>271239082</v>
      </c>
      <c r="J18" s="16">
        <v>196367859</v>
      </c>
    </row>
    <row r="19" spans="1:10" x14ac:dyDescent="0.25">
      <c r="A19" t="s">
        <v>9</v>
      </c>
      <c r="B19" s="5">
        <v>273873313</v>
      </c>
      <c r="C19" s="5">
        <v>275326903</v>
      </c>
      <c r="D19" s="5">
        <v>231078396</v>
      </c>
      <c r="E19" s="5">
        <v>345964790</v>
      </c>
      <c r="F19" s="5">
        <v>367850046</v>
      </c>
      <c r="G19" s="16">
        <v>730491856</v>
      </c>
      <c r="H19" s="16">
        <v>712669413</v>
      </c>
      <c r="I19" s="16">
        <v>665814170</v>
      </c>
      <c r="J19" s="16">
        <v>436521766</v>
      </c>
    </row>
    <row r="20" spans="1:10" x14ac:dyDescent="0.25">
      <c r="A20" t="s">
        <v>10</v>
      </c>
      <c r="B20" s="5">
        <v>323817217</v>
      </c>
      <c r="C20" s="5">
        <v>717452042</v>
      </c>
      <c r="D20" s="5">
        <v>494888145</v>
      </c>
      <c r="E20" s="5">
        <v>823978904</v>
      </c>
      <c r="F20" s="5">
        <v>899103460</v>
      </c>
      <c r="G20" s="16">
        <v>1156538198</v>
      </c>
      <c r="H20" s="16">
        <v>1492092598</v>
      </c>
      <c r="I20" s="16">
        <v>2082343006</v>
      </c>
      <c r="J20" s="16">
        <v>2750180449</v>
      </c>
    </row>
    <row r="21" spans="1:10" x14ac:dyDescent="0.25">
      <c r="A21" t="s">
        <v>11</v>
      </c>
      <c r="B21" s="5">
        <v>2867368280</v>
      </c>
      <c r="C21" s="5">
        <v>2902952909</v>
      </c>
      <c r="D21" s="5">
        <v>2855126848</v>
      </c>
      <c r="E21" s="5">
        <v>3237987890</v>
      </c>
      <c r="F21" s="5">
        <v>3502416272</v>
      </c>
      <c r="G21" s="16">
        <v>3683336114</v>
      </c>
      <c r="H21" s="16">
        <v>3856614400</v>
      </c>
      <c r="I21" s="16">
        <v>4313445362</v>
      </c>
      <c r="J21" s="16">
        <v>2201084256</v>
      </c>
    </row>
    <row r="22" spans="1:10" x14ac:dyDescent="0.25">
      <c r="B22" s="5"/>
      <c r="C22" s="5"/>
      <c r="D22" s="5"/>
      <c r="E22" s="5"/>
      <c r="F22" s="5"/>
      <c r="G22" s="16"/>
      <c r="H22" s="16"/>
      <c r="I22" s="16"/>
    </row>
    <row r="23" spans="1:10" x14ac:dyDescent="0.25">
      <c r="A23" s="1"/>
      <c r="B23" s="8">
        <f>B7+B13</f>
        <v>7004458501</v>
      </c>
      <c r="C23" s="8">
        <f t="shared" ref="C23:J23" si="4">C7+C13</f>
        <v>9921478513</v>
      </c>
      <c r="D23" s="8">
        <f t="shared" si="4"/>
        <v>9783395911</v>
      </c>
      <c r="E23" s="8">
        <f t="shared" si="4"/>
        <v>11347005461</v>
      </c>
      <c r="F23" s="8">
        <f t="shared" si="4"/>
        <v>12063702984</v>
      </c>
      <c r="G23" s="8">
        <f t="shared" si="4"/>
        <v>14159618877</v>
      </c>
      <c r="H23" s="8">
        <f t="shared" si="4"/>
        <v>17919446707</v>
      </c>
      <c r="I23" s="8">
        <f t="shared" si="4"/>
        <v>19713912115</v>
      </c>
      <c r="J23" s="8">
        <f t="shared" si="4"/>
        <v>19270753264</v>
      </c>
    </row>
    <row r="25" spans="1:10" ht="15.75" x14ac:dyDescent="0.25">
      <c r="A25" s="28" t="s">
        <v>84</v>
      </c>
    </row>
    <row r="26" spans="1:10" ht="15.75" x14ac:dyDescent="0.25">
      <c r="A26" s="29" t="s">
        <v>16</v>
      </c>
    </row>
    <row r="27" spans="1:10" x14ac:dyDescent="0.25">
      <c r="A27" s="25" t="s">
        <v>85</v>
      </c>
      <c r="B27" s="7">
        <f>SUM(B28:B30)</f>
        <v>606787522</v>
      </c>
      <c r="C27" s="7">
        <f t="shared" ref="C27:J27" si="5">SUM(C28:C30)</f>
        <v>1969172516</v>
      </c>
      <c r="D27" s="7">
        <f t="shared" si="5"/>
        <v>1693689300</v>
      </c>
      <c r="E27" s="7">
        <f t="shared" si="5"/>
        <v>1278308375</v>
      </c>
      <c r="F27" s="7">
        <f t="shared" si="5"/>
        <v>838392425</v>
      </c>
      <c r="G27" s="7">
        <f t="shared" si="5"/>
        <v>713546019</v>
      </c>
      <c r="H27" s="7">
        <f t="shared" si="5"/>
        <v>2448880657</v>
      </c>
      <c r="I27" s="7">
        <f t="shared" si="5"/>
        <v>2759999811</v>
      </c>
      <c r="J27" s="7">
        <f t="shared" si="5"/>
        <v>2442640581</v>
      </c>
    </row>
    <row r="28" spans="1:10" x14ac:dyDescent="0.25">
      <c r="A28" t="s">
        <v>17</v>
      </c>
      <c r="B28" s="5">
        <v>513434222</v>
      </c>
      <c r="C28" s="5">
        <v>1811139113</v>
      </c>
      <c r="D28" s="5">
        <v>1451551878</v>
      </c>
      <c r="E28" s="5">
        <v>946349388</v>
      </c>
      <c r="F28" s="5">
        <v>426932519</v>
      </c>
      <c r="G28" s="5">
        <v>129371414</v>
      </c>
      <c r="H28" s="5">
        <v>1829140112</v>
      </c>
      <c r="I28" s="16">
        <v>2015861668</v>
      </c>
      <c r="J28" s="16">
        <v>1575330192</v>
      </c>
    </row>
    <row r="29" spans="1:10" x14ac:dyDescent="0.25">
      <c r="A29" t="s">
        <v>18</v>
      </c>
      <c r="B29" s="5">
        <v>37934111</v>
      </c>
      <c r="C29" s="5">
        <v>9907118</v>
      </c>
      <c r="D29" s="5">
        <v>13831163</v>
      </c>
      <c r="E29" s="5">
        <v>44132448</v>
      </c>
      <c r="F29" s="5">
        <v>59989628</v>
      </c>
      <c r="G29" s="5">
        <v>80286677</v>
      </c>
      <c r="H29" s="5">
        <v>92279541</v>
      </c>
      <c r="I29" s="16">
        <v>131243324</v>
      </c>
      <c r="J29" s="16">
        <v>162593244</v>
      </c>
    </row>
    <row r="30" spans="1:10" x14ac:dyDescent="0.25">
      <c r="A30" t="s">
        <v>19</v>
      </c>
      <c r="B30" s="5">
        <v>55419189</v>
      </c>
      <c r="C30" s="5">
        <v>148126285</v>
      </c>
      <c r="D30" s="5">
        <v>228306259</v>
      </c>
      <c r="E30" s="5">
        <v>287826539</v>
      </c>
      <c r="F30" s="5">
        <v>351470278</v>
      </c>
      <c r="G30" s="5">
        <v>503887928</v>
      </c>
      <c r="H30" s="5">
        <v>527461004</v>
      </c>
      <c r="I30" s="16">
        <v>612894819</v>
      </c>
      <c r="J30" s="16">
        <v>704717145</v>
      </c>
    </row>
    <row r="32" spans="1:10" x14ac:dyDescent="0.25">
      <c r="A32" s="25" t="s">
        <v>20</v>
      </c>
      <c r="B32" s="7">
        <f>SUM(B33:B40)</f>
        <v>1369177276</v>
      </c>
      <c r="C32" s="7">
        <f t="shared" ref="C32:J32" si="6">SUM(C33:C40)</f>
        <v>2551429759</v>
      </c>
      <c r="D32" s="7">
        <f t="shared" si="6"/>
        <v>2495306257</v>
      </c>
      <c r="E32" s="7">
        <f t="shared" si="6"/>
        <v>4393286080</v>
      </c>
      <c r="F32" s="7">
        <f t="shared" si="6"/>
        <v>5345980911</v>
      </c>
      <c r="G32" s="7">
        <f t="shared" si="6"/>
        <v>6721249003</v>
      </c>
      <c r="H32" s="7">
        <f t="shared" si="6"/>
        <v>8372771301</v>
      </c>
      <c r="I32" s="7">
        <f t="shared" si="6"/>
        <v>9829557849</v>
      </c>
      <c r="J32" s="7">
        <f t="shared" si="6"/>
        <v>9667634975</v>
      </c>
    </row>
    <row r="33" spans="1:10" x14ac:dyDescent="0.25">
      <c r="A33" t="s">
        <v>21</v>
      </c>
      <c r="B33" s="5">
        <v>110537447</v>
      </c>
      <c r="C33" s="5">
        <v>148526299</v>
      </c>
      <c r="D33" s="5">
        <v>136889183</v>
      </c>
      <c r="E33" s="5">
        <v>107983409</v>
      </c>
      <c r="F33" s="5">
        <v>126122045</v>
      </c>
      <c r="G33" s="5">
        <v>349900640</v>
      </c>
      <c r="H33" s="5">
        <v>234043729</v>
      </c>
      <c r="I33" s="16">
        <v>193298498</v>
      </c>
      <c r="J33" s="16">
        <v>159397470</v>
      </c>
    </row>
    <row r="34" spans="1:10" x14ac:dyDescent="0.25">
      <c r="A34" t="s">
        <v>22</v>
      </c>
      <c r="B34" s="5">
        <v>38518143</v>
      </c>
      <c r="C34" s="5">
        <v>47471216</v>
      </c>
      <c r="D34" s="5">
        <v>65020563</v>
      </c>
      <c r="E34" s="5">
        <v>134994953</v>
      </c>
      <c r="F34" s="5">
        <v>150168865</v>
      </c>
      <c r="G34" s="5">
        <v>270338013</v>
      </c>
      <c r="H34" s="5">
        <v>255251109</v>
      </c>
      <c r="I34" s="16">
        <v>239027243</v>
      </c>
      <c r="J34" s="16">
        <v>318969528</v>
      </c>
    </row>
    <row r="35" spans="1:10" x14ac:dyDescent="0.25">
      <c r="A35" t="s">
        <v>23</v>
      </c>
      <c r="B35" s="5">
        <v>26076000</v>
      </c>
      <c r="C35" s="5">
        <v>288076000</v>
      </c>
      <c r="D35" s="5">
        <v>500039618</v>
      </c>
      <c r="E35" s="5">
        <v>543787000</v>
      </c>
      <c r="F35" s="5">
        <v>558232249</v>
      </c>
      <c r="G35" s="5">
        <v>483395584</v>
      </c>
      <c r="H35" s="5">
        <v>259050872</v>
      </c>
      <c r="I35" s="16">
        <v>729555651</v>
      </c>
      <c r="J35" s="16">
        <v>740527887</v>
      </c>
    </row>
    <row r="36" spans="1:10" x14ac:dyDescent="0.25">
      <c r="A36" t="s">
        <v>24</v>
      </c>
      <c r="B36" s="5">
        <v>607876193</v>
      </c>
      <c r="C36" s="5">
        <v>1351027065</v>
      </c>
      <c r="D36" s="5">
        <v>1486345228</v>
      </c>
      <c r="E36" s="5">
        <v>3143054994</v>
      </c>
      <c r="F36" s="5">
        <v>4142616763</v>
      </c>
      <c r="G36" s="5">
        <v>5064048878</v>
      </c>
      <c r="H36" s="5">
        <v>6909413890</v>
      </c>
      <c r="I36" s="16">
        <v>7972543254</v>
      </c>
      <c r="J36" s="16">
        <v>7668048872</v>
      </c>
    </row>
    <row r="37" spans="1:10" x14ac:dyDescent="0.25">
      <c r="A37" t="s">
        <v>25</v>
      </c>
      <c r="B37" s="5">
        <v>554641163</v>
      </c>
      <c r="C37" s="5">
        <f>663483837-1999999</f>
        <v>661483838</v>
      </c>
      <c r="D37" s="5">
        <f>240504893-2001</f>
        <v>240502892</v>
      </c>
      <c r="E37" s="5">
        <v>395049741</v>
      </c>
      <c r="F37" s="5">
        <f>292394421+2000002</f>
        <v>294394423</v>
      </c>
      <c r="G37" s="5">
        <v>469928794</v>
      </c>
      <c r="H37" s="5">
        <v>636268528</v>
      </c>
      <c r="I37" s="16">
        <v>637499865</v>
      </c>
      <c r="J37" s="16">
        <v>722216731</v>
      </c>
    </row>
    <row r="38" spans="1:10" x14ac:dyDescent="0.25">
      <c r="A38" t="s">
        <v>26</v>
      </c>
      <c r="B38" s="5"/>
      <c r="C38" s="5">
        <v>37173812</v>
      </c>
      <c r="D38" s="5">
        <v>44054330</v>
      </c>
      <c r="E38" s="5">
        <v>44453789</v>
      </c>
      <c r="F38" s="5">
        <v>42811780</v>
      </c>
      <c r="G38" s="5">
        <v>49000462</v>
      </c>
      <c r="H38" s="5">
        <v>42994185</v>
      </c>
      <c r="I38" s="16">
        <v>20511243</v>
      </c>
      <c r="J38" s="16">
        <v>20561259</v>
      </c>
    </row>
    <row r="39" spans="1:10" x14ac:dyDescent="0.25">
      <c r="A39" t="s">
        <v>27</v>
      </c>
      <c r="B39" s="5">
        <v>31528330</v>
      </c>
      <c r="C39" s="5">
        <v>13310798</v>
      </c>
      <c r="D39" s="5">
        <v>12866055</v>
      </c>
      <c r="E39" s="5">
        <v>12720975</v>
      </c>
      <c r="F39" s="5">
        <v>12840221</v>
      </c>
      <c r="G39" s="5">
        <v>12833356</v>
      </c>
      <c r="H39" s="5">
        <v>12772304</v>
      </c>
      <c r="I39" s="16">
        <v>12834431</v>
      </c>
      <c r="J39" s="16">
        <v>12844691</v>
      </c>
    </row>
    <row r="40" spans="1:10" x14ac:dyDescent="0.25">
      <c r="A40" t="s">
        <v>28</v>
      </c>
      <c r="B40" s="5"/>
      <c r="C40" s="5">
        <v>4360731</v>
      </c>
      <c r="D40" s="5">
        <v>9588388</v>
      </c>
      <c r="E40" s="5">
        <v>11241219</v>
      </c>
      <c r="F40" s="5">
        <v>18794565</v>
      </c>
      <c r="G40" s="5">
        <v>21803276</v>
      </c>
      <c r="H40" s="5">
        <v>22976684</v>
      </c>
      <c r="I40" s="16">
        <v>24287664</v>
      </c>
      <c r="J40" s="16">
        <v>25068537</v>
      </c>
    </row>
    <row r="41" spans="1:10" x14ac:dyDescent="0.25">
      <c r="B41" s="5"/>
      <c r="C41" s="5"/>
      <c r="D41" s="5"/>
      <c r="E41" s="5"/>
      <c r="F41" s="5"/>
      <c r="G41" s="5"/>
      <c r="H41" s="5"/>
      <c r="I41" s="16"/>
      <c r="J41" s="16"/>
    </row>
    <row r="42" spans="1:10" x14ac:dyDescent="0.25">
      <c r="A42" s="25" t="s">
        <v>86</v>
      </c>
      <c r="B42" s="7">
        <f>SUM(B43:B46)</f>
        <v>5028493703</v>
      </c>
      <c r="C42" s="7">
        <f t="shared" ref="C42:J42" si="7">SUM(C43:C46)</f>
        <v>5400876238</v>
      </c>
      <c r="D42" s="7">
        <f t="shared" si="7"/>
        <v>5594400354</v>
      </c>
      <c r="E42" s="7">
        <f t="shared" si="7"/>
        <v>5675411006</v>
      </c>
      <c r="F42" s="7">
        <f t="shared" si="7"/>
        <v>5879329648</v>
      </c>
      <c r="G42" s="7">
        <f t="shared" si="7"/>
        <v>6724823855</v>
      </c>
      <c r="H42" s="7">
        <f t="shared" si="7"/>
        <v>7097794749</v>
      </c>
      <c r="I42" s="7">
        <f t="shared" si="7"/>
        <v>7124354455</v>
      </c>
      <c r="J42" s="7">
        <f t="shared" si="7"/>
        <v>7160477708</v>
      </c>
    </row>
    <row r="43" spans="1:10" x14ac:dyDescent="0.25">
      <c r="A43" t="s">
        <v>12</v>
      </c>
      <c r="B43" s="5">
        <v>1000000000</v>
      </c>
      <c r="C43" s="5">
        <v>1350000000</v>
      </c>
      <c r="D43" s="5">
        <v>1485000000</v>
      </c>
      <c r="E43" s="5">
        <v>1485000000</v>
      </c>
      <c r="F43" s="5">
        <v>1485000000</v>
      </c>
      <c r="G43" s="5">
        <v>1485000000</v>
      </c>
      <c r="H43" s="5">
        <v>1485000000</v>
      </c>
      <c r="I43" s="5">
        <v>1485000000</v>
      </c>
      <c r="J43" s="5">
        <v>1485000000</v>
      </c>
    </row>
    <row r="44" spans="1:10" x14ac:dyDescent="0.25">
      <c r="A44" t="s">
        <v>13</v>
      </c>
      <c r="B44" s="5">
        <v>2956560000</v>
      </c>
      <c r="C44" s="5">
        <v>2956560000</v>
      </c>
      <c r="D44" s="5">
        <v>2956560000</v>
      </c>
      <c r="E44" s="5">
        <v>2956560000</v>
      </c>
      <c r="F44" s="5">
        <v>2956560000</v>
      </c>
      <c r="G44" s="5">
        <v>2956560000</v>
      </c>
      <c r="H44" s="5">
        <v>2956560000</v>
      </c>
      <c r="I44" s="5">
        <v>2956560000</v>
      </c>
      <c r="J44" s="5">
        <v>2956560000</v>
      </c>
    </row>
    <row r="45" spans="1:10" x14ac:dyDescent="0.25">
      <c r="A45" t="s">
        <v>14</v>
      </c>
      <c r="B45" s="5">
        <v>803370870</v>
      </c>
      <c r="C45" s="5">
        <v>871919154</v>
      </c>
      <c r="D45" s="5">
        <v>932436118</v>
      </c>
      <c r="E45" s="5">
        <v>1015341470</v>
      </c>
      <c r="F45" s="5">
        <v>1221082558</v>
      </c>
      <c r="G45" s="5">
        <v>1596350972</v>
      </c>
      <c r="H45" s="5">
        <v>1996018828</v>
      </c>
      <c r="I45" s="16">
        <v>2047144674</v>
      </c>
      <c r="J45" s="16">
        <v>2106437216</v>
      </c>
    </row>
    <row r="46" spans="1:10" x14ac:dyDescent="0.25">
      <c r="A46" t="s">
        <v>15</v>
      </c>
      <c r="B46" s="5">
        <v>268562833</v>
      </c>
      <c r="C46" s="5">
        <v>222397084</v>
      </c>
      <c r="D46" s="5">
        <v>220404236</v>
      </c>
      <c r="E46" s="5">
        <v>218509536</v>
      </c>
      <c r="F46" s="5">
        <v>216687090</v>
      </c>
      <c r="G46" s="5">
        <v>686912883</v>
      </c>
      <c r="H46" s="5">
        <v>660215921</v>
      </c>
      <c r="I46" s="16">
        <v>635649781</v>
      </c>
      <c r="J46" s="16">
        <v>612480492</v>
      </c>
    </row>
    <row r="47" spans="1:10" x14ac:dyDescent="0.25">
      <c r="B47" s="5"/>
      <c r="C47" s="5"/>
      <c r="D47" s="5"/>
      <c r="E47" s="5"/>
      <c r="F47" s="5"/>
      <c r="G47" s="5"/>
      <c r="H47" s="5"/>
      <c r="I47" s="16"/>
    </row>
    <row r="48" spans="1:10" x14ac:dyDescent="0.25">
      <c r="A48" s="1"/>
      <c r="B48" s="7">
        <f>B42+B32+B27</f>
        <v>7004458501</v>
      </c>
      <c r="C48" s="7">
        <f t="shared" ref="C48:J48" si="8">C42+C32+C27</f>
        <v>9921478513</v>
      </c>
      <c r="D48" s="7">
        <f t="shared" si="8"/>
        <v>9783395911</v>
      </c>
      <c r="E48" s="7">
        <f t="shared" si="8"/>
        <v>11347005461</v>
      </c>
      <c r="F48" s="7">
        <f t="shared" si="8"/>
        <v>12063702984</v>
      </c>
      <c r="G48" s="7">
        <f t="shared" si="8"/>
        <v>14159618877</v>
      </c>
      <c r="H48" s="7">
        <f t="shared" si="8"/>
        <v>17919446707</v>
      </c>
      <c r="I48" s="7">
        <f t="shared" si="8"/>
        <v>19713912115</v>
      </c>
      <c r="J48" s="7">
        <f t="shared" si="8"/>
        <v>19270753264</v>
      </c>
    </row>
    <row r="50" spans="1:10" x14ac:dyDescent="0.25">
      <c r="A50" s="22" t="s">
        <v>87</v>
      </c>
      <c r="B50" s="9">
        <f t="shared" ref="B50:J50" si="9">B42/(B43/10)</f>
        <v>50.284937030000002</v>
      </c>
      <c r="C50" s="9">
        <f t="shared" si="9"/>
        <v>40.006490651851848</v>
      </c>
      <c r="D50" s="9">
        <f t="shared" si="9"/>
        <v>37.672729656565657</v>
      </c>
      <c r="E50" s="9">
        <f t="shared" si="9"/>
        <v>38.218255932659936</v>
      </c>
      <c r="F50" s="9">
        <f t="shared" si="9"/>
        <v>39.59144544107744</v>
      </c>
      <c r="G50" s="9">
        <f t="shared" si="9"/>
        <v>45.285009124579126</v>
      </c>
      <c r="H50" s="9">
        <f t="shared" si="9"/>
        <v>47.796597636363636</v>
      </c>
      <c r="I50" s="9">
        <f t="shared" si="9"/>
        <v>47.975450875420876</v>
      </c>
      <c r="J50" s="9">
        <f t="shared" si="9"/>
        <v>48.218705104377108</v>
      </c>
    </row>
    <row r="51" spans="1:10" x14ac:dyDescent="0.25">
      <c r="A51" s="22" t="s">
        <v>88</v>
      </c>
      <c r="B51" s="17">
        <f>B43/10</f>
        <v>100000000</v>
      </c>
      <c r="C51" s="17">
        <f t="shared" ref="C51:J51" si="10">C43/10</f>
        <v>135000000</v>
      </c>
      <c r="D51" s="17">
        <f t="shared" si="10"/>
        <v>148500000</v>
      </c>
      <c r="E51" s="17">
        <f t="shared" si="10"/>
        <v>148500000</v>
      </c>
      <c r="F51" s="17">
        <f t="shared" si="10"/>
        <v>148500000</v>
      </c>
      <c r="G51" s="17">
        <f t="shared" si="10"/>
        <v>148500000</v>
      </c>
      <c r="H51" s="17">
        <f t="shared" si="10"/>
        <v>148500000</v>
      </c>
      <c r="I51" s="17">
        <f t="shared" si="10"/>
        <v>148500000</v>
      </c>
      <c r="J51" s="17">
        <f t="shared" si="10"/>
        <v>148500000</v>
      </c>
    </row>
    <row r="53" spans="1:10" x14ac:dyDescent="0.25">
      <c r="B53" s="17"/>
      <c r="C53" s="17"/>
      <c r="D53" s="17"/>
      <c r="E53" s="17"/>
      <c r="F53" s="17"/>
      <c r="G53" s="17"/>
      <c r="H53" s="17"/>
      <c r="I53" s="17"/>
      <c r="J53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pane xSplit="1" ySplit="7" topLeftCell="B26" activePane="bottomRight" state="frozen"/>
      <selection pane="topRight" activeCell="B1" sqref="B1"/>
      <selection pane="bottomLeft" activeCell="A6" sqref="A6"/>
      <selection pane="bottomRight" activeCell="B30" sqref="B30:J30"/>
    </sheetView>
  </sheetViews>
  <sheetFormatPr defaultRowHeight="15" x14ac:dyDescent="0.25"/>
  <cols>
    <col min="1" max="1" width="29.7109375" bestFit="1" customWidth="1"/>
    <col min="2" max="6" width="16.85546875" bestFit="1" customWidth="1"/>
    <col min="7" max="8" width="14.28515625" bestFit="1" customWidth="1"/>
    <col min="9" max="10" width="15.28515625" bestFit="1" customWidth="1"/>
  </cols>
  <sheetData>
    <row r="1" spans="1:10" ht="18.75" x14ac:dyDescent="0.3">
      <c r="A1" s="3" t="s">
        <v>0</v>
      </c>
    </row>
    <row r="2" spans="1:10" ht="15.75" x14ac:dyDescent="0.25">
      <c r="A2" s="26" t="s">
        <v>78</v>
      </c>
    </row>
    <row r="3" spans="1:10" x14ac:dyDescent="0.25">
      <c r="A3" t="s">
        <v>80</v>
      </c>
    </row>
    <row r="7" spans="1:10" x14ac:dyDescent="0.25">
      <c r="B7" s="1">
        <v>2011</v>
      </c>
      <c r="C7" s="1">
        <v>2012</v>
      </c>
      <c r="D7" s="1">
        <v>2013</v>
      </c>
      <c r="E7" s="1">
        <v>2014</v>
      </c>
      <c r="F7" s="1">
        <v>2015</v>
      </c>
      <c r="G7" s="1">
        <v>2016</v>
      </c>
      <c r="H7" s="1">
        <v>2017</v>
      </c>
      <c r="I7" s="1">
        <v>2018</v>
      </c>
      <c r="J7" s="1">
        <v>2019</v>
      </c>
    </row>
    <row r="8" spans="1:10" x14ac:dyDescent="0.25">
      <c r="A8" s="22" t="s">
        <v>89</v>
      </c>
      <c r="B8" s="5">
        <v>4022271063</v>
      </c>
      <c r="C8" s="5">
        <v>5657601485</v>
      </c>
      <c r="D8" s="5">
        <v>6829697132</v>
      </c>
      <c r="E8" s="5">
        <v>7990642611</v>
      </c>
      <c r="F8" s="5">
        <v>8264240985</v>
      </c>
      <c r="G8" s="5">
        <v>9016548629</v>
      </c>
      <c r="H8" s="5">
        <v>9439820021</v>
      </c>
      <c r="I8" s="16">
        <v>12559311599</v>
      </c>
      <c r="J8" s="16">
        <v>14628432591</v>
      </c>
    </row>
    <row r="9" spans="1:10" x14ac:dyDescent="0.25">
      <c r="A9" t="s">
        <v>29</v>
      </c>
      <c r="B9" s="5">
        <v>3254014308</v>
      </c>
      <c r="C9" s="5">
        <v>4911277867</v>
      </c>
      <c r="D9" s="5">
        <v>5681661641</v>
      </c>
      <c r="E9" s="5">
        <v>6731727411</v>
      </c>
      <c r="F9" s="5">
        <v>6850549283</v>
      </c>
      <c r="G9" s="5">
        <v>7357193511</v>
      </c>
      <c r="H9" s="5">
        <v>7829382292</v>
      </c>
      <c r="I9" s="16">
        <v>10915891226</v>
      </c>
      <c r="J9" s="16">
        <v>12698608615</v>
      </c>
    </row>
    <row r="10" spans="1:10" x14ac:dyDescent="0.25">
      <c r="A10" s="22" t="s">
        <v>30</v>
      </c>
      <c r="B10" s="7">
        <f>B8-B9</f>
        <v>768256755</v>
      </c>
      <c r="C10" s="7">
        <f>C8-C9</f>
        <v>746323618</v>
      </c>
      <c r="D10" s="7">
        <f>D8-D9</f>
        <v>1148035491</v>
      </c>
      <c r="E10" s="7">
        <f>E8-E9</f>
        <v>1258915200</v>
      </c>
      <c r="F10" s="7">
        <f>F8-F9</f>
        <v>1413691702</v>
      </c>
      <c r="G10" s="7">
        <f t="shared" ref="G10:J10" si="0">G8-G9</f>
        <v>1659355118</v>
      </c>
      <c r="H10" s="7">
        <f t="shared" si="0"/>
        <v>1610437729</v>
      </c>
      <c r="I10" s="7">
        <f t="shared" si="0"/>
        <v>1643420373</v>
      </c>
      <c r="J10" s="7">
        <f t="shared" si="0"/>
        <v>1929823976</v>
      </c>
    </row>
    <row r="11" spans="1:10" x14ac:dyDescent="0.25">
      <c r="A11" s="22" t="s">
        <v>67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t="s">
        <v>31</v>
      </c>
      <c r="B12" s="5">
        <v>62781523</v>
      </c>
      <c r="C12" s="5">
        <v>64193352</v>
      </c>
      <c r="D12" s="5">
        <v>-13478551</v>
      </c>
      <c r="E12" s="5">
        <v>23430000</v>
      </c>
      <c r="F12" s="5">
        <v>23460000</v>
      </c>
      <c r="G12" s="5">
        <v>40086000</v>
      </c>
      <c r="H12" s="5">
        <v>108535500</v>
      </c>
      <c r="I12" s="16">
        <v>147400000</v>
      </c>
      <c r="J12" s="16">
        <v>163507500</v>
      </c>
    </row>
    <row r="13" spans="1:10" x14ac:dyDescent="0.25">
      <c r="A13" t="s">
        <v>32</v>
      </c>
      <c r="B13" s="5">
        <v>68181658</v>
      </c>
      <c r="C13" s="5">
        <v>89366970</v>
      </c>
      <c r="D13" s="5">
        <v>112012132</v>
      </c>
      <c r="E13" s="5">
        <v>114206125</v>
      </c>
      <c r="F13" s="5">
        <v>157173325</v>
      </c>
      <c r="G13" s="5">
        <v>150300608</v>
      </c>
      <c r="H13" s="5">
        <v>209406229</v>
      </c>
      <c r="I13" s="16">
        <v>307978897</v>
      </c>
      <c r="J13" s="16">
        <v>310036744</v>
      </c>
    </row>
    <row r="14" spans="1:10" x14ac:dyDescent="0.25">
      <c r="A14" t="s">
        <v>33</v>
      </c>
      <c r="B14" s="5">
        <v>152220573</v>
      </c>
      <c r="C14" s="5">
        <v>146257762</v>
      </c>
      <c r="D14" s="5">
        <v>200077789</v>
      </c>
      <c r="E14" s="5">
        <v>231034362</v>
      </c>
      <c r="F14" s="5">
        <v>295305086</v>
      </c>
      <c r="G14" s="5">
        <v>353005066</v>
      </c>
      <c r="H14" s="5">
        <v>399790016</v>
      </c>
      <c r="I14" s="16">
        <v>481551631</v>
      </c>
      <c r="J14" s="16">
        <v>605881338</v>
      </c>
    </row>
    <row r="15" spans="1:10" x14ac:dyDescent="0.25">
      <c r="A15" s="1" t="s">
        <v>34</v>
      </c>
      <c r="B15" s="7">
        <f t="shared" ref="B15:J15" si="1">B10+B12-B13-B14</f>
        <v>610636047</v>
      </c>
      <c r="C15" s="7">
        <f t="shared" si="1"/>
        <v>574892238</v>
      </c>
      <c r="D15" s="7">
        <f t="shared" si="1"/>
        <v>822467019</v>
      </c>
      <c r="E15" s="7">
        <f t="shared" si="1"/>
        <v>937104713</v>
      </c>
      <c r="F15" s="7">
        <f t="shared" si="1"/>
        <v>984673291</v>
      </c>
      <c r="G15" s="7">
        <f t="shared" si="1"/>
        <v>1196135444</v>
      </c>
      <c r="H15" s="7">
        <f t="shared" si="1"/>
        <v>1109776984</v>
      </c>
      <c r="I15" s="7">
        <f t="shared" si="1"/>
        <v>1001289845</v>
      </c>
      <c r="J15" s="7">
        <f t="shared" si="1"/>
        <v>1177413394</v>
      </c>
    </row>
    <row r="16" spans="1:10" x14ac:dyDescent="0.25">
      <c r="A16" s="23" t="s">
        <v>68</v>
      </c>
      <c r="B16" s="5"/>
      <c r="C16" s="5"/>
      <c r="D16" s="5"/>
      <c r="E16" s="5"/>
      <c r="F16" s="5"/>
      <c r="G16" s="5"/>
      <c r="H16" s="5"/>
    </row>
    <row r="17" spans="1:10" x14ac:dyDescent="0.25">
      <c r="A17" t="s">
        <v>35</v>
      </c>
      <c r="B17" s="5">
        <v>196619465</v>
      </c>
      <c r="C17" s="5">
        <v>27829589</v>
      </c>
      <c r="D17" s="5">
        <v>18503603</v>
      </c>
      <c r="E17" s="5">
        <v>40979579</v>
      </c>
      <c r="F17" s="5">
        <v>6630465</v>
      </c>
      <c r="G17" s="5">
        <v>33860900</v>
      </c>
      <c r="H17" s="5">
        <v>58694471</v>
      </c>
      <c r="I17" s="16">
        <v>146550</v>
      </c>
      <c r="J17" s="16">
        <v>44823643</v>
      </c>
    </row>
    <row r="18" spans="1:10" x14ac:dyDescent="0.25">
      <c r="A18" t="s">
        <v>56</v>
      </c>
      <c r="B18" s="5">
        <v>92430813</v>
      </c>
      <c r="C18" s="5">
        <v>-177928220</v>
      </c>
      <c r="D18" s="5">
        <v>-74671363</v>
      </c>
      <c r="E18" s="5">
        <v>66211046</v>
      </c>
      <c r="F18" s="5">
        <v>131557113</v>
      </c>
      <c r="G18" s="5">
        <f>466095750-228145544</f>
        <v>237950206</v>
      </c>
      <c r="H18" s="5">
        <f>499434000-169175158</f>
        <v>330258842</v>
      </c>
      <c r="I18" s="16">
        <f>798271896-195795104</f>
        <v>602476792</v>
      </c>
      <c r="J18" s="16">
        <f>1004203672-213753067</f>
        <v>790450605</v>
      </c>
    </row>
    <row r="19" spans="1:10" x14ac:dyDescent="0.25">
      <c r="A19" t="s">
        <v>36</v>
      </c>
      <c r="B19" s="5"/>
      <c r="C19" s="5">
        <v>6294730</v>
      </c>
      <c r="D19" s="5">
        <v>9498951</v>
      </c>
      <c r="E19" s="5">
        <v>21656322</v>
      </c>
      <c r="F19" s="5">
        <v>39300741</v>
      </c>
      <c r="G19" s="5">
        <v>36963569</v>
      </c>
      <c r="H19" s="5">
        <v>64665276</v>
      </c>
      <c r="I19" s="16">
        <v>31776497</v>
      </c>
      <c r="J19" s="16">
        <v>24187271</v>
      </c>
    </row>
    <row r="20" spans="1:10" x14ac:dyDescent="0.25">
      <c r="A20" s="22" t="s">
        <v>90</v>
      </c>
      <c r="B20" s="7">
        <f t="shared" ref="B20:J20" si="2">B15+B17-B18+B19</f>
        <v>714824699</v>
      </c>
      <c r="C20" s="7">
        <f t="shared" si="2"/>
        <v>786944777</v>
      </c>
      <c r="D20" s="7">
        <f t="shared" si="2"/>
        <v>925140936</v>
      </c>
      <c r="E20" s="7">
        <f t="shared" si="2"/>
        <v>933529568</v>
      </c>
      <c r="F20" s="7">
        <f t="shared" si="2"/>
        <v>899047384</v>
      </c>
      <c r="G20" s="7">
        <f t="shared" si="2"/>
        <v>1029009707</v>
      </c>
      <c r="H20" s="7">
        <f t="shared" si="2"/>
        <v>902877889</v>
      </c>
      <c r="I20" s="7">
        <f t="shared" si="2"/>
        <v>430736100</v>
      </c>
      <c r="J20" s="7">
        <f t="shared" si="2"/>
        <v>455973703</v>
      </c>
    </row>
    <row r="21" spans="1:10" x14ac:dyDescent="0.25">
      <c r="A21" t="s">
        <v>37</v>
      </c>
      <c r="B21" s="5">
        <v>34039271</v>
      </c>
      <c r="C21" s="5">
        <v>37173812</v>
      </c>
      <c r="D21" s="5">
        <v>44054330</v>
      </c>
      <c r="E21" s="5">
        <v>44453789</v>
      </c>
      <c r="F21" s="5">
        <v>42811780</v>
      </c>
      <c r="G21" s="5">
        <v>49000462</v>
      </c>
      <c r="H21" s="5">
        <v>42994185</v>
      </c>
      <c r="I21" s="16">
        <v>20511243</v>
      </c>
      <c r="J21" s="16">
        <v>20561259</v>
      </c>
    </row>
    <row r="22" spans="1:10" x14ac:dyDescent="0.25">
      <c r="A22" s="22" t="s">
        <v>91</v>
      </c>
      <c r="B22" s="7">
        <f>B20-B21</f>
        <v>680785428</v>
      </c>
      <c r="C22" s="7">
        <f t="shared" ref="C22:J22" si="3">C20-C21</f>
        <v>749770965</v>
      </c>
      <c r="D22" s="7">
        <f t="shared" si="3"/>
        <v>881086606</v>
      </c>
      <c r="E22" s="7">
        <f t="shared" si="3"/>
        <v>889075779</v>
      </c>
      <c r="F22" s="7">
        <f t="shared" si="3"/>
        <v>856235604</v>
      </c>
      <c r="G22" s="7">
        <f t="shared" si="3"/>
        <v>980009245</v>
      </c>
      <c r="H22" s="7">
        <f t="shared" si="3"/>
        <v>859883704</v>
      </c>
      <c r="I22" s="7">
        <f t="shared" si="3"/>
        <v>410224857</v>
      </c>
      <c r="J22" s="7">
        <f t="shared" si="3"/>
        <v>435412444</v>
      </c>
    </row>
    <row r="23" spans="1:10" x14ac:dyDescent="0.25">
      <c r="A23" s="25" t="s">
        <v>76</v>
      </c>
      <c r="B23" s="5"/>
      <c r="C23" s="5"/>
      <c r="D23" s="5"/>
      <c r="E23" s="5"/>
      <c r="F23" s="5"/>
      <c r="G23" s="5"/>
      <c r="H23" s="5"/>
    </row>
    <row r="24" spans="1:10" x14ac:dyDescent="0.25">
      <c r="A24" t="s">
        <v>38</v>
      </c>
      <c r="B24" s="10">
        <v>238284672</v>
      </c>
      <c r="C24" s="11">
        <v>134681334</v>
      </c>
      <c r="D24" s="11">
        <v>134882516</v>
      </c>
      <c r="E24" s="11">
        <v>154544848</v>
      </c>
      <c r="F24" s="12">
        <v>143173223</v>
      </c>
      <c r="G24" s="5">
        <v>177534373</v>
      </c>
      <c r="H24" s="5">
        <v>166339734</v>
      </c>
      <c r="I24" s="16">
        <v>1231336</v>
      </c>
      <c r="J24" s="16">
        <v>84716866</v>
      </c>
    </row>
    <row r="25" spans="1:10" x14ac:dyDescent="0.25">
      <c r="A25" t="s">
        <v>70</v>
      </c>
      <c r="B25" s="13">
        <v>6564396</v>
      </c>
      <c r="C25" s="14">
        <v>49329034</v>
      </c>
      <c r="D25" s="14">
        <v>80835429</v>
      </c>
      <c r="E25" s="14">
        <v>60141468</v>
      </c>
      <c r="F25" s="15">
        <v>64211387</v>
      </c>
      <c r="G25" s="5">
        <v>58227046</v>
      </c>
      <c r="H25" s="5">
        <v>32464873</v>
      </c>
      <c r="I25" s="16">
        <v>93380754</v>
      </c>
      <c r="J25" s="16">
        <v>99545423</v>
      </c>
    </row>
    <row r="26" spans="1:10" x14ac:dyDescent="0.25">
      <c r="B26" s="5">
        <f>SUM(B24:B25)</f>
        <v>244849068</v>
      </c>
      <c r="C26" s="5">
        <f t="shared" ref="C26" si="4">SUM(C24:C25)</f>
        <v>184010368</v>
      </c>
      <c r="D26" s="5">
        <f t="shared" ref="D26:J26" si="5">SUM(D24:D25)</f>
        <v>215717945</v>
      </c>
      <c r="E26" s="5">
        <f t="shared" si="5"/>
        <v>214686316</v>
      </c>
      <c r="F26" s="5">
        <f t="shared" si="5"/>
        <v>207384610</v>
      </c>
      <c r="G26" s="5">
        <f t="shared" si="5"/>
        <v>235761419</v>
      </c>
      <c r="H26" s="5">
        <f t="shared" si="5"/>
        <v>198804607</v>
      </c>
      <c r="I26" s="5">
        <f t="shared" si="5"/>
        <v>94612090</v>
      </c>
      <c r="J26" s="5">
        <f t="shared" si="5"/>
        <v>184262289</v>
      </c>
    </row>
    <row r="27" spans="1:10" x14ac:dyDescent="0.25">
      <c r="A27" s="22" t="s">
        <v>92</v>
      </c>
      <c r="B27" s="7">
        <f>B22-B26</f>
        <v>435936360</v>
      </c>
      <c r="C27" s="7">
        <f t="shared" ref="C27" si="6">C22-C26</f>
        <v>565760597</v>
      </c>
      <c r="D27" s="7">
        <f t="shared" ref="D27:J27" si="7">D22-D26</f>
        <v>665368661</v>
      </c>
      <c r="E27" s="7">
        <f t="shared" si="7"/>
        <v>674389463</v>
      </c>
      <c r="F27" s="7">
        <f t="shared" si="7"/>
        <v>648850994</v>
      </c>
      <c r="G27" s="7">
        <f t="shared" si="7"/>
        <v>744247826</v>
      </c>
      <c r="H27" s="7">
        <f t="shared" si="7"/>
        <v>661079097</v>
      </c>
      <c r="I27" s="7">
        <f t="shared" si="7"/>
        <v>315612767</v>
      </c>
      <c r="J27" s="7">
        <f t="shared" si="7"/>
        <v>251150155</v>
      </c>
    </row>
    <row r="28" spans="1:10" x14ac:dyDescent="0.25">
      <c r="A28" s="1"/>
      <c r="B28" s="1"/>
      <c r="C28" s="1"/>
      <c r="D28" s="1"/>
      <c r="E28" s="1"/>
      <c r="F28" s="1"/>
    </row>
    <row r="29" spans="1:10" x14ac:dyDescent="0.25">
      <c r="A29" s="22" t="s">
        <v>93</v>
      </c>
      <c r="B29" s="6">
        <f>B27/('1'!B43/10)</f>
        <v>4.3593636</v>
      </c>
      <c r="C29" s="6">
        <f>C27/('1'!C43/10)</f>
        <v>4.1908192370370374</v>
      </c>
      <c r="D29" s="6">
        <f>D27/('1'!D43/10)</f>
        <v>4.4805970437710441</v>
      </c>
      <c r="E29" s="6">
        <f>E27/('1'!E43/10)</f>
        <v>4.5413431851851849</v>
      </c>
      <c r="F29" s="6">
        <f>F27/('1'!F43/10)</f>
        <v>4.369366962962963</v>
      </c>
      <c r="G29" s="6">
        <f>G27/('1'!G43/10)</f>
        <v>5.0117698720538719</v>
      </c>
      <c r="H29" s="6">
        <f>H27/('1'!H43/10)</f>
        <v>4.4517110909090913</v>
      </c>
      <c r="I29" s="6">
        <f>I27/('1'!I43/10)</f>
        <v>2.1253384983164985</v>
      </c>
      <c r="J29" s="6">
        <f>J27/('1'!J43/10)</f>
        <v>1.691246835016835</v>
      </c>
    </row>
    <row r="30" spans="1:10" x14ac:dyDescent="0.25">
      <c r="A30" s="23" t="s">
        <v>94</v>
      </c>
      <c r="B30">
        <f>'1'!B51</f>
        <v>100000000</v>
      </c>
      <c r="C30">
        <f>'1'!C51</f>
        <v>135000000</v>
      </c>
      <c r="D30">
        <f>'1'!D51</f>
        <v>148500000</v>
      </c>
      <c r="E30">
        <f>'1'!E51</f>
        <v>148500000</v>
      </c>
      <c r="F30">
        <f>'1'!F51</f>
        <v>148500000</v>
      </c>
      <c r="G30">
        <f>'1'!G51</f>
        <v>148500000</v>
      </c>
      <c r="H30">
        <f>'1'!H51</f>
        <v>148500000</v>
      </c>
      <c r="I30">
        <f>'1'!I51</f>
        <v>148500000</v>
      </c>
      <c r="J30">
        <f>'1'!J51</f>
        <v>148500000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52.5703125" bestFit="1" customWidth="1"/>
    <col min="2" max="6" width="17.7109375" bestFit="1" customWidth="1"/>
    <col min="7" max="8" width="15" bestFit="1" customWidth="1"/>
    <col min="9" max="9" width="17.7109375" bestFit="1" customWidth="1"/>
    <col min="10" max="10" width="16" bestFit="1" customWidth="1"/>
  </cols>
  <sheetData>
    <row r="1" spans="1:10" ht="18.75" x14ac:dyDescent="0.3">
      <c r="A1" s="3" t="s">
        <v>0</v>
      </c>
    </row>
    <row r="2" spans="1:10" ht="15.75" x14ac:dyDescent="0.25">
      <c r="A2" s="26" t="s">
        <v>79</v>
      </c>
    </row>
    <row r="3" spans="1:10" x14ac:dyDescent="0.25">
      <c r="A3" t="s">
        <v>80</v>
      </c>
    </row>
    <row r="5" spans="1:10" x14ac:dyDescent="0.25">
      <c r="B5" s="1">
        <v>2011</v>
      </c>
      <c r="C5" s="1">
        <v>2012</v>
      </c>
      <c r="D5" s="1">
        <v>2013</v>
      </c>
      <c r="E5" s="1">
        <v>2014</v>
      </c>
      <c r="F5" s="1">
        <v>2015</v>
      </c>
      <c r="G5" s="1">
        <v>2016</v>
      </c>
      <c r="H5" s="1">
        <v>2017</v>
      </c>
      <c r="I5" s="1">
        <v>2018</v>
      </c>
      <c r="J5" s="1">
        <v>2019</v>
      </c>
    </row>
    <row r="6" spans="1:10" x14ac:dyDescent="0.25">
      <c r="A6" s="22" t="s">
        <v>95</v>
      </c>
    </row>
    <row r="7" spans="1:10" x14ac:dyDescent="0.25">
      <c r="A7" s="2" t="s">
        <v>53</v>
      </c>
      <c r="B7" s="5">
        <v>3999801667</v>
      </c>
      <c r="C7" s="5">
        <v>5246797411</v>
      </c>
      <c r="D7" s="5">
        <v>6902052681</v>
      </c>
      <c r="E7" s="5">
        <v>7475412982</v>
      </c>
      <c r="F7" s="5">
        <v>8240774978</v>
      </c>
      <c r="G7" s="5">
        <v>9097768811</v>
      </c>
      <c r="H7" s="5">
        <v>8894363062</v>
      </c>
      <c r="I7" s="16">
        <v>11774909596</v>
      </c>
      <c r="J7" s="16">
        <v>13620913776</v>
      </c>
    </row>
    <row r="8" spans="1:10" x14ac:dyDescent="0.25">
      <c r="A8" t="s">
        <v>39</v>
      </c>
      <c r="B8" s="5">
        <v>62781523</v>
      </c>
      <c r="C8" s="5">
        <v>64193352</v>
      </c>
      <c r="D8" s="5">
        <v>5954504</v>
      </c>
      <c r="E8" s="5">
        <v>53660891</v>
      </c>
      <c r="F8" s="5">
        <v>19383345</v>
      </c>
      <c r="G8" s="5">
        <v>1252505</v>
      </c>
      <c r="H8" s="5"/>
      <c r="I8" s="16">
        <v>108535500</v>
      </c>
      <c r="J8" s="16">
        <v>188116500</v>
      </c>
    </row>
    <row r="9" spans="1:10" x14ac:dyDescent="0.25">
      <c r="A9" t="s">
        <v>40</v>
      </c>
      <c r="B9" s="5">
        <v>196619465</v>
      </c>
      <c r="C9" s="5">
        <v>27849874</v>
      </c>
      <c r="D9" s="5">
        <v>16702317</v>
      </c>
      <c r="E9" s="5">
        <v>21893928</v>
      </c>
      <c r="F9" s="5">
        <v>13484139</v>
      </c>
      <c r="G9" s="5">
        <v>31567206</v>
      </c>
      <c r="H9" s="5">
        <v>14756307</v>
      </c>
      <c r="I9" s="16">
        <v>18690330</v>
      </c>
      <c r="J9" s="16">
        <v>46432118</v>
      </c>
    </row>
    <row r="10" spans="1:10" x14ac:dyDescent="0.25">
      <c r="A10" t="s">
        <v>41</v>
      </c>
      <c r="B10" s="5"/>
      <c r="C10" s="5">
        <v>116977487</v>
      </c>
      <c r="D10" s="5">
        <v>56628479</v>
      </c>
      <c r="E10" s="5">
        <v>349477012</v>
      </c>
      <c r="F10" s="5">
        <v>276859885</v>
      </c>
      <c r="G10" s="5">
        <v>245910149</v>
      </c>
      <c r="H10" s="5">
        <v>161839962</v>
      </c>
      <c r="I10" s="16">
        <v>154321540</v>
      </c>
      <c r="J10" s="16">
        <v>264015289</v>
      </c>
    </row>
    <row r="11" spans="1:10" x14ac:dyDescent="0.25">
      <c r="A11" t="s">
        <v>42</v>
      </c>
      <c r="B11" s="5">
        <v>-3162242158</v>
      </c>
      <c r="C11" s="5">
        <v>-4601959504</v>
      </c>
      <c r="D11" s="5">
        <v>-5493792801</v>
      </c>
      <c r="E11" s="5">
        <v>-6702926476</v>
      </c>
      <c r="F11" s="5">
        <v>-6669751377</v>
      </c>
      <c r="G11" s="5">
        <v>-6817096343</v>
      </c>
      <c r="H11" s="5">
        <v>-7796280620</v>
      </c>
      <c r="I11" s="5">
        <v>-10561599270</v>
      </c>
      <c r="J11" s="5">
        <v>-12436446397</v>
      </c>
    </row>
    <row r="12" spans="1:10" x14ac:dyDescent="0.25">
      <c r="A12" t="s">
        <v>43</v>
      </c>
      <c r="B12" s="5">
        <v>-929745188</v>
      </c>
      <c r="C12" s="5">
        <v>-200826844</v>
      </c>
      <c r="D12" s="5">
        <v>-215184642</v>
      </c>
      <c r="E12" s="5">
        <v>-354547238</v>
      </c>
      <c r="F12" s="5">
        <v>-425524939</v>
      </c>
      <c r="G12" s="5">
        <v>-715769873</v>
      </c>
      <c r="H12" s="5">
        <v>-681999330</v>
      </c>
      <c r="I12" s="5">
        <v>-702694389</v>
      </c>
      <c r="J12" s="5">
        <v>-484329589</v>
      </c>
    </row>
    <row r="13" spans="1:10" x14ac:dyDescent="0.25">
      <c r="A13" t="s">
        <v>44</v>
      </c>
      <c r="B13" s="5">
        <v>-163061258</v>
      </c>
      <c r="C13" s="5">
        <v>-419473486</v>
      </c>
      <c r="D13" s="5">
        <v>-335297563</v>
      </c>
      <c r="E13" s="5">
        <v>-329090759</v>
      </c>
      <c r="F13" s="5">
        <v>-320953098</v>
      </c>
      <c r="G13" s="5">
        <v>-257434738</v>
      </c>
      <c r="H13" s="5">
        <v>-335554400</v>
      </c>
      <c r="I13" s="5">
        <v>-590250408</v>
      </c>
      <c r="J13" s="5">
        <v>-667837442</v>
      </c>
    </row>
    <row r="14" spans="1:10" x14ac:dyDescent="0.25">
      <c r="B14" s="7">
        <f>SUM(B7:B13)</f>
        <v>4154051</v>
      </c>
      <c r="C14" s="7">
        <f t="shared" ref="C14:J14" si="0">SUM(C7:C13)</f>
        <v>233558290</v>
      </c>
      <c r="D14" s="7">
        <f t="shared" si="0"/>
        <v>937062975</v>
      </c>
      <c r="E14" s="7">
        <f t="shared" si="0"/>
        <v>513880340</v>
      </c>
      <c r="F14" s="7">
        <f t="shared" si="0"/>
        <v>1134272933</v>
      </c>
      <c r="G14" s="7">
        <f t="shared" si="0"/>
        <v>1586197717</v>
      </c>
      <c r="H14" s="7">
        <f t="shared" si="0"/>
        <v>257124981</v>
      </c>
      <c r="I14" s="7">
        <f t="shared" si="0"/>
        <v>201912899</v>
      </c>
      <c r="J14" s="7">
        <f t="shared" si="0"/>
        <v>530864255</v>
      </c>
    </row>
    <row r="15" spans="1:10" x14ac:dyDescent="0.25">
      <c r="B15" s="5"/>
      <c r="C15" s="5"/>
      <c r="D15" s="5"/>
      <c r="E15" s="5"/>
      <c r="F15" s="5"/>
      <c r="G15" s="5"/>
      <c r="H15" s="5"/>
    </row>
    <row r="16" spans="1:10" x14ac:dyDescent="0.25">
      <c r="A16" s="22" t="s">
        <v>71</v>
      </c>
      <c r="B16" s="5"/>
      <c r="C16" s="5"/>
      <c r="D16" s="5"/>
      <c r="E16" s="5"/>
      <c r="F16" s="5"/>
      <c r="G16" s="5"/>
      <c r="H16" s="5"/>
    </row>
    <row r="17" spans="1:10" x14ac:dyDescent="0.25">
      <c r="A17" t="s">
        <v>45</v>
      </c>
      <c r="B17" s="5">
        <v>-135882724</v>
      </c>
      <c r="C17" s="5">
        <v>-792840884</v>
      </c>
      <c r="D17" s="5">
        <v>-254215090</v>
      </c>
      <c r="E17" s="5">
        <v>-129387859</v>
      </c>
      <c r="F17" s="5">
        <v>-576148074</v>
      </c>
      <c r="G17" s="5">
        <v>-720328318</v>
      </c>
      <c r="H17" s="5">
        <v>-132996285</v>
      </c>
      <c r="I17" s="5">
        <v>-2449938139</v>
      </c>
      <c r="J17" s="5">
        <v>-717628878</v>
      </c>
    </row>
    <row r="18" spans="1:10" x14ac:dyDescent="0.25">
      <c r="A18" s="2" t="s">
        <v>54</v>
      </c>
      <c r="B18" s="5">
        <v>6697895</v>
      </c>
      <c r="C18" s="5">
        <v>2802420</v>
      </c>
      <c r="D18" s="5">
        <v>4142200</v>
      </c>
      <c r="E18" s="5"/>
      <c r="F18" s="5">
        <v>1000000</v>
      </c>
      <c r="G18" s="5">
        <v>12167085</v>
      </c>
      <c r="H18" s="5">
        <v>907700</v>
      </c>
      <c r="I18" s="5"/>
      <c r="J18" s="5">
        <v>2179014</v>
      </c>
    </row>
    <row r="19" spans="1:10" x14ac:dyDescent="0.25">
      <c r="A19" t="s">
        <v>57</v>
      </c>
      <c r="B19" s="5">
        <v>-1035510320</v>
      </c>
      <c r="C19" s="5">
        <v>-1294590343</v>
      </c>
      <c r="D19" s="5">
        <v>-80557443</v>
      </c>
      <c r="E19" s="5">
        <v>-1259649</v>
      </c>
      <c r="F19" s="5">
        <v>85898019</v>
      </c>
      <c r="G19" s="5">
        <v>-352968843</v>
      </c>
      <c r="H19" s="5">
        <v>-2407110288</v>
      </c>
      <c r="I19" s="16">
        <v>1326896186</v>
      </c>
      <c r="J19" s="5">
        <v>-194398943</v>
      </c>
    </row>
    <row r="20" spans="1:10" x14ac:dyDescent="0.25">
      <c r="A20" t="s">
        <v>4</v>
      </c>
      <c r="B20" s="5"/>
      <c r="C20" s="5">
        <v>-93494348</v>
      </c>
      <c r="D20" s="5">
        <v>405290</v>
      </c>
      <c r="E20" s="5">
        <v>-9076102</v>
      </c>
      <c r="F20" s="5">
        <v>-13088379</v>
      </c>
      <c r="G20" s="5">
        <v>-2399138</v>
      </c>
      <c r="H20" s="5">
        <v>-201406395</v>
      </c>
      <c r="I20" s="16">
        <v>304494185</v>
      </c>
      <c r="J20" s="5">
        <v>-212619</v>
      </c>
    </row>
    <row r="21" spans="1:10" x14ac:dyDescent="0.25">
      <c r="A21" t="s">
        <v>46</v>
      </c>
      <c r="B21" s="5">
        <v>-184239050</v>
      </c>
      <c r="C21" s="5">
        <v>-156849470</v>
      </c>
      <c r="D21" s="5">
        <v>-176639452</v>
      </c>
      <c r="E21" s="5">
        <v>-200166922</v>
      </c>
      <c r="F21" s="5">
        <v>-23298608</v>
      </c>
      <c r="G21" s="5">
        <v>-56439102</v>
      </c>
      <c r="H21" s="5">
        <v>53524266</v>
      </c>
      <c r="I21" s="16">
        <v>447008920</v>
      </c>
    </row>
    <row r="22" spans="1:10" x14ac:dyDescent="0.25">
      <c r="B22" s="7">
        <f>SUM(B17:B21)</f>
        <v>-1348934199</v>
      </c>
      <c r="C22" s="7">
        <f t="shared" ref="C22:J22" si="1">SUM(C17:C21)</f>
        <v>-2334972625</v>
      </c>
      <c r="D22" s="7">
        <f t="shared" si="1"/>
        <v>-506864495</v>
      </c>
      <c r="E22" s="7">
        <f t="shared" si="1"/>
        <v>-339890532</v>
      </c>
      <c r="F22" s="7">
        <f t="shared" si="1"/>
        <v>-525637042</v>
      </c>
      <c r="G22" s="7">
        <f t="shared" si="1"/>
        <v>-1119968316</v>
      </c>
      <c r="H22" s="7">
        <f t="shared" si="1"/>
        <v>-2687081002</v>
      </c>
      <c r="I22" s="7">
        <f t="shared" si="1"/>
        <v>-371538848</v>
      </c>
      <c r="J22" s="7">
        <f t="shared" si="1"/>
        <v>-910061426</v>
      </c>
    </row>
    <row r="23" spans="1:10" x14ac:dyDescent="0.25">
      <c r="B23" s="5"/>
      <c r="C23" s="5"/>
      <c r="D23" s="5"/>
      <c r="E23" s="5"/>
      <c r="F23" s="5"/>
      <c r="G23" s="5"/>
      <c r="H23" s="5"/>
    </row>
    <row r="24" spans="1:10" x14ac:dyDescent="0.25">
      <c r="A24" s="22" t="s">
        <v>72</v>
      </c>
      <c r="B24" s="5"/>
      <c r="C24" s="5"/>
      <c r="D24" s="5"/>
      <c r="E24" s="5"/>
      <c r="F24" s="5"/>
      <c r="G24" s="5"/>
      <c r="H24" s="5"/>
    </row>
    <row r="25" spans="1:10" x14ac:dyDescent="0.25">
      <c r="A25" t="s">
        <v>47</v>
      </c>
      <c r="B25" s="5">
        <v>445423724</v>
      </c>
      <c r="C25" s="5">
        <v>743150871</v>
      </c>
      <c r="D25" s="5">
        <v>135318163</v>
      </c>
      <c r="E25" s="5">
        <v>1656709767</v>
      </c>
      <c r="F25" s="5">
        <v>999561769</v>
      </c>
      <c r="G25" s="5">
        <v>921432115</v>
      </c>
      <c r="H25" s="5">
        <v>1845365012</v>
      </c>
      <c r="I25" s="16">
        <v>1063129364</v>
      </c>
      <c r="J25" s="5">
        <v>-311339224</v>
      </c>
    </row>
    <row r="26" spans="1:10" x14ac:dyDescent="0.25">
      <c r="A26" t="s">
        <v>48</v>
      </c>
      <c r="B26" s="5">
        <v>510889155</v>
      </c>
      <c r="C26" s="5">
        <v>155704892</v>
      </c>
      <c r="D26" s="5">
        <v>-145623617</v>
      </c>
      <c r="E26" s="5">
        <v>-461455108</v>
      </c>
      <c r="F26" s="5">
        <v>-504971621</v>
      </c>
      <c r="G26" s="5">
        <v>-372397770</v>
      </c>
      <c r="H26" s="5">
        <v>1475423986</v>
      </c>
      <c r="I26" s="16">
        <v>657226335</v>
      </c>
      <c r="J26" s="5">
        <v>-429559240</v>
      </c>
    </row>
    <row r="27" spans="1:10" x14ac:dyDescent="0.25">
      <c r="A27" t="s">
        <v>49</v>
      </c>
      <c r="B27" s="5">
        <v>-92430813</v>
      </c>
      <c r="C27" s="5"/>
      <c r="D27" s="5"/>
      <c r="E27" s="5">
        <v>-393893178</v>
      </c>
      <c r="F27" s="5">
        <v>-400970248</v>
      </c>
      <c r="G27" s="5">
        <v>-466095750</v>
      </c>
      <c r="H27" s="5">
        <v>-421667047</v>
      </c>
      <c r="I27" s="5">
        <v>-798271896</v>
      </c>
      <c r="J27" s="5">
        <f>-952820525+182513919</f>
        <v>-770306606</v>
      </c>
    </row>
    <row r="28" spans="1:10" x14ac:dyDescent="0.25">
      <c r="A28" t="s">
        <v>55</v>
      </c>
      <c r="B28" s="5">
        <v>3288088330</v>
      </c>
      <c r="C28" s="5"/>
      <c r="D28" s="5"/>
      <c r="E28" s="5"/>
      <c r="F28" s="5"/>
      <c r="G28" s="5"/>
      <c r="H28" s="5"/>
      <c r="J28" s="5"/>
    </row>
    <row r="29" spans="1:10" x14ac:dyDescent="0.25">
      <c r="A29" t="s">
        <v>50</v>
      </c>
      <c r="B29" s="5"/>
      <c r="C29" s="5">
        <v>-18217532</v>
      </c>
      <c r="D29" s="5">
        <v>-444744</v>
      </c>
      <c r="E29" s="5">
        <v>-145080</v>
      </c>
      <c r="F29" s="5"/>
      <c r="G29" s="5"/>
      <c r="H29" s="5"/>
      <c r="J29" s="5"/>
    </row>
    <row r="30" spans="1:10" ht="30" x14ac:dyDescent="0.25">
      <c r="A30" s="4" t="s">
        <v>51</v>
      </c>
      <c r="B30" s="5"/>
      <c r="C30" s="5"/>
      <c r="D30" s="5"/>
      <c r="E30" s="5"/>
      <c r="F30" s="5">
        <v>119246</v>
      </c>
      <c r="G30" s="5">
        <v>-6865</v>
      </c>
      <c r="H30" s="5">
        <v>-61052</v>
      </c>
      <c r="I30" s="16">
        <v>62127</v>
      </c>
      <c r="J30" s="5">
        <v>10259</v>
      </c>
    </row>
    <row r="31" spans="1:10" x14ac:dyDescent="0.25">
      <c r="A31" t="s">
        <v>52</v>
      </c>
      <c r="B31" s="5"/>
      <c r="C31" s="5">
        <v>-145639269</v>
      </c>
      <c r="D31" s="5">
        <v>-467274343</v>
      </c>
      <c r="E31" s="5">
        <v>-592345168</v>
      </c>
      <c r="F31" s="5">
        <v>-437945655</v>
      </c>
      <c r="G31" s="5">
        <v>-368241289</v>
      </c>
      <c r="H31" s="5">
        <v>-295826592</v>
      </c>
      <c r="I31" s="5">
        <v>-295689019</v>
      </c>
      <c r="J31" s="5">
        <v>-221969126</v>
      </c>
    </row>
    <row r="32" spans="1:10" x14ac:dyDescent="0.25">
      <c r="B32" s="7">
        <f>SUM(B25:B31)</f>
        <v>4151970396</v>
      </c>
      <c r="C32" s="7">
        <f t="shared" ref="C32:I32" si="2">SUM(C25:C31)</f>
        <v>734998962</v>
      </c>
      <c r="D32" s="7">
        <f t="shared" si="2"/>
        <v>-478024541</v>
      </c>
      <c r="E32" s="7">
        <f t="shared" si="2"/>
        <v>208871233</v>
      </c>
      <c r="F32" s="7">
        <f t="shared" si="2"/>
        <v>-344206509</v>
      </c>
      <c r="G32" s="7">
        <f t="shared" si="2"/>
        <v>-285309559</v>
      </c>
      <c r="H32" s="7">
        <f t="shared" si="2"/>
        <v>2603234307</v>
      </c>
      <c r="I32" s="7">
        <f t="shared" si="2"/>
        <v>626456911</v>
      </c>
      <c r="J32" s="7">
        <f>SUM(J25:J31)</f>
        <v>-1733163937</v>
      </c>
    </row>
    <row r="33" spans="1:10" x14ac:dyDescent="0.25">
      <c r="A33" s="1" t="s">
        <v>73</v>
      </c>
      <c r="B33" s="7">
        <f t="shared" ref="B33:J33" si="3">B32+B22+B14</f>
        <v>2807190248</v>
      </c>
      <c r="C33" s="7">
        <f t="shared" si="3"/>
        <v>-1366415373</v>
      </c>
      <c r="D33" s="7">
        <f t="shared" si="3"/>
        <v>-47826061</v>
      </c>
      <c r="E33" s="7">
        <f t="shared" si="3"/>
        <v>382861041</v>
      </c>
      <c r="F33" s="7">
        <f t="shared" si="3"/>
        <v>264429382</v>
      </c>
      <c r="G33" s="7">
        <f t="shared" si="3"/>
        <v>180919842</v>
      </c>
      <c r="H33" s="7">
        <f t="shared" si="3"/>
        <v>173278286</v>
      </c>
      <c r="I33" s="7">
        <f t="shared" si="3"/>
        <v>456830962</v>
      </c>
      <c r="J33" s="7">
        <f t="shared" si="3"/>
        <v>-2112361108</v>
      </c>
    </row>
    <row r="34" spans="1:10" x14ac:dyDescent="0.25">
      <c r="A34" s="23" t="s">
        <v>74</v>
      </c>
      <c r="B34" s="5">
        <v>60178033</v>
      </c>
      <c r="C34" s="5">
        <v>2887368280</v>
      </c>
      <c r="D34" s="5">
        <v>2902952909</v>
      </c>
      <c r="E34" s="5">
        <v>2855126851</v>
      </c>
      <c r="F34" s="5">
        <v>3237987890</v>
      </c>
      <c r="G34" s="5">
        <v>3502416272</v>
      </c>
      <c r="H34" s="5">
        <v>3683336114</v>
      </c>
      <c r="I34" s="16">
        <v>3856614400</v>
      </c>
      <c r="J34" s="16">
        <f>5146749+4313445362</f>
        <v>4318592111</v>
      </c>
    </row>
    <row r="35" spans="1:10" x14ac:dyDescent="0.25">
      <c r="A35" s="22" t="s">
        <v>75</v>
      </c>
      <c r="B35" s="7">
        <f>B33+B34</f>
        <v>2867368281</v>
      </c>
      <c r="C35" s="7">
        <f t="shared" ref="C35:I35" si="4">C33+C34</f>
        <v>1520952907</v>
      </c>
      <c r="D35" s="7">
        <f t="shared" si="4"/>
        <v>2855126848</v>
      </c>
      <c r="E35" s="7">
        <f t="shared" si="4"/>
        <v>3237987892</v>
      </c>
      <c r="F35" s="7">
        <f t="shared" si="4"/>
        <v>3502417272</v>
      </c>
      <c r="G35" s="7">
        <f t="shared" si="4"/>
        <v>3683336114</v>
      </c>
      <c r="H35" s="7">
        <f t="shared" si="4"/>
        <v>3856614400</v>
      </c>
      <c r="I35" s="7">
        <f t="shared" si="4"/>
        <v>4313445362</v>
      </c>
      <c r="J35" s="7">
        <f>J33+J34</f>
        <v>2206231003</v>
      </c>
    </row>
    <row r="38" spans="1:10" x14ac:dyDescent="0.25">
      <c r="A38" s="22" t="s">
        <v>69</v>
      </c>
      <c r="B38" s="6">
        <f>B14/('1'!B43/10)</f>
        <v>4.1540510000000003E-2</v>
      </c>
      <c r="C38" s="6">
        <f>C14/('1'!C43/10)</f>
        <v>1.7300614074074074</v>
      </c>
      <c r="D38" s="6">
        <f>D14/('1'!D43/10)</f>
        <v>6.3101883838383834</v>
      </c>
      <c r="E38" s="6">
        <f>E14/('1'!E43/10)</f>
        <v>3.4604736700336702</v>
      </c>
      <c r="F38" s="6">
        <f>F14/('1'!F43/10)</f>
        <v>7.6382015690235692</v>
      </c>
      <c r="G38" s="6">
        <f>G14/('1'!G43/10)</f>
        <v>10.681466107744107</v>
      </c>
      <c r="H38" s="6">
        <f>H14/('1'!H43/10)</f>
        <v>1.7314813535353535</v>
      </c>
      <c r="I38" s="6">
        <f>I14/('1'!I43/10)</f>
        <v>1.3596828215488215</v>
      </c>
      <c r="J38" s="6">
        <f>J14/('1'!J43/10)</f>
        <v>3.574843468013468</v>
      </c>
    </row>
    <row r="39" spans="1:10" x14ac:dyDescent="0.25">
      <c r="A39" s="22" t="s">
        <v>96</v>
      </c>
      <c r="B39">
        <f>'2'!B30</f>
        <v>100000000</v>
      </c>
      <c r="C39">
        <f>'2'!C30</f>
        <v>135000000</v>
      </c>
      <c r="D39">
        <f>'2'!D30</f>
        <v>148500000</v>
      </c>
      <c r="E39">
        <f>'2'!E30</f>
        <v>148500000</v>
      </c>
      <c r="F39">
        <f>'2'!F30</f>
        <v>148500000</v>
      </c>
      <c r="G39">
        <f>'2'!G30</f>
        <v>148500000</v>
      </c>
      <c r="H39">
        <f>'2'!H30</f>
        <v>148500000</v>
      </c>
      <c r="I39">
        <f>'2'!I30</f>
        <v>148500000</v>
      </c>
      <c r="J39">
        <f>'2'!J30</f>
        <v>148500000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</cols>
  <sheetData>
    <row r="1" spans="1:10" ht="18.75" x14ac:dyDescent="0.3">
      <c r="A1" s="3" t="s">
        <v>0</v>
      </c>
    </row>
    <row r="2" spans="1:10" x14ac:dyDescent="0.25">
      <c r="A2" s="1" t="s">
        <v>65</v>
      </c>
    </row>
    <row r="3" spans="1:10" x14ac:dyDescent="0.25">
      <c r="A3" t="s">
        <v>80</v>
      </c>
    </row>
    <row r="5" spans="1:10" x14ac:dyDescent="0.25">
      <c r="A5" t="s">
        <v>65</v>
      </c>
      <c r="B5">
        <v>2011</v>
      </c>
      <c r="C5">
        <v>2012</v>
      </c>
      <c r="D5">
        <v>2013</v>
      </c>
      <c r="E5">
        <v>2014</v>
      </c>
      <c r="F5">
        <v>2015</v>
      </c>
      <c r="G5">
        <v>2016</v>
      </c>
      <c r="H5">
        <v>2017</v>
      </c>
      <c r="I5">
        <v>2018</v>
      </c>
      <c r="J5">
        <v>2019</v>
      </c>
    </row>
    <row r="6" spans="1:10" x14ac:dyDescent="0.25">
      <c r="A6" t="s">
        <v>59</v>
      </c>
      <c r="B6" s="20">
        <f>'2'!B27/'1'!B23</f>
        <v>6.2236982336002562E-2</v>
      </c>
      <c r="C6" s="20">
        <f>'2'!C27/'1'!C23</f>
        <v>5.702381920786205E-2</v>
      </c>
      <c r="D6" s="20">
        <f>'2'!D27/'1'!D23</f>
        <v>6.8009990299164949E-2</v>
      </c>
      <c r="E6" s="20">
        <f>'2'!E27/'1'!E23</f>
        <v>5.9433254466819192E-2</v>
      </c>
      <c r="F6" s="20">
        <f>'2'!F27/'1'!F23</f>
        <v>5.3785392002817567E-2</v>
      </c>
      <c r="G6" s="20">
        <f>'2'!G27/'1'!G23</f>
        <v>5.2561289429118016E-2</v>
      </c>
      <c r="H6" s="20">
        <f>'2'!H27/'1'!H23</f>
        <v>3.6891713667797456E-2</v>
      </c>
      <c r="I6" s="20">
        <f>'2'!I27/'1'!I23</f>
        <v>1.6009646647448292E-2</v>
      </c>
      <c r="J6" s="20">
        <f>'2'!J27/'1'!J23</f>
        <v>1.3032710842143238E-2</v>
      </c>
    </row>
    <row r="7" spans="1:10" x14ac:dyDescent="0.25">
      <c r="A7" t="s">
        <v>60</v>
      </c>
      <c r="B7" s="20">
        <f>'2'!B27/'1'!B42</f>
        <v>8.6693229771754574E-2</v>
      </c>
      <c r="C7" s="20">
        <f>'2'!C27/'1'!C42</f>
        <v>0.10475348296622086</v>
      </c>
      <c r="D7" s="20">
        <f>'2'!D27/'1'!D42</f>
        <v>0.11893475956261532</v>
      </c>
      <c r="E7" s="20">
        <f>'2'!E27/'1'!E42</f>
        <v>0.11882654177592437</v>
      </c>
      <c r="F7" s="20">
        <f>'2'!F27/'1'!F42</f>
        <v>0.11036139030250205</v>
      </c>
      <c r="G7" s="20">
        <f>'2'!G27/'1'!G42</f>
        <v>0.11067172048627584</v>
      </c>
      <c r="H7" s="20">
        <f>'2'!H27/'1'!H42</f>
        <v>9.3138660721788086E-2</v>
      </c>
      <c r="I7" s="20">
        <f>'2'!I27/'1'!I42</f>
        <v>4.4300542455253229E-2</v>
      </c>
      <c r="J7" s="20">
        <f>'2'!J27/'1'!J42</f>
        <v>3.5074497155323035E-2</v>
      </c>
    </row>
    <row r="8" spans="1:10" x14ac:dyDescent="0.25">
      <c r="A8" t="s">
        <v>61</v>
      </c>
      <c r="B8" s="20">
        <f>'1'!B28/'1'!B42</f>
        <v>0.10210497463558224</v>
      </c>
      <c r="C8" s="20">
        <f>'1'!C28/'1'!C42</f>
        <v>0.33534171737856439</v>
      </c>
      <c r="D8" s="20">
        <f>'1'!D28/'1'!D42</f>
        <v>0.25946514123933578</v>
      </c>
      <c r="E8" s="20">
        <f>'1'!E28/'1'!E42</f>
        <v>0.1667455250376628</v>
      </c>
      <c r="F8" s="20">
        <f>'1'!F28/'1'!F42</f>
        <v>7.2615849860575801E-2</v>
      </c>
      <c r="G8" s="20">
        <f>'1'!G28/'1'!G42</f>
        <v>1.9237888871068431E-2</v>
      </c>
      <c r="H8" s="20">
        <f>'1'!H28/'1'!H42</f>
        <v>0.25770541086126864</v>
      </c>
      <c r="I8" s="20">
        <f>'1'!I28/'1'!I42</f>
        <v>0.28295358979299973</v>
      </c>
      <c r="J8" s="20">
        <f>'1'!J28/'1'!J42</f>
        <v>0.22000350482761394</v>
      </c>
    </row>
    <row r="9" spans="1:10" x14ac:dyDescent="0.25">
      <c r="A9" t="s">
        <v>62</v>
      </c>
      <c r="B9" s="21">
        <f>'1'!B13/'1'!B32</f>
        <v>3.4708570323949783</v>
      </c>
      <c r="C9" s="21">
        <f>'1'!C13/'1'!C32</f>
        <v>2.2573426615739338</v>
      </c>
      <c r="D9" s="21">
        <f>'1'!D13/'1'!D32</f>
        <v>2.2331337659928772</v>
      </c>
      <c r="E9" s="21">
        <f>'1'!E13/'1'!E32</f>
        <v>1.6550358106886589</v>
      </c>
      <c r="F9" s="21">
        <f>'1'!F13/'1'!F32</f>
        <v>1.4505467376518284</v>
      </c>
      <c r="G9" s="21">
        <f>'1'!G13/'1'!G32</f>
        <v>1.280863643521823</v>
      </c>
      <c r="H9" s="21">
        <f>'1'!H13/'1'!H32</f>
        <v>1.2109210094857217</v>
      </c>
      <c r="I9" s="21">
        <f>'1'!I13/'1'!I32</f>
        <v>1.1500335459290301</v>
      </c>
      <c r="J9" s="21">
        <f>'1'!J13/'1'!J32</f>
        <v>1.0989583875967555</v>
      </c>
    </row>
    <row r="10" spans="1:10" x14ac:dyDescent="0.25">
      <c r="A10" t="s">
        <v>66</v>
      </c>
      <c r="B10" s="20">
        <f>'2'!B27/'2'!B8</f>
        <v>0.10838065191828669</v>
      </c>
      <c r="C10" s="20">
        <f>'2'!C27/'2'!C8</f>
        <v>0.10000007927387625</v>
      </c>
      <c r="D10" s="20">
        <f>'2'!D27/'2'!D8</f>
        <v>9.742286490018251E-2</v>
      </c>
      <c r="E10" s="20">
        <f>'2'!E27/'2'!E8</f>
        <v>8.4397400288135596E-2</v>
      </c>
      <c r="F10" s="20">
        <f>'2'!F27/'2'!F8</f>
        <v>7.851307762899172E-2</v>
      </c>
      <c r="G10" s="20">
        <f>'2'!G27/'2'!G8</f>
        <v>8.2542429107105297E-2</v>
      </c>
      <c r="H10" s="20">
        <f>'2'!H27/'2'!H8</f>
        <v>7.0030900539348323E-2</v>
      </c>
      <c r="I10" s="20">
        <f>'2'!I27/'2'!I8</f>
        <v>2.5129782354084581E-2</v>
      </c>
      <c r="J10" s="20">
        <f>'2'!J27/'2'!J8</f>
        <v>1.7168630571843882E-2</v>
      </c>
    </row>
    <row r="11" spans="1:10" x14ac:dyDescent="0.25">
      <c r="A11" t="s">
        <v>63</v>
      </c>
      <c r="B11" s="20">
        <f>'2'!B15/'2'!B8</f>
        <v>0.15181374836149375</v>
      </c>
      <c r="C11" s="20">
        <f>'2'!C15/'2'!C8</f>
        <v>0.10161412738670475</v>
      </c>
      <c r="D11" s="20">
        <f>'2'!D15/'2'!D8</f>
        <v>0.12042510862544643</v>
      </c>
      <c r="E11" s="20">
        <f>'2'!E15/'2'!E8</f>
        <v>0.11727526290688713</v>
      </c>
      <c r="F11" s="20">
        <f>'2'!F15/'2'!F8</f>
        <v>0.11914866625830854</v>
      </c>
      <c r="G11" s="20">
        <f>'2'!G15/'2'!G8</f>
        <v>0.13266001140978265</v>
      </c>
      <c r="H11" s="20">
        <f>'2'!H15/'2'!H8</f>
        <v>0.11756336259919886</v>
      </c>
      <c r="I11" s="20">
        <f>'2'!I15/'2'!I8</f>
        <v>7.9724898702228625E-2</v>
      </c>
      <c r="J11" s="20">
        <f>'2'!J15/'2'!J8</f>
        <v>8.0488007630044531E-2</v>
      </c>
    </row>
    <row r="12" spans="1:10" x14ac:dyDescent="0.25">
      <c r="A12" t="s">
        <v>64</v>
      </c>
      <c r="B12" s="20">
        <f>'2'!B27/('1'!B28+'1'!B42)</f>
        <v>7.8661499373433294E-2</v>
      </c>
      <c r="C12" s="20">
        <f>'2'!C27/('1'!C28+'1'!C42)</f>
        <v>7.8446948524804938E-2</v>
      </c>
      <c r="D12" s="20">
        <f>'2'!D27/('1'!D28+'1'!D42)</f>
        <v>9.443275218048626E-2</v>
      </c>
      <c r="E12" s="20">
        <f>'2'!E27/('1'!E28+'1'!E42)</f>
        <v>0.10184443756241417</v>
      </c>
      <c r="F12" s="20">
        <f>'2'!F27/('1'!F28+'1'!F42)</f>
        <v>0.10288994919928453</v>
      </c>
      <c r="G12" s="20">
        <f>'2'!G27/('1'!G28+'1'!G42)</f>
        <v>0.10858281633236615</v>
      </c>
      <c r="H12" s="20">
        <f>'2'!H27/('1'!H28+'1'!H42)</f>
        <v>7.4054432713307097E-2</v>
      </c>
      <c r="I12" s="20">
        <f>'2'!I27/('1'!I28+'1'!I42)</f>
        <v>3.4530120814737324E-2</v>
      </c>
      <c r="J12" s="20">
        <f>'2'!J27/('1'!J28+'1'!J42)</f>
        <v>2.8749505240379655E-2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2016-08-09T10:17:34Z</dcterms:created>
  <dcterms:modified xsi:type="dcterms:W3CDTF">2020-04-11T10:23:28Z</dcterms:modified>
</cp:coreProperties>
</file>