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H66" i="3" l="1"/>
  <c r="H63" i="3"/>
  <c r="H57" i="3"/>
  <c r="H59" i="3" s="1"/>
  <c r="H51" i="3"/>
  <c r="H38" i="3"/>
  <c r="H40" i="3" s="1"/>
  <c r="H20" i="3"/>
  <c r="H38" i="2"/>
  <c r="H42" i="2" s="1"/>
  <c r="H44" i="2" s="1"/>
  <c r="H36" i="2"/>
  <c r="H35" i="2"/>
  <c r="H26" i="2"/>
  <c r="H28" i="2" s="1"/>
  <c r="H13" i="2"/>
  <c r="H12" i="2"/>
  <c r="H8" i="2"/>
  <c r="H48" i="1"/>
  <c r="H52" i="1" s="1"/>
  <c r="H35" i="1"/>
  <c r="H39" i="1" s="1"/>
  <c r="H16" i="1"/>
  <c r="H13" i="1"/>
  <c r="H9" i="1"/>
  <c r="H6" i="1"/>
  <c r="H49" i="1" l="1"/>
  <c r="H22" i="1"/>
  <c r="C6" i="4"/>
  <c r="D6" i="4"/>
  <c r="E6" i="4"/>
  <c r="F6" i="4"/>
  <c r="B6" i="4"/>
  <c r="C5" i="4"/>
  <c r="D5" i="4"/>
  <c r="E5" i="4"/>
  <c r="F5" i="4"/>
  <c r="B5" i="4"/>
  <c r="C4" i="4"/>
  <c r="D4" i="4"/>
  <c r="E4" i="4"/>
  <c r="F4" i="4"/>
  <c r="B4" i="4"/>
  <c r="C3" i="4"/>
  <c r="D3" i="4"/>
  <c r="E3" i="4"/>
  <c r="F3" i="4"/>
  <c r="B3" i="4"/>
  <c r="C2" i="4"/>
  <c r="D2" i="4"/>
  <c r="E2" i="4"/>
  <c r="F2" i="4"/>
  <c r="B2" i="4"/>
  <c r="G38" i="2" l="1"/>
  <c r="D38" i="2"/>
  <c r="E38" i="2"/>
  <c r="F38" i="2"/>
  <c r="C38" i="2"/>
  <c r="F35" i="1"/>
  <c r="F39" i="1" s="1"/>
  <c r="F61" i="3" l="1"/>
  <c r="G61" i="3"/>
  <c r="F46" i="3"/>
  <c r="G47" i="3"/>
  <c r="F37" i="3"/>
  <c r="G37" i="3"/>
  <c r="C61" i="3" l="1"/>
  <c r="C37" i="3"/>
  <c r="C34" i="1" l="1"/>
  <c r="D61" i="3"/>
  <c r="E61" i="3"/>
  <c r="D37" i="3"/>
  <c r="E37" i="3"/>
  <c r="D48" i="1"/>
  <c r="D52" i="1" s="1"/>
  <c r="D35" i="1"/>
  <c r="D39" i="1" s="1"/>
  <c r="D49" i="1" s="1"/>
  <c r="C57" i="3" l="1"/>
  <c r="D57" i="3"/>
  <c r="E57" i="3"/>
  <c r="F57" i="3"/>
  <c r="G57" i="3"/>
  <c r="G35" i="1" l="1"/>
  <c r="G39" i="1" s="1"/>
  <c r="D51" i="3"/>
  <c r="C51" i="3"/>
  <c r="D38" i="3"/>
  <c r="E20" i="3"/>
  <c r="F20" i="3"/>
  <c r="G20" i="3"/>
  <c r="C20" i="3"/>
  <c r="D20" i="3"/>
  <c r="C35" i="1"/>
  <c r="C39" i="1" s="1"/>
  <c r="C6" i="1"/>
  <c r="C9" i="1"/>
  <c r="C13" i="1"/>
  <c r="C16" i="1"/>
  <c r="C48" i="1"/>
  <c r="G51" i="3"/>
  <c r="F51" i="3"/>
  <c r="E51" i="3"/>
  <c r="F38" i="3"/>
  <c r="E38" i="3"/>
  <c r="C38" i="3"/>
  <c r="G38" i="3"/>
  <c r="G35" i="2"/>
  <c r="F35" i="2"/>
  <c r="E35" i="2"/>
  <c r="D35" i="2"/>
  <c r="C35" i="2"/>
  <c r="G26" i="2"/>
  <c r="F26" i="2"/>
  <c r="E26" i="2"/>
  <c r="D26" i="2"/>
  <c r="C26" i="2"/>
  <c r="G12" i="2"/>
  <c r="F12" i="2"/>
  <c r="E12" i="2"/>
  <c r="D12" i="2"/>
  <c r="C12" i="2"/>
  <c r="G8" i="2"/>
  <c r="F8" i="2"/>
  <c r="E8" i="2"/>
  <c r="D8" i="2"/>
  <c r="C8" i="2"/>
  <c r="G48" i="1"/>
  <c r="F48" i="1"/>
  <c r="E48" i="1"/>
  <c r="E52" i="1" s="1"/>
  <c r="E35" i="1"/>
  <c r="E39" i="1" s="1"/>
  <c r="G16" i="1"/>
  <c r="F16" i="1"/>
  <c r="E16" i="1"/>
  <c r="D16" i="1"/>
  <c r="G13" i="1"/>
  <c r="F13" i="1"/>
  <c r="E13" i="1"/>
  <c r="D13" i="1"/>
  <c r="G9" i="1"/>
  <c r="F9" i="1"/>
  <c r="E9" i="1"/>
  <c r="D9" i="1"/>
  <c r="G6" i="1"/>
  <c r="G22" i="1" s="1"/>
  <c r="F6" i="1"/>
  <c r="F22" i="1" s="1"/>
  <c r="E6" i="1"/>
  <c r="E22" i="1" s="1"/>
  <c r="D6" i="1"/>
  <c r="D22" i="1" s="1"/>
  <c r="F49" i="1" l="1"/>
  <c r="F52" i="1"/>
  <c r="G49" i="1"/>
  <c r="G52" i="1"/>
  <c r="C22" i="1"/>
  <c r="C49" i="1"/>
  <c r="C52" i="1"/>
  <c r="E49" i="1"/>
  <c r="D40" i="3"/>
  <c r="D66" i="3" s="1"/>
  <c r="E40" i="3"/>
  <c r="E13" i="2"/>
  <c r="E28" i="2" s="1"/>
  <c r="E36" i="2" s="1"/>
  <c r="E42" i="2" s="1"/>
  <c r="F13" i="2"/>
  <c r="F28" i="2" s="1"/>
  <c r="F36" i="2" s="1"/>
  <c r="F42" i="2" s="1"/>
  <c r="D13" i="2"/>
  <c r="D28" i="2" s="1"/>
  <c r="D36" i="2" s="1"/>
  <c r="D42" i="2" s="1"/>
  <c r="D59" i="3"/>
  <c r="D63" i="3" s="1"/>
  <c r="C40" i="3"/>
  <c r="F40" i="3"/>
  <c r="G13" i="2"/>
  <c r="G28" i="2" s="1"/>
  <c r="G36" i="2" s="1"/>
  <c r="G42" i="2" s="1"/>
  <c r="C13" i="2"/>
  <c r="C28" i="2" s="1"/>
  <c r="C36" i="2" s="1"/>
  <c r="C42" i="2" s="1"/>
  <c r="G40" i="3"/>
  <c r="F59" i="3" l="1"/>
  <c r="F63" i="3" s="1"/>
  <c r="F66" i="3"/>
  <c r="G59" i="3"/>
  <c r="G63" i="3" s="1"/>
  <c r="G66" i="3"/>
  <c r="C59" i="3"/>
  <c r="C63" i="3" s="1"/>
  <c r="C66" i="3"/>
  <c r="E59" i="3"/>
  <c r="E63" i="3" s="1"/>
  <c r="E66" i="3"/>
  <c r="D44" i="2"/>
  <c r="F44" i="2"/>
  <c r="G44" i="2"/>
  <c r="E44" i="2"/>
  <c r="C44" i="2"/>
</calcChain>
</file>

<file path=xl/sharedStrings.xml><?xml version="1.0" encoding="utf-8"?>
<sst xmlns="http://schemas.openxmlformats.org/spreadsheetml/2006/main" count="153" uniqueCount="148">
  <si>
    <t>Balance Sheet</t>
  </si>
  <si>
    <t>As at 31 December</t>
  </si>
  <si>
    <t>PROPERTY AND ASSETS</t>
  </si>
  <si>
    <t>Cash</t>
  </si>
  <si>
    <t>In hand(including foreign currencies)</t>
  </si>
  <si>
    <t>Balance with Banglasesh Bank and its bank(s)</t>
  </si>
  <si>
    <t>Balance with other banks and financial Institutions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</si>
  <si>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</si>
  <si>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</si>
  <si>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</si>
  <si>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</si>
  <si>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</si>
  <si>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</si>
  <si>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Loan and advances</t>
  </si>
  <si>
    <t>Loan,cash credits,overdrafts,etc</t>
  </si>
  <si>
    <t>Bills purchased and discontinued</t>
  </si>
  <si>
    <t>Fixed assets including premises, furniture and fixtures</t>
  </si>
  <si>
    <t>Other assets</t>
  </si>
  <si>
    <t>Non-banking assets</t>
  </si>
  <si>
    <t>Total Assets</t>
  </si>
  <si>
    <t>LIABILITIES AND CAPITAL</t>
  </si>
  <si>
    <t>Liabilities</t>
  </si>
  <si>
    <t>Borrowings from other bank,financial instititions and agents</t>
  </si>
  <si>
    <t>Deposits and other accounts</t>
  </si>
  <si>
    <t>Current deposits</t>
  </si>
  <si>
    <t>Demand deposits</t>
  </si>
  <si>
    <t>Bills payable</t>
  </si>
  <si>
    <t>Savings bank deposits</t>
  </si>
  <si>
    <t>Fixed deposits</t>
  </si>
  <si>
    <t>Bearer certificate of deposits</t>
  </si>
  <si>
    <t>Other liabilities</t>
  </si>
  <si>
    <t>Non-Controlling Interest</t>
  </si>
  <si>
    <t>Total Liabilities</t>
  </si>
  <si>
    <t>Capital/Shareholders' Equity</t>
  </si>
  <si>
    <t>Paid-up capital</t>
  </si>
  <si>
    <t>Statutory reserve</t>
  </si>
  <si>
    <t>FOREX Gain/Loss</t>
  </si>
  <si>
    <t>Retained earnings</t>
  </si>
  <si>
    <t>Total Shareholders' Equity</t>
  </si>
  <si>
    <t>Total Liabilities and Shareholders' Equity</t>
  </si>
  <si>
    <t>Income Statement</t>
  </si>
  <si>
    <t>OPERATING INCOME</t>
  </si>
  <si>
    <t>Interest Income</t>
  </si>
  <si>
    <t>Interest paid on deposit,borrowings,etc</t>
  </si>
  <si>
    <t>Net Interest income</t>
  </si>
  <si>
    <t>Investment income</t>
  </si>
  <si>
    <t>Commission,exchange,and brokerage</t>
  </si>
  <si>
    <t>Other income</t>
  </si>
  <si>
    <t>Total operating income(a)</t>
  </si>
  <si>
    <t>OPERATING EXPENSES</t>
  </si>
  <si>
    <t>Salary and allowances</t>
  </si>
  <si>
    <t>Rent,taxes,insurances,electricity,etc</t>
  </si>
  <si>
    <t>Legal expenses</t>
  </si>
  <si>
    <t>Postage,stamps,telecommunication,etc</t>
  </si>
  <si>
    <t>Stationery,printing,advertisement,etc</t>
  </si>
  <si>
    <t>Chief executive's salary and fees</t>
  </si>
  <si>
    <t>Directors' fees</t>
  </si>
  <si>
    <t>Auditors' fees</t>
  </si>
  <si>
    <t>Charges on loan losses</t>
  </si>
  <si>
    <t>Depreciation and repair of Bank's asset</t>
  </si>
  <si>
    <t>Other expenses</t>
  </si>
  <si>
    <t>Total operating expenses(b)</t>
  </si>
  <si>
    <t>Other non operating income</t>
  </si>
  <si>
    <t>Profit before provision(c=a-b)</t>
  </si>
  <si>
    <t>Provision for diminution in value of investment</t>
  </si>
  <si>
    <t>Total provision(d)</t>
  </si>
  <si>
    <t>Profit before taxation(c-d)</t>
  </si>
  <si>
    <t>Provision for taxation</t>
  </si>
  <si>
    <t>Current tax</t>
  </si>
  <si>
    <t>Deferred tax</t>
  </si>
  <si>
    <t>Net profit after taxation</t>
  </si>
  <si>
    <t>Earnings per share (EPS)</t>
  </si>
  <si>
    <t>Cash Flow Statement</t>
  </si>
  <si>
    <t xml:space="preserve"> Cash flow from operating activities:(A)</t>
  </si>
  <si>
    <t xml:space="preserve">Interest receipts </t>
  </si>
  <si>
    <t>Interest payments</t>
  </si>
  <si>
    <t>Salaries and allowances paid</t>
  </si>
  <si>
    <t xml:space="preserve">Depreciation charged </t>
  </si>
  <si>
    <t>Income from investments</t>
  </si>
  <si>
    <t>Dividend received</t>
  </si>
  <si>
    <t xml:space="preserve">Fees and commision receipts </t>
  </si>
  <si>
    <t>Recoveries on loans previously written off</t>
  </si>
  <si>
    <t>Cash payment to employee</t>
  </si>
  <si>
    <t>Cash payment to suppliers</t>
  </si>
  <si>
    <t>Income tax paid</t>
  </si>
  <si>
    <t>Receipts from other operating activities</t>
  </si>
  <si>
    <t>Payment for other operating activities</t>
  </si>
  <si>
    <t>Operating Profit before changes in operating assets &amp; liabilities</t>
  </si>
  <si>
    <t xml:space="preserve">Increase / (Decrease) in operating assets and liabilities </t>
  </si>
  <si>
    <t>Statutory deposit</t>
  </si>
  <si>
    <t>Deposit from other banks</t>
  </si>
  <si>
    <t>Certificate of Deposit</t>
  </si>
  <si>
    <t>Trading liabilities</t>
  </si>
  <si>
    <t>Balance against cash reserve requirement</t>
  </si>
  <si>
    <t>Recovery of BCCI assets</t>
  </si>
  <si>
    <t>(Purchase)/sale of trading securities,bonds,etc</t>
  </si>
  <si>
    <t>Non Banking asset</t>
  </si>
  <si>
    <t>Liability for Tax</t>
  </si>
  <si>
    <t>Liability for Provision</t>
  </si>
  <si>
    <t>Forex Gain/Loss</t>
  </si>
  <si>
    <t>Other liablities</t>
  </si>
  <si>
    <t xml:space="preserve">Net cash from/(used in) operating activities </t>
  </si>
  <si>
    <t>Cash flow from investing activities:(B)</t>
  </si>
  <si>
    <t>Dividend Received</t>
  </si>
  <si>
    <t>Interest Received</t>
  </si>
  <si>
    <t>Purchase of property,plant,and equipment</t>
  </si>
  <si>
    <t>Net cash from/(used) in investing activities</t>
  </si>
  <si>
    <t>Cash flows from financing activities:(C)</t>
  </si>
  <si>
    <t>Increase in long-term borrowing</t>
  </si>
  <si>
    <t>Decrease in long-term borrowing</t>
  </si>
  <si>
    <t>Dividend paid</t>
  </si>
  <si>
    <t>Net cash from/(used) in financng activities</t>
  </si>
  <si>
    <t>Net increase in cash and cash equivalents (A+B+C)</t>
  </si>
  <si>
    <t xml:space="preserve">Cash and Cash equivalent at beginning of the year </t>
  </si>
  <si>
    <t>Cash and Cash equivalent at end of the year (*)</t>
  </si>
  <si>
    <t>Other deposits</t>
  </si>
  <si>
    <t>Minority Interest</t>
  </si>
  <si>
    <t>Provision for Loans and Advances</t>
  </si>
  <si>
    <t>Other provisions</t>
  </si>
  <si>
    <t>Payment to Suppliers</t>
  </si>
  <si>
    <t>Loans and advances to customers</t>
  </si>
  <si>
    <t xml:space="preserve">Income Received from Investment </t>
  </si>
  <si>
    <t>Sale of securities</t>
  </si>
  <si>
    <t>Payments for Purchase of Securities</t>
  </si>
  <si>
    <t>Sunordinated Bond</t>
  </si>
  <si>
    <t>Deferred Tax Income</t>
  </si>
  <si>
    <t>Sale of property,plant,and equipment</t>
  </si>
  <si>
    <t>Issue of Subordinated Bond</t>
  </si>
  <si>
    <t>Mutual Trust Bank Limited</t>
  </si>
  <si>
    <t xml:space="preserve">Special Notice Deposits </t>
  </si>
  <si>
    <t>Revaluation Reserve on Investment in Securities</t>
  </si>
  <si>
    <t>General Reserve</t>
  </si>
  <si>
    <t>Provision against Investment</t>
  </si>
  <si>
    <t>Deposit from Customers</t>
  </si>
  <si>
    <t>Treasury Bills/Bonds</t>
  </si>
  <si>
    <t>NOCFPS</t>
  </si>
  <si>
    <t>Net Assets Value per Share</t>
  </si>
  <si>
    <t>Ratio</t>
  </si>
  <si>
    <t>Net Interest Margin</t>
  </si>
  <si>
    <t>Operating Margin</t>
  </si>
  <si>
    <t>Net Margin</t>
  </si>
  <si>
    <t>Return on Asset (ROA)</t>
  </si>
  <si>
    <t>Return on Equity (ROE)</t>
  </si>
  <si>
    <t>Capital to Risk Weighted Assets Ratio</t>
  </si>
  <si>
    <t>Non Performing Loan</t>
  </si>
  <si>
    <t>Advance to Deposit Ratio (A/D)</t>
  </si>
  <si>
    <t>General provision for loans and advances</t>
  </si>
  <si>
    <t>Provision for off balance sheet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</si>
</sst>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Bernard MT Condensed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0" borderId="0" xfId="0" applyBorder="1"/>
    <xf numFmtId="0" fontId="6" fillId="0" borderId="1" xfId="0" applyFont="1" applyBorder="1"/>
    <xf numFmtId="0" fontId="6" fillId="0" borderId="2" xfId="0" applyFont="1" applyBorder="1"/>
    <xf numFmtId="0" fontId="7" fillId="0" borderId="0" xfId="0" applyFont="1"/>
    <xf numFmtId="0" fontId="2" fillId="0" borderId="0" xfId="0" applyFont="1"/>
    <xf numFmtId="37" fontId="2" fillId="0" borderId="0" xfId="0" applyNumberFormat="1" applyFont="1"/>
    <xf numFmtId="37" fontId="0" fillId="0" borderId="0" xfId="0" applyNumberFormat="1"/>
    <xf numFmtId="3" fontId="0" fillId="0" borderId="0" xfId="0" applyNumberFormat="1"/>
    <xf numFmtId="3" fontId="0" fillId="0" borderId="0" xfId="0" applyNumberFormat="1" applyFont="1"/>
    <xf numFmtId="3" fontId="2" fillId="0" borderId="0" xfId="0" applyNumberFormat="1" applyFont="1"/>
    <xf numFmtId="164" fontId="2" fillId="0" borderId="0" xfId="1" applyNumberFormat="1" applyFont="1"/>
    <xf numFmtId="0" fontId="0" fillId="0" borderId="0" xfId="0" applyFont="1"/>
    <xf numFmtId="164" fontId="0" fillId="0" borderId="0" xfId="1" applyNumberFormat="1" applyFont="1"/>
    <xf numFmtId="37" fontId="7" fillId="0" borderId="0" xfId="0" applyNumberFormat="1" applyFont="1"/>
    <xf numFmtId="37" fontId="0" fillId="0" borderId="0" xfId="0" applyNumberFormat="1" applyFont="1"/>
    <xf numFmtId="39" fontId="2" fillId="0" borderId="0" xfId="0" applyNumberFormat="1" applyFont="1"/>
    <xf numFmtId="0" fontId="7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8" fillId="0" borderId="0" xfId="0" applyFont="1" applyBorder="1"/>
    <xf numFmtId="0" fontId="0" fillId="0" borderId="0" xfId="0" applyFill="1"/>
    <xf numFmtId="0" fontId="9" fillId="0" borderId="0" xfId="0" applyFont="1" applyBorder="1"/>
    <xf numFmtId="0" fontId="2" fillId="0" borderId="0" xfId="0" applyFont="1" applyBorder="1"/>
    <xf numFmtId="0" fontId="2" fillId="0" borderId="0" xfId="0" applyFont="1" applyFill="1"/>
    <xf numFmtId="0" fontId="0" fillId="0" borderId="0" xfId="0" applyFont="1" applyBorder="1"/>
    <xf numFmtId="0" fontId="0" fillId="0" borderId="0" xfId="0" applyFont="1" applyFill="1" applyBorder="1"/>
    <xf numFmtId="164" fontId="0" fillId="0" borderId="0" xfId="1" applyNumberFormat="1" applyFont="1" applyFill="1"/>
    <xf numFmtId="2" fontId="0" fillId="0" borderId="0" xfId="0" applyNumberFormat="1"/>
    <xf numFmtId="2" fontId="2" fillId="0" borderId="0" xfId="0" applyNumberFormat="1" applyFont="1"/>
    <xf numFmtId="0" fontId="8" fillId="0" borderId="0" xfId="0" applyFont="1"/>
    <xf numFmtId="1" fontId="8" fillId="0" borderId="0" xfId="1" applyNumberFormat="1" applyFont="1" applyAlignment="1">
      <alignment horizontal="center"/>
    </xf>
    <xf numFmtId="10" fontId="0" fillId="0" borderId="0" xfId="2" applyNumberFormat="1" applyFont="1"/>
    <xf numFmtId="10" fontId="0" fillId="0" borderId="0" xfId="0" applyNumberFormat="1"/>
    <xf numFmtId="164" fontId="0" fillId="0" borderId="0" xfId="0" applyNumberFormat="1"/>
    <xf numFmtId="164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2"/>
  <sheetViews>
    <sheetView topLeftCell="A25" workbookViewId="0">
      <selection activeCell="H48" sqref="H48"/>
    </sheetView>
  </sheetViews>
  <sheetFormatPr defaultRowHeight="15" x14ac:dyDescent="0.25"/>
  <cols>
    <col min="2" max="2" width="55.42578125" bestFit="1" customWidth="1"/>
    <col min="3" max="4" width="18" bestFit="1" customWidth="1"/>
    <col min="5" max="5" width="15.5703125" bestFit="1" customWidth="1"/>
    <col min="6" max="7" width="18" bestFit="1" customWidth="1"/>
    <col min="8" max="8" width="18.28515625" customWidth="1"/>
  </cols>
  <sheetData>
    <row r="1" spans="2:8" ht="23.25" x14ac:dyDescent="0.35">
      <c r="B1" s="1" t="s">
        <v>128</v>
      </c>
    </row>
    <row r="2" spans="2:8" ht="18.75" x14ac:dyDescent="0.3">
      <c r="B2" s="2" t="s">
        <v>0</v>
      </c>
    </row>
    <row r="3" spans="2:8" ht="15.75" x14ac:dyDescent="0.25">
      <c r="B3" s="3" t="s">
        <v>1</v>
      </c>
    </row>
    <row r="4" spans="2:8" ht="15.75" x14ac:dyDescent="0.25">
      <c r="B4" s="4"/>
      <c r="C4" s="5">
        <v>2013</v>
      </c>
      <c r="D4" s="5">
        <v>2014</v>
      </c>
      <c r="E4" s="5">
        <v>2015</v>
      </c>
      <c r="F4" s="5">
        <v>2016</v>
      </c>
      <c r="G4" s="5">
        <v>2017</v>
      </c>
      <c r="H4" s="5">
        <v>2018</v>
      </c>
    </row>
    <row r="5" spans="2:8" ht="18.75" x14ac:dyDescent="0.3">
      <c r="B5" s="7" t="s">
        <v>2</v>
      </c>
    </row>
    <row r="6" spans="2:8" s="8" customFormat="1" x14ac:dyDescent="0.25">
      <c r="B6" s="8" t="s">
        <v>3</v>
      </c>
      <c r="C6" s="9">
        <f t="shared" ref="C6:H6" si="0">C7+C8</f>
        <v>7169407855</v>
      </c>
      <c r="D6" s="9">
        <f t="shared" si="0"/>
        <v>8933605158</v>
      </c>
      <c r="E6" s="9">
        <f t="shared" si="0"/>
        <v>9485078898</v>
      </c>
      <c r="F6" s="9">
        <f t="shared" si="0"/>
        <v>11263046577</v>
      </c>
      <c r="G6" s="9">
        <f t="shared" si="0"/>
        <v>13077123517</v>
      </c>
      <c r="H6" s="9">
        <f t="shared" si="0"/>
        <v>12301086194</v>
      </c>
    </row>
    <row r="7" spans="2:8" x14ac:dyDescent="0.25">
      <c r="B7" t="s">
        <v>4</v>
      </c>
      <c r="C7" s="11">
        <v>1715994704</v>
      </c>
      <c r="D7" s="11">
        <v>1592524446</v>
      </c>
      <c r="E7" s="12">
        <v>1664181296</v>
      </c>
      <c r="F7" s="12">
        <v>1987478022</v>
      </c>
      <c r="G7" s="11">
        <v>2191164252</v>
      </c>
      <c r="H7" s="11">
        <v>2520607136</v>
      </c>
    </row>
    <row r="8" spans="2:8" x14ac:dyDescent="0.25">
      <c r="B8" t="s">
        <v>5</v>
      </c>
      <c r="C8" s="11">
        <v>5453413151</v>
      </c>
      <c r="D8" s="11">
        <v>7341080712</v>
      </c>
      <c r="E8" s="11">
        <v>7820897602</v>
      </c>
      <c r="F8" s="11">
        <v>9275568555</v>
      </c>
      <c r="G8" s="11">
        <v>10885959265</v>
      </c>
      <c r="H8" s="11">
        <v>9780479058</v>
      </c>
    </row>
    <row r="9" spans="2:8" s="8" customFormat="1" x14ac:dyDescent="0.25">
      <c r="B9" s="8" t="s">
        <v>6</v>
      </c>
      <c r="C9" s="9">
        <f t="shared" ref="C9:H9" si="1">C10+C11</f>
        <v>1633866234</v>
      </c>
      <c r="D9" s="9">
        <f t="shared" si="1"/>
        <v>2173783801</v>
      </c>
      <c r="E9" s="9">
        <f t="shared" si="1"/>
        <v>3134309829</v>
      </c>
      <c r="F9" s="9">
        <f t="shared" si="1"/>
        <v>8148416411</v>
      </c>
      <c r="G9" s="9">
        <f t="shared" si="1"/>
        <v>2798256664</v>
      </c>
      <c r="H9" s="9">
        <f t="shared" si="1"/>
        <v>3176565149</v>
      </c>
    </row>
    <row r="10" spans="2:8" x14ac:dyDescent="0.25">
      <c r="B10" t="s">
        <v>7</v>
      </c>
      <c r="C10" s="11">
        <v>1320657340</v>
      </c>
      <c r="D10" s="11">
        <v>1898902497</v>
      </c>
      <c r="E10" s="11">
        <v>2464407003</v>
      </c>
      <c r="F10" s="11">
        <v>7286894739</v>
      </c>
      <c r="G10" s="11">
        <v>1030004295</v>
      </c>
      <c r="H10" s="11">
        <v>861661189</v>
      </c>
    </row>
    <row r="11" spans="2:8" x14ac:dyDescent="0.25">
      <c r="B11" t="s">
        <v>8</v>
      </c>
      <c r="C11" s="11">
        <v>313208894</v>
      </c>
      <c r="D11" s="11">
        <v>274881304</v>
      </c>
      <c r="E11" s="11">
        <v>669902826</v>
      </c>
      <c r="F11" s="11">
        <v>861521672</v>
      </c>
      <c r="G11" s="11">
        <v>1768252369</v>
      </c>
      <c r="H11" s="11">
        <v>2314903960</v>
      </c>
    </row>
    <row r="12" spans="2:8" s="8" customFormat="1" x14ac:dyDescent="0.25">
      <c r="B12" s="8" t="s">
        <v>9</v>
      </c>
      <c r="C12" s="13">
        <v>460000000</v>
      </c>
      <c r="D12" s="14"/>
      <c r="E12" s="14">
        <v>1790000000</v>
      </c>
      <c r="F12" s="13">
        <v>990000000</v>
      </c>
      <c r="G12" s="13">
        <v>4690000000</v>
      </c>
      <c r="H12" s="13">
        <v>1580000000</v>
      </c>
    </row>
    <row r="13" spans="2:8" s="8" customFormat="1" x14ac:dyDescent="0.25">
      <c r="B13" s="8" t="s">
        <v>10</v>
      </c>
      <c r="C13" s="9">
        <f t="shared" ref="C13:H13" si="2">C14+C15</f>
        <v>25824406855</v>
      </c>
      <c r="D13" s="9">
        <f t="shared" si="2"/>
        <v>20767846269</v>
      </c>
      <c r="E13" s="9">
        <f t="shared" si="2"/>
        <v>26210389906</v>
      </c>
      <c r="F13" s="9">
        <f t="shared" si="2"/>
        <v>21942058933</v>
      </c>
      <c r="G13" s="9">
        <f t="shared" si="2"/>
        <v>25105802134</v>
      </c>
      <c r="H13" s="9">
        <f t="shared" si="2"/>
        <v>27388395082</v>
      </c>
    </row>
    <row r="14" spans="2:8" x14ac:dyDescent="0.25">
      <c r="B14" s="15" t="s">
        <v>11</v>
      </c>
      <c r="C14" s="11">
        <v>23806295142</v>
      </c>
      <c r="D14" s="11">
        <v>18482257105</v>
      </c>
      <c r="E14" s="11">
        <v>23542771441</v>
      </c>
      <c r="F14" s="11">
        <v>19627418568</v>
      </c>
      <c r="G14" s="11">
        <v>22703494533</v>
      </c>
      <c r="H14" s="11">
        <v>24421226713</v>
      </c>
    </row>
    <row r="15" spans="2:8" x14ac:dyDescent="0.25">
      <c r="B15" s="15" t="s">
        <v>12</v>
      </c>
      <c r="C15" s="11">
        <v>2018111713</v>
      </c>
      <c r="D15" s="11">
        <v>2285589164</v>
      </c>
      <c r="E15" s="11">
        <v>2667618465</v>
      </c>
      <c r="F15" s="11">
        <v>2314640365</v>
      </c>
      <c r="G15" s="11">
        <v>2402307601</v>
      </c>
      <c r="H15" s="11">
        <v>2967168369</v>
      </c>
    </row>
    <row r="16" spans="2:8" s="8" customFormat="1" x14ac:dyDescent="0.25">
      <c r="B16" s="8" t="s">
        <v>13</v>
      </c>
      <c r="C16" s="9">
        <f t="shared" ref="C16:H16" si="3">C17+C18</f>
        <v>59548362590</v>
      </c>
      <c r="D16" s="9">
        <f t="shared" si="3"/>
        <v>77140918049</v>
      </c>
      <c r="E16" s="9">
        <f t="shared" si="3"/>
        <v>97588775690</v>
      </c>
      <c r="F16" s="9">
        <f t="shared" si="3"/>
        <v>114355762842</v>
      </c>
      <c r="G16" s="9">
        <f t="shared" si="3"/>
        <v>145606993782</v>
      </c>
      <c r="H16" s="9">
        <f t="shared" si="3"/>
        <v>166145119129</v>
      </c>
    </row>
    <row r="17" spans="2:8" x14ac:dyDescent="0.25">
      <c r="B17" s="15" t="s">
        <v>14</v>
      </c>
      <c r="C17" s="11">
        <v>57954404092</v>
      </c>
      <c r="D17" s="11">
        <v>74940867534</v>
      </c>
      <c r="E17" s="11">
        <v>95251684203</v>
      </c>
      <c r="F17" s="11">
        <v>112071881968</v>
      </c>
      <c r="G17" s="11">
        <v>143429214788</v>
      </c>
      <c r="H17" s="11">
        <v>163394332234</v>
      </c>
    </row>
    <row r="18" spans="2:8" x14ac:dyDescent="0.25">
      <c r="B18" s="15" t="s">
        <v>15</v>
      </c>
      <c r="C18" s="11">
        <v>1593958498</v>
      </c>
      <c r="D18" s="11">
        <v>2200050515</v>
      </c>
      <c r="E18" s="11">
        <v>2337091487</v>
      </c>
      <c r="F18" s="11">
        <v>2283880874</v>
      </c>
      <c r="G18" s="11">
        <v>2177778994</v>
      </c>
      <c r="H18" s="11">
        <v>2750786895</v>
      </c>
    </row>
    <row r="19" spans="2:8" s="8" customFormat="1" x14ac:dyDescent="0.25">
      <c r="B19" s="8" t="s">
        <v>16</v>
      </c>
      <c r="C19" s="13">
        <v>2458193366</v>
      </c>
      <c r="D19" s="14">
        <v>2488892429</v>
      </c>
      <c r="E19" s="13">
        <v>3181829846</v>
      </c>
      <c r="F19" s="13">
        <v>3140971243</v>
      </c>
      <c r="G19" s="13">
        <v>3211265364</v>
      </c>
      <c r="H19" s="8">
        <v>3128176263</v>
      </c>
    </row>
    <row r="20" spans="2:8" s="8" customFormat="1" x14ac:dyDescent="0.25">
      <c r="B20" s="8" t="s">
        <v>17</v>
      </c>
      <c r="C20" s="13">
        <v>4369303561</v>
      </c>
      <c r="D20" s="14">
        <v>4795916269</v>
      </c>
      <c r="E20" s="13">
        <v>4682931966</v>
      </c>
      <c r="F20" s="13">
        <v>5530430863</v>
      </c>
      <c r="G20" s="13">
        <v>7264492733</v>
      </c>
      <c r="H20" s="8">
        <v>8725556034</v>
      </c>
    </row>
    <row r="21" spans="2:8" s="8" customFormat="1" x14ac:dyDescent="0.25">
      <c r="B21" s="8" t="s">
        <v>18</v>
      </c>
      <c r="C21" s="13"/>
      <c r="E21" s="13"/>
      <c r="F21" s="13"/>
      <c r="G21" s="13"/>
    </row>
    <row r="22" spans="2:8" s="8" customFormat="1" x14ac:dyDescent="0.25">
      <c r="B22" s="8" t="s">
        <v>19</v>
      </c>
      <c r="C22" s="9">
        <f t="shared" ref="C22:E22" si="4">C6+C9+C13+C16+C12+C19+C20+C21</f>
        <v>101463540461</v>
      </c>
      <c r="D22" s="9">
        <f t="shared" si="4"/>
        <v>116300961975</v>
      </c>
      <c r="E22" s="9">
        <f t="shared" si="4"/>
        <v>146073316135</v>
      </c>
      <c r="F22" s="9">
        <f>F6+F9+F13+F16+F12+F19+F20+F21</f>
        <v>165370686869</v>
      </c>
      <c r="G22" s="9">
        <f>G6+G9+G13+G16+G12+G19+G20+G21</f>
        <v>201753934194</v>
      </c>
      <c r="H22" s="9">
        <f>H6+H9+H13+H16+H12+H19+H20+H21</f>
        <v>222444897851</v>
      </c>
    </row>
    <row r="23" spans="2:8" ht="18.75" x14ac:dyDescent="0.3">
      <c r="B23" s="7" t="s">
        <v>20</v>
      </c>
    </row>
    <row r="24" spans="2:8" x14ac:dyDescent="0.25">
      <c r="B24" s="8" t="s">
        <v>21</v>
      </c>
    </row>
    <row r="25" spans="2:8" s="8" customFormat="1" x14ac:dyDescent="0.25">
      <c r="B25" s="8" t="s">
        <v>22</v>
      </c>
      <c r="C25" s="13">
        <v>2637966323</v>
      </c>
      <c r="D25" s="14">
        <v>3744412388</v>
      </c>
      <c r="E25" s="13">
        <v>5096591403</v>
      </c>
      <c r="F25" s="13">
        <v>8706459450</v>
      </c>
      <c r="G25" s="13">
        <v>16417678099</v>
      </c>
      <c r="H25" s="13">
        <v>19640823048</v>
      </c>
    </row>
    <row r="26" spans="2:8" x14ac:dyDescent="0.25">
      <c r="B26" s="8" t="s">
        <v>23</v>
      </c>
    </row>
    <row r="27" spans="2:8" x14ac:dyDescent="0.25">
      <c r="B27" s="15" t="s">
        <v>24</v>
      </c>
      <c r="C27" s="11">
        <v>11509180644</v>
      </c>
      <c r="D27" s="11">
        <v>8224267403</v>
      </c>
      <c r="E27" s="11">
        <v>9585910146</v>
      </c>
      <c r="F27" s="11">
        <v>12301476077</v>
      </c>
      <c r="G27" s="11">
        <v>14652100509</v>
      </c>
      <c r="H27" s="11">
        <v>14090900316</v>
      </c>
    </row>
    <row r="28" spans="2:8" x14ac:dyDescent="0.25">
      <c r="B28" s="15" t="s">
        <v>25</v>
      </c>
    </row>
    <row r="29" spans="2:8" x14ac:dyDescent="0.25">
      <c r="B29" s="15" t="s">
        <v>26</v>
      </c>
      <c r="C29" s="11">
        <v>779790179</v>
      </c>
      <c r="D29" s="11">
        <v>1284280568</v>
      </c>
      <c r="E29" s="11">
        <v>1253293664</v>
      </c>
      <c r="F29" s="11">
        <v>1751051731</v>
      </c>
      <c r="G29" s="11">
        <v>2100804374</v>
      </c>
      <c r="H29" s="11">
        <v>1703433803</v>
      </c>
    </row>
    <row r="30" spans="2:8" x14ac:dyDescent="0.25">
      <c r="B30" t="s">
        <v>27</v>
      </c>
      <c r="C30" s="11">
        <v>11097954735</v>
      </c>
      <c r="D30" s="11">
        <v>14383897873</v>
      </c>
      <c r="E30" s="11">
        <v>17908495890</v>
      </c>
      <c r="F30" s="11">
        <v>23710184165</v>
      </c>
      <c r="G30" s="11">
        <v>27479479774</v>
      </c>
      <c r="H30" s="11">
        <v>28239575869</v>
      </c>
    </row>
    <row r="31" spans="2:8" x14ac:dyDescent="0.25">
      <c r="B31" t="s">
        <v>129</v>
      </c>
      <c r="C31" s="11"/>
      <c r="D31" s="11">
        <v>7996686936</v>
      </c>
      <c r="E31" s="11">
        <v>13677064566</v>
      </c>
      <c r="F31" s="11">
        <v>11645986993</v>
      </c>
      <c r="G31" s="11">
        <v>11721963726</v>
      </c>
      <c r="H31" s="11">
        <v>12863186737</v>
      </c>
    </row>
    <row r="32" spans="2:8" x14ac:dyDescent="0.25">
      <c r="B32" t="s">
        <v>28</v>
      </c>
      <c r="C32" s="11">
        <v>48281499552</v>
      </c>
      <c r="D32" s="11">
        <v>49411783655</v>
      </c>
      <c r="E32" s="11">
        <v>55707789090</v>
      </c>
      <c r="F32" s="11">
        <v>55803465444</v>
      </c>
      <c r="G32" s="11">
        <v>67113942085</v>
      </c>
      <c r="H32" s="11">
        <v>77043035120</v>
      </c>
    </row>
    <row r="33" spans="2:8" x14ac:dyDescent="0.25">
      <c r="B33" t="s">
        <v>29</v>
      </c>
      <c r="D33" s="11">
        <v>7221285354</v>
      </c>
      <c r="E33" s="11">
        <v>8767689699</v>
      </c>
    </row>
    <row r="34" spans="2:8" x14ac:dyDescent="0.25">
      <c r="B34" t="s">
        <v>115</v>
      </c>
      <c r="C34" s="16">
        <f>12704315678+6503676337</f>
        <v>19207992015</v>
      </c>
      <c r="D34" s="16">
        <v>14763820639</v>
      </c>
      <c r="E34" s="16">
        <v>20272165502</v>
      </c>
      <c r="F34" s="16">
        <v>26060165863</v>
      </c>
      <c r="G34" s="16">
        <v>28707775033</v>
      </c>
      <c r="H34" s="11">
        <v>32220158580</v>
      </c>
    </row>
    <row r="35" spans="2:8" s="8" customFormat="1" x14ac:dyDescent="0.25">
      <c r="C35" s="9">
        <f t="shared" ref="C35:H35" si="5">SUM(C27:C34)</f>
        <v>90876417125</v>
      </c>
      <c r="D35" s="9">
        <f>SUM(D27:D34)</f>
        <v>103286022428</v>
      </c>
      <c r="E35" s="9">
        <f t="shared" si="5"/>
        <v>127172408557</v>
      </c>
      <c r="F35" s="9">
        <f>SUM(F27:F34)</f>
        <v>131272330273</v>
      </c>
      <c r="G35" s="9">
        <f t="shared" si="5"/>
        <v>151776065501</v>
      </c>
      <c r="H35" s="9">
        <f t="shared" si="5"/>
        <v>166160290425</v>
      </c>
    </row>
    <row r="36" spans="2:8" s="8" customFormat="1" x14ac:dyDescent="0.25">
      <c r="B36" s="8" t="s">
        <v>30</v>
      </c>
      <c r="C36" s="13"/>
      <c r="E36" s="13"/>
      <c r="F36" s="13">
        <v>11323514980</v>
      </c>
      <c r="G36" s="13">
        <v>13798103840</v>
      </c>
      <c r="H36" s="8">
        <v>15964827954</v>
      </c>
    </row>
    <row r="37" spans="2:8" s="8" customFormat="1" x14ac:dyDescent="0.25">
      <c r="B37" s="8" t="s">
        <v>124</v>
      </c>
      <c r="C37" s="13">
        <v>2500000000</v>
      </c>
      <c r="D37" s="13">
        <v>2500000000</v>
      </c>
      <c r="E37" s="13">
        <v>4875000000</v>
      </c>
      <c r="F37" s="13">
        <v>4250000000</v>
      </c>
      <c r="G37" s="13">
        <v>8000000000</v>
      </c>
      <c r="H37" s="8">
        <v>7400000000</v>
      </c>
    </row>
    <row r="38" spans="2:8" s="8" customFormat="1" x14ac:dyDescent="0.25"/>
    <row r="39" spans="2:8" s="8" customFormat="1" x14ac:dyDescent="0.25">
      <c r="B39" s="8" t="s">
        <v>32</v>
      </c>
      <c r="C39" s="9">
        <f t="shared" ref="C39:F39" si="6">C37+C25+C35+C36</f>
        <v>96014383448</v>
      </c>
      <c r="D39" s="9">
        <f t="shared" si="6"/>
        <v>109530434816</v>
      </c>
      <c r="E39" s="9">
        <f t="shared" si="6"/>
        <v>137143999960</v>
      </c>
      <c r="F39" s="9">
        <f t="shared" si="6"/>
        <v>155552304703</v>
      </c>
      <c r="G39" s="9">
        <f>G37+G25+G35+G36</f>
        <v>189991847440</v>
      </c>
      <c r="H39" s="9">
        <f>H37+H25+H35+H36</f>
        <v>209165941427</v>
      </c>
    </row>
    <row r="40" spans="2:8" x14ac:dyDescent="0.25">
      <c r="B40" s="8" t="s">
        <v>33</v>
      </c>
    </row>
    <row r="41" spans="2:8" x14ac:dyDescent="0.25">
      <c r="B41" s="15" t="s">
        <v>34</v>
      </c>
      <c r="C41" s="11">
        <v>2797848240</v>
      </c>
      <c r="D41" s="11">
        <v>3077633060</v>
      </c>
      <c r="E41" s="11">
        <v>3693159670</v>
      </c>
      <c r="F41" s="11">
        <v>4431791600</v>
      </c>
      <c r="G41" s="11">
        <v>5096560340</v>
      </c>
      <c r="H41" s="11">
        <v>5733630380</v>
      </c>
    </row>
    <row r="42" spans="2:8" x14ac:dyDescent="0.25">
      <c r="B42" s="15" t="s">
        <v>35</v>
      </c>
      <c r="C42" s="11">
        <v>1917204582</v>
      </c>
      <c r="D42" s="11">
        <v>2276079020</v>
      </c>
      <c r="E42" s="11">
        <v>2721143746</v>
      </c>
      <c r="F42" s="11">
        <v>3187766825</v>
      </c>
      <c r="G42" s="11">
        <v>3622224031</v>
      </c>
      <c r="H42" s="11">
        <v>4096004358</v>
      </c>
    </row>
    <row r="43" spans="2:8" x14ac:dyDescent="0.25">
      <c r="B43" s="15" t="s">
        <v>36</v>
      </c>
      <c r="C43" s="11">
        <v>1070995</v>
      </c>
      <c r="D43" s="11">
        <v>2344209</v>
      </c>
      <c r="E43" s="11">
        <v>3366587</v>
      </c>
      <c r="F43" s="11">
        <v>8903015</v>
      </c>
      <c r="G43" s="11">
        <v>7667134</v>
      </c>
      <c r="H43" s="11">
        <v>6143266</v>
      </c>
    </row>
    <row r="44" spans="2:8" x14ac:dyDescent="0.25">
      <c r="B44" s="15" t="s">
        <v>130</v>
      </c>
      <c r="C44" s="11">
        <v>161739327</v>
      </c>
      <c r="D44" s="11">
        <v>520276266</v>
      </c>
      <c r="E44" s="11">
        <v>1311845893</v>
      </c>
      <c r="F44" s="11">
        <v>731782030</v>
      </c>
      <c r="G44" s="11">
        <v>696384694</v>
      </c>
      <c r="H44" s="11">
        <v>480328680</v>
      </c>
    </row>
    <row r="45" spans="2:8" x14ac:dyDescent="0.25">
      <c r="B45" s="15" t="s">
        <v>116</v>
      </c>
      <c r="C45" s="11">
        <v>93167</v>
      </c>
      <c r="D45" s="11">
        <v>119146</v>
      </c>
      <c r="E45" s="11">
        <v>128373</v>
      </c>
      <c r="F45" s="11">
        <v>122139</v>
      </c>
      <c r="G45" s="11">
        <v>124686</v>
      </c>
    </row>
    <row r="46" spans="2:8" x14ac:dyDescent="0.25">
      <c r="B46" s="15" t="s">
        <v>131</v>
      </c>
      <c r="C46" s="16">
        <v>276777325</v>
      </c>
      <c r="D46" s="16">
        <v>276777324</v>
      </c>
      <c r="E46" s="16">
        <v>446777324</v>
      </c>
      <c r="F46" s="11">
        <v>616777324</v>
      </c>
      <c r="G46" s="11">
        <v>616777324</v>
      </c>
      <c r="H46" s="11">
        <v>786777324</v>
      </c>
    </row>
    <row r="47" spans="2:8" x14ac:dyDescent="0.25">
      <c r="B47" s="15" t="s">
        <v>37</v>
      </c>
      <c r="C47" s="11">
        <v>294423377</v>
      </c>
      <c r="D47" s="11">
        <v>617298134</v>
      </c>
      <c r="E47" s="11">
        <v>752894582</v>
      </c>
      <c r="F47" s="11">
        <v>841239233</v>
      </c>
      <c r="G47" s="11">
        <v>1722348545</v>
      </c>
      <c r="H47" s="11">
        <v>2175943964</v>
      </c>
    </row>
    <row r="48" spans="2:8" s="8" customFormat="1" x14ac:dyDescent="0.25">
      <c r="B48" s="8" t="s">
        <v>38</v>
      </c>
      <c r="C48" s="9">
        <f t="shared" ref="C48:H48" si="7">SUM(C41:C47)</f>
        <v>5449157013</v>
      </c>
      <c r="D48" s="9">
        <f t="shared" si="7"/>
        <v>6770527159</v>
      </c>
      <c r="E48" s="9">
        <f t="shared" si="7"/>
        <v>8929316175</v>
      </c>
      <c r="F48" s="9">
        <f t="shared" si="7"/>
        <v>9818382166</v>
      </c>
      <c r="G48" s="9">
        <f t="shared" si="7"/>
        <v>11762086754</v>
      </c>
      <c r="H48" s="9">
        <f t="shared" si="7"/>
        <v>13278827972</v>
      </c>
    </row>
    <row r="49" spans="2:8" s="8" customFormat="1" x14ac:dyDescent="0.25">
      <c r="B49" s="8" t="s">
        <v>39</v>
      </c>
      <c r="C49" s="9">
        <f t="shared" ref="C49:H49" si="8">C48+C39</f>
        <v>101463540461</v>
      </c>
      <c r="D49" s="9">
        <f t="shared" si="8"/>
        <v>116300961975</v>
      </c>
      <c r="E49" s="9">
        <f t="shared" si="8"/>
        <v>146073316135</v>
      </c>
      <c r="F49" s="9">
        <f t="shared" si="8"/>
        <v>165370686869</v>
      </c>
      <c r="G49" s="9">
        <f t="shared" si="8"/>
        <v>201753934194</v>
      </c>
      <c r="H49" s="9">
        <f t="shared" si="8"/>
        <v>222444769399</v>
      </c>
    </row>
    <row r="50" spans="2:8" x14ac:dyDescent="0.25">
      <c r="C50" s="24"/>
    </row>
    <row r="52" spans="2:8" x14ac:dyDescent="0.25">
      <c r="B52" s="8" t="s">
        <v>136</v>
      </c>
      <c r="C52" s="32">
        <f>C48/(C41/10)</f>
        <v>19.476242260373635</v>
      </c>
      <c r="D52" s="32">
        <f t="shared" ref="D52:H52" si="9">D48/(D41/10)</f>
        <v>21.999137086862461</v>
      </c>
      <c r="E52" s="32">
        <f t="shared" si="9"/>
        <v>24.177985716496249</v>
      </c>
      <c r="F52" s="32">
        <f t="shared" si="9"/>
        <v>22.154431101859572</v>
      </c>
      <c r="G52" s="32">
        <f t="shared" si="9"/>
        <v>23.078480326596114</v>
      </c>
      <c r="H52" s="32">
        <f t="shared" si="9"/>
        <v>23.159546555911753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7"/>
  <sheetViews>
    <sheetView topLeftCell="A26" workbookViewId="0">
      <selection activeCell="H41" sqref="B38:H42"/>
    </sheetView>
  </sheetViews>
  <sheetFormatPr defaultRowHeight="15" x14ac:dyDescent="0.25"/>
  <cols>
    <col min="2" max="2" width="53.28515625" bestFit="1" customWidth="1"/>
    <col min="3" max="3" width="17.85546875" bestFit="1" customWidth="1"/>
    <col min="4" max="4" width="15" bestFit="1" customWidth="1"/>
    <col min="5" max="5" width="14.5703125" bestFit="1" customWidth="1"/>
    <col min="6" max="7" width="15" bestFit="1" customWidth="1"/>
    <col min="8" max="8" width="18.140625" customWidth="1"/>
  </cols>
  <sheetData>
    <row r="1" spans="2:8" ht="23.25" x14ac:dyDescent="0.35">
      <c r="B1" s="1" t="s">
        <v>128</v>
      </c>
    </row>
    <row r="2" spans="2:8" ht="18.75" x14ac:dyDescent="0.3">
      <c r="B2" s="2" t="s">
        <v>40</v>
      </c>
    </row>
    <row r="3" spans="2:8" ht="15.75" x14ac:dyDescent="0.25">
      <c r="B3" s="3" t="s">
        <v>1</v>
      </c>
    </row>
    <row r="4" spans="2:8" ht="15.75" x14ac:dyDescent="0.25">
      <c r="B4" s="4"/>
      <c r="C4" s="5">
        <v>2013</v>
      </c>
      <c r="D4" s="6">
        <v>2014</v>
      </c>
      <c r="E4" s="5">
        <v>2015</v>
      </c>
      <c r="F4" s="6">
        <v>2016</v>
      </c>
      <c r="G4" s="5">
        <v>2017</v>
      </c>
      <c r="H4" s="5">
        <v>2018</v>
      </c>
    </row>
    <row r="5" spans="2:8" ht="18.75" x14ac:dyDescent="0.3">
      <c r="B5" s="7" t="s">
        <v>41</v>
      </c>
    </row>
    <row r="6" spans="2:8" x14ac:dyDescent="0.25">
      <c r="B6" s="10" t="s">
        <v>42</v>
      </c>
      <c r="C6" s="11">
        <v>8984990174</v>
      </c>
      <c r="D6" s="10">
        <v>9716735358</v>
      </c>
      <c r="E6" s="11">
        <v>10790129679</v>
      </c>
      <c r="F6" s="11">
        <v>11381372890</v>
      </c>
      <c r="G6" s="11">
        <v>12160542962</v>
      </c>
      <c r="H6" s="37">
        <v>15687277155</v>
      </c>
    </row>
    <row r="7" spans="2:8" x14ac:dyDescent="0.25">
      <c r="B7" s="10" t="s">
        <v>43</v>
      </c>
      <c r="C7" s="11">
        <v>7957130247</v>
      </c>
      <c r="D7" s="10">
        <v>7881712195</v>
      </c>
      <c r="E7" s="11">
        <v>7926014779</v>
      </c>
      <c r="F7" s="11">
        <v>7503094801</v>
      </c>
      <c r="G7" s="11">
        <v>7852867671</v>
      </c>
      <c r="H7" s="37">
        <v>10436062969</v>
      </c>
    </row>
    <row r="8" spans="2:8" s="8" customFormat="1" x14ac:dyDescent="0.25">
      <c r="B8" s="9" t="s">
        <v>44</v>
      </c>
      <c r="C8" s="9">
        <f t="shared" ref="C8:H8" si="0">C6-C7</f>
        <v>1027859927</v>
      </c>
      <c r="D8" s="9">
        <f t="shared" si="0"/>
        <v>1835023163</v>
      </c>
      <c r="E8" s="9">
        <f t="shared" si="0"/>
        <v>2864114900</v>
      </c>
      <c r="F8" s="9">
        <f t="shared" si="0"/>
        <v>3878278089</v>
      </c>
      <c r="G8" s="9">
        <f t="shared" si="0"/>
        <v>4307675291</v>
      </c>
      <c r="H8" s="9">
        <f t="shared" si="0"/>
        <v>5251214186</v>
      </c>
    </row>
    <row r="9" spans="2:8" x14ac:dyDescent="0.25">
      <c r="B9" s="10" t="s">
        <v>45</v>
      </c>
      <c r="C9" s="11">
        <v>2466231850</v>
      </c>
      <c r="D9" s="10">
        <v>2492377440</v>
      </c>
      <c r="E9" s="11">
        <v>2293907041</v>
      </c>
      <c r="F9" s="11">
        <v>2010544355</v>
      </c>
      <c r="G9" s="11">
        <v>2127213334</v>
      </c>
      <c r="H9" s="37">
        <v>2343167734</v>
      </c>
    </row>
    <row r="10" spans="2:8" x14ac:dyDescent="0.25">
      <c r="B10" s="10" t="s">
        <v>46</v>
      </c>
      <c r="C10" s="11">
        <v>769630665</v>
      </c>
      <c r="D10" s="10">
        <v>941049720</v>
      </c>
      <c r="E10" s="11">
        <v>1005088077</v>
      </c>
      <c r="F10" s="11">
        <v>1228154940</v>
      </c>
      <c r="G10" s="11">
        <v>1578009117</v>
      </c>
      <c r="H10" s="37">
        <v>1682805559</v>
      </c>
    </row>
    <row r="11" spans="2:8" x14ac:dyDescent="0.25">
      <c r="B11" s="10" t="s">
        <v>47</v>
      </c>
      <c r="C11" s="11">
        <v>355264401</v>
      </c>
      <c r="D11" s="10">
        <v>421761120</v>
      </c>
      <c r="E11" s="11">
        <v>417144416</v>
      </c>
      <c r="F11" s="11">
        <v>397902578</v>
      </c>
      <c r="G11" s="11">
        <v>466395805</v>
      </c>
      <c r="H11" s="37">
        <v>551932140</v>
      </c>
    </row>
    <row r="12" spans="2:8" s="8" customFormat="1" x14ac:dyDescent="0.25">
      <c r="B12" s="9"/>
      <c r="C12" s="9">
        <f t="shared" ref="C12:H12" si="1">SUM(C9:C11)</f>
        <v>3591126916</v>
      </c>
      <c r="D12" s="9">
        <f t="shared" si="1"/>
        <v>3855188280</v>
      </c>
      <c r="E12" s="9">
        <f t="shared" si="1"/>
        <v>3716139534</v>
      </c>
      <c r="F12" s="9">
        <f t="shared" si="1"/>
        <v>3636601873</v>
      </c>
      <c r="G12" s="9">
        <f t="shared" si="1"/>
        <v>4171618256</v>
      </c>
      <c r="H12" s="9">
        <f t="shared" si="1"/>
        <v>4577905433</v>
      </c>
    </row>
    <row r="13" spans="2:8" x14ac:dyDescent="0.25">
      <c r="B13" s="9" t="s">
        <v>48</v>
      </c>
      <c r="C13" s="9">
        <f t="shared" ref="C13:H13" si="2">C8+C12</f>
        <v>4618986843</v>
      </c>
      <c r="D13" s="9">
        <f t="shared" si="2"/>
        <v>5690211443</v>
      </c>
      <c r="E13" s="9">
        <f t="shared" si="2"/>
        <v>6580254434</v>
      </c>
      <c r="F13" s="9">
        <f t="shared" si="2"/>
        <v>7514879962</v>
      </c>
      <c r="G13" s="9">
        <f t="shared" si="2"/>
        <v>8479293547</v>
      </c>
      <c r="H13" s="9">
        <f t="shared" si="2"/>
        <v>9829119619</v>
      </c>
    </row>
    <row r="14" spans="2:8" ht="18.75" x14ac:dyDescent="0.3">
      <c r="B14" s="17" t="s">
        <v>49</v>
      </c>
      <c r="H14" s="37"/>
    </row>
    <row r="15" spans="2:8" x14ac:dyDescent="0.25">
      <c r="B15" s="10" t="s">
        <v>50</v>
      </c>
      <c r="C15" s="11">
        <v>1210627316</v>
      </c>
      <c r="D15" s="10">
        <v>1480618517</v>
      </c>
      <c r="E15" s="11">
        <v>2022279260</v>
      </c>
      <c r="F15" s="11">
        <v>2256194529</v>
      </c>
      <c r="G15" s="11">
        <v>2402684185</v>
      </c>
      <c r="H15" s="37">
        <v>2711522726</v>
      </c>
    </row>
    <row r="16" spans="2:8" x14ac:dyDescent="0.25">
      <c r="B16" s="10" t="s">
        <v>51</v>
      </c>
      <c r="C16" s="11">
        <v>477223454</v>
      </c>
      <c r="D16" s="10">
        <v>527554464</v>
      </c>
      <c r="E16" s="11">
        <v>551878393</v>
      </c>
      <c r="F16" s="11">
        <v>601537153</v>
      </c>
      <c r="G16" s="11">
        <v>664468164</v>
      </c>
      <c r="H16" s="37">
        <v>696453008</v>
      </c>
    </row>
    <row r="17" spans="2:8" x14ac:dyDescent="0.25">
      <c r="B17" s="10" t="s">
        <v>52</v>
      </c>
      <c r="C17" s="11">
        <v>1900320</v>
      </c>
      <c r="D17" s="10">
        <v>3160064</v>
      </c>
      <c r="E17" s="11">
        <v>3526515</v>
      </c>
      <c r="F17" s="11">
        <v>3385938</v>
      </c>
      <c r="G17" s="11">
        <v>3568913</v>
      </c>
      <c r="H17" s="37">
        <v>3369120</v>
      </c>
    </row>
    <row r="18" spans="2:8" x14ac:dyDescent="0.25">
      <c r="B18" s="10" t="s">
        <v>53</v>
      </c>
      <c r="C18" s="11">
        <v>66216589</v>
      </c>
      <c r="D18" s="10">
        <v>13580176</v>
      </c>
      <c r="E18" s="11">
        <v>14972388</v>
      </c>
      <c r="F18" s="11">
        <v>9647331</v>
      </c>
      <c r="G18" s="11">
        <v>7076154</v>
      </c>
      <c r="H18" s="37">
        <v>14635616</v>
      </c>
    </row>
    <row r="19" spans="2:8" x14ac:dyDescent="0.25">
      <c r="B19" s="10" t="s">
        <v>54</v>
      </c>
      <c r="C19" s="11">
        <v>87257490</v>
      </c>
      <c r="D19" s="10">
        <v>105650937</v>
      </c>
      <c r="E19" s="11">
        <v>100566611</v>
      </c>
      <c r="F19" s="11">
        <v>83175269</v>
      </c>
      <c r="G19" s="11">
        <v>101173252</v>
      </c>
      <c r="H19" s="37">
        <v>124717809</v>
      </c>
    </row>
    <row r="20" spans="2:8" x14ac:dyDescent="0.25">
      <c r="B20" s="10" t="s">
        <v>55</v>
      </c>
      <c r="C20" s="11">
        <v>11789333</v>
      </c>
      <c r="D20" s="10">
        <v>14999333</v>
      </c>
      <c r="E20" s="10">
        <v>16240933</v>
      </c>
      <c r="F20" s="11">
        <v>17315333</v>
      </c>
      <c r="G20" s="11">
        <v>18275334</v>
      </c>
      <c r="H20" s="37">
        <v>19235333</v>
      </c>
    </row>
    <row r="21" spans="2:8" x14ac:dyDescent="0.25">
      <c r="B21" s="10" t="s">
        <v>56</v>
      </c>
      <c r="C21" s="11">
        <v>775000</v>
      </c>
      <c r="D21" s="10">
        <v>1724500</v>
      </c>
      <c r="E21" s="11">
        <v>2468150</v>
      </c>
      <c r="F21" s="11">
        <v>3031033</v>
      </c>
      <c r="G21" s="11">
        <v>3441200</v>
      </c>
      <c r="H21" s="37">
        <v>3340700</v>
      </c>
    </row>
    <row r="22" spans="2:8" x14ac:dyDescent="0.25">
      <c r="B22" s="10" t="s">
        <v>57</v>
      </c>
      <c r="C22" s="11">
        <v>1396061</v>
      </c>
      <c r="D22" s="10">
        <v>1449419</v>
      </c>
      <c r="E22" s="11">
        <v>1426336</v>
      </c>
      <c r="F22" s="11">
        <v>2580355</v>
      </c>
      <c r="G22" s="11">
        <v>1776066</v>
      </c>
      <c r="H22" s="37">
        <v>1838605</v>
      </c>
    </row>
    <row r="23" spans="2:8" x14ac:dyDescent="0.25">
      <c r="B23" s="10" t="s">
        <v>58</v>
      </c>
      <c r="H23" s="37"/>
    </row>
    <row r="24" spans="2:8" x14ac:dyDescent="0.25">
      <c r="B24" s="10" t="s">
        <v>59</v>
      </c>
      <c r="C24" s="11">
        <v>269728113</v>
      </c>
      <c r="D24" s="10">
        <v>305146481</v>
      </c>
      <c r="E24" s="11">
        <v>363334024</v>
      </c>
      <c r="F24" s="11">
        <v>390901907</v>
      </c>
      <c r="G24" s="11">
        <v>429753440</v>
      </c>
      <c r="H24" s="37">
        <v>464482047</v>
      </c>
    </row>
    <row r="25" spans="2:8" x14ac:dyDescent="0.25">
      <c r="B25" s="10" t="s">
        <v>60</v>
      </c>
      <c r="C25" s="11">
        <v>466212101</v>
      </c>
      <c r="D25" s="10">
        <v>633169128</v>
      </c>
      <c r="E25" s="11">
        <v>692786878</v>
      </c>
      <c r="F25" s="11">
        <v>738998678</v>
      </c>
      <c r="G25" s="11">
        <v>931357187</v>
      </c>
      <c r="H25" s="37">
        <v>905196708</v>
      </c>
    </row>
    <row r="26" spans="2:8" s="8" customFormat="1" x14ac:dyDescent="0.25">
      <c r="B26" s="9" t="s">
        <v>61</v>
      </c>
      <c r="C26" s="9">
        <f t="shared" ref="C26:H26" si="3">SUM(C15:C25)</f>
        <v>2593125777</v>
      </c>
      <c r="D26" s="9">
        <f t="shared" si="3"/>
        <v>3087053019</v>
      </c>
      <c r="E26" s="9">
        <f t="shared" si="3"/>
        <v>3769479488</v>
      </c>
      <c r="F26" s="9">
        <f t="shared" si="3"/>
        <v>4106767526</v>
      </c>
      <c r="G26" s="9">
        <f t="shared" si="3"/>
        <v>4563573895</v>
      </c>
      <c r="H26" s="9">
        <f t="shared" si="3"/>
        <v>4944791672</v>
      </c>
    </row>
    <row r="27" spans="2:8" s="8" customFormat="1" x14ac:dyDescent="0.25">
      <c r="B27" s="9" t="s">
        <v>62</v>
      </c>
      <c r="H27" s="38"/>
    </row>
    <row r="28" spans="2:8" s="8" customFormat="1" x14ac:dyDescent="0.25">
      <c r="B28" s="9" t="s">
        <v>63</v>
      </c>
      <c r="C28" s="9">
        <f t="shared" ref="C28:H28" si="4">C13-C26+C27</f>
        <v>2025861066</v>
      </c>
      <c r="D28" s="9">
        <f t="shared" si="4"/>
        <v>2603158424</v>
      </c>
      <c r="E28" s="9">
        <f t="shared" si="4"/>
        <v>2810774946</v>
      </c>
      <c r="F28" s="9">
        <f t="shared" si="4"/>
        <v>3408112436</v>
      </c>
      <c r="G28" s="9">
        <f t="shared" si="4"/>
        <v>3915719652</v>
      </c>
      <c r="H28" s="9">
        <f t="shared" si="4"/>
        <v>4884327947</v>
      </c>
    </row>
    <row r="29" spans="2:8" x14ac:dyDescent="0.25">
      <c r="B29" s="18" t="s">
        <v>117</v>
      </c>
      <c r="C29" s="11">
        <v>455899298</v>
      </c>
      <c r="D29" s="10">
        <v>427530521</v>
      </c>
      <c r="E29" s="11">
        <v>439368230</v>
      </c>
      <c r="F29" s="11">
        <v>864534528</v>
      </c>
      <c r="G29" s="11">
        <v>1490755481</v>
      </c>
      <c r="H29" s="37">
        <v>2223526000</v>
      </c>
    </row>
    <row r="30" spans="2:8" x14ac:dyDescent="0.25">
      <c r="B30" s="18" t="s">
        <v>146</v>
      </c>
      <c r="C30" s="11"/>
      <c r="D30" s="10"/>
      <c r="E30" s="11"/>
      <c r="F30" s="11"/>
      <c r="G30" s="11"/>
      <c r="H30" s="37">
        <v>591000</v>
      </c>
    </row>
    <row r="31" spans="2:8" x14ac:dyDescent="0.25">
      <c r="B31" s="18" t="s">
        <v>147</v>
      </c>
      <c r="C31" s="11"/>
      <c r="D31" s="10"/>
      <c r="E31" s="11"/>
      <c r="F31" s="11"/>
      <c r="G31" s="11"/>
      <c r="H31" s="37">
        <v>5342050</v>
      </c>
    </row>
    <row r="32" spans="2:8" x14ac:dyDescent="0.25">
      <c r="B32" s="18" t="s">
        <v>132</v>
      </c>
      <c r="C32" s="11">
        <v>170647985</v>
      </c>
      <c r="D32" s="10">
        <v>243760404</v>
      </c>
      <c r="E32" s="11">
        <v>90236109</v>
      </c>
      <c r="F32" s="11"/>
      <c r="G32" s="11"/>
      <c r="H32" s="37">
        <v>0</v>
      </c>
    </row>
    <row r="33" spans="2:8" x14ac:dyDescent="0.25">
      <c r="B33" s="10" t="s">
        <v>118</v>
      </c>
      <c r="D33" s="11">
        <v>2469480</v>
      </c>
      <c r="E33" s="11">
        <v>7530520</v>
      </c>
      <c r="F33" s="11">
        <v>11000000</v>
      </c>
      <c r="G33" s="11">
        <v>10000000</v>
      </c>
      <c r="H33" s="37">
        <v>10000000</v>
      </c>
    </row>
    <row r="34" spans="2:8" x14ac:dyDescent="0.25">
      <c r="B34" s="10" t="s">
        <v>64</v>
      </c>
      <c r="C34" s="16"/>
      <c r="D34" s="16"/>
      <c r="E34" s="16"/>
      <c r="F34" s="16">
        <v>71100000</v>
      </c>
      <c r="G34" s="16">
        <v>155492999</v>
      </c>
      <c r="H34" s="37">
        <v>103000000</v>
      </c>
    </row>
    <row r="35" spans="2:8" s="8" customFormat="1" x14ac:dyDescent="0.25">
      <c r="B35" s="9" t="s">
        <v>65</v>
      </c>
      <c r="C35" s="9">
        <f t="shared" ref="C35:H35" si="5">SUM(C29:C34)</f>
        <v>626547283</v>
      </c>
      <c r="D35" s="9">
        <f t="shared" si="5"/>
        <v>673760405</v>
      </c>
      <c r="E35" s="9">
        <f t="shared" si="5"/>
        <v>537134859</v>
      </c>
      <c r="F35" s="9">
        <f t="shared" si="5"/>
        <v>946634528</v>
      </c>
      <c r="G35" s="9">
        <f t="shared" si="5"/>
        <v>1656248480</v>
      </c>
      <c r="H35" s="9">
        <f t="shared" si="5"/>
        <v>2342459050</v>
      </c>
    </row>
    <row r="36" spans="2:8" s="8" customFormat="1" x14ac:dyDescent="0.25">
      <c r="B36" s="9" t="s">
        <v>66</v>
      </c>
      <c r="C36" s="9">
        <f t="shared" ref="C36:H36" si="6">C28-C35</f>
        <v>1399313783</v>
      </c>
      <c r="D36" s="9">
        <f t="shared" si="6"/>
        <v>1929398019</v>
      </c>
      <c r="E36" s="9">
        <f t="shared" si="6"/>
        <v>2273640087</v>
      </c>
      <c r="F36" s="9">
        <f t="shared" si="6"/>
        <v>2461477908</v>
      </c>
      <c r="G36" s="9">
        <f t="shared" si="6"/>
        <v>2259471172</v>
      </c>
      <c r="H36" s="9">
        <f t="shared" si="6"/>
        <v>2541868897</v>
      </c>
    </row>
    <row r="37" spans="2:8" s="8" customFormat="1" x14ac:dyDescent="0.25">
      <c r="B37" s="9"/>
      <c r="C37" s="9"/>
      <c r="D37" s="9"/>
      <c r="E37" s="9"/>
      <c r="F37" s="9"/>
      <c r="G37" s="9"/>
      <c r="H37" s="38"/>
    </row>
    <row r="38" spans="2:8" s="8" customFormat="1" x14ac:dyDescent="0.25">
      <c r="B38" s="9" t="s">
        <v>67</v>
      </c>
      <c r="C38" s="13">
        <f>C39+C40</f>
        <v>826061583</v>
      </c>
      <c r="D38" s="13">
        <f t="shared" ref="D38:F38" si="7">D39+D40</f>
        <v>967838025</v>
      </c>
      <c r="E38" s="13">
        <f t="shared" si="7"/>
        <v>907443078</v>
      </c>
      <c r="F38" s="13">
        <f t="shared" si="7"/>
        <v>997884480</v>
      </c>
      <c r="G38" s="13">
        <f>G39+G40</f>
        <v>279133367</v>
      </c>
      <c r="H38" s="13">
        <f>H39+H40</f>
        <v>807419347</v>
      </c>
    </row>
    <row r="39" spans="2:8" x14ac:dyDescent="0.25">
      <c r="B39" s="10" t="s">
        <v>68</v>
      </c>
      <c r="C39" s="11">
        <v>850844790</v>
      </c>
      <c r="D39" s="11">
        <v>863833583</v>
      </c>
      <c r="E39" s="11">
        <v>807188494</v>
      </c>
      <c r="F39" s="11">
        <v>961277823</v>
      </c>
      <c r="G39" s="11">
        <v>1180006962</v>
      </c>
      <c r="H39" s="37">
        <v>1047932817</v>
      </c>
    </row>
    <row r="40" spans="2:8" x14ac:dyDescent="0.25">
      <c r="B40" s="10" t="s">
        <v>69</v>
      </c>
      <c r="C40" s="11">
        <v>-24783207</v>
      </c>
      <c r="D40" s="11">
        <v>104004442</v>
      </c>
      <c r="E40" s="11">
        <v>100254584</v>
      </c>
      <c r="F40" s="11">
        <v>36606657</v>
      </c>
      <c r="G40" s="11">
        <v>-900873595</v>
      </c>
      <c r="H40" s="37">
        <v>-240513470</v>
      </c>
    </row>
    <row r="41" spans="2:8" x14ac:dyDescent="0.25">
      <c r="B41" s="10" t="s">
        <v>125</v>
      </c>
      <c r="C41" s="11"/>
      <c r="D41" s="10"/>
      <c r="E41" s="16"/>
      <c r="F41" s="11"/>
      <c r="G41" s="11"/>
      <c r="H41" s="37"/>
    </row>
    <row r="42" spans="2:8" s="8" customFormat="1" x14ac:dyDescent="0.25">
      <c r="B42" s="9" t="s">
        <v>70</v>
      </c>
      <c r="C42" s="9">
        <f>C36-C38-C37</f>
        <v>573252200</v>
      </c>
      <c r="D42" s="9">
        <f t="shared" ref="D42:H42" si="8">D36-D38-D37</f>
        <v>961559994</v>
      </c>
      <c r="E42" s="9">
        <f t="shared" si="8"/>
        <v>1366197009</v>
      </c>
      <c r="F42" s="9">
        <f t="shared" si="8"/>
        <v>1463593428</v>
      </c>
      <c r="G42" s="9">
        <f t="shared" si="8"/>
        <v>1980337805</v>
      </c>
      <c r="H42" s="9">
        <f t="shared" si="8"/>
        <v>1734449550</v>
      </c>
    </row>
    <row r="43" spans="2:8" x14ac:dyDescent="0.25">
      <c r="B43" s="19"/>
    </row>
    <row r="44" spans="2:8" x14ac:dyDescent="0.25">
      <c r="B44" s="19" t="s">
        <v>71</v>
      </c>
      <c r="C44" s="31">
        <f>C42/('1'!C41/10)</f>
        <v>2.0489038390445367</v>
      </c>
      <c r="D44" s="31">
        <f>D42/('1'!D41/10)</f>
        <v>3.1243490541396772</v>
      </c>
      <c r="E44" s="31">
        <f>E42/('1'!E41/10)</f>
        <v>3.6992633167143842</v>
      </c>
      <c r="F44" s="31">
        <f>F42/('1'!F41/10)</f>
        <v>3.3024870303016955</v>
      </c>
      <c r="G44" s="31">
        <f>G42/('1'!G41/10)</f>
        <v>3.8856359444181523</v>
      </c>
      <c r="H44" s="31">
        <f>H42/('1'!H41/10)</f>
        <v>3.0250459744494376</v>
      </c>
    </row>
    <row r="45" spans="2:8" x14ac:dyDescent="0.25">
      <c r="B45" s="9"/>
    </row>
    <row r="46" spans="2:8" x14ac:dyDescent="0.25">
      <c r="B46" s="9"/>
      <c r="C46" s="11"/>
      <c r="D46" s="11"/>
      <c r="E46" s="11"/>
      <c r="F46" s="11"/>
      <c r="G46" s="11"/>
    </row>
    <row r="47" spans="2:8" x14ac:dyDescent="0.25">
      <c r="B47" s="9"/>
      <c r="C47" s="11"/>
      <c r="D47" s="11"/>
      <c r="E47" s="11"/>
      <c r="F47" s="11"/>
      <c r="G47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1"/>
  <sheetViews>
    <sheetView tabSelected="1" topLeftCell="A49" workbookViewId="0">
      <selection activeCell="G66" sqref="G66:H66"/>
    </sheetView>
  </sheetViews>
  <sheetFormatPr defaultRowHeight="15" x14ac:dyDescent="0.25"/>
  <cols>
    <col min="2" max="2" width="58.7109375" bestFit="1" customWidth="1"/>
    <col min="3" max="6" width="18.7109375" bestFit="1" customWidth="1"/>
    <col min="7" max="7" width="16" bestFit="1" customWidth="1"/>
    <col min="8" max="8" width="18.140625" customWidth="1"/>
  </cols>
  <sheetData>
    <row r="1" spans="2:8" ht="23.25" x14ac:dyDescent="0.35">
      <c r="B1" s="1" t="s">
        <v>128</v>
      </c>
    </row>
    <row r="2" spans="2:8" ht="18.75" x14ac:dyDescent="0.3">
      <c r="B2" s="2" t="s">
        <v>72</v>
      </c>
    </row>
    <row r="3" spans="2:8" ht="15.75" x14ac:dyDescent="0.25">
      <c r="B3" s="3" t="s">
        <v>1</v>
      </c>
    </row>
    <row r="4" spans="2:8" ht="15.75" x14ac:dyDescent="0.25">
      <c r="B4" s="4"/>
      <c r="C4" s="5">
        <v>2013</v>
      </c>
      <c r="D4" s="5">
        <v>2014</v>
      </c>
      <c r="E4" s="6">
        <v>2015</v>
      </c>
      <c r="F4" s="5">
        <v>2016</v>
      </c>
      <c r="G4" s="5">
        <v>2017</v>
      </c>
      <c r="H4" s="5">
        <v>2018</v>
      </c>
    </row>
    <row r="5" spans="2:8" ht="18.75" x14ac:dyDescent="0.3">
      <c r="B5" s="20" t="s">
        <v>73</v>
      </c>
    </row>
    <row r="6" spans="2:8" x14ac:dyDescent="0.25">
      <c r="B6" s="4" t="s">
        <v>74</v>
      </c>
      <c r="C6" s="16">
        <v>11392281733</v>
      </c>
      <c r="D6" s="16">
        <v>12152869004</v>
      </c>
      <c r="E6" s="16">
        <v>13026871797</v>
      </c>
      <c r="F6" s="16">
        <v>13302673011</v>
      </c>
      <c r="G6" s="16">
        <v>13897831077</v>
      </c>
      <c r="H6" s="16">
        <v>17846615061</v>
      </c>
    </row>
    <row r="7" spans="2:8" x14ac:dyDescent="0.25">
      <c r="B7" s="4" t="s">
        <v>75</v>
      </c>
      <c r="C7" s="16">
        <v>-8002885252</v>
      </c>
      <c r="D7" s="16">
        <v>-7991123938</v>
      </c>
      <c r="E7" s="16">
        <v>-8032847155</v>
      </c>
      <c r="F7" s="16">
        <v>-7896093791</v>
      </c>
      <c r="G7" s="16">
        <v>-7757573822</v>
      </c>
      <c r="H7" s="16">
        <v>-9890149671</v>
      </c>
    </row>
    <row r="8" spans="2:8" x14ac:dyDescent="0.25">
      <c r="B8" s="21" t="s">
        <v>119</v>
      </c>
      <c r="C8" s="16"/>
      <c r="D8" s="16"/>
      <c r="E8" s="16"/>
      <c r="F8" s="16"/>
      <c r="G8" s="16"/>
    </row>
    <row r="9" spans="2:8" x14ac:dyDescent="0.25">
      <c r="B9" s="21" t="s">
        <v>76</v>
      </c>
      <c r="C9" s="16"/>
      <c r="D9" s="16"/>
      <c r="E9" s="16"/>
      <c r="F9" s="16"/>
      <c r="G9" s="16"/>
    </row>
    <row r="10" spans="2:8" x14ac:dyDescent="0.25">
      <c r="B10" s="21" t="s">
        <v>77</v>
      </c>
      <c r="C10" s="16"/>
      <c r="D10" s="16"/>
      <c r="E10" s="16"/>
      <c r="F10" s="16"/>
      <c r="G10" s="16"/>
    </row>
    <row r="11" spans="2:8" x14ac:dyDescent="0.25">
      <c r="B11" s="21" t="s">
        <v>78</v>
      </c>
      <c r="C11" s="16"/>
      <c r="D11" s="16"/>
      <c r="E11" s="16"/>
      <c r="F11" s="16"/>
      <c r="G11" s="16"/>
    </row>
    <row r="12" spans="2:8" x14ac:dyDescent="0.25">
      <c r="B12" s="21" t="s">
        <v>79</v>
      </c>
      <c r="C12" s="16">
        <v>58940290</v>
      </c>
      <c r="D12" s="16">
        <v>56243794</v>
      </c>
      <c r="E12" s="16">
        <v>57164924</v>
      </c>
      <c r="F12" s="16">
        <v>66092791</v>
      </c>
      <c r="G12" s="16">
        <v>172759484</v>
      </c>
      <c r="H12" s="16">
        <v>83522850</v>
      </c>
    </row>
    <row r="13" spans="2:8" x14ac:dyDescent="0.25">
      <c r="B13" s="4" t="s">
        <v>80</v>
      </c>
      <c r="C13" s="16">
        <v>562295401</v>
      </c>
      <c r="D13" s="16">
        <v>949044250</v>
      </c>
      <c r="E13" s="16">
        <v>1005088077</v>
      </c>
      <c r="F13" s="16">
        <v>1228154940</v>
      </c>
      <c r="G13" s="16">
        <v>1578009117</v>
      </c>
      <c r="H13" s="16">
        <v>1682805559</v>
      </c>
    </row>
    <row r="14" spans="2:8" x14ac:dyDescent="0.25">
      <c r="B14" s="21" t="s">
        <v>81</v>
      </c>
      <c r="C14" s="16">
        <v>5900000</v>
      </c>
      <c r="D14" s="16">
        <v>7336952</v>
      </c>
      <c r="E14" s="16">
        <v>1100990</v>
      </c>
      <c r="F14" s="16">
        <v>900000</v>
      </c>
      <c r="G14" s="16">
        <v>1238700</v>
      </c>
      <c r="H14" s="16">
        <v>964000</v>
      </c>
    </row>
    <row r="15" spans="2:8" x14ac:dyDescent="0.25">
      <c r="B15" s="4" t="s">
        <v>82</v>
      </c>
      <c r="C15" s="16">
        <v>-1121839551</v>
      </c>
      <c r="D15" s="16">
        <v>-1495617850</v>
      </c>
      <c r="E15" s="16">
        <v>-2038520193</v>
      </c>
      <c r="F15" s="16">
        <v>-2273509862</v>
      </c>
      <c r="G15" s="16">
        <v>-2420959519</v>
      </c>
      <c r="H15" s="16">
        <v>-2730758059</v>
      </c>
    </row>
    <row r="16" spans="2:8" x14ac:dyDescent="0.25">
      <c r="B16" s="4" t="s">
        <v>83</v>
      </c>
      <c r="C16" s="16"/>
      <c r="D16" s="16"/>
      <c r="E16" s="16"/>
      <c r="F16" s="16">
        <v>-83175269</v>
      </c>
      <c r="G16" s="16">
        <v>-101173252</v>
      </c>
      <c r="H16" s="16">
        <v>-124717809</v>
      </c>
    </row>
    <row r="17" spans="2:8" x14ac:dyDescent="0.25">
      <c r="B17" s="4" t="s">
        <v>84</v>
      </c>
      <c r="C17" s="16">
        <v>-669113985</v>
      </c>
      <c r="D17" s="16">
        <v>-741772809</v>
      </c>
      <c r="E17" s="16">
        <v>-466822027</v>
      </c>
      <c r="F17" s="16">
        <v>-731203379</v>
      </c>
      <c r="G17" s="16">
        <v>-1056691254</v>
      </c>
      <c r="H17" s="16">
        <v>-1012393682</v>
      </c>
    </row>
    <row r="18" spans="2:8" x14ac:dyDescent="0.25">
      <c r="B18" s="4" t="s">
        <v>85</v>
      </c>
      <c r="C18" s="16">
        <v>556699665</v>
      </c>
      <c r="D18" s="16">
        <v>613964429</v>
      </c>
      <c r="E18" s="16">
        <v>734442054</v>
      </c>
      <c r="F18" s="16">
        <v>443892270</v>
      </c>
      <c r="G18" s="16">
        <v>515097313</v>
      </c>
      <c r="H18" s="16">
        <v>738049425</v>
      </c>
    </row>
    <row r="19" spans="2:8" x14ac:dyDescent="0.25">
      <c r="B19" s="4" t="s">
        <v>86</v>
      </c>
      <c r="C19" s="16">
        <v>-1118658667</v>
      </c>
      <c r="D19" s="16">
        <v>-1326025777</v>
      </c>
      <c r="E19" s="16">
        <v>-1421012243</v>
      </c>
      <c r="F19" s="16">
        <v>-1411952975</v>
      </c>
      <c r="G19" s="16">
        <v>-1697753189</v>
      </c>
      <c r="H19" s="16">
        <v>-1745034697</v>
      </c>
    </row>
    <row r="20" spans="2:8" s="8" customFormat="1" x14ac:dyDescent="0.25">
      <c r="B20" s="22" t="s">
        <v>87</v>
      </c>
      <c r="C20" s="9">
        <f>SUM(C6:C19)</f>
        <v>1663619634</v>
      </c>
      <c r="D20" s="9">
        <f>SUM(D6:D19)</f>
        <v>2224918055</v>
      </c>
      <c r="E20" s="9">
        <f t="shared" ref="E20:H20" si="0">SUM(E6:E19)</f>
        <v>2865466224</v>
      </c>
      <c r="F20" s="9">
        <f t="shared" si="0"/>
        <v>2645777736</v>
      </c>
      <c r="G20" s="9">
        <f t="shared" si="0"/>
        <v>3130784655</v>
      </c>
      <c r="H20" s="9">
        <f t="shared" si="0"/>
        <v>4848902977</v>
      </c>
    </row>
    <row r="21" spans="2:8" ht="15.75" x14ac:dyDescent="0.25">
      <c r="B21" s="23" t="s">
        <v>88</v>
      </c>
      <c r="C21" s="24"/>
    </row>
    <row r="22" spans="2:8" ht="15.75" x14ac:dyDescent="0.25">
      <c r="B22" s="25" t="s">
        <v>134</v>
      </c>
      <c r="C22" s="16">
        <v>-143180402</v>
      </c>
      <c r="D22" s="11">
        <v>1525786363</v>
      </c>
      <c r="E22" s="16">
        <v>-4182489393</v>
      </c>
      <c r="F22" s="16">
        <v>-16756679343</v>
      </c>
      <c r="G22" s="16">
        <v>-31224446230</v>
      </c>
      <c r="H22" s="16">
        <v>-20560108373</v>
      </c>
    </row>
    <row r="23" spans="2:8" x14ac:dyDescent="0.25">
      <c r="B23" s="4" t="s">
        <v>120</v>
      </c>
      <c r="C23" s="16">
        <v>-3037285367</v>
      </c>
      <c r="D23" s="16">
        <v>-17592555459</v>
      </c>
      <c r="E23" s="16">
        <v>-20447857641</v>
      </c>
      <c r="F23" s="16"/>
      <c r="G23" s="16"/>
    </row>
    <row r="24" spans="2:8" x14ac:dyDescent="0.25">
      <c r="B24" s="4" t="s">
        <v>17</v>
      </c>
      <c r="C24" s="16">
        <v>-328529346</v>
      </c>
      <c r="D24" s="16">
        <v>24168813</v>
      </c>
      <c r="E24" s="16">
        <v>579806330</v>
      </c>
      <c r="F24" s="16">
        <v>-187328178</v>
      </c>
      <c r="G24" s="16">
        <v>-535691098</v>
      </c>
      <c r="H24" s="16">
        <v>-512496899</v>
      </c>
    </row>
    <row r="25" spans="2:8" x14ac:dyDescent="0.25">
      <c r="B25" s="4" t="s">
        <v>89</v>
      </c>
      <c r="E25" s="16"/>
      <c r="F25" s="16"/>
      <c r="G25" s="16"/>
    </row>
    <row r="26" spans="2:8" x14ac:dyDescent="0.25">
      <c r="B26" s="21" t="s">
        <v>90</v>
      </c>
      <c r="C26" s="11"/>
      <c r="D26" s="11"/>
      <c r="E26" s="16"/>
      <c r="F26" s="16"/>
      <c r="G26" s="16">
        <v>10149625000</v>
      </c>
      <c r="H26" s="11">
        <v>750050000</v>
      </c>
    </row>
    <row r="27" spans="2:8" x14ac:dyDescent="0.25">
      <c r="B27" s="4" t="s">
        <v>133</v>
      </c>
      <c r="C27" s="11">
        <v>9278351287</v>
      </c>
      <c r="D27" s="11">
        <v>12142833896</v>
      </c>
      <c r="E27" s="16">
        <v>20187741328</v>
      </c>
      <c r="F27" s="16">
        <v>13311346537</v>
      </c>
      <c r="G27" s="16">
        <v>10371673913</v>
      </c>
      <c r="H27" s="11">
        <v>13074550980</v>
      </c>
    </row>
    <row r="28" spans="2:8" x14ac:dyDescent="0.25">
      <c r="B28" s="21" t="s">
        <v>91</v>
      </c>
      <c r="E28" s="16"/>
      <c r="F28" s="16"/>
      <c r="G28" s="16"/>
    </row>
    <row r="29" spans="2:8" x14ac:dyDescent="0.25">
      <c r="B29" s="21" t="s">
        <v>92</v>
      </c>
      <c r="C29" s="16"/>
      <c r="D29" s="16"/>
      <c r="E29" s="16"/>
      <c r="F29" s="16"/>
      <c r="G29" s="16"/>
    </row>
    <row r="30" spans="2:8" x14ac:dyDescent="0.25">
      <c r="B30" s="21" t="s">
        <v>93</v>
      </c>
      <c r="E30" s="16"/>
      <c r="F30" s="16"/>
      <c r="G30" s="16"/>
    </row>
    <row r="31" spans="2:8" x14ac:dyDescent="0.25">
      <c r="B31" s="21" t="s">
        <v>94</v>
      </c>
      <c r="C31" s="16"/>
      <c r="E31" s="16"/>
      <c r="F31" s="16"/>
      <c r="G31" s="16"/>
    </row>
    <row r="32" spans="2:8" x14ac:dyDescent="0.25">
      <c r="B32" s="4" t="s">
        <v>95</v>
      </c>
      <c r="E32" s="16"/>
      <c r="F32" s="16"/>
      <c r="G32" s="16"/>
    </row>
    <row r="33" spans="2:8" x14ac:dyDescent="0.25">
      <c r="B33" s="21" t="s">
        <v>96</v>
      </c>
      <c r="E33" s="16"/>
      <c r="F33" s="16"/>
      <c r="G33" s="16"/>
    </row>
    <row r="34" spans="2:8" x14ac:dyDescent="0.25">
      <c r="B34" s="21" t="s">
        <v>97</v>
      </c>
      <c r="E34" s="16"/>
      <c r="F34" s="16"/>
      <c r="G34" s="16"/>
    </row>
    <row r="35" spans="2:8" x14ac:dyDescent="0.25">
      <c r="B35" s="21" t="s">
        <v>98</v>
      </c>
      <c r="E35" s="16"/>
      <c r="F35" s="16"/>
      <c r="G35" s="16"/>
    </row>
    <row r="36" spans="2:8" x14ac:dyDescent="0.25">
      <c r="B36" s="4" t="s">
        <v>99</v>
      </c>
      <c r="E36" s="16"/>
      <c r="F36" s="16"/>
      <c r="G36" s="16"/>
    </row>
    <row r="37" spans="2:8" x14ac:dyDescent="0.25">
      <c r="B37" s="4" t="s">
        <v>100</v>
      </c>
      <c r="C37" s="16">
        <f>219686618-3324253677</f>
        <v>-3104567059</v>
      </c>
      <c r="D37" s="30">
        <f>64859703+203102505</f>
        <v>267962208</v>
      </c>
      <c r="E37" s="16">
        <f>1352179015+2375000000+1546404345</f>
        <v>5273583360</v>
      </c>
      <c r="F37" s="16">
        <f>3624640657+559812119</f>
        <v>4184452776</v>
      </c>
      <c r="G37" s="16">
        <f>7711218649+425110779</f>
        <v>8136329428</v>
      </c>
      <c r="H37">
        <v>2252737314</v>
      </c>
    </row>
    <row r="38" spans="2:8" s="8" customFormat="1" x14ac:dyDescent="0.25">
      <c r="B38" s="26"/>
      <c r="C38" s="9">
        <f t="shared" ref="C38:H38" si="1">SUM(C22:C37)</f>
        <v>2664789113</v>
      </c>
      <c r="D38" s="9">
        <f>SUM(D22:D37)</f>
        <v>-3631804179</v>
      </c>
      <c r="E38" s="9">
        <f t="shared" si="1"/>
        <v>1410783984</v>
      </c>
      <c r="F38" s="9">
        <f t="shared" si="1"/>
        <v>551791792</v>
      </c>
      <c r="G38" s="9">
        <f t="shared" si="1"/>
        <v>-3102508987</v>
      </c>
      <c r="H38" s="9">
        <f t="shared" si="1"/>
        <v>-4995266978</v>
      </c>
    </row>
    <row r="39" spans="2:8" s="8" customFormat="1" x14ac:dyDescent="0.25">
      <c r="B39" s="26"/>
      <c r="C39" s="27"/>
    </row>
    <row r="40" spans="2:8" s="8" customFormat="1" x14ac:dyDescent="0.25">
      <c r="B40" s="26" t="s">
        <v>101</v>
      </c>
      <c r="C40" s="9">
        <f t="shared" ref="C40:H40" si="2">C20+C38</f>
        <v>4328408747</v>
      </c>
      <c r="D40" s="9">
        <f>D20+D38</f>
        <v>-1406886124</v>
      </c>
      <c r="E40" s="9">
        <f t="shared" si="2"/>
        <v>4276250208</v>
      </c>
      <c r="F40" s="9">
        <f t="shared" si="2"/>
        <v>3197569528</v>
      </c>
      <c r="G40" s="9">
        <f t="shared" si="2"/>
        <v>28275668</v>
      </c>
      <c r="H40" s="9">
        <f t="shared" si="2"/>
        <v>-146364001</v>
      </c>
    </row>
    <row r="41" spans="2:8" x14ac:dyDescent="0.25">
      <c r="B41" s="26"/>
      <c r="C41" s="24"/>
      <c r="D41" s="24"/>
    </row>
    <row r="42" spans="2:8" ht="18.75" x14ac:dyDescent="0.3">
      <c r="B42" s="20" t="s">
        <v>102</v>
      </c>
    </row>
    <row r="43" spans="2:8" x14ac:dyDescent="0.25">
      <c r="B43" s="28" t="s">
        <v>121</v>
      </c>
      <c r="C43" s="16"/>
      <c r="D43" s="16"/>
      <c r="E43" s="16"/>
      <c r="F43" s="16"/>
      <c r="G43" s="16"/>
    </row>
    <row r="44" spans="2:8" x14ac:dyDescent="0.25">
      <c r="B44" s="28" t="s">
        <v>103</v>
      </c>
      <c r="C44" s="16"/>
      <c r="D44" s="16"/>
      <c r="E44" s="16"/>
      <c r="F44" s="16"/>
      <c r="G44" s="16"/>
    </row>
    <row r="45" spans="2:8" x14ac:dyDescent="0.25">
      <c r="B45" s="4" t="s">
        <v>104</v>
      </c>
      <c r="C45" s="16"/>
      <c r="D45" s="16"/>
      <c r="E45" s="16"/>
      <c r="F45" s="16"/>
      <c r="G45" s="16"/>
    </row>
    <row r="46" spans="2:8" x14ac:dyDescent="0.25">
      <c r="B46" s="4" t="s">
        <v>122</v>
      </c>
      <c r="C46" s="16"/>
      <c r="D46" s="16"/>
      <c r="E46" s="16"/>
      <c r="F46" s="16">
        <f>369838523+3334098710</f>
        <v>3703937233</v>
      </c>
      <c r="G46" s="16"/>
    </row>
    <row r="47" spans="2:8" x14ac:dyDescent="0.25">
      <c r="B47" s="4" t="s">
        <v>123</v>
      </c>
      <c r="C47" s="16">
        <v>-4182072</v>
      </c>
      <c r="D47" s="16">
        <v>-270640851</v>
      </c>
      <c r="E47" s="16">
        <v>-378865901</v>
      </c>
      <c r="F47" s="16"/>
      <c r="G47" s="16">
        <f>-87667236-3111093401</f>
        <v>-3198760637</v>
      </c>
      <c r="H47" s="16">
        <v>-2498580262</v>
      </c>
    </row>
    <row r="48" spans="2:8" x14ac:dyDescent="0.25">
      <c r="B48" s="4" t="s">
        <v>126</v>
      </c>
      <c r="C48" s="16"/>
      <c r="D48" s="16"/>
      <c r="E48" s="16"/>
      <c r="F48" s="16"/>
      <c r="G48" s="16"/>
    </row>
    <row r="49" spans="2:8" x14ac:dyDescent="0.25">
      <c r="B49" s="4" t="s">
        <v>105</v>
      </c>
      <c r="C49" s="16">
        <v>-320658360</v>
      </c>
      <c r="D49" s="16">
        <v>-282117439</v>
      </c>
      <c r="E49" s="16">
        <v>-974056004</v>
      </c>
      <c r="F49" s="16">
        <v>-297270816</v>
      </c>
      <c r="G49" s="16">
        <v>-413982057</v>
      </c>
      <c r="H49" s="16">
        <v>-261192005</v>
      </c>
    </row>
    <row r="50" spans="2:8" x14ac:dyDescent="0.25">
      <c r="B50" s="21" t="s">
        <v>31</v>
      </c>
      <c r="C50" s="16"/>
      <c r="D50" s="16"/>
      <c r="E50" s="16"/>
      <c r="F50" s="16"/>
      <c r="G50" s="16"/>
    </row>
    <row r="51" spans="2:8" s="8" customFormat="1" x14ac:dyDescent="0.25">
      <c r="B51" s="26" t="s">
        <v>106</v>
      </c>
      <c r="C51" s="9">
        <f>SUM(C43:C50)</f>
        <v>-324840432</v>
      </c>
      <c r="D51" s="9">
        <f>SUM(D43:D50)</f>
        <v>-552758290</v>
      </c>
      <c r="E51" s="9">
        <f t="shared" ref="E51:H51" si="3">E44+E45+E46+E47+E48+E49+E43+E50</f>
        <v>-1352921905</v>
      </c>
      <c r="F51" s="9">
        <f t="shared" si="3"/>
        <v>3406666417</v>
      </c>
      <c r="G51" s="9">
        <f t="shared" si="3"/>
        <v>-3612742694</v>
      </c>
      <c r="H51" s="9">
        <f t="shared" si="3"/>
        <v>-2759772267</v>
      </c>
    </row>
    <row r="52" spans="2:8" ht="18.75" x14ac:dyDescent="0.3">
      <c r="B52" s="20" t="s">
        <v>107</v>
      </c>
    </row>
    <row r="53" spans="2:8" x14ac:dyDescent="0.25">
      <c r="B53" t="s">
        <v>108</v>
      </c>
      <c r="C53" s="16"/>
      <c r="D53" s="16"/>
      <c r="E53" s="16"/>
      <c r="F53" s="16"/>
      <c r="G53" s="16"/>
    </row>
    <row r="54" spans="2:8" x14ac:dyDescent="0.25">
      <c r="B54" t="s">
        <v>109</v>
      </c>
      <c r="C54" s="16"/>
      <c r="D54" s="16"/>
      <c r="E54" s="16"/>
      <c r="F54" s="16"/>
      <c r="G54" s="16"/>
    </row>
    <row r="55" spans="2:8" x14ac:dyDescent="0.25">
      <c r="B55" t="s">
        <v>110</v>
      </c>
      <c r="C55" s="16"/>
      <c r="D55" s="16"/>
      <c r="E55" s="16"/>
      <c r="F55" s="16"/>
      <c r="G55" s="16"/>
    </row>
    <row r="56" spans="2:8" x14ac:dyDescent="0.25">
      <c r="B56" t="s">
        <v>127</v>
      </c>
      <c r="C56" s="16"/>
      <c r="D56" s="16"/>
      <c r="E56" s="16"/>
      <c r="F56" s="16">
        <v>-625000000</v>
      </c>
      <c r="G56" s="16">
        <v>3750000000</v>
      </c>
      <c r="H56" s="11">
        <v>-600000000</v>
      </c>
    </row>
    <row r="57" spans="2:8" s="8" customFormat="1" x14ac:dyDescent="0.25">
      <c r="B57" s="26" t="s">
        <v>111</v>
      </c>
      <c r="C57" s="9">
        <f t="shared" ref="C57:F57" si="4">SUM(C53:C56)</f>
        <v>0</v>
      </c>
      <c r="D57" s="9">
        <f t="shared" si="4"/>
        <v>0</v>
      </c>
      <c r="E57" s="9">
        <f t="shared" si="4"/>
        <v>0</v>
      </c>
      <c r="F57" s="9">
        <f t="shared" si="4"/>
        <v>-625000000</v>
      </c>
      <c r="G57" s="9">
        <f>SUM(G53:G56)</f>
        <v>3750000000</v>
      </c>
      <c r="H57" s="9">
        <f>SUM(H53:H56)</f>
        <v>-600000000</v>
      </c>
    </row>
    <row r="58" spans="2:8" s="8" customFormat="1" x14ac:dyDescent="0.25">
      <c r="B58" s="26"/>
    </row>
    <row r="59" spans="2:8" s="8" customFormat="1" x14ac:dyDescent="0.25">
      <c r="B59" s="26" t="s">
        <v>112</v>
      </c>
      <c r="C59" s="9">
        <f t="shared" ref="C59:H59" si="5">C57+C51+C40</f>
        <v>4003568315</v>
      </c>
      <c r="D59" s="9">
        <f t="shared" si="5"/>
        <v>-1959644414</v>
      </c>
      <c r="E59" s="9">
        <f t="shared" si="5"/>
        <v>2923328303</v>
      </c>
      <c r="F59" s="9">
        <f t="shared" si="5"/>
        <v>5979235945</v>
      </c>
      <c r="G59" s="9">
        <f t="shared" si="5"/>
        <v>165532974</v>
      </c>
      <c r="H59" s="9">
        <f t="shared" si="5"/>
        <v>-3506136268</v>
      </c>
    </row>
    <row r="60" spans="2:8" x14ac:dyDescent="0.25">
      <c r="B60" s="26"/>
      <c r="C60" s="16"/>
      <c r="D60" s="16"/>
      <c r="E60" s="11"/>
      <c r="F60" s="11"/>
      <c r="G60" s="11"/>
    </row>
    <row r="61" spans="2:8" x14ac:dyDescent="0.25">
      <c r="B61" s="22" t="s">
        <v>113</v>
      </c>
      <c r="C61" s="11">
        <f>10316543073+1070995</f>
        <v>10317614068</v>
      </c>
      <c r="D61" s="11">
        <f>14321182383+2344209</f>
        <v>14323526592</v>
      </c>
      <c r="E61" s="11">
        <f>12363882180+3366587</f>
        <v>12367248767</v>
      </c>
      <c r="F61" s="11">
        <f>14418086916+5536428</f>
        <v>14423623344</v>
      </c>
      <c r="G61" s="11">
        <f>20402859288-1235880</f>
        <v>20401623408</v>
      </c>
      <c r="H61" s="11">
        <v>20567156381</v>
      </c>
    </row>
    <row r="62" spans="2:8" x14ac:dyDescent="0.25">
      <c r="B62" s="22"/>
    </row>
    <row r="63" spans="2:8" s="8" customFormat="1" x14ac:dyDescent="0.25">
      <c r="B63" s="22" t="s">
        <v>114</v>
      </c>
      <c r="C63" s="9">
        <f>C59+C61</f>
        <v>14321182383</v>
      </c>
      <c r="D63" s="9">
        <f t="shared" ref="D63:H63" si="6">D59+D60+D61</f>
        <v>12363882178</v>
      </c>
      <c r="E63" s="9">
        <f t="shared" si="6"/>
        <v>15290577070</v>
      </c>
      <c r="F63" s="9">
        <f t="shared" si="6"/>
        <v>20402859289</v>
      </c>
      <c r="G63" s="9">
        <f t="shared" si="6"/>
        <v>20567156382</v>
      </c>
      <c r="H63" s="9">
        <f t="shared" si="6"/>
        <v>17061020113</v>
      </c>
    </row>
    <row r="64" spans="2:8" x14ac:dyDescent="0.25">
      <c r="B64" s="29"/>
      <c r="C64" s="24"/>
      <c r="D64" s="24"/>
    </row>
    <row r="65" spans="2:8" x14ac:dyDescent="0.25">
      <c r="B65" s="29"/>
    </row>
    <row r="66" spans="2:8" x14ac:dyDescent="0.25">
      <c r="B66" s="22" t="s">
        <v>135</v>
      </c>
      <c r="C66" s="32">
        <f>C40/('1'!C41/10)</f>
        <v>15.47049151958292</v>
      </c>
      <c r="D66" s="32">
        <f>D40/('1'!D41/10)</f>
        <v>-4.5713250948766451</v>
      </c>
      <c r="E66" s="32">
        <f>E40/('1'!E41/10)</f>
        <v>11.578839232802517</v>
      </c>
      <c r="F66" s="32">
        <f>F40/('1'!F41/10)</f>
        <v>7.2150719541956798</v>
      </c>
      <c r="G66" s="32">
        <f>G40/('1'!G41/10)</f>
        <v>5.5479904315230769E-2</v>
      </c>
      <c r="H66" s="32">
        <f>H40/('1'!H41/10)</f>
        <v>-0.25527282245215116</v>
      </c>
    </row>
    <row r="67" spans="2:8" x14ac:dyDescent="0.25">
      <c r="B67" s="29"/>
    </row>
    <row r="68" spans="2:8" x14ac:dyDescent="0.25">
      <c r="B68" s="29"/>
    </row>
    <row r="69" spans="2:8" x14ac:dyDescent="0.25">
      <c r="B69" s="29"/>
    </row>
    <row r="70" spans="2:8" x14ac:dyDescent="0.25">
      <c r="B70" s="29"/>
    </row>
    <row r="71" spans="2:8" x14ac:dyDescent="0.25">
      <c r="B71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J19" sqref="J19"/>
    </sheetView>
  </sheetViews>
  <sheetFormatPr defaultRowHeight="15" x14ac:dyDescent="0.25"/>
  <cols>
    <col min="1" max="1" width="34.5703125" bestFit="1" customWidth="1"/>
  </cols>
  <sheetData>
    <row r="1" spans="1:6" ht="15.75" x14ac:dyDescent="0.25">
      <c r="A1" s="33" t="s">
        <v>137</v>
      </c>
      <c r="B1" s="34">
        <v>2013</v>
      </c>
      <c r="C1" s="34">
        <v>2014</v>
      </c>
      <c r="D1" s="34">
        <v>2015</v>
      </c>
      <c r="E1" s="34">
        <v>2016</v>
      </c>
      <c r="F1" s="34">
        <v>2017</v>
      </c>
    </row>
    <row r="2" spans="1:6" x14ac:dyDescent="0.25">
      <c r="A2" t="s">
        <v>138</v>
      </c>
      <c r="B2" s="35">
        <f>'2'!C8/'2'!C6</f>
        <v>0.11439744586191464</v>
      </c>
      <c r="C2" s="35">
        <f>'2'!D8/'2'!D6</f>
        <v>0.18885182063636069</v>
      </c>
      <c r="D2" s="35">
        <f>'2'!E8/'2'!E6</f>
        <v>0.26543841317998307</v>
      </c>
      <c r="E2" s="35">
        <f>'2'!F8/'2'!F6</f>
        <v>0.34075661402918855</v>
      </c>
      <c r="F2" s="35">
        <f>'2'!G8/'2'!G6</f>
        <v>0.35423379568337404</v>
      </c>
    </row>
    <row r="3" spans="1:6" x14ac:dyDescent="0.25">
      <c r="A3" t="s">
        <v>139</v>
      </c>
      <c r="B3" s="35">
        <f>'2'!C28/'2'!C13</f>
        <v>0.43859424909818906</v>
      </c>
      <c r="C3" s="35">
        <f>'2'!D28/'2'!D13</f>
        <v>0.4574800866499189</v>
      </c>
      <c r="D3" s="35">
        <f>'2'!E28/'2'!E13</f>
        <v>0.42715292762492596</v>
      </c>
      <c r="E3" s="35">
        <f>'2'!F28/'2'!F13</f>
        <v>0.45351521956885249</v>
      </c>
      <c r="F3" s="35">
        <f>'2'!G28/'2'!G13</f>
        <v>0.46179786444418985</v>
      </c>
    </row>
    <row r="4" spans="1:6" x14ac:dyDescent="0.25">
      <c r="A4" t="s">
        <v>140</v>
      </c>
      <c r="B4" s="35">
        <f>'2'!C42/'2'!C13</f>
        <v>0.12410777936480907</v>
      </c>
      <c r="C4" s="35">
        <f>'2'!D42/'2'!D13</f>
        <v>0.16898493204200601</v>
      </c>
      <c r="D4" s="35">
        <f>'2'!E42/'2'!E13</f>
        <v>0.2076206965403794</v>
      </c>
      <c r="E4" s="35">
        <f>'2'!F42/'2'!F13</f>
        <v>0.19475938875948209</v>
      </c>
      <c r="F4" s="35">
        <f>'2'!G42/'2'!G13</f>
        <v>0.23354985813654836</v>
      </c>
    </row>
    <row r="5" spans="1:6" x14ac:dyDescent="0.25">
      <c r="A5" t="s">
        <v>141</v>
      </c>
      <c r="B5" s="35">
        <f>'2'!C42/'1'!C22</f>
        <v>5.6498343877557037E-3</v>
      </c>
      <c r="C5" s="35">
        <f>'2'!D42/'1'!D22</f>
        <v>8.2678593338436565E-3</v>
      </c>
      <c r="D5" s="35">
        <f>'2'!E42/'1'!E22</f>
        <v>9.3528170999922378E-3</v>
      </c>
      <c r="E5" s="35">
        <f>'2'!F42/'1'!F22</f>
        <v>8.8503800504825848E-3</v>
      </c>
      <c r="F5" s="35">
        <f>'2'!G42/'1'!G22</f>
        <v>9.8156093605380294E-3</v>
      </c>
    </row>
    <row r="6" spans="1:6" x14ac:dyDescent="0.25">
      <c r="A6" t="s">
        <v>142</v>
      </c>
      <c r="B6" s="35">
        <f>'2'!C42/'1'!C48</f>
        <v>0.10520016190254711</v>
      </c>
      <c r="C6" s="35">
        <f>'2'!D42/'1'!D48</f>
        <v>0.1420214366501443</v>
      </c>
      <c r="D6" s="35">
        <f>'2'!E42/'1'!E48</f>
        <v>0.15300130292452099</v>
      </c>
      <c r="E6" s="35">
        <f>'2'!F42/'1'!F48</f>
        <v>0.14906665917611828</v>
      </c>
      <c r="F6" s="35">
        <f>'2'!G42/'1'!G48</f>
        <v>0.16836619610262057</v>
      </c>
    </row>
    <row r="7" spans="1:6" x14ac:dyDescent="0.25">
      <c r="A7" t="s">
        <v>143</v>
      </c>
      <c r="B7" s="36">
        <v>0.1157</v>
      </c>
      <c r="C7" s="36">
        <v>0.1077</v>
      </c>
      <c r="D7" s="36">
        <v>0.1202</v>
      </c>
      <c r="E7" s="36">
        <v>0.1129</v>
      </c>
      <c r="F7" s="36">
        <v>0.1376</v>
      </c>
    </row>
    <row r="8" spans="1:6" x14ac:dyDescent="0.25">
      <c r="A8" t="s">
        <v>144</v>
      </c>
      <c r="B8" s="36">
        <v>3.6200000000000003E-2</v>
      </c>
      <c r="C8" s="36">
        <v>2.6700000000000002E-2</v>
      </c>
      <c r="D8" s="36">
        <v>2.0799999999999999E-2</v>
      </c>
      <c r="E8" s="36">
        <v>4.36E-2</v>
      </c>
      <c r="F8" s="36">
        <v>4.2999999999999997E-2</v>
      </c>
    </row>
    <row r="9" spans="1:6" x14ac:dyDescent="0.25">
      <c r="A9" t="s">
        <v>145</v>
      </c>
      <c r="B9" s="35">
        <v>0.70579999999999998</v>
      </c>
      <c r="C9" s="35">
        <v>0.80300000000000005</v>
      </c>
      <c r="D9" s="35">
        <v>0.82420000000000004</v>
      </c>
      <c r="E9" s="35">
        <v>0.77690000000000003</v>
      </c>
      <c r="F9" s="35">
        <v>0.83450000000000002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2020-04-12T14:22:43Z</dcterms:modified>
</cp:coreProperties>
</file>