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37" i="3" l="1"/>
  <c r="C34" i="2"/>
  <c r="H49" i="1" l="1"/>
  <c r="H35" i="1"/>
  <c r="H39" i="1" s="1"/>
  <c r="H13" i="1"/>
  <c r="I13" i="1"/>
  <c r="H56" i="3"/>
  <c r="I56" i="3"/>
  <c r="H50" i="3"/>
  <c r="I50" i="3"/>
  <c r="H37" i="3"/>
  <c r="I37" i="3"/>
  <c r="H18" i="3"/>
  <c r="I18" i="3"/>
  <c r="H34" i="2"/>
  <c r="I34" i="2"/>
  <c r="H37" i="2"/>
  <c r="I37" i="2"/>
  <c r="H27" i="2"/>
  <c r="I27" i="2"/>
  <c r="H12" i="2"/>
  <c r="I12" i="2"/>
  <c r="H8" i="2"/>
  <c r="G2" i="4" s="1"/>
  <c r="I8" i="2"/>
  <c r="I13" i="2" s="1"/>
  <c r="I29" i="2" s="1"/>
  <c r="I36" i="2" s="1"/>
  <c r="I35" i="1"/>
  <c r="H16" i="1"/>
  <c r="I16" i="1"/>
  <c r="I49" i="1"/>
  <c r="I52" i="1"/>
  <c r="I39" i="1"/>
  <c r="I50" i="1" s="1"/>
  <c r="H9" i="1"/>
  <c r="I9" i="1"/>
  <c r="H6" i="1"/>
  <c r="I6" i="1"/>
  <c r="I22" i="1" s="1"/>
  <c r="I39" i="3" l="1"/>
  <c r="I58" i="3" s="1"/>
  <c r="I62" i="3" s="1"/>
  <c r="H50" i="1"/>
  <c r="H39" i="3"/>
  <c r="H13" i="2"/>
  <c r="H29" i="2" s="1"/>
  <c r="H22" i="1"/>
  <c r="I40" i="2"/>
  <c r="I42" i="2" s="1"/>
  <c r="H52" i="1"/>
  <c r="I64" i="3" l="1"/>
  <c r="H58" i="3"/>
  <c r="H62" i="3" s="1"/>
  <c r="H64" i="3"/>
  <c r="H36" i="2"/>
  <c r="H40" i="2" s="1"/>
  <c r="H42" i="2" s="1"/>
  <c r="G3" i="4"/>
  <c r="D37" i="2"/>
  <c r="E37" i="2"/>
  <c r="F37" i="2"/>
  <c r="G37" i="2"/>
  <c r="C37" i="2"/>
  <c r="G6" i="4" l="1"/>
  <c r="G5" i="4"/>
  <c r="G4" i="4"/>
  <c r="F36" i="3"/>
  <c r="G36" i="3"/>
  <c r="F32" i="2"/>
  <c r="G32" i="2"/>
  <c r="F33" i="2"/>
  <c r="G33" i="2"/>
  <c r="D60" i="3" l="1"/>
  <c r="E60" i="3"/>
  <c r="D36" i="3"/>
  <c r="E36" i="3"/>
  <c r="E32" i="2"/>
  <c r="D33" i="2"/>
  <c r="D49" i="1" l="1"/>
  <c r="D52" i="1" s="1"/>
  <c r="D35" i="1"/>
  <c r="D39" i="1" s="1"/>
  <c r="D50" i="1" l="1"/>
  <c r="C56" i="3"/>
  <c r="D56" i="3"/>
  <c r="E56" i="3"/>
  <c r="F56" i="3"/>
  <c r="G56" i="3"/>
  <c r="G35" i="1" l="1"/>
  <c r="G39" i="1" s="1"/>
  <c r="D50" i="3"/>
  <c r="C50" i="3"/>
  <c r="D37" i="3"/>
  <c r="E18" i="3"/>
  <c r="F18" i="3"/>
  <c r="G18" i="3"/>
  <c r="C18" i="3"/>
  <c r="D18" i="3"/>
  <c r="C35" i="1"/>
  <c r="C39" i="1" s="1"/>
  <c r="C6" i="1"/>
  <c r="C9" i="1"/>
  <c r="C13" i="1"/>
  <c r="C16" i="1"/>
  <c r="C49" i="1"/>
  <c r="C52" i="1" s="1"/>
  <c r="G50" i="3"/>
  <c r="F50" i="3"/>
  <c r="E50" i="3"/>
  <c r="F37" i="3"/>
  <c r="E37" i="3"/>
  <c r="G37" i="3"/>
  <c r="G34" i="2"/>
  <c r="F34" i="2"/>
  <c r="E34" i="2"/>
  <c r="D34" i="2"/>
  <c r="G27" i="2"/>
  <c r="F27" i="2"/>
  <c r="E27" i="2"/>
  <c r="D27" i="2"/>
  <c r="C27" i="2"/>
  <c r="G12" i="2"/>
  <c r="F12" i="2"/>
  <c r="E12" i="2"/>
  <c r="D12" i="2"/>
  <c r="C12" i="2"/>
  <c r="G8" i="2"/>
  <c r="F2" i="4" s="1"/>
  <c r="F8" i="2"/>
  <c r="E2" i="4" s="1"/>
  <c r="E8" i="2"/>
  <c r="D2" i="4" s="1"/>
  <c r="D8" i="2"/>
  <c r="C2" i="4" s="1"/>
  <c r="C8" i="2"/>
  <c r="B2" i="4" s="1"/>
  <c r="G49" i="1"/>
  <c r="G52" i="1" s="1"/>
  <c r="F49" i="1"/>
  <c r="F52" i="1" s="1"/>
  <c r="E49" i="1"/>
  <c r="E52" i="1" s="1"/>
  <c r="F35" i="1"/>
  <c r="F39" i="1" s="1"/>
  <c r="E35" i="1"/>
  <c r="E39" i="1" s="1"/>
  <c r="G16" i="1"/>
  <c r="F16" i="1"/>
  <c r="E16" i="1"/>
  <c r="D16" i="1"/>
  <c r="G13" i="1"/>
  <c r="F13" i="1"/>
  <c r="E13" i="1"/>
  <c r="D13" i="1"/>
  <c r="G9" i="1"/>
  <c r="F9" i="1"/>
  <c r="E9" i="1"/>
  <c r="D9" i="1"/>
  <c r="G6" i="1"/>
  <c r="F6" i="1"/>
  <c r="E6" i="1"/>
  <c r="D6" i="1"/>
  <c r="F50" i="1" l="1"/>
  <c r="G22" i="1"/>
  <c r="F22" i="1"/>
  <c r="E22" i="1"/>
  <c r="D22" i="1"/>
  <c r="E50" i="1"/>
  <c r="C22" i="1"/>
  <c r="G50" i="1"/>
  <c r="C50" i="1"/>
  <c r="D39" i="3"/>
  <c r="E39" i="3"/>
  <c r="E13" i="2"/>
  <c r="E29" i="2" s="1"/>
  <c r="F13" i="2"/>
  <c r="F29" i="2" s="1"/>
  <c r="D13" i="2"/>
  <c r="D29" i="2" s="1"/>
  <c r="C39" i="3"/>
  <c r="F39" i="3"/>
  <c r="G13" i="2"/>
  <c r="G29" i="2" s="1"/>
  <c r="C13" i="2"/>
  <c r="C29" i="2" s="1"/>
  <c r="C36" i="2" s="1"/>
  <c r="G39" i="3"/>
  <c r="E36" i="2" l="1"/>
  <c r="E40" i="2" s="1"/>
  <c r="D3" i="4"/>
  <c r="C40" i="2"/>
  <c r="B3" i="4"/>
  <c r="D36" i="2"/>
  <c r="D40" i="2" s="1"/>
  <c r="C3" i="4"/>
  <c r="G36" i="2"/>
  <c r="G40" i="2" s="1"/>
  <c r="F3" i="4"/>
  <c r="F36" i="2"/>
  <c r="F40" i="2" s="1"/>
  <c r="E3" i="4"/>
  <c r="F58" i="3"/>
  <c r="F62" i="3" s="1"/>
  <c r="F64" i="3"/>
  <c r="G58" i="3"/>
  <c r="G62" i="3" s="1"/>
  <c r="G64" i="3"/>
  <c r="C58" i="3"/>
  <c r="C62" i="3" s="1"/>
  <c r="C64" i="3"/>
  <c r="E58" i="3"/>
  <c r="E62" i="3" s="1"/>
  <c r="E64" i="3"/>
  <c r="D58" i="3"/>
  <c r="D62" i="3" s="1"/>
  <c r="D64" i="3"/>
  <c r="G42" i="2" l="1"/>
  <c r="F5" i="4"/>
  <c r="F4" i="4"/>
  <c r="F6" i="4"/>
  <c r="C42" i="2"/>
  <c r="B4" i="4"/>
  <c r="B5" i="4"/>
  <c r="B6" i="4"/>
  <c r="F42" i="2"/>
  <c r="E6" i="4"/>
  <c r="E5" i="4"/>
  <c r="E4" i="4"/>
  <c r="D42" i="2"/>
  <c r="C4" i="4"/>
  <c r="C6" i="4"/>
  <c r="C5" i="4"/>
  <c r="E42" i="2"/>
  <c r="D5" i="4"/>
  <c r="D6" i="4"/>
  <c r="D4" i="4"/>
</calcChain>
</file>

<file path=xl/sharedStrings.xml><?xml version="1.0" encoding="utf-8"?>
<sst xmlns="http://schemas.openxmlformats.org/spreadsheetml/2006/main" count="153" uniqueCount="148">
  <si>
    <t>Balance Sheet</t>
  </si>
  <si>
    <t>As at 31 December</t>
  </si>
  <si>
    <t>PROPERTY AND ASSETS</t>
  </si>
  <si>
    <t>Cash</t>
  </si>
  <si>
    <t>In hand(including foreign currencies)</t>
  </si>
  <si>
    <t>Balance with Banglasesh Bank and its bank(s)</t>
  </si>
  <si>
    <t>Balance with other banks and financial Institutions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</si>
  <si>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</si>
  <si>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</si>
  <si>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</si>
  <si>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</si>
  <si>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</si>
  <si>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</si>
  <si>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 and advances</t>
  </si>
  <si>
    <t>Loan,cash credits,overdrafts,etc</t>
  </si>
  <si>
    <t>Bills purchased and discontinued</t>
  </si>
  <si>
    <t>Fixed assets including premises, furniture and fixtures</t>
  </si>
  <si>
    <t>Other assets</t>
  </si>
  <si>
    <t>Non-banking assets</t>
  </si>
  <si>
    <t>Total Assets</t>
  </si>
  <si>
    <t>LIABILITIES AND CAPITAL</t>
  </si>
  <si>
    <t>Liabilities</t>
  </si>
  <si>
    <t>Borrowings from other bank,financial instititions and agents</t>
  </si>
  <si>
    <t>Deposits and other accounts</t>
  </si>
  <si>
    <t>Current deposits</t>
  </si>
  <si>
    <t>Bills payable</t>
  </si>
  <si>
    <t>Savings bank deposits</t>
  </si>
  <si>
    <t>Fixed deposits</t>
  </si>
  <si>
    <t>Bearer certificate of deposits</t>
  </si>
  <si>
    <t>Other liabilities</t>
  </si>
  <si>
    <t>Non-Controlling Interest</t>
  </si>
  <si>
    <t>Total Liabilities</t>
  </si>
  <si>
    <t>Capital/Shareholders' Equity</t>
  </si>
  <si>
    <t>Paid-up capital</t>
  </si>
  <si>
    <t>Statutory reserve</t>
  </si>
  <si>
    <t>FOREX Gain/Loss</t>
  </si>
  <si>
    <t>Retained earnings</t>
  </si>
  <si>
    <t>Total Shareholders' Equity</t>
  </si>
  <si>
    <t>Total Liabilities and Shareholders' Equity</t>
  </si>
  <si>
    <t>Income Statement</t>
  </si>
  <si>
    <t>OPERATING INCOME</t>
  </si>
  <si>
    <t>Interest Income</t>
  </si>
  <si>
    <t>Interest paid on deposit,borrowings,etc</t>
  </si>
  <si>
    <t>Net Interest income</t>
  </si>
  <si>
    <t>Investment income</t>
  </si>
  <si>
    <t>Commission,exchange,and brokerage</t>
  </si>
  <si>
    <t>Other income</t>
  </si>
  <si>
    <t>Total operating income(a)</t>
  </si>
  <si>
    <t>OPERATING EXPENSES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</si>
  <si>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</si>
  <si>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</si>
  <si>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</si>
  <si>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</si>
  <si>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</si>
  <si>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</si>
  <si>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</si>
  <si>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</si>
  <si>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</si>
  <si>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</si>
  <si>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</si>
  <si>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Total operating expenses(b)</t>
  </si>
  <si>
    <t>Other non operating income</t>
  </si>
  <si>
    <t>Profit before provision(c=a-b)</t>
  </si>
  <si>
    <t>Total provision(d)</t>
  </si>
  <si>
    <t>Profit before taxation(c-d)</t>
  </si>
  <si>
    <t>Provision for taxation</t>
  </si>
  <si>
    <t>Current tax</t>
  </si>
  <si>
    <t>Deferred tax</t>
  </si>
  <si>
    <t>Net profit after taxation</t>
  </si>
  <si>
    <t>Earnings per share (EPS)</t>
  </si>
  <si>
    <t>Cash Flow Statement</t>
  </si>
  <si>
    <t xml:space="preserve"> Cash flow from operating activities:(A)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</si>
  <si>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</si>
  <si>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</si>
  <si>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</si>
  <si>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</si>
  <si>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</si>
  <si>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</si>
  <si>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</si>
  <si>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</si>
  <si>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Income tax paid</t>
  </si>
  <si>
    <t>Receipts from other operating activities</t>
  </si>
  <si>
    <t>Payment for other operating activities</t>
  </si>
  <si>
    <t>Operating Profit before changes in operating assets &amp; liabilities</t>
  </si>
  <si>
    <t xml:space="preserve">Increase / (Decrease) in operating assets and liabilities </t>
  </si>
  <si>
    <t>Statutory deposit</t>
  </si>
  <si>
    <t>Deposit from other banks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</si>
  <si>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</si>
  <si>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</si>
  <si>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</si>
  <si>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</si>
  <si>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</si>
  <si>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</si>
  <si>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</si>
  <si>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</si>
  <si>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</si>
  <si>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</si>
  <si>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 xml:space="preserve">Net cash from/(used in) operating activities </t>
  </si>
  <si>
    <t>Cash flow from investing activities:(B)</t>
  </si>
  <si>
    <t>Dividend Received</t>
  </si>
  <si>
    <t>Interest Received</t>
  </si>
  <si>
    <t>Purchase of property,plant,and equipment</t>
  </si>
  <si>
    <t>Net cash from/(used) in investing activities</t>
  </si>
  <si>
    <t>Cash flows from financing activities:(C)</t>
  </si>
  <si>
    <t>Increase in long-term borrowing</t>
  </si>
  <si>
    <t>Decrease in long-term borrowing</t>
  </si>
  <si>
    <t>Dividend paid</t>
  </si>
  <si>
    <t>Net cash from/(used) in financng activities</t>
  </si>
  <si>
    <t>Net increase in cash and cash equivalents (A+B+C)</t>
  </si>
  <si>
    <t xml:space="preserve">Cash and Cash equivalent at beginning of the year </t>
  </si>
  <si>
    <t>Cash and Cash equivalent at end of the year (*)</t>
  </si>
  <si>
    <t>Other deposits</t>
  </si>
  <si>
    <t>Minority Interest</t>
  </si>
  <si>
    <t>Provision for Loans and Advances</t>
  </si>
  <si>
    <t>Other provisions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</si>
  <si>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</si>
  <si>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</si>
  <si>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</si>
  <si>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</si>
  <si>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</si>
  <si>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Sunordinated Bond</t>
  </si>
  <si>
    <t>Sale of property,plant,and equipment</t>
  </si>
  <si>
    <t xml:space="preserve">Special Notice Deposits </t>
  </si>
  <si>
    <t>General Reserve</t>
  </si>
  <si>
    <t>Deposit from Customers</t>
  </si>
  <si>
    <t>Treasury Bills/Bonds</t>
  </si>
  <si>
    <t>Term deposits</t>
  </si>
  <si>
    <t>Specific Provision</t>
  </si>
  <si>
    <t>Issue/ (Redemption) of Subordinated Bond</t>
  </si>
  <si>
    <t>NCC Bank Limited</t>
  </si>
  <si>
    <t>Provision for off-balance sheet &amp; off-shore banking unit</t>
  </si>
  <si>
    <t>Contribution to NCC Bank Foundation</t>
  </si>
  <si>
    <t>Other reserve including assets revaluation reserve</t>
  </si>
  <si>
    <t>Net Assets Value per Share</t>
  </si>
  <si>
    <t>NOCFPS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</si>
  <si>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</si>
  <si>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</si>
  <si>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</si>
  <si>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</si>
  <si>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</si>
  <si>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</si>
  <si>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</si>
  <si>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</si>
  <si>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</si>
  <si>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Surplus in profit and loss account</t>
  </si>
  <si>
    <t>Repairs, maintainence amortization and depreciation of bank's assets</t>
  </si>
  <si>
    <t>Other Liabilities account of customers</t>
  </si>
  <si>
    <t>Effects of exchange rateson csh and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</si>
</sst>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Bernard MT Condensed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0" borderId="0" xfId="0" applyBorder="1"/>
    <xf numFmtId="0" fontId="6" fillId="0" borderId="1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7" fillId="0" borderId="0" xfId="0" applyNumberFormat="1" applyFont="1"/>
    <xf numFmtId="37" fontId="0" fillId="0" borderId="0" xfId="0" applyNumberFormat="1" applyFont="1"/>
    <xf numFmtId="39" fontId="2" fillId="0" borderId="0" xfId="0" applyNumberFormat="1" applyFont="1"/>
    <xf numFmtId="0" fontId="7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9" fillId="0" borderId="0" xfId="0" applyFont="1" applyBorder="1"/>
    <xf numFmtId="0" fontId="2" fillId="0" borderId="0" xfId="0" applyFont="1" applyBorder="1"/>
    <xf numFmtId="0" fontId="2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4" fontId="0" fillId="0" borderId="0" xfId="1" applyNumberFormat="1" applyFont="1" applyFill="1"/>
    <xf numFmtId="2" fontId="0" fillId="0" borderId="0" xfId="0" applyNumberFormat="1"/>
    <xf numFmtId="2" fontId="2" fillId="0" borderId="0" xfId="0" applyNumberFormat="1" applyFont="1"/>
    <xf numFmtId="0" fontId="8" fillId="0" borderId="0" xfId="0" applyFont="1"/>
    <xf numFmtId="1" fontId="8" fillId="0" borderId="0" xfId="1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3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7" fontId="0" fillId="0" borderId="0" xfId="0" applyNumberFormat="1" applyAlignment="1">
      <alignment wrapText="1"/>
    </xf>
    <xf numFmtId="0" fontId="8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E22" sqref="E22"/>
    </sheetView>
  </sheetViews>
  <sheetFormatPr defaultRowHeight="15" x14ac:dyDescent="0.25"/>
  <cols>
    <col min="2" max="2" width="43.7109375" customWidth="1"/>
    <col min="3" max="4" width="18" bestFit="1" customWidth="1"/>
    <col min="5" max="5" width="15.5703125" bestFit="1" customWidth="1"/>
    <col min="6" max="7" width="18" bestFit="1" customWidth="1"/>
    <col min="8" max="8" width="15.5703125" bestFit="1" customWidth="1"/>
  </cols>
  <sheetData>
    <row r="1" spans="2:9" ht="23.25" x14ac:dyDescent="0.35">
      <c r="B1" s="1" t="s">
        <v>129</v>
      </c>
    </row>
    <row r="2" spans="2:9" ht="18.75" x14ac:dyDescent="0.3">
      <c r="B2" s="2" t="s">
        <v>0</v>
      </c>
    </row>
    <row r="3" spans="2:9" ht="15.75" x14ac:dyDescent="0.25">
      <c r="B3" s="3" t="s">
        <v>1</v>
      </c>
    </row>
    <row r="4" spans="2:9" ht="15.75" x14ac:dyDescent="0.25">
      <c r="B4" s="4"/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5">
        <v>2018</v>
      </c>
      <c r="I4" s="5">
        <v>2019</v>
      </c>
    </row>
    <row r="5" spans="2:9" ht="18.75" x14ac:dyDescent="0.3">
      <c r="B5" s="7" t="s">
        <v>2</v>
      </c>
    </row>
    <row r="6" spans="2:9" s="8" customFormat="1" x14ac:dyDescent="0.25">
      <c r="B6" s="8" t="s">
        <v>3</v>
      </c>
      <c r="C6" s="9">
        <f t="shared" ref="C6:I6" si="0">C7+C8</f>
        <v>7875262621</v>
      </c>
      <c r="D6" s="9">
        <f t="shared" si="0"/>
        <v>8612161539</v>
      </c>
      <c r="E6" s="9">
        <f t="shared" si="0"/>
        <v>9276639728</v>
      </c>
      <c r="F6" s="9">
        <f t="shared" si="0"/>
        <v>10446800672</v>
      </c>
      <c r="G6" s="9">
        <f t="shared" si="0"/>
        <v>12396577641</v>
      </c>
      <c r="H6" s="9">
        <f t="shared" si="0"/>
        <v>13301479272</v>
      </c>
      <c r="I6" s="9">
        <f t="shared" si="0"/>
        <v>0</v>
      </c>
    </row>
    <row r="7" spans="2:9" x14ac:dyDescent="0.25">
      <c r="B7" t="s">
        <v>4</v>
      </c>
      <c r="C7" s="11">
        <v>1256477852</v>
      </c>
      <c r="D7" s="11">
        <v>1173484713</v>
      </c>
      <c r="E7" s="12">
        <v>1191641434</v>
      </c>
      <c r="F7" s="12">
        <v>1336119522</v>
      </c>
      <c r="G7" s="11">
        <v>1610360438</v>
      </c>
      <c r="H7" s="11">
        <v>1950802816</v>
      </c>
    </row>
    <row r="8" spans="2:9" x14ac:dyDescent="0.25">
      <c r="B8" t="s">
        <v>5</v>
      </c>
      <c r="C8" s="11">
        <v>6618784769</v>
      </c>
      <c r="D8" s="11">
        <v>7438676826</v>
      </c>
      <c r="E8" s="11">
        <v>8084998294</v>
      </c>
      <c r="F8" s="11">
        <v>9110681150</v>
      </c>
      <c r="G8" s="11">
        <v>10786217203</v>
      </c>
      <c r="H8" s="11">
        <v>11350676456</v>
      </c>
    </row>
    <row r="9" spans="2:9" s="8" customFormat="1" x14ac:dyDescent="0.25">
      <c r="B9" s="8" t="s">
        <v>6</v>
      </c>
      <c r="C9" s="9">
        <f t="shared" ref="C9:I9" si="1">C10+C11</f>
        <v>685617528</v>
      </c>
      <c r="D9" s="9">
        <f t="shared" si="1"/>
        <v>2414393658</v>
      </c>
      <c r="E9" s="9">
        <f t="shared" si="1"/>
        <v>4266890889</v>
      </c>
      <c r="F9" s="9">
        <f t="shared" si="1"/>
        <v>5018380483</v>
      </c>
      <c r="G9" s="9">
        <f t="shared" si="1"/>
        <v>4347764755</v>
      </c>
      <c r="H9" s="9">
        <f t="shared" si="1"/>
        <v>5300946504</v>
      </c>
      <c r="I9" s="9">
        <f t="shared" si="1"/>
        <v>0</v>
      </c>
    </row>
    <row r="10" spans="2:9" x14ac:dyDescent="0.25">
      <c r="B10" t="s">
        <v>7</v>
      </c>
      <c r="C10" s="11">
        <v>341989113</v>
      </c>
      <c r="D10" s="11">
        <v>471533599</v>
      </c>
      <c r="E10" s="11">
        <v>3996625740</v>
      </c>
      <c r="F10" s="11">
        <v>4647053434</v>
      </c>
      <c r="G10" s="11">
        <v>3802361654</v>
      </c>
      <c r="H10" s="11">
        <v>4615866121</v>
      </c>
    </row>
    <row r="11" spans="2:9" x14ac:dyDescent="0.25">
      <c r="B11" t="s">
        <v>8</v>
      </c>
      <c r="C11" s="11">
        <v>343628415</v>
      </c>
      <c r="D11" s="11">
        <v>1942860059</v>
      </c>
      <c r="E11" s="11">
        <v>270265149</v>
      </c>
      <c r="F11" s="11">
        <v>371327049</v>
      </c>
      <c r="G11" s="11">
        <v>545403101</v>
      </c>
      <c r="H11" s="11">
        <v>685080383</v>
      </c>
    </row>
    <row r="12" spans="2:9" s="8" customFormat="1" x14ac:dyDescent="0.25">
      <c r="B12" s="8" t="s">
        <v>9</v>
      </c>
      <c r="C12" s="13"/>
      <c r="D12" s="14"/>
      <c r="E12" s="14"/>
      <c r="F12" s="13"/>
      <c r="G12" s="13">
        <v>270000000</v>
      </c>
      <c r="H12" s="8">
        <v>3725350000</v>
      </c>
    </row>
    <row r="13" spans="2:9" s="8" customFormat="1" x14ac:dyDescent="0.25">
      <c r="B13" s="8" t="s">
        <v>10</v>
      </c>
      <c r="C13" s="9">
        <f t="shared" ref="C13:I13" si="2">C14+C15</f>
        <v>19933799397</v>
      </c>
      <c r="D13" s="9">
        <f t="shared" si="2"/>
        <v>26597505060</v>
      </c>
      <c r="E13" s="9">
        <f t="shared" si="2"/>
        <v>21525654873</v>
      </c>
      <c r="F13" s="9">
        <f t="shared" si="2"/>
        <v>24015508717</v>
      </c>
      <c r="G13" s="9">
        <f t="shared" si="2"/>
        <v>29547448858</v>
      </c>
      <c r="H13" s="9">
        <f t="shared" si="2"/>
        <v>33673573079</v>
      </c>
      <c r="I13" s="9">
        <f t="shared" si="2"/>
        <v>0</v>
      </c>
    </row>
    <row r="14" spans="2:9" x14ac:dyDescent="0.25">
      <c r="B14" s="15" t="s">
        <v>11</v>
      </c>
      <c r="C14" s="11">
        <v>18352194148</v>
      </c>
      <c r="D14" s="11">
        <v>25241572158</v>
      </c>
      <c r="E14" s="11">
        <v>20035094753</v>
      </c>
      <c r="F14" s="11">
        <v>21253372092</v>
      </c>
      <c r="G14" s="11">
        <v>27627054779</v>
      </c>
      <c r="H14" s="11">
        <v>28866685498</v>
      </c>
    </row>
    <row r="15" spans="2:9" x14ac:dyDescent="0.25">
      <c r="B15" s="15" t="s">
        <v>12</v>
      </c>
      <c r="C15" s="11">
        <v>1581605249</v>
      </c>
      <c r="D15" s="11">
        <v>1355932902</v>
      </c>
      <c r="E15" s="11">
        <v>1490560120</v>
      </c>
      <c r="F15" s="11">
        <v>2762136625</v>
      </c>
      <c r="G15" s="11">
        <v>1920394079</v>
      </c>
      <c r="H15" s="11">
        <v>4806887581</v>
      </c>
    </row>
    <row r="16" spans="2:9" s="8" customFormat="1" x14ac:dyDescent="0.25">
      <c r="B16" s="8" t="s">
        <v>13</v>
      </c>
      <c r="C16" s="9">
        <f t="shared" ref="C16:I16" si="3">C17+C18</f>
        <v>90769740749</v>
      </c>
      <c r="D16" s="9">
        <f t="shared" si="3"/>
        <v>93766512875</v>
      </c>
      <c r="E16" s="9">
        <f t="shared" si="3"/>
        <v>107971500888</v>
      </c>
      <c r="F16" s="9">
        <f t="shared" si="3"/>
        <v>129070067579</v>
      </c>
      <c r="G16" s="9">
        <f t="shared" si="3"/>
        <v>149633833880</v>
      </c>
      <c r="H16" s="9">
        <f t="shared" si="3"/>
        <v>176869945883</v>
      </c>
      <c r="I16" s="9">
        <f t="shared" si="3"/>
        <v>0</v>
      </c>
    </row>
    <row r="17" spans="2:9" x14ac:dyDescent="0.25">
      <c r="B17" s="15" t="s">
        <v>14</v>
      </c>
      <c r="C17" s="11">
        <v>88986893032</v>
      </c>
      <c r="D17" s="11">
        <v>91585216994</v>
      </c>
      <c r="E17" s="11">
        <v>104891779279</v>
      </c>
      <c r="F17" s="11">
        <v>124660761120</v>
      </c>
      <c r="G17" s="11">
        <v>142947896909</v>
      </c>
      <c r="H17" s="11">
        <v>171149202123</v>
      </c>
    </row>
    <row r="18" spans="2:9" x14ac:dyDescent="0.25">
      <c r="B18" s="15" t="s">
        <v>15</v>
      </c>
      <c r="C18" s="11">
        <v>1782847717</v>
      </c>
      <c r="D18" s="11">
        <v>2181295881</v>
      </c>
      <c r="E18" s="11">
        <v>3079721609</v>
      </c>
      <c r="F18" s="11">
        <v>4409306459</v>
      </c>
      <c r="G18" s="11">
        <v>6685936971</v>
      </c>
      <c r="H18" s="11">
        <v>5720743760</v>
      </c>
    </row>
    <row r="19" spans="2:9" s="8" customFormat="1" x14ac:dyDescent="0.25">
      <c r="B19" s="8" t="s">
        <v>16</v>
      </c>
      <c r="C19" s="13">
        <v>1759150596</v>
      </c>
      <c r="D19" s="14">
        <v>2591715651</v>
      </c>
      <c r="E19" s="13">
        <v>2641964604</v>
      </c>
      <c r="F19" s="13">
        <v>2514179788</v>
      </c>
      <c r="G19" s="13">
        <v>2498962078</v>
      </c>
      <c r="H19" s="13">
        <v>2628394770</v>
      </c>
      <c r="I19" s="13"/>
    </row>
    <row r="20" spans="2:9" s="8" customFormat="1" x14ac:dyDescent="0.25">
      <c r="B20" s="8" t="s">
        <v>17</v>
      </c>
      <c r="C20" s="13">
        <v>3589618260</v>
      </c>
      <c r="D20" s="14">
        <v>2014263699</v>
      </c>
      <c r="E20" s="13">
        <v>1928152272</v>
      </c>
      <c r="F20" s="13">
        <v>3002073146</v>
      </c>
      <c r="G20" s="13">
        <v>4951110724</v>
      </c>
      <c r="H20" s="13">
        <v>6495722945</v>
      </c>
      <c r="I20" s="13"/>
    </row>
    <row r="21" spans="2:9" s="8" customFormat="1" x14ac:dyDescent="0.25">
      <c r="B21" s="8" t="s">
        <v>18</v>
      </c>
      <c r="C21" s="13"/>
      <c r="D21" s="13"/>
      <c r="E21" s="13"/>
      <c r="F21" s="13"/>
      <c r="G21" s="13"/>
      <c r="H21" s="13"/>
      <c r="I21" s="13"/>
    </row>
    <row r="22" spans="2:9" s="8" customFormat="1" x14ac:dyDescent="0.25">
      <c r="B22" s="8" t="s">
        <v>19</v>
      </c>
      <c r="C22" s="9">
        <f t="shared" ref="C22:F22" si="4">C6+C9+C13+C16+C12+C19+C20+C21</f>
        <v>124613189151</v>
      </c>
      <c r="D22" s="9">
        <f t="shared" si="4"/>
        <v>135996552482</v>
      </c>
      <c r="E22" s="9">
        <f t="shared" si="4"/>
        <v>147610803254</v>
      </c>
      <c r="F22" s="9">
        <f t="shared" si="4"/>
        <v>174067010385</v>
      </c>
      <c r="G22" s="9">
        <f>G6+G9+G13+G16+G12+G19+G20+G21</f>
        <v>203645697936</v>
      </c>
      <c r="H22" s="9">
        <f t="shared" ref="H22:I22" si="5">H6+H9+H13+H16+H12+H19+H20+H21</f>
        <v>241995412453</v>
      </c>
      <c r="I22" s="9">
        <f t="shared" si="5"/>
        <v>0</v>
      </c>
    </row>
    <row r="23" spans="2:9" ht="18.75" x14ac:dyDescent="0.3">
      <c r="B23" s="7" t="s">
        <v>20</v>
      </c>
    </row>
    <row r="24" spans="2:9" x14ac:dyDescent="0.25">
      <c r="B24" s="8" t="s">
        <v>21</v>
      </c>
    </row>
    <row r="25" spans="2:9" s="8" customFormat="1" x14ac:dyDescent="0.25">
      <c r="B25" s="8" t="s">
        <v>22</v>
      </c>
      <c r="C25" s="13">
        <v>2757729890</v>
      </c>
      <c r="D25" s="14">
        <v>5025525649</v>
      </c>
      <c r="E25" s="13">
        <v>5565807122</v>
      </c>
      <c r="F25" s="13">
        <v>6726399870</v>
      </c>
      <c r="G25" s="13">
        <v>9104809698</v>
      </c>
      <c r="H25" s="13">
        <v>13484241991</v>
      </c>
      <c r="I25" s="13"/>
    </row>
    <row r="26" spans="2:9" x14ac:dyDescent="0.25">
      <c r="B26" s="8" t="s">
        <v>23</v>
      </c>
    </row>
    <row r="27" spans="2:9" x14ac:dyDescent="0.25">
      <c r="B27" s="15" t="s">
        <v>24</v>
      </c>
      <c r="C27" s="11">
        <v>7844546026</v>
      </c>
      <c r="D27" s="11">
        <v>9303413794</v>
      </c>
      <c r="E27" s="11">
        <v>10882801448</v>
      </c>
      <c r="F27" s="11">
        <v>13839419655</v>
      </c>
      <c r="G27" s="11">
        <v>14325863216</v>
      </c>
      <c r="H27" s="11">
        <v>18336811826</v>
      </c>
    </row>
    <row r="28" spans="2:9" x14ac:dyDescent="0.25">
      <c r="B28" s="15" t="s">
        <v>126</v>
      </c>
      <c r="C28" s="11">
        <v>29810716920</v>
      </c>
      <c r="D28" s="11">
        <v>35430487379</v>
      </c>
      <c r="E28" s="11">
        <v>39050779190</v>
      </c>
      <c r="F28" s="11">
        <v>44930073594</v>
      </c>
      <c r="G28" s="11">
        <v>50340049868</v>
      </c>
      <c r="H28" s="11">
        <v>59236762155</v>
      </c>
    </row>
    <row r="29" spans="2:9" x14ac:dyDescent="0.25">
      <c r="B29" s="15" t="s">
        <v>25</v>
      </c>
      <c r="C29" s="11">
        <v>1319767208</v>
      </c>
      <c r="D29" s="11">
        <v>2038624517</v>
      </c>
      <c r="E29" s="11">
        <v>1882364468</v>
      </c>
      <c r="F29" s="11">
        <v>5101703331</v>
      </c>
      <c r="G29" s="11">
        <v>4620026292</v>
      </c>
      <c r="H29" s="11">
        <v>4371957363</v>
      </c>
    </row>
    <row r="30" spans="2:9" x14ac:dyDescent="0.25">
      <c r="B30" t="s">
        <v>26</v>
      </c>
      <c r="C30" s="11">
        <v>11167226439</v>
      </c>
      <c r="D30" s="11">
        <v>12989595636</v>
      </c>
      <c r="E30" s="11">
        <v>15519149153</v>
      </c>
      <c r="F30" s="11">
        <v>18732883987</v>
      </c>
      <c r="G30" s="11">
        <v>21002021411</v>
      </c>
      <c r="H30" s="11">
        <v>22258559221</v>
      </c>
    </row>
    <row r="31" spans="2:9" x14ac:dyDescent="0.25">
      <c r="B31" t="s">
        <v>122</v>
      </c>
      <c r="C31" s="11"/>
      <c r="D31" s="11"/>
      <c r="E31" s="11"/>
      <c r="F31" s="11"/>
      <c r="G31" s="11"/>
    </row>
    <row r="32" spans="2:9" x14ac:dyDescent="0.25">
      <c r="B32" t="s">
        <v>27</v>
      </c>
      <c r="C32" s="11">
        <v>47844992750</v>
      </c>
      <c r="D32" s="11">
        <v>45696085137</v>
      </c>
      <c r="E32" s="11">
        <v>45151188780</v>
      </c>
      <c r="F32" s="11">
        <v>50135024925</v>
      </c>
      <c r="G32" s="11">
        <v>69549270735</v>
      </c>
      <c r="H32" s="11">
        <v>87021136409</v>
      </c>
    </row>
    <row r="33" spans="2:9" x14ac:dyDescent="0.25">
      <c r="B33" t="s">
        <v>28</v>
      </c>
      <c r="D33" s="11"/>
      <c r="E33" s="11"/>
    </row>
    <row r="34" spans="2:9" x14ac:dyDescent="0.25">
      <c r="B34" t="s">
        <v>111</v>
      </c>
      <c r="C34" s="16"/>
      <c r="D34" s="16"/>
      <c r="E34" s="16"/>
      <c r="F34" s="16"/>
      <c r="G34" s="16"/>
    </row>
    <row r="35" spans="2:9" s="8" customFormat="1" x14ac:dyDescent="0.25">
      <c r="C35" s="9">
        <f t="shared" ref="C35:I35" si="6">SUM(C27:C34)</f>
        <v>97987249343</v>
      </c>
      <c r="D35" s="9">
        <f>SUM(D27:D34)</f>
        <v>105458206463</v>
      </c>
      <c r="E35" s="9">
        <f t="shared" si="6"/>
        <v>112486283039</v>
      </c>
      <c r="F35" s="9">
        <f t="shared" si="6"/>
        <v>132739105492</v>
      </c>
      <c r="G35" s="9">
        <f t="shared" si="6"/>
        <v>159837231522</v>
      </c>
      <c r="H35" s="9">
        <f>SUM(H27:H34)</f>
        <v>191225226974</v>
      </c>
      <c r="I35" s="9">
        <f t="shared" si="6"/>
        <v>0</v>
      </c>
    </row>
    <row r="36" spans="2:9" s="8" customFormat="1" x14ac:dyDescent="0.25">
      <c r="B36" s="8" t="s">
        <v>29</v>
      </c>
      <c r="C36" s="13">
        <v>10594947547</v>
      </c>
      <c r="D36" s="13">
        <v>11256482519</v>
      </c>
      <c r="E36" s="13">
        <v>13875091028</v>
      </c>
      <c r="F36" s="13">
        <v>18029392418</v>
      </c>
      <c r="G36" s="13">
        <v>17518625454</v>
      </c>
      <c r="H36" s="13">
        <v>19488906542</v>
      </c>
    </row>
    <row r="37" spans="2:9" s="8" customFormat="1" x14ac:dyDescent="0.25">
      <c r="B37" s="8" t="s">
        <v>120</v>
      </c>
      <c r="C37" s="13"/>
      <c r="D37" s="13"/>
      <c r="E37" s="13"/>
      <c r="F37" s="13"/>
      <c r="G37" s="13"/>
      <c r="H37" s="13"/>
    </row>
    <row r="38" spans="2:9" s="8" customFormat="1" x14ac:dyDescent="0.25"/>
    <row r="39" spans="2:9" s="8" customFormat="1" x14ac:dyDescent="0.25">
      <c r="B39" s="8" t="s">
        <v>31</v>
      </c>
      <c r="C39" s="9">
        <f t="shared" ref="C39:I39" si="7">C37+C25+C35+C36</f>
        <v>111339926780</v>
      </c>
      <c r="D39" s="9">
        <f t="shared" si="7"/>
        <v>121740214631</v>
      </c>
      <c r="E39" s="9">
        <f t="shared" si="7"/>
        <v>131927181189</v>
      </c>
      <c r="F39" s="9">
        <f>F37+F25+F35+F36</f>
        <v>157494897780</v>
      </c>
      <c r="G39" s="9">
        <f t="shared" si="7"/>
        <v>186460666674</v>
      </c>
      <c r="H39" s="9">
        <f>H37+H25+H35+H36</f>
        <v>224198375507</v>
      </c>
      <c r="I39" s="9">
        <f t="shared" si="7"/>
        <v>0</v>
      </c>
    </row>
    <row r="40" spans="2:9" x14ac:dyDescent="0.25">
      <c r="B40" s="8" t="s">
        <v>32</v>
      </c>
    </row>
    <row r="41" spans="2:9" x14ac:dyDescent="0.25">
      <c r="B41" s="15" t="s">
        <v>33</v>
      </c>
      <c r="C41" s="11">
        <v>7646909130</v>
      </c>
      <c r="D41" s="11">
        <v>8029254580</v>
      </c>
      <c r="E41" s="11">
        <v>8832180030</v>
      </c>
      <c r="F41" s="11">
        <v>8832180030</v>
      </c>
      <c r="G41" s="11">
        <v>8832180030</v>
      </c>
      <c r="H41" s="11">
        <v>8832180030</v>
      </c>
    </row>
    <row r="42" spans="2:9" x14ac:dyDescent="0.25">
      <c r="B42" s="15" t="s">
        <v>34</v>
      </c>
      <c r="C42" s="11">
        <v>4283429378</v>
      </c>
      <c r="D42" s="11">
        <v>4783513367</v>
      </c>
      <c r="E42" s="11">
        <v>5224066591</v>
      </c>
      <c r="F42" s="11">
        <v>5927548654</v>
      </c>
      <c r="G42" s="11">
        <v>6545223669</v>
      </c>
      <c r="H42" s="11">
        <v>7238030105</v>
      </c>
    </row>
    <row r="43" spans="2:9" x14ac:dyDescent="0.25">
      <c r="B43" s="15" t="s">
        <v>35</v>
      </c>
      <c r="C43" s="11"/>
      <c r="D43" s="11">
        <v>2395709</v>
      </c>
      <c r="E43" s="11">
        <v>7639571</v>
      </c>
      <c r="F43" s="11">
        <v>399963</v>
      </c>
      <c r="G43" s="11">
        <v>1862174</v>
      </c>
      <c r="H43" s="11">
        <v>242340</v>
      </c>
    </row>
    <row r="44" spans="2:9" x14ac:dyDescent="0.25">
      <c r="B44" s="15" t="s">
        <v>132</v>
      </c>
      <c r="C44" s="11">
        <v>450761512</v>
      </c>
      <c r="D44" s="11">
        <v>384317349</v>
      </c>
      <c r="E44" s="11">
        <v>414653607</v>
      </c>
      <c r="F44" s="11">
        <v>355441831</v>
      </c>
      <c r="G44" s="11">
        <v>533517737</v>
      </c>
      <c r="H44" s="11">
        <v>468110718</v>
      </c>
    </row>
    <row r="45" spans="2:9" x14ac:dyDescent="0.25">
      <c r="B45" s="15" t="s">
        <v>112</v>
      </c>
      <c r="C45" s="11">
        <v>215</v>
      </c>
      <c r="D45" s="11">
        <v>215</v>
      </c>
      <c r="E45" s="11">
        <v>205</v>
      </c>
      <c r="F45" s="11">
        <v>205</v>
      </c>
      <c r="G45" s="11">
        <v>209</v>
      </c>
    </row>
    <row r="46" spans="2:9" x14ac:dyDescent="0.25">
      <c r="B46" s="15" t="s">
        <v>123</v>
      </c>
      <c r="C46" s="16">
        <v>10162347</v>
      </c>
      <c r="D46" s="16">
        <v>10162348</v>
      </c>
      <c r="E46" s="16">
        <v>10162348</v>
      </c>
      <c r="F46" s="11">
        <v>10162348</v>
      </c>
      <c r="G46" s="11">
        <v>10162348</v>
      </c>
      <c r="H46" s="16">
        <v>10162348</v>
      </c>
    </row>
    <row r="47" spans="2:9" x14ac:dyDescent="0.25">
      <c r="B47" s="15" t="s">
        <v>144</v>
      </c>
      <c r="C47" s="16"/>
      <c r="D47" s="16"/>
      <c r="E47" s="16"/>
      <c r="F47" s="11"/>
      <c r="G47" s="11"/>
      <c r="H47" s="16">
        <v>1248311196</v>
      </c>
    </row>
    <row r="48" spans="2:9" x14ac:dyDescent="0.25">
      <c r="B48" s="15" t="s">
        <v>36</v>
      </c>
      <c r="C48" s="11">
        <v>882179087</v>
      </c>
      <c r="D48" s="11">
        <v>1046694283</v>
      </c>
      <c r="E48" s="11">
        <v>1194919713</v>
      </c>
      <c r="F48" s="11">
        <v>1446379574</v>
      </c>
      <c r="G48" s="11">
        <v>1262085095</v>
      </c>
    </row>
    <row r="49" spans="2:9" s="8" customFormat="1" x14ac:dyDescent="0.25">
      <c r="B49" s="8" t="s">
        <v>37</v>
      </c>
      <c r="C49" s="9">
        <f t="shared" ref="C49:H49" si="8">SUM(C41:C48)</f>
        <v>13273441669</v>
      </c>
      <c r="D49" s="9">
        <f t="shared" si="8"/>
        <v>14256337851</v>
      </c>
      <c r="E49" s="9">
        <f t="shared" si="8"/>
        <v>15683622065</v>
      </c>
      <c r="F49" s="9">
        <f t="shared" si="8"/>
        <v>16572112605</v>
      </c>
      <c r="G49" s="9">
        <f t="shared" si="8"/>
        <v>17185031262</v>
      </c>
      <c r="H49" s="9">
        <f t="shared" si="8"/>
        <v>17797036737</v>
      </c>
      <c r="I49" s="9">
        <f t="shared" ref="I49" si="9">SUM(I41:I48)</f>
        <v>0</v>
      </c>
    </row>
    <row r="50" spans="2:9" s="8" customFormat="1" x14ac:dyDescent="0.25">
      <c r="B50" s="8" t="s">
        <v>38</v>
      </c>
      <c r="C50" s="9">
        <f>C49+C39</f>
        <v>124613368449</v>
      </c>
      <c r="D50" s="9">
        <f>D49+D39</f>
        <v>135996552482</v>
      </c>
      <c r="E50" s="9">
        <f t="shared" ref="E50:G50" si="10">E49+E39</f>
        <v>147610803254</v>
      </c>
      <c r="F50" s="9">
        <f>F49+F39</f>
        <v>174067010385</v>
      </c>
      <c r="G50" s="9">
        <f t="shared" si="10"/>
        <v>203645697936</v>
      </c>
      <c r="H50" s="9">
        <f>H49+H39</f>
        <v>241995412244</v>
      </c>
      <c r="I50" s="9">
        <f t="shared" ref="I50" si="11">I49+I39</f>
        <v>0</v>
      </c>
    </row>
    <row r="51" spans="2:9" x14ac:dyDescent="0.25">
      <c r="C51" s="23"/>
    </row>
    <row r="52" spans="2:9" x14ac:dyDescent="0.25">
      <c r="B52" s="8" t="s">
        <v>133</v>
      </c>
      <c r="C52" s="19">
        <f>C49/(C41/10)</f>
        <v>17.357917353726943</v>
      </c>
      <c r="D52" s="19">
        <f t="shared" ref="D52:G52" si="12">D49/(D41/10)</f>
        <v>17.755493625162899</v>
      </c>
      <c r="E52" s="19">
        <f t="shared" si="12"/>
        <v>17.757362295297327</v>
      </c>
      <c r="F52" s="19">
        <f t="shared" si="12"/>
        <v>18.763331984527042</v>
      </c>
      <c r="G52" s="19">
        <f t="shared" si="12"/>
        <v>19.457292767615833</v>
      </c>
      <c r="H52" s="19">
        <f t="shared" ref="H52:I52" si="13">H49/(H41/10)</f>
        <v>20.150219624769129</v>
      </c>
      <c r="I52" s="19" t="e">
        <f t="shared" si="1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workbookViewId="0">
      <pane xSplit="2" ySplit="4" topLeftCell="C33" activePane="bottomRight" state="frozen"/>
      <selection pane="topRight" activeCell="C1" sqref="C1"/>
      <selection pane="bottomLeft" activeCell="A5" sqref="A5"/>
      <selection pane="bottomRight" activeCell="G40" sqref="G40"/>
    </sheetView>
  </sheetViews>
  <sheetFormatPr defaultRowHeight="15" x14ac:dyDescent="0.25"/>
  <cols>
    <col min="2" max="2" width="46" customWidth="1"/>
    <col min="3" max="3" width="18" bestFit="1" customWidth="1"/>
    <col min="4" max="5" width="15.28515625" bestFit="1" customWidth="1"/>
    <col min="6" max="7" width="16.85546875" bestFit="1" customWidth="1"/>
    <col min="8" max="8" width="19.140625" customWidth="1"/>
    <col min="9" max="9" width="13" bestFit="1" customWidth="1"/>
  </cols>
  <sheetData>
    <row r="1" spans="2:9" ht="23.25" x14ac:dyDescent="0.35">
      <c r="B1" s="1" t="s">
        <v>129</v>
      </c>
    </row>
    <row r="2" spans="2:9" ht="18.75" x14ac:dyDescent="0.3">
      <c r="B2" s="2" t="s">
        <v>39</v>
      </c>
    </row>
    <row r="3" spans="2:9" ht="15.75" x14ac:dyDescent="0.25">
      <c r="B3" s="3" t="s">
        <v>1</v>
      </c>
    </row>
    <row r="4" spans="2:9" ht="15.75" x14ac:dyDescent="0.25">
      <c r="B4" s="4"/>
      <c r="C4" s="5">
        <v>2013</v>
      </c>
      <c r="D4" s="6">
        <v>2014</v>
      </c>
      <c r="E4" s="5">
        <v>2015</v>
      </c>
      <c r="F4" s="6">
        <v>2016</v>
      </c>
      <c r="G4" s="5">
        <v>2017</v>
      </c>
      <c r="H4" s="6">
        <v>2018</v>
      </c>
      <c r="I4" s="5">
        <v>2019</v>
      </c>
    </row>
    <row r="5" spans="2:9" ht="18.75" x14ac:dyDescent="0.3">
      <c r="B5" s="7" t="s">
        <v>40</v>
      </c>
    </row>
    <row r="6" spans="2:9" x14ac:dyDescent="0.25">
      <c r="B6" s="10" t="s">
        <v>41</v>
      </c>
      <c r="C6" s="11">
        <v>12393159940</v>
      </c>
      <c r="D6" s="10">
        <v>12002336832</v>
      </c>
      <c r="E6" s="11">
        <v>11115978216</v>
      </c>
      <c r="F6" s="11">
        <v>11244103827</v>
      </c>
      <c r="G6" s="11">
        <v>12738852679</v>
      </c>
      <c r="H6" s="11">
        <v>17655874260</v>
      </c>
    </row>
    <row r="7" spans="2:9" x14ac:dyDescent="0.25">
      <c r="B7" s="10" t="s">
        <v>42</v>
      </c>
      <c r="C7" s="11">
        <v>10143850699</v>
      </c>
      <c r="D7" s="10">
        <v>9339227961</v>
      </c>
      <c r="E7" s="11">
        <v>8056172569</v>
      </c>
      <c r="F7" s="11">
        <v>7281263723</v>
      </c>
      <c r="G7" s="11">
        <v>8102787529</v>
      </c>
      <c r="H7" s="11">
        <v>12015579635</v>
      </c>
    </row>
    <row r="8" spans="2:9" s="8" customFormat="1" x14ac:dyDescent="0.25">
      <c r="B8" s="9" t="s">
        <v>43</v>
      </c>
      <c r="C8" s="9">
        <f t="shared" ref="C8:I8" si="0">C6-C7</f>
        <v>2249309241</v>
      </c>
      <c r="D8" s="9">
        <f t="shared" si="0"/>
        <v>2663108871</v>
      </c>
      <c r="E8" s="9">
        <f t="shared" si="0"/>
        <v>3059805647</v>
      </c>
      <c r="F8" s="9">
        <f t="shared" si="0"/>
        <v>3962840104</v>
      </c>
      <c r="G8" s="9">
        <f t="shared" si="0"/>
        <v>4636065150</v>
      </c>
      <c r="H8" s="9">
        <f t="shared" si="0"/>
        <v>5640294625</v>
      </c>
      <c r="I8" s="9">
        <f t="shared" si="0"/>
        <v>0</v>
      </c>
    </row>
    <row r="9" spans="2:9" x14ac:dyDescent="0.25">
      <c r="B9" s="10" t="s">
        <v>44</v>
      </c>
      <c r="C9" s="11">
        <v>2782298831</v>
      </c>
      <c r="D9" s="10">
        <v>2673127057</v>
      </c>
      <c r="E9" s="11">
        <v>2702145147</v>
      </c>
      <c r="F9" s="11">
        <v>2029937779</v>
      </c>
      <c r="G9" s="11">
        <v>2050538842</v>
      </c>
      <c r="H9" s="11">
        <v>2856783733</v>
      </c>
    </row>
    <row r="10" spans="2:9" x14ac:dyDescent="0.25">
      <c r="B10" s="10" t="s">
        <v>45</v>
      </c>
      <c r="C10" s="11">
        <v>994668402</v>
      </c>
      <c r="D10" s="10">
        <v>1032555568</v>
      </c>
      <c r="E10" s="11">
        <v>891019632</v>
      </c>
      <c r="F10" s="11">
        <v>1249842333</v>
      </c>
      <c r="G10" s="11">
        <v>1698348346</v>
      </c>
      <c r="H10" s="11">
        <v>1449310512</v>
      </c>
    </row>
    <row r="11" spans="2:9" x14ac:dyDescent="0.25">
      <c r="B11" s="10" t="s">
        <v>46</v>
      </c>
      <c r="C11" s="11">
        <v>348798813</v>
      </c>
      <c r="D11" s="10">
        <v>347721249</v>
      </c>
      <c r="E11" s="11">
        <v>389527812</v>
      </c>
      <c r="F11" s="11">
        <v>414776290</v>
      </c>
      <c r="G11" s="11">
        <v>512821107</v>
      </c>
      <c r="H11" s="11">
        <v>558600021</v>
      </c>
    </row>
    <row r="12" spans="2:9" s="8" customFormat="1" x14ac:dyDescent="0.25">
      <c r="B12" s="9"/>
      <c r="C12" s="9">
        <f t="shared" ref="C12:G12" si="1">SUM(C9:C11)</f>
        <v>4125766046</v>
      </c>
      <c r="D12" s="9">
        <f t="shared" si="1"/>
        <v>4053403874</v>
      </c>
      <c r="E12" s="9">
        <f t="shared" si="1"/>
        <v>3982692591</v>
      </c>
      <c r="F12" s="9">
        <f t="shared" si="1"/>
        <v>3694556402</v>
      </c>
      <c r="G12" s="9">
        <f t="shared" si="1"/>
        <v>4261708295</v>
      </c>
      <c r="H12" s="9">
        <f t="shared" ref="H12:I12" si="2">SUM(H9:H11)</f>
        <v>4864694266</v>
      </c>
      <c r="I12" s="9">
        <f t="shared" si="2"/>
        <v>0</v>
      </c>
    </row>
    <row r="13" spans="2:9" x14ac:dyDescent="0.25">
      <c r="B13" s="9" t="s">
        <v>47</v>
      </c>
      <c r="C13" s="9">
        <f t="shared" ref="C13:G13" si="3">C8+C12</f>
        <v>6375075287</v>
      </c>
      <c r="D13" s="9">
        <f t="shared" si="3"/>
        <v>6716512745</v>
      </c>
      <c r="E13" s="9">
        <f t="shared" si="3"/>
        <v>7042498238</v>
      </c>
      <c r="F13" s="9">
        <f t="shared" si="3"/>
        <v>7657396506</v>
      </c>
      <c r="G13" s="9">
        <f t="shared" si="3"/>
        <v>8897773445</v>
      </c>
      <c r="H13" s="9">
        <f t="shared" ref="H13:I13" si="4">H8+H12</f>
        <v>10504988891</v>
      </c>
      <c r="I13" s="9">
        <f t="shared" si="4"/>
        <v>0</v>
      </c>
    </row>
    <row r="14" spans="2:9" ht="18.75" x14ac:dyDescent="0.3">
      <c r="B14" s="17" t="s">
        <v>48</v>
      </c>
    </row>
    <row r="15" spans="2:9" x14ac:dyDescent="0.25">
      <c r="B15" s="10" t="s">
        <v>49</v>
      </c>
      <c r="C15" s="11">
        <v>1351781833</v>
      </c>
      <c r="D15" s="10">
        <v>1769143439</v>
      </c>
      <c r="E15" s="11">
        <v>1888093481</v>
      </c>
      <c r="F15" s="11">
        <v>2030669058</v>
      </c>
      <c r="G15" s="11">
        <v>2560664319</v>
      </c>
      <c r="H15" s="11">
        <v>2631074952</v>
      </c>
    </row>
    <row r="16" spans="2:9" x14ac:dyDescent="0.25">
      <c r="B16" s="10" t="s">
        <v>50</v>
      </c>
      <c r="C16" s="11">
        <v>259177124</v>
      </c>
      <c r="D16" s="10">
        <v>298941220</v>
      </c>
      <c r="E16" s="11">
        <v>323320453</v>
      </c>
      <c r="F16" s="11">
        <v>341957807</v>
      </c>
      <c r="G16" s="11">
        <v>383880819</v>
      </c>
      <c r="H16" s="11">
        <v>549546816</v>
      </c>
    </row>
    <row r="17" spans="2:9" x14ac:dyDescent="0.25">
      <c r="B17" s="10" t="s">
        <v>51</v>
      </c>
      <c r="C17" s="11">
        <v>14798420</v>
      </c>
      <c r="D17" s="10">
        <v>19889646</v>
      </c>
      <c r="E17" s="11">
        <v>21429011</v>
      </c>
      <c r="F17" s="11">
        <v>17052825</v>
      </c>
      <c r="G17" s="11">
        <v>19396390</v>
      </c>
      <c r="H17" s="11">
        <v>18965345</v>
      </c>
    </row>
    <row r="18" spans="2:9" x14ac:dyDescent="0.25">
      <c r="B18" s="10" t="s">
        <v>52</v>
      </c>
      <c r="C18" s="11">
        <v>27669825</v>
      </c>
      <c r="D18" s="10">
        <v>28791504</v>
      </c>
      <c r="E18" s="11">
        <v>28232188</v>
      </c>
      <c r="F18" s="11">
        <v>25920197</v>
      </c>
      <c r="G18" s="11">
        <v>30782652</v>
      </c>
      <c r="H18" s="11">
        <v>62977368</v>
      </c>
    </row>
    <row r="19" spans="2:9" x14ac:dyDescent="0.25">
      <c r="B19" s="10" t="s">
        <v>53</v>
      </c>
      <c r="C19" s="11">
        <v>78124450</v>
      </c>
      <c r="D19" s="10">
        <v>71317985</v>
      </c>
      <c r="E19" s="11">
        <v>89762429</v>
      </c>
      <c r="F19" s="11">
        <v>66782314</v>
      </c>
      <c r="G19" s="11">
        <v>67946744</v>
      </c>
      <c r="H19" s="11">
        <v>85371009</v>
      </c>
    </row>
    <row r="20" spans="2:9" x14ac:dyDescent="0.25">
      <c r="B20" s="10" t="s">
        <v>54</v>
      </c>
      <c r="C20" s="11">
        <v>8880000</v>
      </c>
      <c r="D20" s="10">
        <v>9204354</v>
      </c>
      <c r="E20" s="10">
        <v>8400000</v>
      </c>
      <c r="F20" s="11">
        <v>11400000</v>
      </c>
      <c r="G20" s="11">
        <v>9409672</v>
      </c>
      <c r="H20" s="11">
        <v>13151613</v>
      </c>
    </row>
    <row r="21" spans="2:9" x14ac:dyDescent="0.25">
      <c r="B21" s="10" t="s">
        <v>55</v>
      </c>
      <c r="C21" s="11">
        <v>1495000</v>
      </c>
      <c r="D21" s="10">
        <v>1960500</v>
      </c>
      <c r="E21" s="11">
        <v>2301250</v>
      </c>
      <c r="F21" s="11">
        <v>4188500</v>
      </c>
      <c r="G21" s="11">
        <v>5199836</v>
      </c>
      <c r="H21" s="11">
        <v>5202591</v>
      </c>
    </row>
    <row r="22" spans="2:9" x14ac:dyDescent="0.25">
      <c r="B22" s="10" t="s">
        <v>56</v>
      </c>
      <c r="C22" s="11">
        <v>170000</v>
      </c>
      <c r="D22" s="10">
        <v>207500</v>
      </c>
      <c r="E22" s="11">
        <v>276000</v>
      </c>
      <c r="F22" s="11">
        <v>393000</v>
      </c>
      <c r="G22" s="11">
        <v>398750</v>
      </c>
      <c r="H22" s="11">
        <v>408250</v>
      </c>
    </row>
    <row r="23" spans="2:9" x14ac:dyDescent="0.25">
      <c r="B23" s="10" t="s">
        <v>57</v>
      </c>
      <c r="C23" s="11"/>
      <c r="D23" s="11"/>
      <c r="E23" s="11"/>
      <c r="F23" s="11">
        <v>9965679</v>
      </c>
      <c r="G23" s="11">
        <v>2423306</v>
      </c>
      <c r="H23" s="11">
        <v>0</v>
      </c>
    </row>
    <row r="24" spans="2:9" x14ac:dyDescent="0.25">
      <c r="B24" s="10" t="s">
        <v>58</v>
      </c>
      <c r="C24" s="11">
        <v>344819466</v>
      </c>
      <c r="D24" s="10">
        <v>388255538</v>
      </c>
      <c r="E24" s="11">
        <v>493247477</v>
      </c>
      <c r="F24" s="11">
        <v>418095878</v>
      </c>
      <c r="G24" s="11">
        <v>416877896</v>
      </c>
    </row>
    <row r="25" spans="2:9" ht="30" x14ac:dyDescent="0.25">
      <c r="B25" s="38" t="s">
        <v>145</v>
      </c>
      <c r="C25" s="11"/>
      <c r="D25" s="10"/>
      <c r="E25" s="11"/>
      <c r="F25" s="11"/>
      <c r="G25" s="11"/>
      <c r="H25" s="11">
        <v>401871469</v>
      </c>
    </row>
    <row r="26" spans="2:9" x14ac:dyDescent="0.25">
      <c r="B26" s="10" t="s">
        <v>59</v>
      </c>
      <c r="C26" s="11">
        <v>266951491</v>
      </c>
      <c r="D26" s="10">
        <v>370766566</v>
      </c>
      <c r="E26" s="11">
        <v>280742656</v>
      </c>
      <c r="F26" s="11">
        <v>221073959</v>
      </c>
      <c r="G26" s="11">
        <v>356726116</v>
      </c>
      <c r="H26" s="11">
        <v>495448921</v>
      </c>
    </row>
    <row r="27" spans="2:9" s="8" customFormat="1" x14ac:dyDescent="0.25">
      <c r="B27" s="9" t="s">
        <v>60</v>
      </c>
      <c r="C27" s="9">
        <f>SUM(C15:C26)</f>
        <v>2353867609</v>
      </c>
      <c r="D27" s="9">
        <f>SUM(D15:D26)</f>
        <v>2958478252</v>
      </c>
      <c r="E27" s="9">
        <f>SUM(E15:E26)</f>
        <v>3135804945</v>
      </c>
      <c r="F27" s="9">
        <f>SUM(F15:F26)</f>
        <v>3147499217</v>
      </c>
      <c r="G27" s="9">
        <f>SUM(G15:G26)</f>
        <v>3853706500</v>
      </c>
      <c r="H27" s="9">
        <f t="shared" ref="H27:I27" si="5">SUM(H15:H26)</f>
        <v>4264018334</v>
      </c>
      <c r="I27" s="9">
        <f t="shared" si="5"/>
        <v>0</v>
      </c>
    </row>
    <row r="28" spans="2:9" s="8" customFormat="1" x14ac:dyDescent="0.25">
      <c r="B28" s="9" t="s">
        <v>61</v>
      </c>
    </row>
    <row r="29" spans="2:9" s="8" customFormat="1" x14ac:dyDescent="0.25">
      <c r="B29" s="9" t="s">
        <v>62</v>
      </c>
      <c r="C29" s="9">
        <f>C13-C27+C28</f>
        <v>4021207678</v>
      </c>
      <c r="D29" s="9">
        <f>D13-D27+D28</f>
        <v>3758034493</v>
      </c>
      <c r="E29" s="9">
        <f>E13-E27+E28</f>
        <v>3906693293</v>
      </c>
      <c r="F29" s="9">
        <f>F13-F27+F28</f>
        <v>4509897289</v>
      </c>
      <c r="G29" s="9">
        <f>G13-G27+G28</f>
        <v>5044066945</v>
      </c>
      <c r="H29" s="9">
        <f t="shared" ref="H29:I29" si="6">H13-H27+H28</f>
        <v>6240970557</v>
      </c>
      <c r="I29" s="9">
        <f t="shared" si="6"/>
        <v>0</v>
      </c>
    </row>
    <row r="30" spans="2:9" x14ac:dyDescent="0.25">
      <c r="B30" s="18" t="s">
        <v>113</v>
      </c>
      <c r="C30" s="11">
        <v>1295587905</v>
      </c>
      <c r="D30" s="10">
        <v>1102979734</v>
      </c>
      <c r="E30" s="11">
        <v>1570771018</v>
      </c>
      <c r="F30" s="11">
        <v>949116748</v>
      </c>
      <c r="G30" s="11">
        <v>1739746687</v>
      </c>
      <c r="H30" s="11">
        <v>2330201174</v>
      </c>
    </row>
    <row r="31" spans="2:9" x14ac:dyDescent="0.25">
      <c r="B31" s="18" t="s">
        <v>127</v>
      </c>
      <c r="C31" s="11"/>
      <c r="D31" s="10"/>
      <c r="E31" s="11"/>
      <c r="F31" s="11"/>
      <c r="G31" s="11"/>
    </row>
    <row r="32" spans="2:9" x14ac:dyDescent="0.25">
      <c r="B32" s="10" t="s">
        <v>114</v>
      </c>
      <c r="C32" s="11">
        <v>288477932</v>
      </c>
      <c r="D32" s="11">
        <v>54242778</v>
      </c>
      <c r="E32" s="11">
        <f>3426147+74644446</f>
        <v>78070593</v>
      </c>
      <c r="F32" s="16">
        <f>-83277797-3837276+7700000</f>
        <v>-79415073</v>
      </c>
      <c r="G32" s="16">
        <f>36442514-77049532-7600000</f>
        <v>-48207018</v>
      </c>
      <c r="H32" s="11">
        <v>188473619</v>
      </c>
    </row>
    <row r="33" spans="2:10" x14ac:dyDescent="0.25">
      <c r="B33" s="10" t="s">
        <v>130</v>
      </c>
      <c r="C33" s="16">
        <v>18442091</v>
      </c>
      <c r="D33" s="16">
        <f>3500493+70600398</f>
        <v>74100891</v>
      </c>
      <c r="E33" s="16">
        <v>7481573</v>
      </c>
      <c r="F33" s="11">
        <f>13203697+68187074</f>
        <v>81390771</v>
      </c>
      <c r="G33" s="11">
        <f>24725471+130156684</f>
        <v>154882155</v>
      </c>
      <c r="H33" s="11">
        <v>201020398</v>
      </c>
    </row>
    <row r="34" spans="2:10" s="8" customFormat="1" x14ac:dyDescent="0.25">
      <c r="B34" s="9" t="s">
        <v>63</v>
      </c>
      <c r="C34" s="9">
        <f t="shared" ref="C34:I34" si="7">SUM(C30:C33)</f>
        <v>1602507928</v>
      </c>
      <c r="D34" s="9">
        <f t="shared" si="7"/>
        <v>1231323403</v>
      </c>
      <c r="E34" s="9">
        <f t="shared" si="7"/>
        <v>1656323184</v>
      </c>
      <c r="F34" s="9">
        <f t="shared" si="7"/>
        <v>951092446</v>
      </c>
      <c r="G34" s="9">
        <f t="shared" si="7"/>
        <v>1846421824</v>
      </c>
      <c r="H34" s="9">
        <f t="shared" si="7"/>
        <v>2719695191</v>
      </c>
      <c r="I34" s="9">
        <f t="shared" si="7"/>
        <v>0</v>
      </c>
    </row>
    <row r="35" spans="2:10" s="8" customFormat="1" x14ac:dyDescent="0.25">
      <c r="B35" s="9" t="s">
        <v>131</v>
      </c>
      <c r="C35" s="9">
        <v>20000000</v>
      </c>
      <c r="D35" s="9">
        <v>25000000</v>
      </c>
      <c r="E35" s="9">
        <v>25000000</v>
      </c>
      <c r="F35" s="9">
        <v>25000000</v>
      </c>
      <c r="G35" s="9">
        <v>7500000</v>
      </c>
      <c r="H35" s="9">
        <v>35000000</v>
      </c>
      <c r="I35" s="9"/>
    </row>
    <row r="36" spans="2:10" s="8" customFormat="1" x14ac:dyDescent="0.25">
      <c r="B36" s="9" t="s">
        <v>64</v>
      </c>
      <c r="C36" s="9">
        <f t="shared" ref="C36:I36" si="8">C29-C34-C35</f>
        <v>2398699750</v>
      </c>
      <c r="D36" s="9">
        <f t="shared" si="8"/>
        <v>2501711090</v>
      </c>
      <c r="E36" s="9">
        <f t="shared" si="8"/>
        <v>2225370109</v>
      </c>
      <c r="F36" s="9">
        <f t="shared" si="8"/>
        <v>3533804843</v>
      </c>
      <c r="G36" s="9">
        <f t="shared" si="8"/>
        <v>3190145121</v>
      </c>
      <c r="H36" s="36">
        <f t="shared" si="8"/>
        <v>3486275366</v>
      </c>
      <c r="I36" s="36">
        <f t="shared" si="8"/>
        <v>0</v>
      </c>
      <c r="J36" s="37"/>
    </row>
    <row r="37" spans="2:10" s="8" customFormat="1" x14ac:dyDescent="0.25">
      <c r="B37" s="9" t="s">
        <v>65</v>
      </c>
      <c r="C37" s="13">
        <f>C38+C39</f>
        <v>1257110900</v>
      </c>
      <c r="D37" s="13">
        <f t="shared" ref="D37:G37" si="9">D38+D39</f>
        <v>1007028892</v>
      </c>
      <c r="E37" s="13">
        <f t="shared" si="9"/>
        <v>839985229</v>
      </c>
      <c r="F37" s="13">
        <f t="shared" si="9"/>
        <v>1454764765</v>
      </c>
      <c r="G37" s="13">
        <f t="shared" si="9"/>
        <v>1345570454</v>
      </c>
      <c r="H37" s="13">
        <f t="shared" ref="H37:I37" si="10">H38+H39</f>
        <v>1661044646</v>
      </c>
      <c r="I37" s="13">
        <f t="shared" si="10"/>
        <v>0</v>
      </c>
    </row>
    <row r="38" spans="2:10" x14ac:dyDescent="0.25">
      <c r="B38" s="10" t="s">
        <v>66</v>
      </c>
      <c r="C38" s="16">
        <v>1273061118</v>
      </c>
      <c r="D38" s="16">
        <v>877235304</v>
      </c>
      <c r="E38" s="16">
        <v>894356170</v>
      </c>
      <c r="F38" s="16">
        <v>1479622861</v>
      </c>
      <c r="G38" s="16">
        <v>1361646482</v>
      </c>
      <c r="H38" s="16">
        <v>1727635863</v>
      </c>
      <c r="I38" s="16"/>
    </row>
    <row r="39" spans="2:10" x14ac:dyDescent="0.25">
      <c r="B39" s="10" t="s">
        <v>67</v>
      </c>
      <c r="C39" s="16">
        <v>-15950218</v>
      </c>
      <c r="D39" s="16">
        <v>129793588</v>
      </c>
      <c r="E39" s="16">
        <v>-54370941</v>
      </c>
      <c r="F39" s="16">
        <v>-24858096</v>
      </c>
      <c r="G39" s="16">
        <v>-16076028</v>
      </c>
      <c r="H39" s="16">
        <v>-66591217</v>
      </c>
      <c r="I39" s="16"/>
    </row>
    <row r="40" spans="2:10" s="8" customFormat="1" x14ac:dyDescent="0.25">
      <c r="B40" s="9" t="s">
        <v>68</v>
      </c>
      <c r="C40" s="9">
        <f>C36-C37</f>
        <v>1141588850</v>
      </c>
      <c r="D40" s="9">
        <f t="shared" ref="D40:G40" si="11">D36-D37</f>
        <v>1494682198</v>
      </c>
      <c r="E40" s="9">
        <f t="shared" si="11"/>
        <v>1385384880</v>
      </c>
      <c r="F40" s="9">
        <f t="shared" si="11"/>
        <v>2079040078</v>
      </c>
      <c r="G40" s="9">
        <f t="shared" si="11"/>
        <v>1844574667</v>
      </c>
      <c r="H40" s="9">
        <f t="shared" ref="H40:I40" si="12">H36-H37</f>
        <v>1825230720</v>
      </c>
      <c r="I40" s="9">
        <f t="shared" si="12"/>
        <v>0</v>
      </c>
    </row>
    <row r="42" spans="2:10" x14ac:dyDescent="0.25">
      <c r="B42" s="19" t="s">
        <v>69</v>
      </c>
      <c r="C42" s="30">
        <f>C40/('1'!C41/10)</f>
        <v>1.4928761812029012</v>
      </c>
      <c r="D42" s="30">
        <f>D40/('1'!D41/10)</f>
        <v>1.8615454063732029</v>
      </c>
      <c r="E42" s="30">
        <f>E40/('1'!E41/10)</f>
        <v>1.5685650375041098</v>
      </c>
      <c r="F42" s="30">
        <f>F40/('1'!F41/10)</f>
        <v>2.3539376132938723</v>
      </c>
      <c r="G42" s="30">
        <f>G40/('1'!G41/10)</f>
        <v>2.0884704124401776</v>
      </c>
      <c r="H42" s="30">
        <f>H40/('1'!H41/10)</f>
        <v>2.0665687449760917</v>
      </c>
      <c r="I42" s="30" t="e">
        <f>I40/('1'!I41/10)</f>
        <v>#DIV/0!</v>
      </c>
    </row>
    <row r="43" spans="2:10" x14ac:dyDescent="0.25">
      <c r="B43" s="10"/>
    </row>
    <row r="44" spans="2:10" x14ac:dyDescent="0.25">
      <c r="B44" s="9"/>
    </row>
    <row r="45" spans="2:10" x14ac:dyDescent="0.25">
      <c r="B45" s="9"/>
    </row>
    <row r="46" spans="2:10" x14ac:dyDescent="0.25">
      <c r="B4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tabSelected="1"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C65" sqref="C65"/>
    </sheetView>
  </sheetViews>
  <sheetFormatPr defaultRowHeight="15" x14ac:dyDescent="0.25"/>
  <cols>
    <col min="2" max="2" width="38.42578125" customWidth="1"/>
    <col min="3" max="6" width="18.7109375" bestFit="1" customWidth="1"/>
    <col min="7" max="7" width="17" bestFit="1" customWidth="1"/>
    <col min="8" max="8" width="16.85546875" customWidth="1"/>
  </cols>
  <sheetData>
    <row r="1" spans="2:9" ht="23.25" x14ac:dyDescent="0.35">
      <c r="B1" s="1" t="s">
        <v>129</v>
      </c>
    </row>
    <row r="2" spans="2:9" ht="18.75" x14ac:dyDescent="0.3">
      <c r="B2" s="2" t="s">
        <v>70</v>
      </c>
    </row>
    <row r="3" spans="2:9" ht="15.75" x14ac:dyDescent="0.25">
      <c r="B3" s="3" t="s">
        <v>1</v>
      </c>
    </row>
    <row r="4" spans="2:9" ht="15.75" x14ac:dyDescent="0.25">
      <c r="B4" s="4"/>
      <c r="C4" s="5">
        <v>2013</v>
      </c>
      <c r="D4" s="5">
        <v>2014</v>
      </c>
      <c r="E4" s="6">
        <v>2015</v>
      </c>
      <c r="F4" s="5">
        <v>2016</v>
      </c>
      <c r="G4" s="5">
        <v>2017</v>
      </c>
      <c r="H4" s="5">
        <v>2018</v>
      </c>
      <c r="I4" s="5">
        <v>2019</v>
      </c>
    </row>
    <row r="5" spans="2:9" ht="18.75" x14ac:dyDescent="0.3">
      <c r="B5" s="20" t="s">
        <v>71</v>
      </c>
    </row>
    <row r="6" spans="2:9" x14ac:dyDescent="0.25">
      <c r="B6" s="4" t="s">
        <v>72</v>
      </c>
      <c r="C6" s="16">
        <v>14119597971</v>
      </c>
      <c r="D6" s="16">
        <v>13838674210</v>
      </c>
      <c r="E6" s="16">
        <v>13557609731</v>
      </c>
      <c r="F6" s="16">
        <v>13223761300</v>
      </c>
      <c r="G6" s="16">
        <v>14416688633</v>
      </c>
      <c r="H6" s="16">
        <v>20026451721</v>
      </c>
    </row>
    <row r="7" spans="2:9" x14ac:dyDescent="0.25">
      <c r="B7" s="4" t="s">
        <v>73</v>
      </c>
      <c r="C7" s="16">
        <v>-10449396345</v>
      </c>
      <c r="D7" s="16">
        <v>-8247206366</v>
      </c>
      <c r="E7" s="16">
        <v>-6798120272</v>
      </c>
      <c r="F7" s="16">
        <v>-4985730989</v>
      </c>
      <c r="G7" s="16">
        <v>-11091642298</v>
      </c>
      <c r="H7" s="16">
        <v>-13269061408</v>
      </c>
    </row>
    <row r="8" spans="2:9" x14ac:dyDescent="0.25">
      <c r="B8" s="21" t="s">
        <v>115</v>
      </c>
      <c r="C8" s="16">
        <v>-327673255</v>
      </c>
      <c r="D8" s="16">
        <v>-251426355</v>
      </c>
      <c r="E8" s="16">
        <v>-156953347</v>
      </c>
      <c r="F8" s="16">
        <v>-1715456714</v>
      </c>
      <c r="G8" s="16">
        <v>-2444324952</v>
      </c>
      <c r="H8" s="16">
        <v>-217961061</v>
      </c>
    </row>
    <row r="9" spans="2:9" x14ac:dyDescent="0.25">
      <c r="B9" s="21" t="s">
        <v>74</v>
      </c>
      <c r="C9" s="16">
        <v>-1361653601</v>
      </c>
      <c r="D9" s="16">
        <v>-1668077244</v>
      </c>
      <c r="E9" s="16">
        <v>-1646401353</v>
      </c>
      <c r="F9" s="16">
        <v>-143851366</v>
      </c>
      <c r="G9" s="16">
        <v>-164119612</v>
      </c>
      <c r="H9" s="16">
        <v>-2600173400</v>
      </c>
    </row>
    <row r="10" spans="2:9" x14ac:dyDescent="0.25">
      <c r="B10" s="21" t="s">
        <v>75</v>
      </c>
      <c r="C10" s="16"/>
      <c r="D10" s="16"/>
      <c r="E10" s="16"/>
      <c r="F10" s="16"/>
      <c r="G10" s="16"/>
    </row>
    <row r="11" spans="2:9" x14ac:dyDescent="0.25">
      <c r="B11" s="21" t="s">
        <v>76</v>
      </c>
      <c r="C11" s="16"/>
      <c r="D11" s="16"/>
      <c r="E11" s="16"/>
      <c r="F11" s="16"/>
      <c r="G11" s="16"/>
    </row>
    <row r="12" spans="2:9" x14ac:dyDescent="0.25">
      <c r="B12" s="21" t="s">
        <v>77</v>
      </c>
      <c r="C12" s="16">
        <v>26715673</v>
      </c>
      <c r="D12" s="16">
        <v>56999846</v>
      </c>
      <c r="E12" s="16">
        <v>45312943</v>
      </c>
      <c r="F12" s="16">
        <v>76845376</v>
      </c>
      <c r="G12" s="16">
        <v>91080432</v>
      </c>
      <c r="H12" s="16">
        <v>85585773</v>
      </c>
    </row>
    <row r="13" spans="2:9" x14ac:dyDescent="0.25">
      <c r="B13" s="4" t="s">
        <v>78</v>
      </c>
      <c r="C13" s="16">
        <v>734491693</v>
      </c>
      <c r="D13" s="16">
        <v>743148103</v>
      </c>
      <c r="E13" s="16">
        <v>683096569</v>
      </c>
      <c r="F13" s="16">
        <v>706493732</v>
      </c>
      <c r="G13" s="16">
        <v>811606290</v>
      </c>
      <c r="H13" s="16">
        <v>920599460</v>
      </c>
    </row>
    <row r="14" spans="2:9" x14ac:dyDescent="0.25">
      <c r="B14" s="21" t="s">
        <v>79</v>
      </c>
      <c r="C14" s="16">
        <v>12368154</v>
      </c>
      <c r="D14" s="16">
        <v>11873927</v>
      </c>
      <c r="E14" s="16">
        <v>14573045</v>
      </c>
      <c r="F14" s="16">
        <v>16485152</v>
      </c>
      <c r="G14" s="16">
        <v>7244915</v>
      </c>
      <c r="H14" s="16">
        <v>16904117</v>
      </c>
    </row>
    <row r="15" spans="2:9" x14ac:dyDescent="0.25">
      <c r="B15" s="4" t="s">
        <v>80</v>
      </c>
      <c r="C15" s="16">
        <v>-1379690275</v>
      </c>
      <c r="D15" s="16">
        <v>-1278664489</v>
      </c>
      <c r="E15" s="16">
        <v>-626515636</v>
      </c>
      <c r="F15" s="16">
        <v>-1043383516</v>
      </c>
      <c r="G15" s="16">
        <v>-1745594938</v>
      </c>
      <c r="H15" s="16">
        <v>-1286417952</v>
      </c>
    </row>
    <row r="16" spans="2:9" x14ac:dyDescent="0.25">
      <c r="B16" s="4" t="s">
        <v>81</v>
      </c>
      <c r="C16" s="16">
        <v>1576006887</v>
      </c>
      <c r="D16" s="16">
        <v>1092114460</v>
      </c>
      <c r="E16" s="16">
        <v>892949753</v>
      </c>
      <c r="F16" s="16">
        <v>1014509619</v>
      </c>
      <c r="G16" s="16">
        <v>1408582733</v>
      </c>
      <c r="H16" s="16">
        <v>1077207624</v>
      </c>
    </row>
    <row r="17" spans="2:9" x14ac:dyDescent="0.25">
      <c r="B17" s="4" t="s">
        <v>82</v>
      </c>
      <c r="C17" s="16">
        <v>-511613994</v>
      </c>
      <c r="D17" s="16">
        <v>-663334301</v>
      </c>
      <c r="E17" s="16">
        <v>-818878709</v>
      </c>
      <c r="F17" s="16">
        <v>-832298700</v>
      </c>
      <c r="G17" s="16">
        <v>-853254011</v>
      </c>
      <c r="H17" s="16">
        <v>-1154906869</v>
      </c>
    </row>
    <row r="18" spans="2:9" s="8" customFormat="1" x14ac:dyDescent="0.25">
      <c r="B18" s="22" t="s">
        <v>83</v>
      </c>
      <c r="C18" s="9">
        <f t="shared" ref="C18:I18" si="0">SUM(C6:C17)</f>
        <v>2439152908</v>
      </c>
      <c r="D18" s="9">
        <f t="shared" si="0"/>
        <v>3634101791</v>
      </c>
      <c r="E18" s="9">
        <f t="shared" si="0"/>
        <v>5146672724</v>
      </c>
      <c r="F18" s="9">
        <f t="shared" si="0"/>
        <v>6317373894</v>
      </c>
      <c r="G18" s="9">
        <f t="shared" si="0"/>
        <v>436267192</v>
      </c>
      <c r="H18" s="9">
        <f t="shared" si="0"/>
        <v>3598228005</v>
      </c>
      <c r="I18" s="9">
        <f t="shared" si="0"/>
        <v>0</v>
      </c>
    </row>
    <row r="19" spans="2:9" ht="31.5" x14ac:dyDescent="0.25">
      <c r="B19" s="39" t="s">
        <v>84</v>
      </c>
      <c r="C19" s="23"/>
    </row>
    <row r="20" spans="2:9" ht="15.75" x14ac:dyDescent="0.25">
      <c r="B20" s="24" t="s">
        <v>125</v>
      </c>
      <c r="C20" s="16"/>
      <c r="D20" s="11"/>
      <c r="E20" s="16"/>
      <c r="F20" s="16"/>
      <c r="G20" s="16"/>
    </row>
    <row r="21" spans="2:9" x14ac:dyDescent="0.25">
      <c r="B21" s="4" t="s">
        <v>116</v>
      </c>
      <c r="C21" s="16">
        <v>-8356627334</v>
      </c>
      <c r="D21" s="16">
        <v>-2976075626</v>
      </c>
      <c r="E21" s="16">
        <v>-14204988013</v>
      </c>
      <c r="F21" s="16">
        <v>-21069323411</v>
      </c>
      <c r="G21" s="16">
        <v>-20563766301</v>
      </c>
      <c r="H21" s="16">
        <v>-27236112003</v>
      </c>
    </row>
    <row r="22" spans="2:9" x14ac:dyDescent="0.25">
      <c r="B22" s="4" t="s">
        <v>17</v>
      </c>
      <c r="C22" s="16">
        <v>-259044103</v>
      </c>
      <c r="D22" s="16">
        <v>639275079</v>
      </c>
      <c r="E22" s="16">
        <v>-96253747</v>
      </c>
      <c r="F22" s="16">
        <v>-155131698</v>
      </c>
      <c r="G22" s="16">
        <v>7600432</v>
      </c>
      <c r="H22" s="16">
        <v>-96974976</v>
      </c>
    </row>
    <row r="23" spans="2:9" x14ac:dyDescent="0.25">
      <c r="B23" s="4" t="s">
        <v>85</v>
      </c>
      <c r="E23" s="16"/>
      <c r="F23" s="16"/>
      <c r="G23" s="16"/>
    </row>
    <row r="24" spans="2:9" x14ac:dyDescent="0.25">
      <c r="B24" s="21" t="s">
        <v>86</v>
      </c>
      <c r="C24" s="16">
        <v>-3049675516</v>
      </c>
      <c r="D24" s="16">
        <v>280010212</v>
      </c>
      <c r="E24" s="16">
        <v>-78221992</v>
      </c>
      <c r="F24" s="16">
        <v>1194986245</v>
      </c>
      <c r="G24" s="16">
        <v>9971968602</v>
      </c>
      <c r="H24" s="16">
        <v>2199275748</v>
      </c>
    </row>
    <row r="25" spans="2:9" x14ac:dyDescent="0.25">
      <c r="B25" s="4" t="s">
        <v>124</v>
      </c>
      <c r="C25" s="11">
        <v>1100026340</v>
      </c>
      <c r="D25" s="11">
        <v>7359258763</v>
      </c>
      <c r="E25" s="16">
        <v>7340076576</v>
      </c>
      <c r="F25" s="16">
        <v>19810948812</v>
      </c>
      <c r="G25" s="16">
        <v>19056491559</v>
      </c>
      <c r="H25" s="16">
        <v>28852024394</v>
      </c>
    </row>
    <row r="26" spans="2:9" x14ac:dyDescent="0.25">
      <c r="B26" s="21" t="s">
        <v>87</v>
      </c>
      <c r="E26" s="16"/>
      <c r="F26" s="16"/>
      <c r="G26" s="16"/>
    </row>
    <row r="27" spans="2:9" x14ac:dyDescent="0.25">
      <c r="B27" s="21" t="s">
        <v>88</v>
      </c>
      <c r="C27" s="16"/>
      <c r="D27" s="16"/>
      <c r="E27" s="16"/>
      <c r="F27" s="16"/>
      <c r="G27" s="16"/>
    </row>
    <row r="28" spans="2:9" x14ac:dyDescent="0.25">
      <c r="B28" s="21" t="s">
        <v>89</v>
      </c>
      <c r="E28" s="16"/>
      <c r="F28" s="16"/>
      <c r="G28" s="16"/>
    </row>
    <row r="29" spans="2:9" x14ac:dyDescent="0.25">
      <c r="B29" s="21" t="s">
        <v>90</v>
      </c>
      <c r="C29" s="16"/>
      <c r="E29" s="16"/>
      <c r="F29" s="16"/>
      <c r="G29" s="16"/>
    </row>
    <row r="30" spans="2:9" x14ac:dyDescent="0.25">
      <c r="B30" s="4" t="s">
        <v>91</v>
      </c>
      <c r="C30" s="16">
        <v>10854926679</v>
      </c>
      <c r="D30" s="16">
        <v>-6730570525</v>
      </c>
      <c r="E30" s="16">
        <v>5084806469</v>
      </c>
      <c r="F30" s="16">
        <v>-1275694614</v>
      </c>
      <c r="G30" s="16">
        <v>-6251668913</v>
      </c>
      <c r="H30" s="16">
        <v>-1118105489</v>
      </c>
    </row>
    <row r="31" spans="2:9" x14ac:dyDescent="0.25">
      <c r="B31" s="21" t="s">
        <v>92</v>
      </c>
      <c r="D31" s="16"/>
      <c r="E31" s="16"/>
      <c r="F31" s="16"/>
      <c r="G31" s="16"/>
    </row>
    <row r="32" spans="2:9" x14ac:dyDescent="0.25">
      <c r="B32" s="21" t="s">
        <v>93</v>
      </c>
      <c r="E32" s="16"/>
      <c r="F32" s="16"/>
      <c r="G32" s="16"/>
    </row>
    <row r="33" spans="2:9" x14ac:dyDescent="0.25">
      <c r="B33" s="21" t="s">
        <v>94</v>
      </c>
      <c r="E33" s="16"/>
      <c r="F33" s="16"/>
      <c r="G33" s="16"/>
    </row>
    <row r="34" spans="2:9" x14ac:dyDescent="0.25">
      <c r="B34" s="4" t="s">
        <v>95</v>
      </c>
      <c r="E34" s="16"/>
      <c r="F34" s="16"/>
      <c r="G34" s="16"/>
    </row>
    <row r="35" spans="2:9" x14ac:dyDescent="0.25">
      <c r="B35" s="21" t="s">
        <v>146</v>
      </c>
      <c r="C35" s="16">
        <v>-122813430</v>
      </c>
      <c r="E35" s="16"/>
      <c r="F35" s="16"/>
      <c r="G35" s="16"/>
      <c r="H35">
        <v>-1371451835</v>
      </c>
    </row>
    <row r="36" spans="2:9" x14ac:dyDescent="0.25">
      <c r="B36" s="4" t="s">
        <v>96</v>
      </c>
      <c r="C36" s="16">
        <v>505821414</v>
      </c>
      <c r="D36" s="29">
        <f>721332298-1188600453</f>
        <v>-467268155</v>
      </c>
      <c r="E36" s="16">
        <f>346021639-1031349109</f>
        <v>-685327470</v>
      </c>
      <c r="F36" s="16">
        <f>180971922-692430597</f>
        <v>-511458675</v>
      </c>
      <c r="G36" s="16">
        <f>22017622-1039433515</f>
        <v>-1017415893</v>
      </c>
      <c r="H36" s="16">
        <v>218973632</v>
      </c>
    </row>
    <row r="37" spans="2:9" s="8" customFormat="1" x14ac:dyDescent="0.25">
      <c r="B37" s="25"/>
      <c r="C37" s="9">
        <f>SUM(C20:C36)</f>
        <v>672614050</v>
      </c>
      <c r="D37" s="9">
        <f>SUM(D20:D36)</f>
        <v>-1895370252</v>
      </c>
      <c r="E37" s="9">
        <f t="shared" ref="E37:G37" si="1">SUM(E20:E36)</f>
        <v>-2639908177</v>
      </c>
      <c r="F37" s="9">
        <f t="shared" si="1"/>
        <v>-2005673341</v>
      </c>
      <c r="G37" s="9">
        <f t="shared" si="1"/>
        <v>1203209486</v>
      </c>
      <c r="H37" s="9">
        <f t="shared" ref="H37:I37" si="2">SUM(H20:H36)</f>
        <v>1447629471</v>
      </c>
      <c r="I37" s="9">
        <f t="shared" si="2"/>
        <v>0</v>
      </c>
    </row>
    <row r="38" spans="2:9" s="8" customFormat="1" x14ac:dyDescent="0.25">
      <c r="B38" s="25"/>
      <c r="C38" s="26"/>
    </row>
    <row r="39" spans="2:9" s="8" customFormat="1" x14ac:dyDescent="0.25">
      <c r="B39" s="25" t="s">
        <v>97</v>
      </c>
      <c r="C39" s="9">
        <f t="shared" ref="C39:G39" si="3">C18+C37</f>
        <v>3111766958</v>
      </c>
      <c r="D39" s="9">
        <f>D18+D37</f>
        <v>1738731539</v>
      </c>
      <c r="E39" s="9">
        <f t="shared" si="3"/>
        <v>2506764547</v>
      </c>
      <c r="F39" s="9">
        <f t="shared" si="3"/>
        <v>4311700553</v>
      </c>
      <c r="G39" s="9">
        <f t="shared" si="3"/>
        <v>1639476678</v>
      </c>
      <c r="H39" s="9">
        <f t="shared" ref="H39:I39" si="4">H18+H37</f>
        <v>5045857476</v>
      </c>
      <c r="I39" s="9">
        <f t="shared" si="4"/>
        <v>0</v>
      </c>
    </row>
    <row r="40" spans="2:9" x14ac:dyDescent="0.25">
      <c r="B40" s="25"/>
      <c r="C40" s="23"/>
      <c r="D40" s="23"/>
    </row>
    <row r="41" spans="2:9" ht="18.75" x14ac:dyDescent="0.3">
      <c r="B41" s="20" t="s">
        <v>98</v>
      </c>
    </row>
    <row r="42" spans="2:9" x14ac:dyDescent="0.25">
      <c r="B42" s="27" t="s">
        <v>117</v>
      </c>
      <c r="C42" s="16"/>
      <c r="D42" s="16"/>
      <c r="E42" s="16"/>
      <c r="F42" s="16"/>
      <c r="G42" s="16"/>
    </row>
    <row r="43" spans="2:9" x14ac:dyDescent="0.25">
      <c r="B43" s="27" t="s">
        <v>99</v>
      </c>
      <c r="C43" s="16"/>
      <c r="D43" s="16"/>
      <c r="E43" s="16"/>
      <c r="F43" s="16"/>
      <c r="G43" s="16"/>
    </row>
    <row r="44" spans="2:9" x14ac:dyDescent="0.25">
      <c r="B44" s="4" t="s">
        <v>100</v>
      </c>
      <c r="C44" s="16"/>
      <c r="D44" s="16"/>
      <c r="E44" s="16"/>
      <c r="F44" s="16"/>
      <c r="G44" s="16"/>
    </row>
    <row r="45" spans="2:9" x14ac:dyDescent="0.25">
      <c r="B45" s="4" t="s">
        <v>118</v>
      </c>
      <c r="C45" s="16">
        <v>384963302</v>
      </c>
      <c r="D45" s="16">
        <v>262380301</v>
      </c>
      <c r="E45" s="16">
        <v>269139214</v>
      </c>
      <c r="F45" s="16">
        <v>171740054</v>
      </c>
      <c r="G45" s="16">
        <v>1951908080</v>
      </c>
      <c r="H45" s="16">
        <v>388201369</v>
      </c>
    </row>
    <row r="46" spans="2:9" x14ac:dyDescent="0.25">
      <c r="B46" s="4" t="s">
        <v>119</v>
      </c>
      <c r="C46" s="16">
        <v>-412586872</v>
      </c>
      <c r="D46" s="16">
        <v>-173299658</v>
      </c>
      <c r="E46" s="16">
        <v>-284580505</v>
      </c>
      <c r="F46" s="16">
        <v>-1332032654</v>
      </c>
      <c r="G46" s="16">
        <v>-918654949</v>
      </c>
      <c r="H46" s="16">
        <v>-3361653824</v>
      </c>
    </row>
    <row r="47" spans="2:9" x14ac:dyDescent="0.25">
      <c r="B47" s="4" t="s">
        <v>121</v>
      </c>
      <c r="C47" s="16">
        <v>11612322</v>
      </c>
      <c r="D47" s="16">
        <v>5893287</v>
      </c>
      <c r="E47" s="16">
        <v>12704892</v>
      </c>
      <c r="F47" s="16">
        <v>892742</v>
      </c>
      <c r="G47" s="16">
        <v>8066593</v>
      </c>
      <c r="H47" s="16">
        <v>11169463</v>
      </c>
    </row>
    <row r="48" spans="2:9" x14ac:dyDescent="0.25">
      <c r="B48" s="4" t="s">
        <v>101</v>
      </c>
      <c r="C48" s="16">
        <v>-149858951</v>
      </c>
      <c r="D48" s="16">
        <v>-989898832</v>
      </c>
      <c r="E48" s="16">
        <v>-300444092</v>
      </c>
      <c r="F48" s="16">
        <v>-116117568</v>
      </c>
      <c r="G48" s="16">
        <v>-208655721</v>
      </c>
      <c r="H48" s="16">
        <v>-433984856</v>
      </c>
    </row>
    <row r="49" spans="2:9" x14ac:dyDescent="0.25">
      <c r="B49" s="21" t="s">
        <v>30</v>
      </c>
      <c r="C49" s="16"/>
      <c r="D49" s="16"/>
      <c r="E49" s="16"/>
      <c r="F49" s="16"/>
      <c r="G49" s="16"/>
    </row>
    <row r="50" spans="2:9" s="8" customFormat="1" x14ac:dyDescent="0.25">
      <c r="B50" s="25" t="s">
        <v>102</v>
      </c>
      <c r="C50" s="9">
        <f>SUM(C42:C49)</f>
        <v>-165870199</v>
      </c>
      <c r="D50" s="9">
        <f>SUM(D42:D49)</f>
        <v>-894924902</v>
      </c>
      <c r="E50" s="9">
        <f t="shared" ref="E50:I50" si="5">E43+E44+E45+E46+E47+E48+E42+E49</f>
        <v>-303180491</v>
      </c>
      <c r="F50" s="9">
        <f t="shared" si="5"/>
        <v>-1275517426</v>
      </c>
      <c r="G50" s="9">
        <f t="shared" si="5"/>
        <v>832664003</v>
      </c>
      <c r="H50" s="9">
        <f t="shared" si="5"/>
        <v>-3396267848</v>
      </c>
      <c r="I50" s="9">
        <f t="shared" si="5"/>
        <v>0</v>
      </c>
    </row>
    <row r="51" spans="2:9" ht="18.75" x14ac:dyDescent="0.3">
      <c r="B51" s="20" t="s">
        <v>103</v>
      </c>
    </row>
    <row r="52" spans="2:9" x14ac:dyDescent="0.25">
      <c r="B52" t="s">
        <v>104</v>
      </c>
      <c r="C52" s="16"/>
      <c r="D52" s="16">
        <v>2093981907</v>
      </c>
      <c r="E52" s="16">
        <v>306503465</v>
      </c>
      <c r="F52" s="16">
        <v>23155373</v>
      </c>
      <c r="G52" s="16">
        <v>483580755</v>
      </c>
      <c r="H52" s="16">
        <v>817038689</v>
      </c>
    </row>
    <row r="53" spans="2:9" x14ac:dyDescent="0.25">
      <c r="B53" t="s">
        <v>105</v>
      </c>
      <c r="C53" s="16">
        <v>-3427122356</v>
      </c>
      <c r="D53" s="16"/>
      <c r="E53" s="16"/>
      <c r="F53" s="16"/>
      <c r="G53" s="16"/>
    </row>
    <row r="54" spans="2:9" x14ac:dyDescent="0.25">
      <c r="B54" t="s">
        <v>106</v>
      </c>
      <c r="C54" s="16"/>
      <c r="D54" s="16">
        <v>-458814548</v>
      </c>
      <c r="E54" s="16"/>
      <c r="F54" s="16">
        <v>-1126102954</v>
      </c>
      <c r="G54" s="16">
        <v>-1413148805</v>
      </c>
      <c r="H54" s="16">
        <v>-1148183404</v>
      </c>
    </row>
    <row r="55" spans="2:9" x14ac:dyDescent="0.25">
      <c r="B55" t="s">
        <v>128</v>
      </c>
      <c r="C55" s="16"/>
      <c r="D55" s="16"/>
      <c r="E55" s="16"/>
      <c r="F55" s="16"/>
      <c r="G55" s="16"/>
      <c r="H55" s="11">
        <v>4000000000</v>
      </c>
    </row>
    <row r="56" spans="2:9" s="8" customFormat="1" x14ac:dyDescent="0.25">
      <c r="B56" s="25" t="s">
        <v>107</v>
      </c>
      <c r="C56" s="9">
        <f t="shared" ref="C56:F56" si="6">SUM(C52:C55)</f>
        <v>-3427122356</v>
      </c>
      <c r="D56" s="9">
        <f t="shared" si="6"/>
        <v>1635167359</v>
      </c>
      <c r="E56" s="9">
        <f t="shared" si="6"/>
        <v>306503465</v>
      </c>
      <c r="F56" s="9">
        <f t="shared" si="6"/>
        <v>-1102947581</v>
      </c>
      <c r="G56" s="9">
        <f>SUM(G52:G55)</f>
        <v>-929568050</v>
      </c>
      <c r="H56" s="9">
        <f t="shared" ref="H56:I56" si="7">SUM(H52:H55)</f>
        <v>3668855285</v>
      </c>
      <c r="I56" s="9">
        <f t="shared" si="7"/>
        <v>0</v>
      </c>
    </row>
    <row r="57" spans="2:9" s="8" customFormat="1" x14ac:dyDescent="0.25">
      <c r="B57" s="25"/>
    </row>
    <row r="58" spans="2:9" s="8" customFormat="1" x14ac:dyDescent="0.25">
      <c r="B58" s="25" t="s">
        <v>108</v>
      </c>
      <c r="C58" s="9">
        <f t="shared" ref="C58:G58" si="8">C56+C50+C39</f>
        <v>-481225597</v>
      </c>
      <c r="D58" s="9">
        <f t="shared" si="8"/>
        <v>2478973996</v>
      </c>
      <c r="E58" s="9">
        <f t="shared" si="8"/>
        <v>2510087521</v>
      </c>
      <c r="F58" s="9">
        <f t="shared" si="8"/>
        <v>1933235546</v>
      </c>
      <c r="G58" s="9">
        <f t="shared" si="8"/>
        <v>1542572631</v>
      </c>
      <c r="H58" s="9">
        <f t="shared" ref="H58:I58" si="9">H56+H50+H39</f>
        <v>5318444913</v>
      </c>
      <c r="I58" s="9">
        <f t="shared" si="9"/>
        <v>0</v>
      </c>
    </row>
    <row r="59" spans="2:9" x14ac:dyDescent="0.25">
      <c r="B59" s="25" t="s">
        <v>147</v>
      </c>
      <c r="C59" s="16"/>
      <c r="D59" s="16"/>
      <c r="E59" s="11"/>
      <c r="F59" s="11">
        <v>-7239609</v>
      </c>
      <c r="G59" s="11">
        <v>1462211</v>
      </c>
      <c r="H59" s="11">
        <v>-1619834</v>
      </c>
      <c r="I59" s="11"/>
    </row>
    <row r="60" spans="2:9" x14ac:dyDescent="0.25">
      <c r="B60" s="22" t="s">
        <v>109</v>
      </c>
      <c r="C60" s="11">
        <v>9037722218</v>
      </c>
      <c r="D60" s="11">
        <f>1485538+8550682063</f>
        <v>8552167601</v>
      </c>
      <c r="E60" s="11">
        <f>7913698+11031141597</f>
        <v>11039055295</v>
      </c>
      <c r="F60" s="11">
        <v>13548063317</v>
      </c>
      <c r="G60" s="11">
        <v>15474059254</v>
      </c>
      <c r="H60" s="11">
        <v>17018094096</v>
      </c>
      <c r="I60" s="11"/>
    </row>
    <row r="61" spans="2:9" x14ac:dyDescent="0.25">
      <c r="B61" s="22"/>
    </row>
    <row r="62" spans="2:9" s="8" customFormat="1" x14ac:dyDescent="0.25">
      <c r="B62" s="22" t="s">
        <v>110</v>
      </c>
      <c r="C62" s="9">
        <f>C58+C60</f>
        <v>8556496621</v>
      </c>
      <c r="D62" s="9">
        <f t="shared" ref="D62:G62" si="10">D58+D59+D60</f>
        <v>11031141597</v>
      </c>
      <c r="E62" s="9">
        <f t="shared" si="10"/>
        <v>13549142816</v>
      </c>
      <c r="F62" s="9">
        <f t="shared" si="10"/>
        <v>15474059254</v>
      </c>
      <c r="G62" s="9">
        <f t="shared" si="10"/>
        <v>17018094096</v>
      </c>
      <c r="H62" s="9">
        <f t="shared" ref="H62:I62" si="11">H58+H59+H60</f>
        <v>22334919175</v>
      </c>
      <c r="I62" s="9">
        <f t="shared" si="11"/>
        <v>0</v>
      </c>
    </row>
    <row r="63" spans="2:9" x14ac:dyDescent="0.25">
      <c r="B63" s="28"/>
      <c r="C63" s="23"/>
      <c r="D63" s="23"/>
    </row>
    <row r="64" spans="2:9" x14ac:dyDescent="0.25">
      <c r="B64" s="22" t="s">
        <v>134</v>
      </c>
      <c r="C64" s="31">
        <f>C39/('1'!C41/10)</f>
        <v>4.0693133723690531</v>
      </c>
      <c r="D64" s="31">
        <f>D39/('1'!D41/10)</f>
        <v>2.1654955907500941</v>
      </c>
      <c r="E64" s="31">
        <f>E39/('1'!E41/10)</f>
        <v>2.8382172221188293</v>
      </c>
      <c r="F64" s="31">
        <f>F39/('1'!F41/10)</f>
        <v>4.8818078190826917</v>
      </c>
      <c r="G64" s="31">
        <f>G39/('1'!G41/10)</f>
        <v>1.8562536909701104</v>
      </c>
      <c r="H64" s="31">
        <f>H39/('1'!H41/10)</f>
        <v>5.7130373915170294</v>
      </c>
      <c r="I64" s="31" t="e">
        <f>I39/('1'!I41/10)</f>
        <v>#DIV/0!</v>
      </c>
    </row>
    <row r="65" spans="2:2" x14ac:dyDescent="0.25">
      <c r="B65" s="28"/>
    </row>
    <row r="66" spans="2:2" x14ac:dyDescent="0.25">
      <c r="B66" s="28"/>
    </row>
    <row r="67" spans="2:2" x14ac:dyDescent="0.25">
      <c r="B67" s="28"/>
    </row>
    <row r="68" spans="2:2" x14ac:dyDescent="0.25">
      <c r="B68" s="28"/>
    </row>
    <row r="69" spans="2:2" x14ac:dyDescent="0.25">
      <c r="B69" s="28"/>
    </row>
    <row r="70" spans="2:2" x14ac:dyDescent="0.25">
      <c r="B7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" sqref="F1:G9"/>
    </sheetView>
  </sheetViews>
  <sheetFormatPr defaultRowHeight="15" x14ac:dyDescent="0.25"/>
  <cols>
    <col min="1" max="1" width="34.5703125" bestFit="1" customWidth="1"/>
  </cols>
  <sheetData>
    <row r="1" spans="1:7" ht="15.75" x14ac:dyDescent="0.25">
      <c r="A1" s="32" t="s">
        <v>135</v>
      </c>
      <c r="B1" s="33">
        <v>2013</v>
      </c>
      <c r="C1" s="33">
        <v>2014</v>
      </c>
      <c r="D1" s="33">
        <v>2015</v>
      </c>
      <c r="E1" s="33">
        <v>2016</v>
      </c>
      <c r="F1" s="33">
        <v>2017</v>
      </c>
      <c r="G1" s="33">
        <v>2018</v>
      </c>
    </row>
    <row r="2" spans="1:7" x14ac:dyDescent="0.25">
      <c r="A2" t="s">
        <v>136</v>
      </c>
      <c r="B2" s="34">
        <f>'2'!C8/'2'!C6</f>
        <v>0.18149602295861275</v>
      </c>
      <c r="C2" s="34">
        <f>'2'!D8/'2'!D6</f>
        <v>0.22188253073349509</v>
      </c>
      <c r="D2" s="34">
        <f>'2'!E8/'2'!E6</f>
        <v>0.27526193264716992</v>
      </c>
      <c r="E2" s="34">
        <f>'2'!F8/'2'!F6</f>
        <v>0.3524371675121139</v>
      </c>
      <c r="F2" s="34">
        <f>'2'!G8/'2'!G6</f>
        <v>0.36393113782079872</v>
      </c>
      <c r="G2" s="34">
        <f>'2'!H8/'2'!H6</f>
        <v>0.31945711336301735</v>
      </c>
    </row>
    <row r="3" spans="1:7" x14ac:dyDescent="0.25">
      <c r="A3" t="s">
        <v>137</v>
      </c>
      <c r="B3" s="34">
        <f>'2'!C29/'2'!C13</f>
        <v>0.63077022575717856</v>
      </c>
      <c r="C3" s="34">
        <f>'2'!D29/'2'!D13</f>
        <v>0.55952167972845857</v>
      </c>
      <c r="D3" s="34">
        <f>'2'!E29/'2'!E13</f>
        <v>0.55473117081097945</v>
      </c>
      <c r="E3" s="34">
        <f>'2'!F29/'2'!F13</f>
        <v>0.58895961381472706</v>
      </c>
      <c r="F3" s="34">
        <f>'2'!G29/'2'!G13</f>
        <v>0.56689091671967151</v>
      </c>
      <c r="G3" s="34">
        <f>'2'!H29/'2'!H13</f>
        <v>0.59409587404198616</v>
      </c>
    </row>
    <row r="4" spans="1:7" x14ac:dyDescent="0.25">
      <c r="A4" t="s">
        <v>138</v>
      </c>
      <c r="B4" s="34">
        <f>'2'!C40/'2'!C13</f>
        <v>0.17907064600914099</v>
      </c>
      <c r="C4" s="34">
        <f>'2'!D40/'2'!D13</f>
        <v>0.22253842950163269</v>
      </c>
      <c r="D4" s="34">
        <f>'2'!E40/'2'!E13</f>
        <v>0.19671781705598773</v>
      </c>
      <c r="E4" s="34">
        <f>'2'!F40/'2'!F13</f>
        <v>0.27150743420050866</v>
      </c>
      <c r="F4" s="34">
        <f>'2'!G40/'2'!G13</f>
        <v>0.20730744364327877</v>
      </c>
      <c r="G4" s="34">
        <f>'2'!H40/'2'!H13</f>
        <v>0.17374894337715488</v>
      </c>
    </row>
    <row r="5" spans="1:7" x14ac:dyDescent="0.25">
      <c r="A5" t="s">
        <v>139</v>
      </c>
      <c r="B5" s="34">
        <f>'2'!C40/'1'!C22</f>
        <v>9.1610595778644274E-3</v>
      </c>
      <c r="C5" s="34">
        <f>'2'!D40/'1'!D22</f>
        <v>1.0990588884213301E-2</v>
      </c>
      <c r="D5" s="34">
        <f>'2'!E40/'1'!E22</f>
        <v>9.3853894800376581E-3</v>
      </c>
      <c r="E5" s="34">
        <f>'2'!F40/'1'!F22</f>
        <v>1.1943906392150908E-2</v>
      </c>
      <c r="F5" s="34">
        <f>'2'!G40/'1'!G22</f>
        <v>9.0577639778066758E-3</v>
      </c>
      <c r="G5" s="34">
        <f>'2'!H40/'1'!H22</f>
        <v>7.5424186826454562E-3</v>
      </c>
    </row>
    <row r="6" spans="1:7" x14ac:dyDescent="0.25">
      <c r="A6" t="s">
        <v>140</v>
      </c>
      <c r="B6" s="34">
        <f>'2'!C40/'1'!C49</f>
        <v>8.6005489643742522E-2</v>
      </c>
      <c r="C6" s="34">
        <f>'2'!D40/'1'!D49</f>
        <v>0.10484334852482166</v>
      </c>
      <c r="D6" s="34">
        <f>'2'!E40/'1'!E49</f>
        <v>8.8333222661088145E-2</v>
      </c>
      <c r="E6" s="34">
        <f>'2'!F40/'1'!F49</f>
        <v>0.12545413656993432</v>
      </c>
      <c r="F6" s="34">
        <f>'2'!G40/'1'!G49</f>
        <v>0.10733612519395136</v>
      </c>
      <c r="G6" s="34">
        <f>'2'!H40/'1'!H49</f>
        <v>0.10255812509536205</v>
      </c>
    </row>
    <row r="7" spans="1:7" x14ac:dyDescent="0.25">
      <c r="A7" t="s">
        <v>141</v>
      </c>
      <c r="B7" s="35">
        <v>0.1187</v>
      </c>
      <c r="C7" s="35">
        <v>0.13420000000000001</v>
      </c>
      <c r="D7" s="35">
        <v>0.13519999999999999</v>
      </c>
      <c r="E7" s="35">
        <v>0.1197</v>
      </c>
      <c r="F7" s="35">
        <v>0.11509999999999999</v>
      </c>
      <c r="G7" s="35">
        <v>0.11509999999999999</v>
      </c>
    </row>
    <row r="8" spans="1:7" x14ac:dyDescent="0.25">
      <c r="A8" t="s">
        <v>142</v>
      </c>
      <c r="B8" s="35">
        <v>5.5100000000000003E-2</v>
      </c>
      <c r="C8" s="35">
        <v>7.4099999999999999E-2</v>
      </c>
      <c r="D8" s="35">
        <v>7.0699999999999999E-2</v>
      </c>
      <c r="E8" s="35">
        <v>5.7700000000000001E-2</v>
      </c>
      <c r="F8" s="35">
        <v>5.79E-2</v>
      </c>
      <c r="G8" s="35">
        <v>5.79E-2</v>
      </c>
    </row>
    <row r="9" spans="1:7" x14ac:dyDescent="0.25">
      <c r="A9" t="s">
        <v>143</v>
      </c>
      <c r="B9" s="35">
        <v>0.83</v>
      </c>
      <c r="C9" s="35">
        <v>0.77410000000000001</v>
      </c>
      <c r="D9" s="35">
        <v>0.8357</v>
      </c>
      <c r="E9" s="35">
        <v>0.83919999999999995</v>
      </c>
      <c r="F9" s="35">
        <v>0.83560000000000001</v>
      </c>
      <c r="G9" s="35">
        <v>0.83560000000000001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2020-04-12T14:23:09Z</dcterms:modified>
</cp:coreProperties>
</file>