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ment\A\"/>
    </mc:Choice>
  </mc:AlternateContent>
  <bookViews>
    <workbookView xWindow="0" yWindow="0" windowWidth="9465" windowHeight="747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33" i="3"/>
  <c r="H21" i="3"/>
  <c r="H14" i="3"/>
  <c r="H7" i="2"/>
  <c r="H12" i="2" s="1"/>
  <c r="H53" i="1"/>
  <c r="H45" i="1"/>
  <c r="H52" i="1" s="1"/>
  <c r="H36" i="1"/>
  <c r="H27" i="1"/>
  <c r="H18" i="1"/>
  <c r="H10" i="1"/>
  <c r="H34" i="3" l="1"/>
  <c r="H36" i="3" s="1"/>
  <c r="H39" i="3"/>
  <c r="H22" i="2"/>
  <c r="H9" i="4" s="1"/>
  <c r="H10" i="4"/>
  <c r="H48" i="1"/>
  <c r="H8" i="4"/>
  <c r="H7" i="4"/>
  <c r="H19" i="1"/>
  <c r="B45" i="1"/>
  <c r="H5" i="4" l="1"/>
  <c r="H6" i="4"/>
  <c r="H11" i="4"/>
  <c r="H24" i="2"/>
  <c r="H50" i="1"/>
  <c r="G45" i="1"/>
  <c r="G52" i="1" s="1"/>
  <c r="C14" i="3" l="1"/>
  <c r="D14" i="3"/>
  <c r="E14" i="3"/>
  <c r="F14" i="3"/>
  <c r="G14" i="3"/>
  <c r="B14" i="3"/>
  <c r="C53" i="1"/>
  <c r="D53" i="1"/>
  <c r="E53" i="1"/>
  <c r="F53" i="1"/>
  <c r="G53" i="1"/>
  <c r="B53" i="1"/>
  <c r="C45" i="1" l="1"/>
  <c r="C52" i="1" s="1"/>
  <c r="D45" i="1"/>
  <c r="D52" i="1" s="1"/>
  <c r="E45" i="1"/>
  <c r="E52" i="1" s="1"/>
  <c r="F45" i="1"/>
  <c r="F52" i="1" s="1"/>
  <c r="G36" i="1" l="1"/>
  <c r="G33" i="3" l="1"/>
  <c r="G21" i="3"/>
  <c r="G39" i="3"/>
  <c r="G7" i="2"/>
  <c r="G27" i="1"/>
  <c r="G18" i="1"/>
  <c r="G8" i="4" s="1"/>
  <c r="G10" i="1"/>
  <c r="B33" i="3"/>
  <c r="B21" i="3"/>
  <c r="B7" i="2"/>
  <c r="B12" i="2" s="1"/>
  <c r="B36" i="1"/>
  <c r="B27" i="1"/>
  <c r="B7" i="4"/>
  <c r="B18" i="1"/>
  <c r="B10" i="1"/>
  <c r="C33" i="3"/>
  <c r="C21" i="3"/>
  <c r="C39" i="3"/>
  <c r="D33" i="3"/>
  <c r="D21" i="3"/>
  <c r="D39" i="3"/>
  <c r="C7" i="2"/>
  <c r="C12" i="2" s="1"/>
  <c r="D7" i="2"/>
  <c r="D12" i="2" s="1"/>
  <c r="D18" i="2" s="1"/>
  <c r="C36" i="1"/>
  <c r="D36" i="1"/>
  <c r="C27" i="1"/>
  <c r="D27" i="1"/>
  <c r="D7" i="4"/>
  <c r="C18" i="1"/>
  <c r="D18" i="1"/>
  <c r="C10" i="1"/>
  <c r="D10" i="1"/>
  <c r="E33" i="3"/>
  <c r="E21" i="3"/>
  <c r="E7" i="2"/>
  <c r="E12" i="2" s="1"/>
  <c r="E36" i="1"/>
  <c r="E27" i="1"/>
  <c r="E7" i="4"/>
  <c r="E18" i="1"/>
  <c r="E10" i="1"/>
  <c r="F33" i="3"/>
  <c r="F21" i="3"/>
  <c r="F39" i="3"/>
  <c r="F7" i="2"/>
  <c r="F12" i="2" s="1"/>
  <c r="F18" i="2" s="1"/>
  <c r="F36" i="1"/>
  <c r="F27" i="1"/>
  <c r="F7" i="4"/>
  <c r="F18" i="1"/>
  <c r="F10" i="1"/>
  <c r="C10" i="4" l="1"/>
  <c r="C18" i="2"/>
  <c r="E10" i="4"/>
  <c r="E18" i="2"/>
  <c r="B10" i="4"/>
  <c r="B18" i="2"/>
  <c r="B22" i="2" s="1"/>
  <c r="B11" i="4" s="1"/>
  <c r="C34" i="3"/>
  <c r="C36" i="3" s="1"/>
  <c r="B8" i="4"/>
  <c r="E19" i="1"/>
  <c r="D48" i="1"/>
  <c r="D50" i="1" s="1"/>
  <c r="E8" i="4"/>
  <c r="F19" i="1"/>
  <c r="D8" i="4"/>
  <c r="B48" i="1"/>
  <c r="B52" i="1" s="1"/>
  <c r="F8" i="4"/>
  <c r="E48" i="1"/>
  <c r="F10" i="4"/>
  <c r="F22" i="2"/>
  <c r="B39" i="3"/>
  <c r="B34" i="3"/>
  <c r="B36" i="3" s="1"/>
  <c r="E39" i="3"/>
  <c r="E34" i="3"/>
  <c r="E36" i="3" s="1"/>
  <c r="D22" i="2"/>
  <c r="D10" i="4"/>
  <c r="G12" i="2"/>
  <c r="F48" i="1"/>
  <c r="E22" i="2"/>
  <c r="D19" i="1"/>
  <c r="D34" i="3"/>
  <c r="D36" i="3" s="1"/>
  <c r="G48" i="1"/>
  <c r="G7" i="4"/>
  <c r="C8" i="4"/>
  <c r="C22" i="2"/>
  <c r="B19" i="1"/>
  <c r="F34" i="3"/>
  <c r="F36" i="3" s="1"/>
  <c r="C48" i="1"/>
  <c r="C7" i="4"/>
  <c r="G34" i="3"/>
  <c r="G36" i="3" s="1"/>
  <c r="G19" i="1"/>
  <c r="C19" i="1"/>
  <c r="B5" i="4" l="1"/>
  <c r="G10" i="4"/>
  <c r="G18" i="2"/>
  <c r="B24" i="2"/>
  <c r="B9" i="4"/>
  <c r="B6" i="4"/>
  <c r="B50" i="1"/>
  <c r="C50" i="1"/>
  <c r="E50" i="1"/>
  <c r="D5" i="4"/>
  <c r="D9" i="4"/>
  <c r="D11" i="4"/>
  <c r="D6" i="4"/>
  <c r="D24" i="2"/>
  <c r="E11" i="4"/>
  <c r="E6" i="4"/>
  <c r="E5" i="4"/>
  <c r="E9" i="4"/>
  <c r="E24" i="2"/>
  <c r="G22" i="2"/>
  <c r="G50" i="1"/>
  <c r="F50" i="1"/>
  <c r="F6" i="4"/>
  <c r="F9" i="4"/>
  <c r="F11" i="4"/>
  <c r="F5" i="4"/>
  <c r="F24" i="2"/>
  <c r="C5" i="4"/>
  <c r="C9" i="4"/>
  <c r="C6" i="4"/>
  <c r="C11" i="4"/>
  <c r="C24" i="2"/>
  <c r="G5" i="4" l="1"/>
  <c r="G9" i="4"/>
  <c r="G6" i="4"/>
  <c r="G11" i="4"/>
  <c r="G24" i="2"/>
</calcChain>
</file>

<file path=xl/sharedStrings.xml><?xml version="1.0" encoding="utf-8"?>
<sst xmlns="http://schemas.openxmlformats.org/spreadsheetml/2006/main" count="106" uniqueCount="98">
  <si>
    <t>ASSETS</t>
  </si>
  <si>
    <t>Property, plant and equipment</t>
  </si>
  <si>
    <t>Capital work -in - progress</t>
  </si>
  <si>
    <t>Inventories</t>
  </si>
  <si>
    <t>Trade and other receivables</t>
  </si>
  <si>
    <t>Advances, deposits and pre-payments</t>
  </si>
  <si>
    <t>Investment in FDR</t>
  </si>
  <si>
    <t>Cash and bank balances</t>
  </si>
  <si>
    <t>Share capital</t>
  </si>
  <si>
    <t>Share premium</t>
  </si>
  <si>
    <t>Deferred tax liabilities</t>
  </si>
  <si>
    <t>Long term loan</t>
  </si>
  <si>
    <t>Defined contribution obligations (Gratuity)</t>
  </si>
  <si>
    <t>Trade and other payables</t>
  </si>
  <si>
    <t>Short term bank loan</t>
  </si>
  <si>
    <t>Current portion of long term loan</t>
  </si>
  <si>
    <t>Liability for other finance</t>
  </si>
  <si>
    <t>Contribution to WPPF</t>
  </si>
  <si>
    <t>Provision for taxation</t>
  </si>
  <si>
    <t>Other income / (expenses)</t>
  </si>
  <si>
    <t>Administrative expenses*</t>
  </si>
  <si>
    <t>Selling &amp; distribution expenses</t>
  </si>
  <si>
    <t>Finance costs</t>
  </si>
  <si>
    <t>Current tax expenses</t>
  </si>
  <si>
    <t>Receipt from customers</t>
  </si>
  <si>
    <t>Payment to employees</t>
  </si>
  <si>
    <t>Payment to suppliers</t>
  </si>
  <si>
    <t>Other income</t>
  </si>
  <si>
    <t>Interest paid</t>
  </si>
  <si>
    <t>Dividend Paid</t>
  </si>
  <si>
    <t>Advance income tax refund</t>
  </si>
  <si>
    <t>Tax paid</t>
  </si>
  <si>
    <t>Purchase of property, plant &amp; equipment</t>
  </si>
  <si>
    <t>Capital work-in-progress (WIP)</t>
  </si>
  <si>
    <t>Sale of property, plant &amp; equipment</t>
  </si>
  <si>
    <t>Receipt/(payment) from long term borrowings</t>
  </si>
  <si>
    <t>Receipt/(payment) from short term borrowings</t>
  </si>
  <si>
    <t>Proceeds against Share Money Payable</t>
  </si>
  <si>
    <t>From other finance</t>
  </si>
  <si>
    <t>From lease finance</t>
  </si>
  <si>
    <t>Repayment of lease finance</t>
  </si>
  <si>
    <t>Share money Deposit</t>
  </si>
  <si>
    <t>Director current account</t>
  </si>
  <si>
    <t>Increase /decrease in loans &amp; others</t>
  </si>
  <si>
    <t>Share money deposit</t>
  </si>
  <si>
    <t>Investment in associates</t>
  </si>
  <si>
    <t>Current account with associate</t>
  </si>
  <si>
    <t>Loan from Directors</t>
  </si>
  <si>
    <t>Workers particiapation fund</t>
  </si>
  <si>
    <t>Debt to Equity</t>
  </si>
  <si>
    <t>Current Ratio</t>
  </si>
  <si>
    <t>Operating Margin</t>
  </si>
  <si>
    <t>Ratios</t>
  </si>
  <si>
    <t>Net Margin</t>
  </si>
  <si>
    <t>As at year end</t>
  </si>
  <si>
    <t>Balance Sheet</t>
  </si>
  <si>
    <t>NON CURRENT ASSETS</t>
  </si>
  <si>
    <t>CURRENT ASSETS</t>
  </si>
  <si>
    <t>Revaluation reserve</t>
  </si>
  <si>
    <t>Tax holiday reserve</t>
  </si>
  <si>
    <t>Retained earnings</t>
  </si>
  <si>
    <t>Non-controlling interest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</si>
  <si>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</si>
  <si>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</si>
  <si>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</si>
  <si>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</si>
  <si>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</si>
  <si>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</si>
  <si>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</si>
  <si>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</si>
  <si>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</si>
  <si>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</si>
  <si>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</si>
  <si>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</si>
  <si>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</si>
  <si>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</si>
  <si>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</si>
  <si>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</si>
  <si>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Deferred tax income/(expenses)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</si>
  <si>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</si>
  <si>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</si>
  <si>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</si>
  <si>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</si>
  <si>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</si>
  <si>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</si>
  <si>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</si>
  <si>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</si>
  <si>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</si>
  <si>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</si>
  <si>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</si>
  <si>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</si>
  <si>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Premier Cement Mills Limited</t>
  </si>
  <si>
    <t>Return on Asset (ROA)</t>
  </si>
  <si>
    <t>Return on Equity (ROE)</t>
  </si>
  <si>
    <t>Return on Invested Capital (ROIC)</t>
  </si>
  <si>
    <t>Operating Incomes/Expenses</t>
  </si>
  <si>
    <t>Loan from directors</t>
  </si>
  <si>
    <t>Share of Profit from 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</si>
</sst>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1" fillId="0" borderId="0" xfId="1" applyNumberFormat="1" applyFont="1"/>
    <xf numFmtId="43" fontId="0" fillId="0" borderId="0" xfId="0" applyNumberFormat="1"/>
    <xf numFmtId="2" fontId="0" fillId="0" borderId="0" xfId="0" applyNumberFormat="1"/>
    <xf numFmtId="164" fontId="2" fillId="0" borderId="0" xfId="1" applyNumberFormat="1" applyFont="1"/>
    <xf numFmtId="10" fontId="0" fillId="0" borderId="0" xfId="2" applyNumberFormat="1" applyFont="1"/>
    <xf numFmtId="0" fontId="3" fillId="0" borderId="0" xfId="0" applyFont="1"/>
    <xf numFmtId="0" fontId="1" fillId="0" borderId="1" xfId="0" applyFont="1" applyBorder="1" applyAlignment="1">
      <alignment horizontal="left"/>
    </xf>
    <xf numFmtId="0" fontId="4" fillId="0" borderId="0" xfId="0" applyFont="1"/>
    <xf numFmtId="0" fontId="0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164" fontId="0" fillId="0" borderId="0" xfId="0" applyNumberFormat="1"/>
    <xf numFmtId="0" fontId="1" fillId="0" borderId="2" xfId="0" applyFont="1" applyBorder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pane xSplit="1" ySplit="4" topLeftCell="C5" activePane="bottomRight" state="frozen"/>
      <selection pane="topRight" activeCell="B1" sqref="B1"/>
      <selection pane="bottomLeft" activeCell="A3" sqref="A3"/>
      <selection pane="bottomRight" activeCell="J4" sqref="J4"/>
    </sheetView>
  </sheetViews>
  <sheetFormatPr defaultRowHeight="15" x14ac:dyDescent="0.25"/>
  <cols>
    <col min="1" max="1" width="42.28515625" bestFit="1" customWidth="1"/>
    <col min="2" max="3" width="14.28515625" bestFit="1" customWidth="1"/>
    <col min="4" max="5" width="15.28515625" bestFit="1" customWidth="1"/>
    <col min="6" max="6" width="18" bestFit="1" customWidth="1"/>
    <col min="7" max="8" width="15.28515625" bestFit="1" customWidth="1"/>
  </cols>
  <sheetData>
    <row r="1" spans="1:9" x14ac:dyDescent="0.25">
      <c r="A1" s="1" t="s">
        <v>91</v>
      </c>
    </row>
    <row r="2" spans="1:9" ht="15.75" x14ac:dyDescent="0.25">
      <c r="A2" s="9" t="s">
        <v>55</v>
      </c>
    </row>
    <row r="3" spans="1:9" ht="15.75" x14ac:dyDescent="0.25">
      <c r="A3" s="9" t="s">
        <v>54</v>
      </c>
    </row>
    <row r="4" spans="1:9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9" x14ac:dyDescent="0.25">
      <c r="A5" s="10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11" t="s">
        <v>56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t="s">
        <v>1</v>
      </c>
      <c r="B7" s="3">
        <v>5150484594</v>
      </c>
      <c r="C7" s="3">
        <v>5466159025</v>
      </c>
      <c r="D7" s="3">
        <v>5878662922</v>
      </c>
      <c r="E7" s="3">
        <v>6338337520</v>
      </c>
      <c r="F7" s="3">
        <v>6905850606</v>
      </c>
      <c r="G7" s="3">
        <v>5962144721</v>
      </c>
      <c r="H7" s="18">
        <v>6199568474</v>
      </c>
      <c r="I7" s="3"/>
    </row>
    <row r="8" spans="1:9" x14ac:dyDescent="0.25">
      <c r="A8" s="12" t="s">
        <v>45</v>
      </c>
      <c r="B8" s="3"/>
      <c r="C8" s="3"/>
      <c r="D8" s="3"/>
      <c r="E8" s="3"/>
      <c r="F8" s="3"/>
      <c r="G8" s="3">
        <v>70000000</v>
      </c>
      <c r="H8" s="18">
        <v>106497835</v>
      </c>
      <c r="I8" s="3"/>
    </row>
    <row r="9" spans="1:9" x14ac:dyDescent="0.25">
      <c r="A9" t="s">
        <v>2</v>
      </c>
      <c r="B9" s="3">
        <v>156377978</v>
      </c>
      <c r="C9" s="3">
        <v>478898506</v>
      </c>
      <c r="D9" s="3">
        <v>51150482</v>
      </c>
      <c r="E9" s="3">
        <v>47202662</v>
      </c>
      <c r="F9" s="3">
        <v>189547734</v>
      </c>
      <c r="G9" s="3">
        <v>870701373</v>
      </c>
      <c r="H9" s="3">
        <v>3917092896</v>
      </c>
      <c r="I9" s="3"/>
    </row>
    <row r="10" spans="1:9" x14ac:dyDescent="0.25">
      <c r="B10" s="4">
        <f t="shared" ref="B10:D10" si="0">SUM(B7:B9)</f>
        <v>5306862572</v>
      </c>
      <c r="C10" s="4">
        <f t="shared" si="0"/>
        <v>5945057531</v>
      </c>
      <c r="D10" s="4">
        <f t="shared" si="0"/>
        <v>5929813404</v>
      </c>
      <c r="E10" s="4">
        <f>SUM(E7:E9)</f>
        <v>6385540182</v>
      </c>
      <c r="F10" s="4">
        <f>SUM(F7:F9)</f>
        <v>7095398340</v>
      </c>
      <c r="G10" s="4">
        <f>SUM(G7:G9)</f>
        <v>6902846094</v>
      </c>
      <c r="H10" s="4">
        <f>SUM(H7:H9)</f>
        <v>10223159205</v>
      </c>
      <c r="I10" s="3"/>
    </row>
    <row r="11" spans="1:9" x14ac:dyDescent="0.25">
      <c r="A11" s="11" t="s">
        <v>57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t="s">
        <v>3</v>
      </c>
      <c r="B12" s="3">
        <v>789597607</v>
      </c>
      <c r="C12" s="3">
        <v>1282263619</v>
      </c>
      <c r="D12" s="3">
        <v>1303893964</v>
      </c>
      <c r="E12" s="3">
        <v>987091817</v>
      </c>
      <c r="F12" s="3">
        <v>995614178</v>
      </c>
      <c r="G12" s="3">
        <v>495177438</v>
      </c>
      <c r="H12" s="18">
        <v>877510398</v>
      </c>
      <c r="I12" s="3"/>
    </row>
    <row r="13" spans="1:9" x14ac:dyDescent="0.25">
      <c r="A13" t="s">
        <v>4</v>
      </c>
      <c r="B13" s="3">
        <v>1058028972</v>
      </c>
      <c r="C13" s="3">
        <v>1322212717</v>
      </c>
      <c r="D13" s="3">
        <v>1390891206</v>
      </c>
      <c r="E13" s="3">
        <v>1897552575</v>
      </c>
      <c r="F13" s="3">
        <v>2399092653</v>
      </c>
      <c r="G13" s="3">
        <v>2404625585</v>
      </c>
      <c r="H13" s="18">
        <v>2220587712</v>
      </c>
      <c r="I13" s="3"/>
    </row>
    <row r="14" spans="1:9" x14ac:dyDescent="0.25">
      <c r="A14" t="s">
        <v>5</v>
      </c>
      <c r="B14" s="3">
        <v>806594430</v>
      </c>
      <c r="C14" s="3">
        <v>936140233</v>
      </c>
      <c r="D14" s="3">
        <v>1070746142</v>
      </c>
      <c r="E14" s="3">
        <v>1158236505</v>
      </c>
      <c r="F14" s="3">
        <v>1689044819</v>
      </c>
      <c r="G14" s="3">
        <v>2760471909</v>
      </c>
      <c r="H14" s="18">
        <v>3828456068</v>
      </c>
      <c r="I14" s="3"/>
    </row>
    <row r="15" spans="1:9" x14ac:dyDescent="0.25">
      <c r="A15" t="s">
        <v>46</v>
      </c>
      <c r="B15" s="3"/>
      <c r="C15" s="3"/>
      <c r="D15" s="3"/>
      <c r="E15" s="3"/>
      <c r="F15" s="3"/>
      <c r="G15" s="3">
        <v>731812819</v>
      </c>
      <c r="H15" s="18">
        <v>1364425536</v>
      </c>
      <c r="I15" s="3"/>
    </row>
    <row r="16" spans="1:9" x14ac:dyDescent="0.25">
      <c r="A16" t="s">
        <v>6</v>
      </c>
      <c r="B16" s="3">
        <v>130571470</v>
      </c>
      <c r="C16" s="3">
        <v>183604362</v>
      </c>
      <c r="D16" s="3">
        <v>229863228</v>
      </c>
      <c r="E16" s="3">
        <v>206994499</v>
      </c>
      <c r="F16" s="3">
        <v>184527456</v>
      </c>
      <c r="G16" s="3">
        <v>194812845</v>
      </c>
      <c r="H16" s="18">
        <v>142517994</v>
      </c>
      <c r="I16" s="3"/>
    </row>
    <row r="17" spans="1:9" x14ac:dyDescent="0.25">
      <c r="A17" t="s">
        <v>7</v>
      </c>
      <c r="B17" s="3">
        <v>404570422</v>
      </c>
      <c r="C17" s="3">
        <v>134141336</v>
      </c>
      <c r="D17" s="3">
        <v>164121665</v>
      </c>
      <c r="E17" s="3">
        <v>208323198</v>
      </c>
      <c r="F17" s="3">
        <v>109755023</v>
      </c>
      <c r="G17" s="3">
        <v>77432884</v>
      </c>
      <c r="H17" s="18">
        <v>169269065</v>
      </c>
      <c r="I17" s="3"/>
    </row>
    <row r="18" spans="1:9" x14ac:dyDescent="0.25">
      <c r="B18" s="4">
        <f t="shared" ref="B18:G18" si="1">SUM(B12:B17)</f>
        <v>3189362901</v>
      </c>
      <c r="C18" s="4">
        <f t="shared" si="1"/>
        <v>3858362267</v>
      </c>
      <c r="D18" s="4">
        <f t="shared" si="1"/>
        <v>4159516205</v>
      </c>
      <c r="E18" s="4">
        <f t="shared" si="1"/>
        <v>4458198594</v>
      </c>
      <c r="F18" s="4">
        <f t="shared" si="1"/>
        <v>5378034129</v>
      </c>
      <c r="G18" s="4">
        <f t="shared" si="1"/>
        <v>6664333480</v>
      </c>
      <c r="H18" s="4">
        <f t="shared" ref="H18" si="2">SUM(H12:H17)</f>
        <v>8602766773</v>
      </c>
      <c r="I18" s="3"/>
    </row>
    <row r="19" spans="1:9" x14ac:dyDescent="0.25">
      <c r="A19" s="1"/>
      <c r="B19" s="4">
        <f t="shared" ref="B19:C19" si="3">B10+B18</f>
        <v>8496225473</v>
      </c>
      <c r="C19" s="4">
        <f t="shared" si="3"/>
        <v>9803419798</v>
      </c>
      <c r="D19" s="4">
        <f>(D10+D18)-1</f>
        <v>10089329608</v>
      </c>
      <c r="E19" s="4">
        <f>(E10+E18)-1</f>
        <v>10843738775</v>
      </c>
      <c r="F19" s="4">
        <f>(F10+F18)-1</f>
        <v>12473432468</v>
      </c>
      <c r="G19" s="4">
        <f>G10+G18</f>
        <v>13567179574</v>
      </c>
      <c r="H19" s="4">
        <f>H10+H18</f>
        <v>18825925978</v>
      </c>
      <c r="I19" s="3"/>
    </row>
    <row r="20" spans="1:9" ht="15.75" x14ac:dyDescent="0.25">
      <c r="A20" s="13" t="s">
        <v>62</v>
      </c>
      <c r="B20" s="3"/>
      <c r="C20" s="3"/>
      <c r="D20" s="3"/>
      <c r="E20" s="3"/>
      <c r="F20" s="3"/>
      <c r="G20" s="3"/>
      <c r="H20" s="3"/>
      <c r="I20" s="3"/>
    </row>
    <row r="21" spans="1:9" ht="15.75" x14ac:dyDescent="0.25">
      <c r="A21" s="14" t="s">
        <v>63</v>
      </c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1" t="s">
        <v>64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t="s">
        <v>96</v>
      </c>
      <c r="B23" s="3"/>
      <c r="C23" s="3"/>
      <c r="D23" s="3">
        <v>0</v>
      </c>
      <c r="E23" s="3">
        <v>300000000</v>
      </c>
      <c r="F23" s="3">
        <v>300000000</v>
      </c>
      <c r="G23" s="3">
        <v>0</v>
      </c>
      <c r="H23" s="18">
        <v>750420000</v>
      </c>
      <c r="I23" s="3"/>
    </row>
    <row r="24" spans="1:9" x14ac:dyDescent="0.25">
      <c r="A24" t="s">
        <v>10</v>
      </c>
      <c r="B24" s="3">
        <v>357981444</v>
      </c>
      <c r="C24" s="3">
        <v>309978565</v>
      </c>
      <c r="D24" s="3">
        <v>300142360</v>
      </c>
      <c r="E24" s="3">
        <v>315805862</v>
      </c>
      <c r="F24" s="3">
        <v>439794176</v>
      </c>
      <c r="G24" s="3">
        <v>408605069</v>
      </c>
      <c r="H24" s="18">
        <v>446204090</v>
      </c>
      <c r="I24" s="3"/>
    </row>
    <row r="25" spans="1:9" x14ac:dyDescent="0.25">
      <c r="A25" t="s">
        <v>11</v>
      </c>
      <c r="B25" s="3">
        <v>605835860</v>
      </c>
      <c r="C25" s="3">
        <v>1087215751</v>
      </c>
      <c r="D25" s="3">
        <v>1506723099</v>
      </c>
      <c r="E25" s="3">
        <v>1584805906</v>
      </c>
      <c r="F25" s="3">
        <v>919483387</v>
      </c>
      <c r="G25" s="3">
        <v>86213888</v>
      </c>
      <c r="H25" s="18">
        <v>2436358888</v>
      </c>
      <c r="I25" s="3"/>
    </row>
    <row r="26" spans="1:9" x14ac:dyDescent="0.25">
      <c r="A26" t="s">
        <v>12</v>
      </c>
      <c r="B26" s="3">
        <v>40458734</v>
      </c>
      <c r="C26" s="3">
        <v>59788044</v>
      </c>
      <c r="D26" s="3">
        <v>81780538</v>
      </c>
      <c r="E26" s="3">
        <v>100636730</v>
      </c>
      <c r="F26" s="3">
        <v>120092652</v>
      </c>
      <c r="G26" s="3">
        <v>138135124</v>
      </c>
      <c r="H26" s="18">
        <v>134818365</v>
      </c>
      <c r="I26" s="3"/>
    </row>
    <row r="27" spans="1:9" x14ac:dyDescent="0.25">
      <c r="B27" s="4">
        <f t="shared" ref="B27:D27" si="4">SUM(B23:B26)</f>
        <v>1004276038</v>
      </c>
      <c r="C27" s="4">
        <f t="shared" si="4"/>
        <v>1456982360</v>
      </c>
      <c r="D27" s="4">
        <f t="shared" si="4"/>
        <v>1888645997</v>
      </c>
      <c r="E27" s="4">
        <f>SUM(E23:E26)</f>
        <v>2301248498</v>
      </c>
      <c r="F27" s="4">
        <f>SUM(F23:F26)</f>
        <v>1779370215</v>
      </c>
      <c r="G27" s="4">
        <f>SUM(G23:G26)</f>
        <v>632954081</v>
      </c>
      <c r="H27" s="4">
        <f>SUM(H23:H26)</f>
        <v>3767801343</v>
      </c>
      <c r="I27" s="3"/>
    </row>
    <row r="28" spans="1:9" x14ac:dyDescent="0.25">
      <c r="A28" s="11" t="s">
        <v>65</v>
      </c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t="s">
        <v>13</v>
      </c>
      <c r="B29" s="3">
        <v>814191402</v>
      </c>
      <c r="C29" s="3">
        <v>279583089</v>
      </c>
      <c r="D29" s="3">
        <v>349797791</v>
      </c>
      <c r="E29" s="3">
        <v>520489331</v>
      </c>
      <c r="F29" s="3">
        <v>390470587</v>
      </c>
      <c r="G29" s="3">
        <v>663822817</v>
      </c>
      <c r="H29" s="18">
        <v>1756914122</v>
      </c>
      <c r="I29" s="3"/>
    </row>
    <row r="30" spans="1:9" x14ac:dyDescent="0.25">
      <c r="A30" t="s">
        <v>14</v>
      </c>
      <c r="B30" s="3">
        <v>3141026180</v>
      </c>
      <c r="C30" s="3">
        <v>4326192283</v>
      </c>
      <c r="D30" s="3">
        <v>3813600695</v>
      </c>
      <c r="E30" s="3">
        <v>2899973913</v>
      </c>
      <c r="F30" s="3">
        <v>4752542474</v>
      </c>
      <c r="G30" s="3">
        <v>6403871134</v>
      </c>
      <c r="H30" s="18">
        <v>5618198898</v>
      </c>
      <c r="I30" s="3"/>
    </row>
    <row r="31" spans="1:9" x14ac:dyDescent="0.25">
      <c r="A31" t="s">
        <v>47</v>
      </c>
      <c r="B31" s="3"/>
      <c r="C31" s="3"/>
      <c r="D31" s="3"/>
      <c r="E31" s="3"/>
      <c r="F31" s="3"/>
      <c r="G31" s="3">
        <v>510420000</v>
      </c>
      <c r="H31" s="18">
        <v>1530000000</v>
      </c>
      <c r="I31" s="3"/>
    </row>
    <row r="32" spans="1:9" x14ac:dyDescent="0.25">
      <c r="A32" t="s">
        <v>15</v>
      </c>
      <c r="B32" s="3">
        <v>183211499</v>
      </c>
      <c r="C32" s="3">
        <v>188373392</v>
      </c>
      <c r="D32" s="3">
        <v>494625160</v>
      </c>
      <c r="E32" s="3">
        <v>475062210</v>
      </c>
      <c r="F32" s="3">
        <v>533529278</v>
      </c>
      <c r="G32" s="3">
        <v>374824188</v>
      </c>
      <c r="H32" s="18">
        <v>466008016</v>
      </c>
      <c r="I32" s="3"/>
    </row>
    <row r="33" spans="1:9" x14ac:dyDescent="0.25">
      <c r="A33" t="s">
        <v>16</v>
      </c>
      <c r="B33" s="3">
        <v>61515150</v>
      </c>
      <c r="C33" s="3">
        <v>70420750</v>
      </c>
      <c r="D33" s="3">
        <v>76714212</v>
      </c>
      <c r="E33" s="3">
        <v>72922183</v>
      </c>
      <c r="F33" s="3">
        <v>73820255</v>
      </c>
      <c r="G33" s="3">
        <v>3240690</v>
      </c>
      <c r="H33" s="18">
        <v>3390472</v>
      </c>
      <c r="I33" s="3"/>
    </row>
    <row r="34" spans="1:9" x14ac:dyDescent="0.25">
      <c r="A34" t="s">
        <v>48</v>
      </c>
      <c r="B34" s="3"/>
      <c r="C34" s="3">
        <v>33530776</v>
      </c>
      <c r="D34" s="3">
        <v>19684997</v>
      </c>
      <c r="E34" s="3">
        <v>41375905</v>
      </c>
      <c r="F34" s="3">
        <v>30810287</v>
      </c>
      <c r="G34" s="3">
        <v>27326225</v>
      </c>
      <c r="H34" s="18">
        <v>38740612</v>
      </c>
      <c r="I34" s="3"/>
    </row>
    <row r="35" spans="1:9" x14ac:dyDescent="0.25">
      <c r="A35" t="s">
        <v>18</v>
      </c>
      <c r="B35" s="3">
        <v>35817470</v>
      </c>
      <c r="C35" s="3">
        <v>143060493</v>
      </c>
      <c r="D35" s="3">
        <v>48416501</v>
      </c>
      <c r="E35" s="3">
        <v>184406024</v>
      </c>
      <c r="F35" s="3">
        <v>314235407</v>
      </c>
      <c r="G35" s="3">
        <v>389781133</v>
      </c>
      <c r="H35" s="18">
        <v>549204034</v>
      </c>
      <c r="I35" s="3"/>
    </row>
    <row r="36" spans="1:9" x14ac:dyDescent="0.25">
      <c r="B36" s="4">
        <f t="shared" ref="B36:H36" si="5">SUM(B29:B35)</f>
        <v>4235761701</v>
      </c>
      <c r="C36" s="4">
        <f t="shared" si="5"/>
        <v>5041160783</v>
      </c>
      <c r="D36" s="4">
        <f t="shared" si="5"/>
        <v>4802839356</v>
      </c>
      <c r="E36" s="4">
        <f t="shared" si="5"/>
        <v>4194229566</v>
      </c>
      <c r="F36" s="4">
        <f t="shared" si="5"/>
        <v>6095408288</v>
      </c>
      <c r="G36" s="4">
        <f t="shared" si="5"/>
        <v>8373286187</v>
      </c>
      <c r="H36" s="4">
        <f t="shared" si="5"/>
        <v>9962456154</v>
      </c>
      <c r="I36" s="3"/>
    </row>
    <row r="37" spans="1:9" x14ac:dyDescent="0.25">
      <c r="B37" s="4"/>
      <c r="C37" s="4"/>
      <c r="D37" s="4"/>
      <c r="E37" s="4"/>
      <c r="F37" s="4"/>
      <c r="G37" s="4"/>
      <c r="H37" s="3"/>
      <c r="I37" s="3"/>
    </row>
    <row r="38" spans="1:9" x14ac:dyDescent="0.25">
      <c r="A38" s="11" t="s">
        <v>66</v>
      </c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t="s">
        <v>8</v>
      </c>
      <c r="B39" s="3">
        <v>1054500000</v>
      </c>
      <c r="C39" s="3">
        <v>1054500000</v>
      </c>
      <c r="D39" s="3">
        <v>1054500000</v>
      </c>
      <c r="E39" s="3">
        <v>1054500000</v>
      </c>
      <c r="F39" s="3">
        <v>1054500000</v>
      </c>
      <c r="G39" s="3">
        <v>1054500000</v>
      </c>
      <c r="H39" s="3">
        <v>1054500000</v>
      </c>
      <c r="I39" s="3"/>
    </row>
    <row r="40" spans="1:9" x14ac:dyDescent="0.25">
      <c r="A40" t="s">
        <v>41</v>
      </c>
      <c r="B40" s="3">
        <v>210000000</v>
      </c>
      <c r="C40" s="7">
        <v>210000000</v>
      </c>
      <c r="D40" s="7">
        <v>210000000</v>
      </c>
      <c r="E40" s="4"/>
      <c r="F40" s="4"/>
      <c r="G40" s="3"/>
      <c r="H40" s="3"/>
      <c r="I40" s="3"/>
    </row>
    <row r="41" spans="1:9" x14ac:dyDescent="0.25">
      <c r="A41" t="s">
        <v>58</v>
      </c>
      <c r="B41" s="3">
        <v>362312633</v>
      </c>
      <c r="C41" s="3">
        <v>356868534</v>
      </c>
      <c r="D41" s="3">
        <v>351893242</v>
      </c>
      <c r="E41" s="3">
        <v>991532942</v>
      </c>
      <c r="F41" s="3">
        <v>662540409</v>
      </c>
      <c r="G41" s="3">
        <v>510764343</v>
      </c>
      <c r="H41" s="18">
        <v>501202888</v>
      </c>
      <c r="I41" s="3"/>
    </row>
    <row r="42" spans="1:9" x14ac:dyDescent="0.25">
      <c r="A42" t="s">
        <v>59</v>
      </c>
      <c r="B42" s="3">
        <v>2274386</v>
      </c>
      <c r="C42" s="3">
        <v>2274386</v>
      </c>
      <c r="D42" s="3">
        <v>2274386</v>
      </c>
      <c r="E42" s="3">
        <v>2274386</v>
      </c>
      <c r="F42" s="3">
        <v>909754</v>
      </c>
      <c r="G42" s="3">
        <v>0</v>
      </c>
      <c r="H42" s="3">
        <v>0</v>
      </c>
      <c r="I42" s="3"/>
    </row>
    <row r="43" spans="1:9" x14ac:dyDescent="0.25">
      <c r="A43" t="s">
        <v>9</v>
      </c>
      <c r="B43" s="3">
        <v>441835000</v>
      </c>
      <c r="C43" s="3">
        <v>441835000</v>
      </c>
      <c r="D43" s="3">
        <v>441835000</v>
      </c>
      <c r="E43" s="3">
        <v>441835000</v>
      </c>
      <c r="F43" s="3">
        <v>441835000</v>
      </c>
      <c r="G43" s="3">
        <v>441835000</v>
      </c>
      <c r="H43" s="3">
        <v>441835000</v>
      </c>
      <c r="I43" s="3"/>
    </row>
    <row r="44" spans="1:9" x14ac:dyDescent="0.25">
      <c r="A44" t="s">
        <v>60</v>
      </c>
      <c r="B44" s="3">
        <v>1075086457</v>
      </c>
      <c r="C44" s="3">
        <v>1162879482</v>
      </c>
      <c r="D44" s="3">
        <v>1255410961</v>
      </c>
      <c r="E44" s="3">
        <v>1768721615</v>
      </c>
      <c r="F44" s="3">
        <v>2132558080</v>
      </c>
      <c r="G44" s="3">
        <v>2540747460</v>
      </c>
      <c r="H44" s="18">
        <v>3083637540</v>
      </c>
      <c r="I44" s="3"/>
    </row>
    <row r="45" spans="1:9" x14ac:dyDescent="0.25">
      <c r="B45" s="4">
        <f>SUM(B39:B44)</f>
        <v>3146008476</v>
      </c>
      <c r="C45" s="4">
        <f t="shared" ref="C45:F45" si="6">SUM(C39:C44)</f>
        <v>3228357402</v>
      </c>
      <c r="D45" s="4">
        <f t="shared" si="6"/>
        <v>3315913589</v>
      </c>
      <c r="E45" s="4">
        <f t="shared" si="6"/>
        <v>4258863943</v>
      </c>
      <c r="F45" s="4">
        <f t="shared" si="6"/>
        <v>4292343243</v>
      </c>
      <c r="G45" s="4">
        <f>SUM(G39:G44)</f>
        <v>4547846803</v>
      </c>
      <c r="H45" s="4">
        <f>SUM(H39:H44)</f>
        <v>5081175428</v>
      </c>
      <c r="I45" s="3"/>
    </row>
    <row r="47" spans="1:9" x14ac:dyDescent="0.25">
      <c r="A47" s="11" t="s">
        <v>61</v>
      </c>
      <c r="B47" s="3">
        <v>71965958</v>
      </c>
      <c r="C47" s="3">
        <v>76919251</v>
      </c>
      <c r="D47" s="3">
        <v>81930666</v>
      </c>
      <c r="E47" s="3">
        <v>89396766</v>
      </c>
      <c r="F47" s="3">
        <v>306310722</v>
      </c>
      <c r="G47" s="3">
        <v>13092504</v>
      </c>
      <c r="H47" s="18">
        <v>14493053</v>
      </c>
      <c r="I47" s="3"/>
    </row>
    <row r="48" spans="1:9" x14ac:dyDescent="0.25">
      <c r="B48" s="4">
        <f t="shared" ref="B48:D48" si="7">SUM(B45:B47)</f>
        <v>3217974434</v>
      </c>
      <c r="C48" s="4">
        <f t="shared" si="7"/>
        <v>3305276653</v>
      </c>
      <c r="D48" s="4">
        <f t="shared" si="7"/>
        <v>3397844255</v>
      </c>
      <c r="E48" s="4">
        <f>SUM(E45:E47)</f>
        <v>4348260709</v>
      </c>
      <c r="F48" s="4">
        <f>SUM(F45:F47)</f>
        <v>4598653965</v>
      </c>
      <c r="G48" s="4">
        <f>SUM(G45:G47)</f>
        <v>4560939307</v>
      </c>
      <c r="H48" s="4">
        <f>SUM(H45:H47)</f>
        <v>5095668481</v>
      </c>
      <c r="I48" s="3"/>
    </row>
    <row r="49" spans="1:9" x14ac:dyDescent="0.25">
      <c r="B49" s="4"/>
      <c r="C49" s="4"/>
      <c r="D49" s="4"/>
      <c r="E49" s="4"/>
      <c r="F49" s="4"/>
      <c r="G49" s="4"/>
      <c r="H49" s="3"/>
      <c r="I49" s="3"/>
    </row>
    <row r="50" spans="1:9" x14ac:dyDescent="0.25">
      <c r="A50" s="1"/>
      <c r="B50" s="4">
        <f>(B48+B27+B36)</f>
        <v>8458012173</v>
      </c>
      <c r="C50" s="4">
        <f>(C48+C27+C36)+2</f>
        <v>9803419798</v>
      </c>
      <c r="D50" s="4">
        <f>(D48+D27+D36)</f>
        <v>10089329608</v>
      </c>
      <c r="E50" s="4">
        <f>(E48+E27+E36)+2</f>
        <v>10843738775</v>
      </c>
      <c r="F50" s="4">
        <f>F48+F27+F36</f>
        <v>12473432468</v>
      </c>
      <c r="G50" s="4">
        <f>(G48+G27+G36)-1</f>
        <v>13567179574</v>
      </c>
      <c r="H50" s="4">
        <f>(H48+H27+H36)</f>
        <v>18825925978</v>
      </c>
      <c r="I50" s="3"/>
    </row>
    <row r="51" spans="1:9" x14ac:dyDescent="0.25"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15" t="s">
        <v>67</v>
      </c>
      <c r="B52" s="5">
        <f t="shared" ref="B52" si="8">B48/(B39/10)</f>
        <v>30.516590175438598</v>
      </c>
      <c r="C52" s="5">
        <f t="shared" ref="C52:G52" si="9">C45/(C39/10)</f>
        <v>30.615053598862019</v>
      </c>
      <c r="D52" s="5">
        <f t="shared" si="9"/>
        <v>31.445363575154101</v>
      </c>
      <c r="E52" s="5">
        <f t="shared" si="9"/>
        <v>40.387519611190136</v>
      </c>
      <c r="F52" s="5">
        <f t="shared" si="9"/>
        <v>40.705009416785209</v>
      </c>
      <c r="G52" s="5">
        <f t="shared" si="9"/>
        <v>43.127992441915602</v>
      </c>
      <c r="H52" s="5">
        <f>H45/(H39/10)</f>
        <v>48.185637060218113</v>
      </c>
    </row>
    <row r="53" spans="1:9" x14ac:dyDescent="0.25">
      <c r="A53" s="15" t="s">
        <v>68</v>
      </c>
      <c r="B53" s="16">
        <f>B39/10</f>
        <v>105450000</v>
      </c>
      <c r="C53" s="16">
        <f t="shared" ref="C53:H53" si="10">C39/10</f>
        <v>105450000</v>
      </c>
      <c r="D53" s="16">
        <f t="shared" si="10"/>
        <v>105450000</v>
      </c>
      <c r="E53" s="16">
        <f t="shared" si="10"/>
        <v>105450000</v>
      </c>
      <c r="F53" s="16">
        <f t="shared" si="10"/>
        <v>105450000</v>
      </c>
      <c r="G53" s="16">
        <f t="shared" si="10"/>
        <v>105450000</v>
      </c>
      <c r="H53" s="16">
        <f t="shared" si="10"/>
        <v>105450000</v>
      </c>
    </row>
    <row r="57" spans="1:9" x14ac:dyDescent="0.25">
      <c r="C57" s="16"/>
      <c r="D57" s="16"/>
      <c r="E57" s="16"/>
      <c r="F57" s="16"/>
      <c r="G57" s="16"/>
      <c r="H57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defaultRowHeight="15" x14ac:dyDescent="0.25"/>
  <cols>
    <col min="1" max="1" width="34.85546875" bestFit="1" customWidth="1"/>
    <col min="2" max="2" width="15" bestFit="1" customWidth="1"/>
    <col min="3" max="5" width="14.28515625" bestFit="1" customWidth="1"/>
    <col min="6" max="6" width="18" bestFit="1" customWidth="1"/>
    <col min="7" max="7" width="15.28515625" bestFit="1" customWidth="1"/>
    <col min="8" max="8" width="16" bestFit="1" customWidth="1"/>
  </cols>
  <sheetData>
    <row r="1" spans="1:8" x14ac:dyDescent="0.25">
      <c r="A1" s="1" t="s">
        <v>91</v>
      </c>
    </row>
    <row r="2" spans="1:8" ht="15.75" x14ac:dyDescent="0.25">
      <c r="A2" s="9" t="s">
        <v>69</v>
      </c>
    </row>
    <row r="3" spans="1:8" ht="15.75" x14ac:dyDescent="0.25">
      <c r="A3" s="9" t="s">
        <v>54</v>
      </c>
    </row>
    <row r="4" spans="1:8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8" x14ac:dyDescent="0.25">
      <c r="A5" s="15" t="s">
        <v>70</v>
      </c>
      <c r="B5" s="3">
        <v>6416662323</v>
      </c>
      <c r="C5" s="3">
        <v>7539574982</v>
      </c>
      <c r="D5" s="3">
        <v>8098701152</v>
      </c>
      <c r="E5" s="3">
        <v>9361935844</v>
      </c>
      <c r="F5" s="3">
        <v>10332898832</v>
      </c>
      <c r="G5" s="3">
        <v>10049865124</v>
      </c>
      <c r="H5" s="18">
        <v>11999430660</v>
      </c>
    </row>
    <row r="6" spans="1:8" x14ac:dyDescent="0.25">
      <c r="A6" t="s">
        <v>71</v>
      </c>
      <c r="B6" s="3">
        <v>5263071062</v>
      </c>
      <c r="C6" s="3">
        <v>6243640861</v>
      </c>
      <c r="D6" s="3">
        <v>6859763360</v>
      </c>
      <c r="E6" s="3">
        <v>7373725823</v>
      </c>
      <c r="F6" s="3">
        <v>8634603931</v>
      </c>
      <c r="G6" s="3">
        <v>8532980778</v>
      </c>
      <c r="H6" s="18">
        <v>10287601525</v>
      </c>
    </row>
    <row r="7" spans="1:8" x14ac:dyDescent="0.25">
      <c r="A7" s="15" t="s">
        <v>72</v>
      </c>
      <c r="B7" s="4">
        <f t="shared" ref="B7:D7" si="0">B5-B6</f>
        <v>1153591261</v>
      </c>
      <c r="C7" s="4">
        <f t="shared" si="0"/>
        <v>1295934121</v>
      </c>
      <c r="D7" s="4">
        <f t="shared" si="0"/>
        <v>1238937792</v>
      </c>
      <c r="E7" s="4">
        <f>E5-E6</f>
        <v>1988210021</v>
      </c>
      <c r="F7" s="4">
        <f>F5-F6</f>
        <v>1698294901</v>
      </c>
      <c r="G7" s="4">
        <f>G5-G6</f>
        <v>1516884346</v>
      </c>
      <c r="H7" s="4">
        <f>H5-H6</f>
        <v>1711829135</v>
      </c>
    </row>
    <row r="8" spans="1:8" x14ac:dyDescent="0.25">
      <c r="A8" s="15" t="s">
        <v>95</v>
      </c>
      <c r="B8" s="4"/>
      <c r="C8" s="4"/>
      <c r="D8" s="4"/>
      <c r="E8" s="4"/>
      <c r="F8" s="4"/>
      <c r="G8" s="4"/>
      <c r="H8" s="3"/>
    </row>
    <row r="9" spans="1:8" x14ac:dyDescent="0.25">
      <c r="A9" t="s">
        <v>19</v>
      </c>
      <c r="B9" s="3">
        <v>273854481</v>
      </c>
      <c r="C9" s="3">
        <v>184719720</v>
      </c>
      <c r="D9" s="3">
        <v>111936424</v>
      </c>
      <c r="E9" s="3">
        <v>30467058</v>
      </c>
      <c r="F9" s="3">
        <v>144141271</v>
      </c>
      <c r="G9" s="3">
        <v>12835605</v>
      </c>
      <c r="H9" s="18">
        <v>115361527</v>
      </c>
    </row>
    <row r="10" spans="1:8" x14ac:dyDescent="0.25">
      <c r="A10" t="s">
        <v>20</v>
      </c>
      <c r="B10" s="3">
        <v>106844867</v>
      </c>
      <c r="C10" s="3">
        <v>109112854</v>
      </c>
      <c r="D10" s="3">
        <v>89854024</v>
      </c>
      <c r="E10" s="3">
        <v>129229301</v>
      </c>
      <c r="F10" s="3">
        <v>127666122</v>
      </c>
      <c r="G10" s="3">
        <v>107034888</v>
      </c>
      <c r="H10" s="18">
        <v>124119368</v>
      </c>
    </row>
    <row r="11" spans="1:8" x14ac:dyDescent="0.25">
      <c r="A11" t="s">
        <v>21</v>
      </c>
      <c r="B11" s="3">
        <v>194605691</v>
      </c>
      <c r="C11" s="3">
        <v>265439660</v>
      </c>
      <c r="D11" s="3">
        <v>352998095</v>
      </c>
      <c r="E11" s="3">
        <v>454192683</v>
      </c>
      <c r="F11" s="3">
        <v>403260975</v>
      </c>
      <c r="G11" s="3">
        <v>418729374</v>
      </c>
      <c r="H11" s="18">
        <v>419346554</v>
      </c>
    </row>
    <row r="12" spans="1:8" x14ac:dyDescent="0.25">
      <c r="A12" s="15" t="s">
        <v>73</v>
      </c>
      <c r="B12" s="4">
        <f>B7+B9-B10-B11</f>
        <v>1125995184</v>
      </c>
      <c r="C12" s="4">
        <f>C7+C9-C10-C11</f>
        <v>1106101327</v>
      </c>
      <c r="D12" s="4">
        <f>D7+D9-D10-D11</f>
        <v>908022097</v>
      </c>
      <c r="E12" s="4">
        <f>E7-E9-E10-E11</f>
        <v>1374320979</v>
      </c>
      <c r="F12" s="4">
        <f>F7-F9-F10-F11</f>
        <v>1023226533</v>
      </c>
      <c r="G12" s="4">
        <f>G7+G9-G10-G11</f>
        <v>1003955689</v>
      </c>
      <c r="H12" s="4">
        <f>H7+H9-H10-H11</f>
        <v>1283724740</v>
      </c>
    </row>
    <row r="13" spans="1:8" x14ac:dyDescent="0.25">
      <c r="A13" s="17" t="s">
        <v>74</v>
      </c>
      <c r="B13" s="4"/>
      <c r="C13" s="4"/>
      <c r="D13" s="4"/>
      <c r="E13" s="4"/>
      <c r="F13" s="4"/>
      <c r="G13" s="4"/>
      <c r="H13" s="3"/>
    </row>
    <row r="14" spans="1:8" x14ac:dyDescent="0.25">
      <c r="A14" t="s">
        <v>22</v>
      </c>
      <c r="B14" s="3">
        <v>327241033</v>
      </c>
      <c r="C14" s="3">
        <v>377794346</v>
      </c>
      <c r="D14" s="3">
        <v>456793609</v>
      </c>
      <c r="E14" s="3">
        <v>440366255</v>
      </c>
      <c r="F14" s="3">
        <v>330030294</v>
      </c>
      <c r="G14" s="3">
        <v>398173510</v>
      </c>
      <c r="H14" s="18">
        <v>444280867</v>
      </c>
    </row>
    <row r="15" spans="1:8" x14ac:dyDescent="0.25">
      <c r="A15" t="s">
        <v>97</v>
      </c>
      <c r="B15" s="3"/>
      <c r="C15" s="3"/>
      <c r="D15" s="3"/>
      <c r="E15" s="3"/>
      <c r="F15" s="3"/>
      <c r="G15" s="3"/>
      <c r="H15" s="18">
        <v>9122706</v>
      </c>
    </row>
    <row r="16" spans="1:8" x14ac:dyDescent="0.25">
      <c r="A16" s="15" t="s">
        <v>75</v>
      </c>
      <c r="B16" s="3"/>
      <c r="C16" s="3"/>
      <c r="D16" s="3"/>
      <c r="E16" s="3"/>
      <c r="F16" s="3"/>
      <c r="G16" s="3"/>
      <c r="H16" s="3"/>
    </row>
    <row r="17" spans="1:8" x14ac:dyDescent="0.25">
      <c r="A17" t="s">
        <v>17</v>
      </c>
      <c r="B17" s="3">
        <v>38213300</v>
      </c>
      <c r="C17" s="3">
        <v>33530776</v>
      </c>
      <c r="D17" s="3">
        <v>19684997</v>
      </c>
      <c r="E17" s="3">
        <v>41375905</v>
      </c>
      <c r="F17" s="3">
        <v>30810287</v>
      </c>
      <c r="G17" s="3">
        <v>27326225</v>
      </c>
      <c r="H17" s="18">
        <v>38740612</v>
      </c>
    </row>
    <row r="18" spans="1:8" x14ac:dyDescent="0.25">
      <c r="A18" s="15" t="s">
        <v>76</v>
      </c>
      <c r="B18" s="4">
        <f t="shared" ref="B18:G18" si="1">B12-B14-B17+B15</f>
        <v>760540851</v>
      </c>
      <c r="C18" s="4">
        <f t="shared" si="1"/>
        <v>694776205</v>
      </c>
      <c r="D18" s="4">
        <f t="shared" si="1"/>
        <v>431543491</v>
      </c>
      <c r="E18" s="4">
        <f t="shared" si="1"/>
        <v>892578819</v>
      </c>
      <c r="F18" s="4">
        <f t="shared" si="1"/>
        <v>662385952</v>
      </c>
      <c r="G18" s="4">
        <f t="shared" si="1"/>
        <v>578455954</v>
      </c>
      <c r="H18" s="4">
        <f>H12-H14-H17+H15</f>
        <v>809825967</v>
      </c>
    </row>
    <row r="19" spans="1:8" x14ac:dyDescent="0.25">
      <c r="A19" s="11" t="s">
        <v>77</v>
      </c>
      <c r="B19" s="4"/>
      <c r="C19" s="4"/>
      <c r="D19" s="4"/>
      <c r="E19" s="4"/>
      <c r="F19" s="4"/>
      <c r="G19" s="4"/>
      <c r="H19" s="3"/>
    </row>
    <row r="20" spans="1:8" x14ac:dyDescent="0.25">
      <c r="A20" t="s">
        <v>23</v>
      </c>
      <c r="B20" s="3">
        <v>-65490827</v>
      </c>
      <c r="C20" s="3">
        <v>-233676866</v>
      </c>
      <c r="D20" s="3">
        <v>-32462095</v>
      </c>
      <c r="E20" s="3">
        <v>-185768370</v>
      </c>
      <c r="F20" s="3">
        <v>-129829383</v>
      </c>
      <c r="G20" s="3">
        <v>-102397893</v>
      </c>
      <c r="H20" s="3">
        <v>-159422901</v>
      </c>
    </row>
    <row r="21" spans="1:8" x14ac:dyDescent="0.25">
      <c r="A21" t="s">
        <v>78</v>
      </c>
      <c r="B21" s="3">
        <v>-195882457</v>
      </c>
      <c r="C21" s="3">
        <v>48002879</v>
      </c>
      <c r="D21" s="3">
        <v>9836205</v>
      </c>
      <c r="E21" s="3">
        <v>-15663502</v>
      </c>
      <c r="F21" s="3">
        <v>29452741</v>
      </c>
      <c r="G21" s="3">
        <v>-33875430</v>
      </c>
      <c r="H21" s="3">
        <v>-37599022</v>
      </c>
    </row>
    <row r="22" spans="1:8" x14ac:dyDescent="0.25">
      <c r="A22" s="15" t="s">
        <v>79</v>
      </c>
      <c r="B22" s="4">
        <f>SUM(B18:B21)</f>
        <v>499167567</v>
      </c>
      <c r="C22" s="4">
        <f>SUM(C18:C21)</f>
        <v>509102218</v>
      </c>
      <c r="D22" s="4">
        <f>SUM(D18:D21)+2</f>
        <v>408917603</v>
      </c>
      <c r="E22" s="4">
        <f>SUM(E18:E21)+1</f>
        <v>691146948</v>
      </c>
      <c r="F22" s="4">
        <f>SUM(F18:F21)+1</f>
        <v>562009311</v>
      </c>
      <c r="G22" s="4">
        <f>SUM(G18:G21)-1</f>
        <v>442182630</v>
      </c>
      <c r="H22" s="4">
        <f>SUM(H18:H21)</f>
        <v>612804044</v>
      </c>
    </row>
    <row r="23" spans="1:8" x14ac:dyDescent="0.25">
      <c r="B23" s="3"/>
      <c r="C23" s="3"/>
      <c r="D23" s="3"/>
      <c r="E23" s="3"/>
      <c r="F23" s="3"/>
      <c r="G23" s="3"/>
      <c r="H23" s="3"/>
    </row>
    <row r="24" spans="1:8" x14ac:dyDescent="0.25">
      <c r="A24" s="15" t="s">
        <v>80</v>
      </c>
      <c r="B24" s="2">
        <f>B22/('1'!B39/10)</f>
        <v>4.7336895874822194</v>
      </c>
      <c r="C24" s="2">
        <f>C22/('1'!C39/10)</f>
        <v>4.8279015457562826</v>
      </c>
      <c r="D24" s="2">
        <f>D22/('1'!D39/10)</f>
        <v>3.8778340730203888</v>
      </c>
      <c r="E24" s="2">
        <f>E22/('1'!E39/10)</f>
        <v>6.5542621906116647</v>
      </c>
      <c r="F24" s="2">
        <f>F22/('1'!F39/10)</f>
        <v>5.3296283641536277</v>
      </c>
      <c r="G24" s="2">
        <f>G22/('1'!G39/10)</f>
        <v>4.1932918918918922</v>
      </c>
      <c r="H24" s="2">
        <f>H22/('1'!H39/10)</f>
        <v>5.811323319108582</v>
      </c>
    </row>
    <row r="25" spans="1:8" x14ac:dyDescent="0.25">
      <c r="A25" s="17" t="s">
        <v>81</v>
      </c>
      <c r="B25" s="3">
        <v>105450000</v>
      </c>
      <c r="C25" s="3">
        <v>105450000</v>
      </c>
      <c r="D25" s="3">
        <v>105450000</v>
      </c>
      <c r="E25" s="3">
        <v>105450000</v>
      </c>
      <c r="F25" s="3">
        <v>105450000</v>
      </c>
      <c r="G25" s="3">
        <v>105450000</v>
      </c>
      <c r="H25" s="3">
        <v>105450000</v>
      </c>
    </row>
    <row r="26" spans="1:8" x14ac:dyDescent="0.25">
      <c r="B26" s="3"/>
      <c r="C26" s="3"/>
      <c r="D26" s="3"/>
      <c r="E26" s="3"/>
      <c r="F26" s="3"/>
      <c r="G26" s="3"/>
      <c r="H26" s="3"/>
    </row>
    <row r="27" spans="1:8" x14ac:dyDescent="0.25">
      <c r="B27" s="3"/>
      <c r="C27" s="3"/>
      <c r="D27" s="3"/>
      <c r="E27" s="3"/>
      <c r="F27" s="3"/>
      <c r="G27" s="3"/>
      <c r="H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xSplit="1" ySplit="4" topLeftCell="F5" activePane="bottomRight" state="frozen"/>
      <selection pane="topRight" activeCell="B1" sqref="B1"/>
      <selection pane="bottomLeft" activeCell="A3" sqref="A3"/>
      <selection pane="bottomRight" activeCell="O16" sqref="O16"/>
    </sheetView>
  </sheetViews>
  <sheetFormatPr defaultRowHeight="15" x14ac:dyDescent="0.25"/>
  <cols>
    <col min="1" max="1" width="47.85546875" bestFit="1" customWidth="1"/>
    <col min="2" max="5" width="15" bestFit="1" customWidth="1"/>
    <col min="6" max="6" width="17.7109375" bestFit="1" customWidth="1"/>
    <col min="7" max="7" width="16" bestFit="1" customWidth="1"/>
    <col min="8" max="8" width="18.7109375" bestFit="1" customWidth="1"/>
  </cols>
  <sheetData>
    <row r="1" spans="1:9" x14ac:dyDescent="0.25">
      <c r="A1" s="1" t="s">
        <v>91</v>
      </c>
    </row>
    <row r="2" spans="1:9" ht="15.75" x14ac:dyDescent="0.25">
      <c r="A2" s="9" t="s">
        <v>82</v>
      </c>
    </row>
    <row r="3" spans="1:9" ht="15.75" x14ac:dyDescent="0.25">
      <c r="A3" s="9" t="s">
        <v>54</v>
      </c>
    </row>
    <row r="4" spans="1:9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9" x14ac:dyDescent="0.25">
      <c r="A5" s="15" t="s">
        <v>83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t="s">
        <v>24</v>
      </c>
      <c r="B6" s="3">
        <v>6025533605</v>
      </c>
      <c r="C6" s="3">
        <v>7275391238</v>
      </c>
      <c r="D6" s="3">
        <v>8036868680</v>
      </c>
      <c r="E6" s="3">
        <v>8855274472</v>
      </c>
      <c r="F6" s="3">
        <v>9829879336</v>
      </c>
      <c r="G6" s="3">
        <v>9762979193</v>
      </c>
      <c r="H6" s="3">
        <v>12244950544</v>
      </c>
      <c r="I6" s="3"/>
    </row>
    <row r="7" spans="1:9" x14ac:dyDescent="0.25">
      <c r="A7" t="s">
        <v>25</v>
      </c>
      <c r="B7" s="3">
        <v>-175790809</v>
      </c>
      <c r="C7" s="3">
        <v>-245513623</v>
      </c>
      <c r="D7" s="3">
        <v>-263401935</v>
      </c>
      <c r="E7" s="3">
        <v>-291567022</v>
      </c>
      <c r="F7" s="3">
        <v>-365862098</v>
      </c>
      <c r="G7" s="3">
        <v>-370835659</v>
      </c>
      <c r="H7" s="3">
        <v>-379148702</v>
      </c>
      <c r="I7" s="3"/>
    </row>
    <row r="8" spans="1:9" x14ac:dyDescent="0.25">
      <c r="A8" t="s">
        <v>26</v>
      </c>
      <c r="B8" s="3">
        <v>-4684256809</v>
      </c>
      <c r="C8" s="3">
        <v>-6160722851</v>
      </c>
      <c r="D8" s="3">
        <v>-6634165042</v>
      </c>
      <c r="E8" s="3">
        <v>-6586402987</v>
      </c>
      <c r="F8" s="3">
        <v>-7989867852</v>
      </c>
      <c r="G8" s="3">
        <v>-7677963183</v>
      </c>
      <c r="H8" s="3">
        <v>-10525651769</v>
      </c>
      <c r="I8" s="3"/>
    </row>
    <row r="9" spans="1:9" x14ac:dyDescent="0.25">
      <c r="A9" t="s">
        <v>27</v>
      </c>
      <c r="B9" s="3">
        <v>273854481</v>
      </c>
      <c r="C9" s="3">
        <v>184719720</v>
      </c>
      <c r="D9" s="3">
        <v>110455783</v>
      </c>
      <c r="E9" s="3">
        <v>-13085185</v>
      </c>
      <c r="F9" s="3">
        <v>-142661853</v>
      </c>
      <c r="G9" s="3">
        <v>-17711724</v>
      </c>
      <c r="H9" s="3">
        <v>27742615</v>
      </c>
      <c r="I9" s="3"/>
    </row>
    <row r="10" spans="1:9" x14ac:dyDescent="0.25">
      <c r="A10" t="s">
        <v>28</v>
      </c>
      <c r="B10" s="3">
        <v>-299043759</v>
      </c>
      <c r="C10" s="3">
        <v>-386626333</v>
      </c>
      <c r="D10" s="3">
        <v>-453199634</v>
      </c>
      <c r="E10" s="3">
        <v>-412368162</v>
      </c>
      <c r="F10" s="3">
        <v>-335375848</v>
      </c>
      <c r="G10" s="3">
        <v>-394278753</v>
      </c>
      <c r="H10" s="3">
        <v>-421418145</v>
      </c>
      <c r="I10" s="3"/>
    </row>
    <row r="11" spans="1:9" x14ac:dyDescent="0.25">
      <c r="A11" t="s">
        <v>29</v>
      </c>
      <c r="B11" s="3">
        <v>0</v>
      </c>
      <c r="C11" s="3">
        <v>-378181440</v>
      </c>
      <c r="D11" s="3">
        <v>-317365110</v>
      </c>
      <c r="E11" s="3">
        <v>-211209185</v>
      </c>
      <c r="F11" s="3">
        <v>-158625087</v>
      </c>
      <c r="G11" s="3">
        <v>-210698034</v>
      </c>
      <c r="H11" s="3">
        <v>-31181758</v>
      </c>
      <c r="I11" s="3"/>
    </row>
    <row r="12" spans="1:9" x14ac:dyDescent="0.25">
      <c r="A12" t="s">
        <v>30</v>
      </c>
      <c r="B12" s="3">
        <v>0</v>
      </c>
      <c r="C12" s="3">
        <v>0</v>
      </c>
      <c r="D12" s="3">
        <v>95844311</v>
      </c>
      <c r="E12" s="3">
        <v>0</v>
      </c>
      <c r="F12" s="3">
        <v>181131652</v>
      </c>
      <c r="G12" s="3">
        <v>0</v>
      </c>
      <c r="H12" s="3">
        <v>180819064</v>
      </c>
      <c r="I12" s="3"/>
    </row>
    <row r="13" spans="1:9" x14ac:dyDescent="0.25">
      <c r="A13" t="s">
        <v>31</v>
      </c>
      <c r="B13" s="3">
        <v>-225734333</v>
      </c>
      <c r="C13" s="3">
        <v>-238804752</v>
      </c>
      <c r="D13" s="3">
        <v>-181656221</v>
      </c>
      <c r="E13" s="3">
        <v>-151656566</v>
      </c>
      <c r="F13" s="3">
        <v>-330062034</v>
      </c>
      <c r="G13" s="3">
        <v>-366140083</v>
      </c>
      <c r="H13" s="3">
        <v>-457671361</v>
      </c>
      <c r="I13" s="3"/>
    </row>
    <row r="14" spans="1:9" x14ac:dyDescent="0.25">
      <c r="A14" s="1"/>
      <c r="B14" s="4">
        <f>SUM(B6:B13)</f>
        <v>914562376</v>
      </c>
      <c r="C14" s="4">
        <f t="shared" ref="C14:H14" si="0">SUM(C6:C13)</f>
        <v>50261959</v>
      </c>
      <c r="D14" s="4">
        <f t="shared" si="0"/>
        <v>393380832</v>
      </c>
      <c r="E14" s="4">
        <f t="shared" si="0"/>
        <v>1188985365</v>
      </c>
      <c r="F14" s="4">
        <f t="shared" si="0"/>
        <v>688556216</v>
      </c>
      <c r="G14" s="4">
        <f t="shared" si="0"/>
        <v>725351757</v>
      </c>
      <c r="H14" s="4">
        <f t="shared" si="0"/>
        <v>638440488</v>
      </c>
      <c r="I14" s="3"/>
    </row>
    <row r="15" spans="1:9" x14ac:dyDescent="0.25">
      <c r="A15" s="15" t="s">
        <v>84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t="s">
        <v>32</v>
      </c>
      <c r="B16" s="3">
        <v>-404578140</v>
      </c>
      <c r="C16" s="3">
        <v>-525511368</v>
      </c>
      <c r="D16" s="3">
        <v>-353916548</v>
      </c>
      <c r="E16" s="3">
        <v>-365669530</v>
      </c>
      <c r="F16" s="3">
        <v>-887221581</v>
      </c>
      <c r="G16" s="3">
        <v>-963565659</v>
      </c>
      <c r="H16" s="18">
        <v>-589846765</v>
      </c>
      <c r="I16" s="3"/>
    </row>
    <row r="17" spans="1:9" x14ac:dyDescent="0.25">
      <c r="A17" t="s">
        <v>33</v>
      </c>
      <c r="B17" s="3">
        <v>-497944140</v>
      </c>
      <c r="C17" s="3">
        <v>-423499212</v>
      </c>
      <c r="D17" s="3">
        <v>-20348865</v>
      </c>
      <c r="E17" s="3">
        <v>3947820</v>
      </c>
      <c r="F17" s="3">
        <v>-168297789</v>
      </c>
      <c r="G17" s="3">
        <v>-829329383</v>
      </c>
      <c r="H17" s="18">
        <v>-3428126369</v>
      </c>
      <c r="I17" s="3"/>
    </row>
    <row r="18" spans="1:9" x14ac:dyDescent="0.25">
      <c r="A18" t="s">
        <v>34</v>
      </c>
      <c r="B18" s="3">
        <v>6046764</v>
      </c>
      <c r="C18" s="3">
        <v>695000</v>
      </c>
      <c r="D18" s="3">
        <v>2295113</v>
      </c>
      <c r="E18" s="3">
        <v>212082182</v>
      </c>
      <c r="F18" s="3">
        <v>0</v>
      </c>
      <c r="G18" s="3">
        <v>6096000</v>
      </c>
      <c r="H18" s="18">
        <v>1307195</v>
      </c>
      <c r="I18" s="3"/>
    </row>
    <row r="19" spans="1:9" x14ac:dyDescent="0.25">
      <c r="A19" t="s">
        <v>43</v>
      </c>
      <c r="B19" s="3">
        <v>-56259387</v>
      </c>
      <c r="C19" s="3">
        <v>349520851</v>
      </c>
      <c r="D19" s="3"/>
      <c r="E19" s="3"/>
      <c r="F19" s="3"/>
      <c r="G19" s="3">
        <v>-326977459</v>
      </c>
      <c r="H19" s="18">
        <v>-556716491</v>
      </c>
      <c r="I19" s="3"/>
    </row>
    <row r="20" spans="1:9" x14ac:dyDescent="0.25">
      <c r="A20" t="s">
        <v>6</v>
      </c>
      <c r="B20" s="3">
        <v>-70351941</v>
      </c>
      <c r="C20" s="3">
        <v>-53032892</v>
      </c>
      <c r="D20" s="3">
        <v>-46258866</v>
      </c>
      <c r="E20" s="3">
        <v>22868729</v>
      </c>
      <c r="F20" s="3">
        <v>22467043</v>
      </c>
      <c r="G20" s="3">
        <v>-10285389</v>
      </c>
      <c r="H20" s="18">
        <v>52294851</v>
      </c>
      <c r="I20" s="3"/>
    </row>
    <row r="21" spans="1:9" x14ac:dyDescent="0.25">
      <c r="A21" s="1"/>
      <c r="B21" s="4">
        <f t="shared" ref="B21:H21" si="1">SUM(B16:B20)</f>
        <v>-1023086844</v>
      </c>
      <c r="C21" s="4">
        <f t="shared" si="1"/>
        <v>-651827621</v>
      </c>
      <c r="D21" s="4">
        <f t="shared" si="1"/>
        <v>-418229166</v>
      </c>
      <c r="E21" s="4">
        <f t="shared" si="1"/>
        <v>-126770799</v>
      </c>
      <c r="F21" s="4">
        <f t="shared" si="1"/>
        <v>-1033052327</v>
      </c>
      <c r="G21" s="4">
        <f t="shared" si="1"/>
        <v>-2124061890</v>
      </c>
      <c r="H21" s="4">
        <f t="shared" si="1"/>
        <v>-4521087579</v>
      </c>
      <c r="I21" s="3"/>
    </row>
    <row r="22" spans="1:9" x14ac:dyDescent="0.25"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5" t="s">
        <v>85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t="s">
        <v>35</v>
      </c>
      <c r="B24" s="3">
        <v>3888679137</v>
      </c>
      <c r="C24" s="3">
        <v>6547422163</v>
      </c>
      <c r="D24" s="3">
        <v>7624099029</v>
      </c>
      <c r="E24" s="3">
        <v>7337816409</v>
      </c>
      <c r="F24" s="3">
        <v>-601664343</v>
      </c>
      <c r="G24" s="3">
        <v>-296406361</v>
      </c>
      <c r="H24" s="18">
        <v>1846770946</v>
      </c>
      <c r="I24" s="3"/>
    </row>
    <row r="25" spans="1:9" x14ac:dyDescent="0.25">
      <c r="A25" t="s">
        <v>36</v>
      </c>
      <c r="B25" s="3">
        <v>-3559874120</v>
      </c>
      <c r="C25" s="3">
        <v>-6237645090</v>
      </c>
      <c r="D25" s="3">
        <v>-8020018950</v>
      </c>
      <c r="E25" s="3">
        <v>-8329366912</v>
      </c>
      <c r="F25" s="3">
        <v>905817707</v>
      </c>
      <c r="G25" s="3">
        <v>1213776351</v>
      </c>
      <c r="H25" s="18">
        <v>-228350322</v>
      </c>
      <c r="I25" s="3"/>
    </row>
    <row r="26" spans="1:9" x14ac:dyDescent="0.25">
      <c r="A26" t="s">
        <v>47</v>
      </c>
      <c r="B26" s="3"/>
      <c r="C26" s="3">
        <v>0</v>
      </c>
      <c r="D26" s="3">
        <v>0</v>
      </c>
      <c r="E26" s="3">
        <v>90000000</v>
      </c>
      <c r="F26" s="3">
        <v>0</v>
      </c>
      <c r="G26" s="3">
        <v>510420000</v>
      </c>
      <c r="H26" s="18">
        <v>1770000000</v>
      </c>
      <c r="I26" s="3"/>
    </row>
    <row r="27" spans="1:9" x14ac:dyDescent="0.25">
      <c r="A27" t="s">
        <v>44</v>
      </c>
      <c r="B27" s="3">
        <v>210000000</v>
      </c>
      <c r="C27" s="3"/>
      <c r="D27" s="3"/>
      <c r="E27" s="3"/>
      <c r="F27" s="3"/>
      <c r="G27" s="3">
        <v>0</v>
      </c>
      <c r="H27" s="3"/>
      <c r="I27" s="3"/>
    </row>
    <row r="28" spans="1:9" x14ac:dyDescent="0.25">
      <c r="A28" t="s">
        <v>37</v>
      </c>
      <c r="B28" s="3">
        <v>-110000000</v>
      </c>
      <c r="C28" s="3">
        <v>-5565948</v>
      </c>
      <c r="D28" s="3">
        <v>-154604</v>
      </c>
      <c r="E28" s="3">
        <v>-44000</v>
      </c>
      <c r="F28" s="3">
        <v>0</v>
      </c>
      <c r="G28" s="3">
        <v>0</v>
      </c>
      <c r="H28" s="3"/>
      <c r="I28" s="3"/>
    </row>
    <row r="29" spans="1:9" x14ac:dyDescent="0.25">
      <c r="A29" t="s">
        <v>42</v>
      </c>
      <c r="B29" s="3"/>
      <c r="C29" s="3">
        <v>8905600</v>
      </c>
      <c r="D29" s="3">
        <v>0</v>
      </c>
      <c r="E29" s="3"/>
      <c r="F29" s="3"/>
      <c r="G29" s="3">
        <v>0</v>
      </c>
      <c r="H29" s="3"/>
      <c r="I29" s="3"/>
    </row>
    <row r="30" spans="1:9" x14ac:dyDescent="0.25">
      <c r="A30" t="s">
        <v>38</v>
      </c>
      <c r="B30" s="3">
        <v>-8570500</v>
      </c>
      <c r="C30" s="3">
        <v>0</v>
      </c>
      <c r="D30" s="3">
        <v>6293462</v>
      </c>
      <c r="E30" s="3">
        <v>-3792029</v>
      </c>
      <c r="F30" s="3">
        <v>898072</v>
      </c>
      <c r="G30" s="3">
        <v>0</v>
      </c>
      <c r="H30" s="18">
        <v>149782</v>
      </c>
      <c r="I30" s="3"/>
    </row>
    <row r="31" spans="1:9" x14ac:dyDescent="0.25">
      <c r="A31" t="s">
        <v>39</v>
      </c>
      <c r="B31" s="3">
        <v>40000000</v>
      </c>
      <c r="C31" s="3">
        <v>74580000</v>
      </c>
      <c r="D31" s="3">
        <v>525000000</v>
      </c>
      <c r="E31" s="3">
        <v>20000000</v>
      </c>
      <c r="F31" s="3">
        <v>0</v>
      </c>
      <c r="G31" s="3">
        <v>0</v>
      </c>
      <c r="H31" s="3"/>
      <c r="I31" s="3"/>
    </row>
    <row r="32" spans="1:9" x14ac:dyDescent="0.25">
      <c r="A32" t="s">
        <v>40</v>
      </c>
      <c r="B32" s="3">
        <v>-33605900</v>
      </c>
      <c r="C32" s="3">
        <v>-56560147</v>
      </c>
      <c r="D32" s="3">
        <v>-80390274</v>
      </c>
      <c r="E32" s="3">
        <v>-132626501</v>
      </c>
      <c r="F32" s="3">
        <v>-59123501</v>
      </c>
      <c r="G32" s="3">
        <v>-53913526</v>
      </c>
      <c r="H32" s="18">
        <v>585912866</v>
      </c>
      <c r="I32" s="3"/>
    </row>
    <row r="33" spans="1:9" x14ac:dyDescent="0.25">
      <c r="A33" s="1"/>
      <c r="B33" s="4">
        <f t="shared" ref="B33:H33" si="2">SUM(B24:B32)</f>
        <v>426628617</v>
      </c>
      <c r="C33" s="4">
        <f t="shared" si="2"/>
        <v>331136578</v>
      </c>
      <c r="D33" s="4">
        <f t="shared" si="2"/>
        <v>54828663</v>
      </c>
      <c r="E33" s="4">
        <f t="shared" si="2"/>
        <v>-1018013033</v>
      </c>
      <c r="F33" s="4">
        <f t="shared" si="2"/>
        <v>245927935</v>
      </c>
      <c r="G33" s="4">
        <f t="shared" si="2"/>
        <v>1373876464</v>
      </c>
      <c r="H33" s="4">
        <f t="shared" si="2"/>
        <v>3974483272</v>
      </c>
      <c r="I33" s="3"/>
    </row>
    <row r="34" spans="1:9" x14ac:dyDescent="0.25">
      <c r="A34" s="1" t="s">
        <v>86</v>
      </c>
      <c r="B34" s="4">
        <f t="shared" ref="B34:H34" si="3">B14+B21+B33</f>
        <v>318104149</v>
      </c>
      <c r="C34" s="4">
        <f t="shared" si="3"/>
        <v>-270429084</v>
      </c>
      <c r="D34" s="4">
        <f t="shared" si="3"/>
        <v>29980329</v>
      </c>
      <c r="E34" s="4">
        <f t="shared" si="3"/>
        <v>44201533</v>
      </c>
      <c r="F34" s="4">
        <f t="shared" si="3"/>
        <v>-98568176</v>
      </c>
      <c r="G34" s="4">
        <f t="shared" si="3"/>
        <v>-24833669</v>
      </c>
      <c r="H34" s="4">
        <f t="shared" si="3"/>
        <v>91836181</v>
      </c>
      <c r="I34" s="3"/>
    </row>
    <row r="35" spans="1:9" x14ac:dyDescent="0.25">
      <c r="A35" s="17" t="s">
        <v>87</v>
      </c>
      <c r="B35" s="3">
        <v>86466273</v>
      </c>
      <c r="C35" s="3">
        <v>404570422</v>
      </c>
      <c r="D35" s="3">
        <v>134141336</v>
      </c>
      <c r="E35" s="3">
        <v>164121665</v>
      </c>
      <c r="F35" s="3">
        <v>208323198</v>
      </c>
      <c r="G35" s="3">
        <v>102266553</v>
      </c>
      <c r="H35" s="18">
        <v>77432884</v>
      </c>
      <c r="I35" s="3"/>
    </row>
    <row r="36" spans="1:9" x14ac:dyDescent="0.25">
      <c r="A36" s="15" t="s">
        <v>88</v>
      </c>
      <c r="B36" s="4">
        <f>SUM(B34:B35)</f>
        <v>404570422</v>
      </c>
      <c r="C36" s="4">
        <f>SUM(C34:C35)-1</f>
        <v>134141337</v>
      </c>
      <c r="D36" s="4">
        <f>SUM(D34:D35)</f>
        <v>164121665</v>
      </c>
      <c r="E36" s="4">
        <f>SUM(E34:E35)</f>
        <v>208323198</v>
      </c>
      <c r="F36" s="4">
        <f>SUM(F34:F35)+1</f>
        <v>109755023</v>
      </c>
      <c r="G36" s="4">
        <f>SUM(G34:G35)+1</f>
        <v>77432885</v>
      </c>
      <c r="H36" s="4">
        <f>SUM(H34:H35)</f>
        <v>169269065</v>
      </c>
      <c r="I36" s="3"/>
    </row>
    <row r="37" spans="1:9" x14ac:dyDescent="0.25">
      <c r="B37" s="3"/>
      <c r="C37" s="3"/>
      <c r="D37" s="2">
        <v>3.83</v>
      </c>
      <c r="E37" s="3"/>
      <c r="F37" s="3"/>
      <c r="G37" s="3"/>
      <c r="H37" s="3"/>
      <c r="I37" s="3"/>
    </row>
    <row r="38" spans="1:9" x14ac:dyDescent="0.25"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15" t="s">
        <v>89</v>
      </c>
      <c r="B39" s="6">
        <f>B14/('1'!B39/10)</f>
        <v>8.672948089141773</v>
      </c>
      <c r="C39" s="6">
        <f>C14/('1'!C39/10)</f>
        <v>0.47664256993835941</v>
      </c>
      <c r="D39" s="6">
        <f>D14/('1'!D39/10)</f>
        <v>3.7304962731152207</v>
      </c>
      <c r="E39" s="6">
        <f>E14/('1'!E39/10)</f>
        <v>11.275347226173542</v>
      </c>
      <c r="F39" s="6">
        <f>F14/('1'!F39/10)</f>
        <v>6.5296938454243714</v>
      </c>
      <c r="G39" s="6">
        <f>G14/('1'!G39/10)</f>
        <v>6.878632119487909</v>
      </c>
      <c r="H39" s="6">
        <f>H14/('1'!H39/10)</f>
        <v>6.0544380085348504</v>
      </c>
    </row>
    <row r="40" spans="1:9" x14ac:dyDescent="0.25">
      <c r="A40" s="15" t="s">
        <v>90</v>
      </c>
      <c r="B40" s="3">
        <v>105450000</v>
      </c>
      <c r="C40" s="3">
        <v>105450000</v>
      </c>
      <c r="D40" s="3">
        <v>105450000</v>
      </c>
      <c r="E40" s="3">
        <v>105450000</v>
      </c>
      <c r="F40" s="3">
        <v>105450000</v>
      </c>
      <c r="G40" s="3">
        <v>105450000</v>
      </c>
      <c r="H40" s="3">
        <v>105450000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6" sqref="A26"/>
    </sheetView>
  </sheetViews>
  <sheetFormatPr defaultRowHeight="15" x14ac:dyDescent="0.25"/>
  <cols>
    <col min="1" max="1" width="39.5703125" bestFit="1" customWidth="1"/>
  </cols>
  <sheetData>
    <row r="1" spans="1:8" x14ac:dyDescent="0.25">
      <c r="A1" s="1" t="s">
        <v>91</v>
      </c>
    </row>
    <row r="2" spans="1:8" x14ac:dyDescent="0.25">
      <c r="A2" s="1" t="s">
        <v>52</v>
      </c>
    </row>
    <row r="3" spans="1:8" ht="15.75" x14ac:dyDescent="0.25">
      <c r="A3" s="9" t="s">
        <v>54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t="s">
        <v>92</v>
      </c>
      <c r="B5" s="8">
        <f>'2'!B22/'1'!B19</f>
        <v>5.8751685508617389E-2</v>
      </c>
      <c r="C5" s="8">
        <f>'2'!C22/'1'!C19</f>
        <v>5.1931084100250623E-2</v>
      </c>
      <c r="D5" s="8">
        <f>'2'!D22/'1'!D19</f>
        <v>4.0529709989429064E-2</v>
      </c>
      <c r="E5" s="8">
        <f>'2'!E22/'1'!E19</f>
        <v>6.3736960317913968E-2</v>
      </c>
      <c r="F5" s="8">
        <f>'2'!F22/'1'!F19</f>
        <v>4.5056508097655421E-2</v>
      </c>
      <c r="G5" s="8">
        <f>'2'!G22/'1'!G19</f>
        <v>3.2592082060105852E-2</v>
      </c>
      <c r="H5" s="8">
        <f>'2'!H22/'1'!H19</f>
        <v>3.255107051393507E-2</v>
      </c>
    </row>
    <row r="6" spans="1:8" x14ac:dyDescent="0.25">
      <c r="A6" t="s">
        <v>93</v>
      </c>
      <c r="B6" s="8">
        <f>'2'!B22/'1'!B45</f>
        <v>0.15866694918593094</v>
      </c>
      <c r="C6" s="8">
        <f>'2'!C22/'1'!C45</f>
        <v>0.15769698165531673</v>
      </c>
      <c r="D6" s="8">
        <f>'2'!D22/'1'!D45</f>
        <v>0.12331974040473104</v>
      </c>
      <c r="E6" s="8">
        <f>'2'!E22/'1'!E45</f>
        <v>0.16228434560253807</v>
      </c>
      <c r="F6" s="8">
        <f>'2'!F22/'1'!F45</f>
        <v>0.13093298442908333</v>
      </c>
      <c r="G6" s="8">
        <f>'2'!G22/'1'!G45</f>
        <v>9.7229007298203843E-2</v>
      </c>
      <c r="H6" s="8">
        <f>'2'!H22/'1'!H45</f>
        <v>0.12060281182639775</v>
      </c>
    </row>
    <row r="7" spans="1:8" x14ac:dyDescent="0.25">
      <c r="A7" t="s">
        <v>49</v>
      </c>
      <c r="B7" s="8">
        <f>'1'!B25/'1'!B45</f>
        <v>0.19257286323980011</v>
      </c>
      <c r="C7" s="8">
        <f>'1'!C25/'1'!C45</f>
        <v>0.33677056645787079</v>
      </c>
      <c r="D7" s="8">
        <f>'1'!D25/'1'!D45</f>
        <v>0.45439154506266599</v>
      </c>
      <c r="E7" s="8">
        <f>'1'!E25/'1'!E45</f>
        <v>0.3721194025474413</v>
      </c>
      <c r="F7" s="8">
        <f>'1'!F25/'1'!F45</f>
        <v>0.21421478547865516</v>
      </c>
      <c r="G7" s="8">
        <f>'1'!G25/'1'!G45</f>
        <v>1.895707831300051E-2</v>
      </c>
      <c r="H7" s="8">
        <f>'1'!H25/'1'!H45</f>
        <v>0.47948726087557553</v>
      </c>
    </row>
    <row r="8" spans="1:8" x14ac:dyDescent="0.25">
      <c r="A8" t="s">
        <v>50</v>
      </c>
      <c r="B8" s="6">
        <f>'1'!B18/'1'!B36</f>
        <v>0.75296089018582868</v>
      </c>
      <c r="C8" s="6">
        <f>'1'!C18/'1'!C36</f>
        <v>0.76537179294326829</v>
      </c>
      <c r="D8" s="6">
        <f>'1'!D18/'1'!D36</f>
        <v>0.86605357720400922</v>
      </c>
      <c r="E8" s="6">
        <f>'1'!E18/'1'!E36</f>
        <v>1.0629362374772788</v>
      </c>
      <c r="F8" s="6">
        <f>'1'!F18/'1'!F36</f>
        <v>0.88230908823412357</v>
      </c>
      <c r="G8" s="6">
        <f>'1'!G18/'1'!G36</f>
        <v>0.79590418040968847</v>
      </c>
      <c r="H8" s="6">
        <f>'1'!H18/'1'!H36</f>
        <v>0.86351865845310904</v>
      </c>
    </row>
    <row r="9" spans="1:8" x14ac:dyDescent="0.25">
      <c r="A9" t="s">
        <v>53</v>
      </c>
      <c r="B9" s="8">
        <f>'2'!B22/'2'!B5</f>
        <v>7.7792400764299968E-2</v>
      </c>
      <c r="C9" s="8">
        <f>'2'!C22/'2'!C5</f>
        <v>6.7523994285544203E-2</v>
      </c>
      <c r="D9" s="8">
        <f>'2'!D22/'2'!D5</f>
        <v>5.0491751124687012E-2</v>
      </c>
      <c r="E9" s="8">
        <f>'2'!E22/'2'!E5</f>
        <v>7.3825217296586296E-2</v>
      </c>
      <c r="F9" s="8">
        <f>'2'!F22/'2'!F5</f>
        <v>5.4390284869480277E-2</v>
      </c>
      <c r="G9" s="8">
        <f>'2'!G22/'2'!G5</f>
        <v>4.3998862128410789E-2</v>
      </c>
      <c r="H9" s="8">
        <f>'2'!H22/'2'!H5</f>
        <v>5.1069426655614342E-2</v>
      </c>
    </row>
    <row r="10" spans="1:8" x14ac:dyDescent="0.25">
      <c r="A10" t="s">
        <v>51</v>
      </c>
      <c r="B10" s="8">
        <f>'2'!B12/'2'!B5</f>
        <v>0.17547988772355413</v>
      </c>
      <c r="C10" s="8">
        <f>'2'!C12/'2'!C5</f>
        <v>0.14670605831770478</v>
      </c>
      <c r="D10" s="8">
        <f>'2'!D12/'2'!D5</f>
        <v>0.1121194719940692</v>
      </c>
      <c r="E10" s="8">
        <f>'2'!E12/'2'!E5</f>
        <v>0.14679880335655074</v>
      </c>
      <c r="F10" s="8">
        <f>'2'!F12/'2'!F5</f>
        <v>9.9026086448380318E-2</v>
      </c>
      <c r="G10" s="8">
        <f>'2'!G12/'2'!G5</f>
        <v>9.9897429130910598E-2</v>
      </c>
      <c r="H10" s="8">
        <f>'2'!H12/'2'!H5</f>
        <v>0.10698213743417723</v>
      </c>
    </row>
    <row r="11" spans="1:8" x14ac:dyDescent="0.25">
      <c r="A11" t="s">
        <v>94</v>
      </c>
      <c r="B11" s="8">
        <f>'2'!B22/('1'!B25+'1'!B45)</f>
        <v>0.13304591616724259</v>
      </c>
      <c r="C11" s="8">
        <f>'2'!C22/('1'!C25+'1'!C45)</f>
        <v>0.11796862200009149</v>
      </c>
      <c r="D11" s="8">
        <f>'2'!D22/('1'!D25+'1'!D45)</f>
        <v>8.4791293529843437E-2</v>
      </c>
      <c r="E11" s="8">
        <f>'2'!E22/('1'!E25+'1'!E45)</f>
        <v>0.11827275767782684</v>
      </c>
      <c r="F11" s="8">
        <f>'2'!F22/('1'!F25+'1'!F45)</f>
        <v>0.1078334624112391</v>
      </c>
      <c r="G11" s="8">
        <f>'2'!G22/('1'!G25+'1'!G45)</f>
        <v>9.5420120599365707E-2</v>
      </c>
      <c r="H11" s="8">
        <f>'2'!H22/('1'!H25+'1'!H45)</f>
        <v>8.1516627426060959E-2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2019-02-19T05:27:18Z</dcterms:created>
  <dcterms:modified xsi:type="dcterms:W3CDTF">2020-04-11T10:23:54Z</dcterms:modified>
</cp:coreProperties>
</file>