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mT9GO8lm1+d5naJ4KrLD20j0j3w=="/>
    </ext>
  </extLst>
</workbook>
</file>

<file path=xl/calcChain.xml><?xml version="1.0" encoding="utf-8"?>
<calcChain xmlns="http://schemas.openxmlformats.org/spreadsheetml/2006/main">
  <c r="C8" i="4" l="1"/>
  <c r="H35" i="3"/>
  <c r="G35" i="3"/>
  <c r="F35" i="3"/>
  <c r="E35" i="3"/>
  <c r="D35" i="3"/>
  <c r="C35" i="3"/>
  <c r="B35" i="3"/>
  <c r="G34" i="3"/>
  <c r="C34" i="3"/>
  <c r="H31" i="3"/>
  <c r="G31" i="3"/>
  <c r="G30" i="3"/>
  <c r="G32" i="3" s="1"/>
  <c r="C30" i="3"/>
  <c r="C32" i="3" s="1"/>
  <c r="H28" i="3"/>
  <c r="G28" i="3"/>
  <c r="F28" i="3"/>
  <c r="E28" i="3"/>
  <c r="D28" i="3"/>
  <c r="C28" i="3"/>
  <c r="B28" i="3"/>
  <c r="H20" i="3"/>
  <c r="G20" i="3"/>
  <c r="F20" i="3"/>
  <c r="E20" i="3"/>
  <c r="D20" i="3"/>
  <c r="C20" i="3"/>
  <c r="B20" i="3"/>
  <c r="H13" i="3"/>
  <c r="H30" i="3" s="1"/>
  <c r="H32" i="3" s="1"/>
  <c r="G13" i="3"/>
  <c r="F13" i="3"/>
  <c r="F34" i="3" s="1"/>
  <c r="E13" i="3"/>
  <c r="E34" i="3" s="1"/>
  <c r="D13" i="3"/>
  <c r="D34" i="3" s="1"/>
  <c r="C13" i="3"/>
  <c r="B13" i="3"/>
  <c r="B34" i="3" s="1"/>
  <c r="H28" i="2"/>
  <c r="G28" i="2"/>
  <c r="F28" i="2"/>
  <c r="E28" i="2"/>
  <c r="D28" i="2"/>
  <c r="C28" i="2"/>
  <c r="B28" i="2"/>
  <c r="H20" i="2"/>
  <c r="G20" i="2"/>
  <c r="F20" i="2"/>
  <c r="E20" i="2"/>
  <c r="D20" i="2"/>
  <c r="C20" i="2"/>
  <c r="B20" i="2"/>
  <c r="F16" i="2"/>
  <c r="F18" i="2" s="1"/>
  <c r="F25" i="2" s="1"/>
  <c r="B16" i="2"/>
  <c r="B18" i="2" s="1"/>
  <c r="B25" i="2" s="1"/>
  <c r="F12" i="2"/>
  <c r="F11" i="4" s="1"/>
  <c r="E12" i="2"/>
  <c r="E16" i="2" s="1"/>
  <c r="E18" i="2" s="1"/>
  <c r="E25" i="2" s="1"/>
  <c r="B12" i="2"/>
  <c r="B11" i="4" s="1"/>
  <c r="H8" i="2"/>
  <c r="H12" i="2" s="1"/>
  <c r="H16" i="2" s="1"/>
  <c r="H18" i="2" s="1"/>
  <c r="H25" i="2" s="1"/>
  <c r="H27" i="2" s="1"/>
  <c r="G8" i="2"/>
  <c r="G12" i="2" s="1"/>
  <c r="G16" i="2" s="1"/>
  <c r="G18" i="2" s="1"/>
  <c r="G25" i="2" s="1"/>
  <c r="G27" i="2" s="1"/>
  <c r="F8" i="2"/>
  <c r="E8" i="2"/>
  <c r="D8" i="2"/>
  <c r="D12" i="2" s="1"/>
  <c r="C8" i="2"/>
  <c r="C12" i="2" s="1"/>
  <c r="B8" i="2"/>
  <c r="H45" i="1"/>
  <c r="G45" i="1"/>
  <c r="F45" i="1"/>
  <c r="E45" i="1"/>
  <c r="D45" i="1"/>
  <c r="C45" i="1"/>
  <c r="B45" i="1"/>
  <c r="G44" i="1"/>
  <c r="F44" i="1"/>
  <c r="C44" i="1"/>
  <c r="B44" i="1"/>
  <c r="H37" i="1"/>
  <c r="H44" i="1" s="1"/>
  <c r="G37" i="1"/>
  <c r="F37" i="1"/>
  <c r="F8" i="4" s="1"/>
  <c r="E37" i="1"/>
  <c r="E44" i="1" s="1"/>
  <c r="D37" i="1"/>
  <c r="D44" i="1" s="1"/>
  <c r="C37" i="1"/>
  <c r="B37" i="1"/>
  <c r="B8" i="4" s="1"/>
  <c r="H35" i="1"/>
  <c r="H42" i="1" s="1"/>
  <c r="G35" i="1"/>
  <c r="G42" i="1" s="1"/>
  <c r="D35" i="1"/>
  <c r="D42" i="1" s="1"/>
  <c r="C35" i="1"/>
  <c r="C42" i="1" s="1"/>
  <c r="H29" i="1"/>
  <c r="G29" i="1"/>
  <c r="F29" i="1"/>
  <c r="F35" i="1" s="1"/>
  <c r="F42" i="1" s="1"/>
  <c r="E29" i="1"/>
  <c r="E35" i="1" s="1"/>
  <c r="E42" i="1" s="1"/>
  <c r="D29" i="1"/>
  <c r="C29" i="1"/>
  <c r="B29" i="1"/>
  <c r="B35" i="1" s="1"/>
  <c r="B42" i="1" s="1"/>
  <c r="H25" i="1"/>
  <c r="G25" i="1"/>
  <c r="F25" i="1"/>
  <c r="E25" i="1"/>
  <c r="D25" i="1"/>
  <c r="C25" i="1"/>
  <c r="B25" i="1"/>
  <c r="H21" i="1"/>
  <c r="E21" i="1"/>
  <c r="D21" i="1"/>
  <c r="H12" i="1"/>
  <c r="G12" i="1"/>
  <c r="G21" i="1" s="1"/>
  <c r="F12" i="1"/>
  <c r="F21" i="1" s="1"/>
  <c r="E12" i="1"/>
  <c r="E9" i="4" s="1"/>
  <c r="D12" i="1"/>
  <c r="D9" i="4" s="1"/>
  <c r="C12" i="1"/>
  <c r="C21" i="1" s="1"/>
  <c r="B12" i="1"/>
  <c r="B21" i="1" s="1"/>
  <c r="H7" i="1"/>
  <c r="G7" i="1"/>
  <c r="F7" i="1"/>
  <c r="E7" i="1"/>
  <c r="D7" i="1"/>
  <c r="C7" i="1"/>
  <c r="B7" i="1"/>
  <c r="D16" i="2" l="1"/>
  <c r="D18" i="2" s="1"/>
  <c r="D25" i="2" s="1"/>
  <c r="D11" i="4"/>
  <c r="B12" i="4"/>
  <c r="B10" i="4"/>
  <c r="B27" i="2"/>
  <c r="B7" i="4"/>
  <c r="B6" i="4"/>
  <c r="F12" i="4"/>
  <c r="F6" i="4"/>
  <c r="F7" i="4"/>
  <c r="F10" i="4"/>
  <c r="F27" i="2"/>
  <c r="C11" i="4"/>
  <c r="C16" i="2"/>
  <c r="C18" i="2" s="1"/>
  <c r="C25" i="2" s="1"/>
  <c r="E27" i="2"/>
  <c r="E7" i="4"/>
  <c r="E10" i="4"/>
  <c r="E12" i="4"/>
  <c r="E6" i="4"/>
  <c r="D30" i="3"/>
  <c r="D32" i="3" s="1"/>
  <c r="H34" i="3"/>
  <c r="D8" i="4"/>
  <c r="E30" i="3"/>
  <c r="E32" i="3" s="1"/>
  <c r="E8" i="4"/>
  <c r="B9" i="4"/>
  <c r="F9" i="4"/>
  <c r="C9" i="4"/>
  <c r="E11" i="4"/>
  <c r="B30" i="3"/>
  <c r="B32" i="3" s="1"/>
  <c r="F30" i="3"/>
  <c r="F32" i="3" s="1"/>
  <c r="C7" i="4" l="1"/>
  <c r="C27" i="2"/>
  <c r="C12" i="4"/>
  <c r="C10" i="4"/>
  <c r="C6" i="4"/>
  <c r="D10" i="4"/>
  <c r="D6" i="4"/>
  <c r="D27" i="2"/>
  <c r="D12" i="4"/>
  <c r="D7" i="4"/>
</calcChain>
</file>

<file path=xl/sharedStrings.xml><?xml version="1.0" encoding="utf-8"?>
<sst xmlns="http://schemas.openxmlformats.org/spreadsheetml/2006/main" count="116" uniqueCount="86">
  <si>
    <t>DRAGON SWEATER &amp; SPINNING LIMITED</t>
  </si>
  <si>
    <t>Balance Sheet</t>
  </si>
  <si>
    <t>Cash Flow Statement</t>
  </si>
  <si>
    <t>Income Statement</t>
  </si>
  <si>
    <t>As at quarter end</t>
  </si>
  <si>
    <t>Quarter 2</t>
  </si>
  <si>
    <t>Quarter 3</t>
  </si>
  <si>
    <t>Quarter 1</t>
  </si>
  <si>
    <t>Net Revenues</t>
  </si>
  <si>
    <t>ASSETS</t>
  </si>
  <si>
    <t>Net Cash Flows - Operating Activities</t>
  </si>
  <si>
    <t>NON CURRENT ASSETS</t>
  </si>
  <si>
    <t>Cost of goods sold</t>
  </si>
  <si>
    <t>Cash Received from customers</t>
  </si>
  <si>
    <t>Gross Profit</t>
  </si>
  <si>
    <t>Cash receipt from non-operating income</t>
  </si>
  <si>
    <t>Property,Plant  and  Equipment</t>
  </si>
  <si>
    <t>Cash paid to suppliers and others</t>
  </si>
  <si>
    <t>Intangible asset</t>
  </si>
  <si>
    <t>Capital work in progress</t>
  </si>
  <si>
    <t>Cash paid for financial expenses</t>
  </si>
  <si>
    <t>Operating Incomes/Expenses</t>
  </si>
  <si>
    <t>Foreign Exchange Gain/(Loss)</t>
  </si>
  <si>
    <t>CURRENT ASSETS</t>
  </si>
  <si>
    <t>Income tax paid</t>
  </si>
  <si>
    <t>Operating Profit</t>
  </si>
  <si>
    <t>Short term investment</t>
  </si>
  <si>
    <t>Non-Operating Income/(Expenses)</t>
  </si>
  <si>
    <t>Inventories</t>
  </si>
  <si>
    <t xml:space="preserve">Trade Receivable from Foreign Companies </t>
  </si>
  <si>
    <t>Financial Expenses</t>
  </si>
  <si>
    <t>Trade Receivable from Local Companies</t>
  </si>
  <si>
    <t>Non operating income</t>
  </si>
  <si>
    <t>Bill receivables</t>
  </si>
  <si>
    <t>Profit Before contribution to WPPF</t>
  </si>
  <si>
    <t>Advance, deposit and prepayments</t>
  </si>
  <si>
    <t>Contribution to WPPF</t>
  </si>
  <si>
    <t>Cash &amp; cash equivalent</t>
  </si>
  <si>
    <t>Net Cash Flows - Investment Activities</t>
  </si>
  <si>
    <t>Profit Before Taxation</t>
  </si>
  <si>
    <t>FDR investment (interest)</t>
  </si>
  <si>
    <t>SND Interest</t>
  </si>
  <si>
    <t>Provision for Taxation</t>
  </si>
  <si>
    <t>Investment in capital work in progress</t>
  </si>
  <si>
    <t>Current Tax</t>
  </si>
  <si>
    <t>Investment for non current assets</t>
  </si>
  <si>
    <t>Liabilities and Capital</t>
  </si>
  <si>
    <t>Tax paid under Section 82 C</t>
  </si>
  <si>
    <t>Provsion for taxation</t>
  </si>
  <si>
    <t>Liabilities</t>
  </si>
  <si>
    <t xml:space="preserve"> Deferrred Tax Expenses</t>
  </si>
  <si>
    <t>Non Current Liabilities</t>
  </si>
  <si>
    <t>Net Profit</t>
  </si>
  <si>
    <t>Net Cash Flows - Financing Activities</t>
  </si>
  <si>
    <t>Long term loan net of current portion</t>
  </si>
  <si>
    <t>Deferred Tax Liability</t>
  </si>
  <si>
    <t>Long term loan current portion</t>
  </si>
  <si>
    <t>Earnings per share (par value Taka 10)</t>
  </si>
  <si>
    <t>Current Liabilities</t>
  </si>
  <si>
    <t>Long term loan paid</t>
  </si>
  <si>
    <t>Cash Paid for dividend</t>
  </si>
  <si>
    <t>Bills payable</t>
  </si>
  <si>
    <t>Liabilities for expenses</t>
  </si>
  <si>
    <t>Allotment of IPO share's (statement of changes in equity)</t>
  </si>
  <si>
    <t>Long term loa current portion</t>
  </si>
  <si>
    <t>Provision for income tax</t>
  </si>
  <si>
    <t>Shares to Calculate EPS</t>
  </si>
  <si>
    <t>Net Change in Cash Flows</t>
  </si>
  <si>
    <t>Shareholders’ Equity</t>
  </si>
  <si>
    <t>Share Capital</t>
  </si>
  <si>
    <t>Cash and Cash Equivalents at Beginning Period</t>
  </si>
  <si>
    <t>Retained Earnings</t>
  </si>
  <si>
    <t>Reserve for reservation</t>
  </si>
  <si>
    <t>Cash and Cash Equivalents at End of Period</t>
  </si>
  <si>
    <t>Net Operating Cash Flow Per Share</t>
  </si>
  <si>
    <t>Net assets value per share</t>
  </si>
  <si>
    <t>Shares to calculate NAVPS</t>
  </si>
  <si>
    <t>Shares to Calculate NOCFPS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</si>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</sst>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2"/>
      <color theme="1"/>
      <name val="Calibri"/>
    </font>
    <font>
      <b/>
      <sz val="11"/>
      <color rgb="FF000000"/>
      <name val="Arial"/>
    </font>
    <font>
      <sz val="11"/>
      <color theme="1"/>
      <name val="Arial"/>
    </font>
    <font>
      <b/>
      <u/>
      <sz val="12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0" fontId="4" fillId="0" borderId="0" xfId="0" applyFont="1"/>
    <xf numFmtId="41" fontId="1" fillId="0" borderId="0" xfId="0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5" fillId="0" borderId="0" xfId="0" applyNumberFormat="1" applyFont="1" applyAlignment="1"/>
    <xf numFmtId="0" fontId="6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7" fillId="0" borderId="0" xfId="0" applyNumberFormat="1" applyFont="1"/>
    <xf numFmtId="41" fontId="1" fillId="0" borderId="2" xfId="0" applyNumberFormat="1" applyFont="1" applyBorder="1"/>
    <xf numFmtId="41" fontId="8" fillId="0" borderId="0" xfId="0" applyNumberFormat="1" applyFont="1" applyAlignment="1"/>
    <xf numFmtId="0" fontId="3" fillId="0" borderId="0" xfId="0" applyFont="1"/>
    <xf numFmtId="0" fontId="1" fillId="0" borderId="3" xfId="0" applyFont="1" applyBorder="1"/>
    <xf numFmtId="41" fontId="1" fillId="0" borderId="3" xfId="0" applyNumberFormat="1" applyFont="1" applyBorder="1"/>
    <xf numFmtId="41" fontId="1" fillId="2" borderId="3" xfId="0" applyNumberFormat="1" applyFont="1" applyFill="1" applyBorder="1"/>
    <xf numFmtId="41" fontId="9" fillId="0" borderId="0" xfId="0" applyNumberFormat="1" applyFont="1"/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" fillId="0" borderId="4" xfId="0" applyNumberFormat="1" applyFont="1" applyBorder="1" applyAlignment="1">
      <alignment horizontal="center"/>
    </xf>
    <xf numFmtId="41" fontId="2" fillId="0" borderId="0" xfId="0" applyNumberFormat="1" applyFont="1" applyAlignment="1">
      <alignment wrapText="1"/>
    </xf>
    <xf numFmtId="165" fontId="2" fillId="0" borderId="0" xfId="0" applyNumberFormat="1" applyFont="1"/>
    <xf numFmtId="41" fontId="2" fillId="0" borderId="0" xfId="0" applyNumberFormat="1" applyFont="1" applyAlignment="1">
      <alignment horizontal="center"/>
    </xf>
    <xf numFmtId="41" fontId="11" fillId="0" borderId="0" xfId="0" applyNumberFormat="1" applyFont="1" applyAlignment="1"/>
    <xf numFmtId="165" fontId="1" fillId="0" borderId="0" xfId="0" applyNumberFormat="1" applyFont="1"/>
    <xf numFmtId="41" fontId="12" fillId="0" borderId="0" xfId="0" applyNumberFormat="1" applyFont="1" applyAlignment="1">
      <alignment horizontal="center"/>
    </xf>
    <xf numFmtId="41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1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5" customWidth="1"/>
    <col min="2" max="4" width="13.375" customWidth="1"/>
    <col min="5" max="8" width="12.625" customWidth="1"/>
    <col min="9" max="9" width="9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11</v>
      </c>
      <c r="B7" s="16">
        <f t="shared" ref="B7:H7" si="0">SUM(B8:B10)</f>
        <v>907100829</v>
      </c>
      <c r="C7" s="16">
        <f t="shared" si="0"/>
        <v>936695715</v>
      </c>
      <c r="D7" s="16">
        <f t="shared" si="0"/>
        <v>1801671123</v>
      </c>
      <c r="E7" s="16">
        <f t="shared" si="0"/>
        <v>1754843688</v>
      </c>
      <c r="F7" s="16">
        <f t="shared" si="0"/>
        <v>1704959318</v>
      </c>
      <c r="G7" s="16">
        <f t="shared" si="0"/>
        <v>1614361383</v>
      </c>
      <c r="H7" s="16">
        <f t="shared" si="0"/>
        <v>1614361383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>
        <v>714896540</v>
      </c>
      <c r="C8" s="2">
        <v>693555737</v>
      </c>
      <c r="D8" s="2">
        <v>1796690356</v>
      </c>
      <c r="E8" s="2">
        <v>1750049700</v>
      </c>
      <c r="F8" s="2">
        <v>1700366663</v>
      </c>
      <c r="G8" s="13">
        <v>1610127731</v>
      </c>
      <c r="H8" s="13">
        <v>1610127731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18</v>
      </c>
      <c r="B9" s="2">
        <v>5639986</v>
      </c>
      <c r="C9" s="2">
        <v>5403124</v>
      </c>
      <c r="D9" s="2">
        <v>4980767</v>
      </c>
      <c r="E9" s="2">
        <v>4793988</v>
      </c>
      <c r="F9" s="2">
        <v>4592655</v>
      </c>
      <c r="G9" s="13">
        <v>4233652</v>
      </c>
      <c r="H9" s="13">
        <v>4233652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19</v>
      </c>
      <c r="B10" s="2">
        <v>186564303</v>
      </c>
      <c r="C10" s="2">
        <v>237736854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4" t="s">
        <v>23</v>
      </c>
      <c r="B12" s="16">
        <f t="shared" ref="B12:H12" si="1">SUM(B13:B19)</f>
        <v>1522608636</v>
      </c>
      <c r="C12" s="16">
        <f t="shared" si="1"/>
        <v>1568487285</v>
      </c>
      <c r="D12" s="16">
        <f t="shared" si="1"/>
        <v>1787454946</v>
      </c>
      <c r="E12" s="16">
        <f t="shared" si="1"/>
        <v>1780380276</v>
      </c>
      <c r="F12" s="16">
        <f t="shared" si="1"/>
        <v>1997338174</v>
      </c>
      <c r="G12" s="16">
        <f t="shared" si="1"/>
        <v>2138199879</v>
      </c>
      <c r="H12" s="16">
        <f t="shared" si="1"/>
        <v>1838466687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26</v>
      </c>
      <c r="B13" s="2">
        <v>4140229</v>
      </c>
      <c r="C13" s="2">
        <v>4140229</v>
      </c>
      <c r="D13" s="2">
        <v>4349243</v>
      </c>
      <c r="E13" s="2">
        <v>4542409</v>
      </c>
      <c r="F13" s="2">
        <v>4542409</v>
      </c>
      <c r="G13" s="13">
        <v>4542409</v>
      </c>
      <c r="H13" s="13">
        <v>4542409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28</v>
      </c>
      <c r="B14" s="2">
        <v>402750508</v>
      </c>
      <c r="C14" s="2">
        <v>400167118</v>
      </c>
      <c r="D14" s="2">
        <v>466712808</v>
      </c>
      <c r="E14" s="2">
        <v>452178414</v>
      </c>
      <c r="F14" s="2">
        <v>492862476</v>
      </c>
      <c r="G14" s="13">
        <v>496793603</v>
      </c>
      <c r="H14" s="13">
        <v>484302730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29</v>
      </c>
      <c r="B15" s="2">
        <v>0</v>
      </c>
      <c r="C15" s="2">
        <v>0</v>
      </c>
      <c r="D15" s="2">
        <v>552529148</v>
      </c>
      <c r="E15" s="2">
        <v>550737115</v>
      </c>
      <c r="F15" s="2">
        <v>671589388</v>
      </c>
      <c r="G15" s="13">
        <v>848494451</v>
      </c>
      <c r="H15" s="13">
        <v>812009698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31</v>
      </c>
      <c r="B16" s="2">
        <v>0</v>
      </c>
      <c r="C16" s="2">
        <v>0</v>
      </c>
      <c r="D16" s="2">
        <v>576699950</v>
      </c>
      <c r="E16" s="2">
        <v>598939613</v>
      </c>
      <c r="F16" s="2">
        <v>635626327</v>
      </c>
      <c r="G16" s="13">
        <v>562343705</v>
      </c>
      <c r="H16" s="13">
        <v>347109777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33</v>
      </c>
      <c r="B17" s="2">
        <v>927295518</v>
      </c>
      <c r="C17" s="2">
        <v>918168604</v>
      </c>
      <c r="D17" s="2">
        <v>0</v>
      </c>
      <c r="E17" s="2">
        <v>0</v>
      </c>
      <c r="F17" s="2">
        <v>0</v>
      </c>
      <c r="G17" s="2"/>
      <c r="H17" s="2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35</v>
      </c>
      <c r="B18" s="2">
        <v>23980216</v>
      </c>
      <c r="C18" s="2">
        <v>20769053</v>
      </c>
      <c r="D18" s="2">
        <v>37094529</v>
      </c>
      <c r="E18" s="2">
        <v>39731964</v>
      </c>
      <c r="F18" s="2">
        <v>47934232</v>
      </c>
      <c r="G18" s="13">
        <v>48394844</v>
      </c>
      <c r="H18" s="13">
        <v>45685339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37</v>
      </c>
      <c r="B19" s="2">
        <v>164442165</v>
      </c>
      <c r="C19" s="2">
        <v>225242281</v>
      </c>
      <c r="D19" s="2">
        <v>150069268</v>
      </c>
      <c r="E19" s="2">
        <v>134250761</v>
      </c>
      <c r="F19" s="2">
        <v>144783342</v>
      </c>
      <c r="G19" s="13">
        <v>177630867</v>
      </c>
      <c r="H19" s="13">
        <v>144816734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6"/>
      <c r="B21" s="16">
        <f>B12+B7</f>
        <v>2429709465</v>
      </c>
      <c r="C21" s="16">
        <f>C12+C7-1</f>
        <v>2505182999</v>
      </c>
      <c r="D21" s="16">
        <f t="shared" ref="D21:E21" si="2">D12+D7-2</f>
        <v>3589126067</v>
      </c>
      <c r="E21" s="16">
        <f t="shared" si="2"/>
        <v>3535223962</v>
      </c>
      <c r="F21" s="16">
        <f t="shared" ref="F21:G21" si="3">F12+F7</f>
        <v>3702297492</v>
      </c>
      <c r="G21" s="16">
        <f t="shared" si="3"/>
        <v>3752561262</v>
      </c>
      <c r="H21" s="16">
        <f>H12+H7-2</f>
        <v>3452828068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6"/>
      <c r="B22" s="16"/>
      <c r="C22" s="16"/>
      <c r="D22" s="16"/>
      <c r="E22" s="16"/>
      <c r="F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5" t="s">
        <v>46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 t="s">
        <v>49</v>
      </c>
      <c r="B24" s="2"/>
      <c r="C24" s="2"/>
      <c r="D24" s="2"/>
      <c r="E24" s="16"/>
      <c r="F24" s="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4" t="s">
        <v>51</v>
      </c>
      <c r="B25" s="16">
        <f t="shared" ref="B25:H25" si="4">SUM(B26:B27)</f>
        <v>348861464</v>
      </c>
      <c r="C25" s="16">
        <f t="shared" si="4"/>
        <v>330310274</v>
      </c>
      <c r="D25" s="16">
        <f t="shared" si="4"/>
        <v>400741175</v>
      </c>
      <c r="E25" s="16">
        <f t="shared" si="4"/>
        <v>396315420</v>
      </c>
      <c r="F25" s="16">
        <f t="shared" si="4"/>
        <v>390806183</v>
      </c>
      <c r="G25" s="16">
        <f t="shared" si="4"/>
        <v>390761570</v>
      </c>
      <c r="H25" s="16">
        <f t="shared" si="4"/>
        <v>111747554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54</v>
      </c>
      <c r="B26" s="2">
        <v>348861464</v>
      </c>
      <c r="C26" s="2">
        <v>330310274</v>
      </c>
      <c r="D26" s="2">
        <v>303597619</v>
      </c>
      <c r="E26" s="2">
        <v>301796673</v>
      </c>
      <c r="F26" s="2">
        <v>300250681</v>
      </c>
      <c r="G26" s="13">
        <v>306598599</v>
      </c>
      <c r="H26" s="13">
        <v>30659860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55</v>
      </c>
      <c r="B27" s="2"/>
      <c r="C27" s="2"/>
      <c r="D27" s="2">
        <v>97143556</v>
      </c>
      <c r="E27" s="2">
        <v>94518747</v>
      </c>
      <c r="F27" s="2">
        <v>90555502</v>
      </c>
      <c r="G27" s="13">
        <v>84162971</v>
      </c>
      <c r="H27" s="13">
        <v>81087694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4" t="s">
        <v>58</v>
      </c>
      <c r="B29" s="16">
        <f t="shared" ref="B29:H29" si="5">SUM(B30:B33)</f>
        <v>100575555</v>
      </c>
      <c r="C29" s="16">
        <f t="shared" si="5"/>
        <v>110579929</v>
      </c>
      <c r="D29" s="16">
        <f t="shared" si="5"/>
        <v>177627096</v>
      </c>
      <c r="E29" s="16">
        <f t="shared" si="5"/>
        <v>200416625</v>
      </c>
      <c r="F29" s="16">
        <f t="shared" si="5"/>
        <v>214763260</v>
      </c>
      <c r="G29" s="16">
        <f t="shared" si="5"/>
        <v>214075536</v>
      </c>
      <c r="H29" s="16">
        <f t="shared" si="5"/>
        <v>205681301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61</v>
      </c>
      <c r="B30" s="2">
        <v>5239374</v>
      </c>
      <c r="C30" s="2">
        <v>2957509</v>
      </c>
      <c r="D30" s="2">
        <v>6973119</v>
      </c>
      <c r="E30" s="2">
        <v>6743352</v>
      </c>
      <c r="F30" s="2">
        <v>6983043</v>
      </c>
      <c r="G30" s="13">
        <v>4613542</v>
      </c>
      <c r="H30" s="13">
        <v>3690357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62</v>
      </c>
      <c r="B31" s="2">
        <v>14067235</v>
      </c>
      <c r="C31" s="2">
        <v>18583532</v>
      </c>
      <c r="D31" s="2">
        <v>29997337</v>
      </c>
      <c r="E31" s="2">
        <v>36606188</v>
      </c>
      <c r="F31" s="2">
        <v>39482801</v>
      </c>
      <c r="G31" s="13">
        <v>25033947</v>
      </c>
      <c r="H31" s="13">
        <v>14534715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64</v>
      </c>
      <c r="B32" s="2">
        <v>34886146</v>
      </c>
      <c r="C32" s="2">
        <v>33031027</v>
      </c>
      <c r="D32" s="2">
        <v>30359762</v>
      </c>
      <c r="E32" s="2">
        <v>30179667</v>
      </c>
      <c r="F32" s="2">
        <v>30025068</v>
      </c>
      <c r="G32" s="13">
        <v>30659860</v>
      </c>
      <c r="H32" s="13">
        <v>30659860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65</v>
      </c>
      <c r="B33" s="2">
        <v>46382800</v>
      </c>
      <c r="C33" s="2">
        <v>56007861</v>
      </c>
      <c r="D33" s="2">
        <v>110296878</v>
      </c>
      <c r="E33" s="2">
        <v>126887418</v>
      </c>
      <c r="F33" s="2">
        <v>138272348</v>
      </c>
      <c r="G33" s="13">
        <v>153768187</v>
      </c>
      <c r="H33" s="13">
        <v>156796369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6"/>
      <c r="B35" s="16">
        <f>B29+B25+1</f>
        <v>449437020</v>
      </c>
      <c r="C35" s="16">
        <f t="shared" ref="C35:H35" si="6">C29+C25</f>
        <v>440890203</v>
      </c>
      <c r="D35" s="16">
        <f t="shared" si="6"/>
        <v>578368271</v>
      </c>
      <c r="E35" s="16">
        <f t="shared" si="6"/>
        <v>596732045</v>
      </c>
      <c r="F35" s="16">
        <f t="shared" si="6"/>
        <v>605569443</v>
      </c>
      <c r="G35" s="16">
        <f t="shared" si="6"/>
        <v>604837106</v>
      </c>
      <c r="H35" s="16">
        <f t="shared" si="6"/>
        <v>317428855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4" t="s">
        <v>68</v>
      </c>
      <c r="B37" s="16">
        <f t="shared" ref="B37:H37" si="7">SUM(B38:B40)</f>
        <v>1980272444</v>
      </c>
      <c r="C37" s="16">
        <f t="shared" si="7"/>
        <v>2064292797</v>
      </c>
      <c r="D37" s="16">
        <f t="shared" si="7"/>
        <v>3010757796</v>
      </c>
      <c r="E37" s="16">
        <f t="shared" si="7"/>
        <v>2938491917</v>
      </c>
      <c r="F37" s="16">
        <f t="shared" si="7"/>
        <v>3096728049</v>
      </c>
      <c r="G37" s="16">
        <f t="shared" si="7"/>
        <v>3147724157</v>
      </c>
      <c r="H37" s="16">
        <f t="shared" si="7"/>
        <v>3135399213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69</v>
      </c>
      <c r="B38" s="2">
        <v>1322500000</v>
      </c>
      <c r="C38" s="2">
        <v>1322500000</v>
      </c>
      <c r="D38" s="2">
        <v>1322500000</v>
      </c>
      <c r="E38" s="2">
        <v>1587000000</v>
      </c>
      <c r="F38" s="2">
        <v>1587000000</v>
      </c>
      <c r="G38" s="13">
        <v>1587000000</v>
      </c>
      <c r="H38" s="13">
        <v>1587000000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71</v>
      </c>
      <c r="B39" s="2">
        <v>518598715</v>
      </c>
      <c r="C39" s="2">
        <v>607035297</v>
      </c>
      <c r="D39" s="2">
        <v>814074573</v>
      </c>
      <c r="E39" s="2">
        <v>502575691</v>
      </c>
      <c r="F39" s="2">
        <v>687758864</v>
      </c>
      <c r="G39" s="13">
        <v>787608923</v>
      </c>
      <c r="H39" s="13">
        <v>775283980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72</v>
      </c>
      <c r="B40" s="2">
        <v>139173729</v>
      </c>
      <c r="C40" s="2">
        <v>134757500</v>
      </c>
      <c r="D40" s="2">
        <v>874183223</v>
      </c>
      <c r="E40" s="2">
        <v>848916226</v>
      </c>
      <c r="F40" s="2">
        <v>821969185</v>
      </c>
      <c r="G40" s="13">
        <v>773115234</v>
      </c>
      <c r="H40" s="13">
        <v>773115233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6"/>
      <c r="B42" s="16">
        <f>B35+B37+1</f>
        <v>2429709465</v>
      </c>
      <c r="C42" s="16">
        <f>C35+C37-1</f>
        <v>2505182999</v>
      </c>
      <c r="D42" s="16">
        <f t="shared" ref="D42:F42" si="8">D35+D37</f>
        <v>3589126067</v>
      </c>
      <c r="E42" s="16">
        <f t="shared" si="8"/>
        <v>3535223962</v>
      </c>
      <c r="F42" s="16">
        <f t="shared" si="8"/>
        <v>3702297492</v>
      </c>
      <c r="G42" s="16">
        <f>G35+G37-1</f>
        <v>3752561262</v>
      </c>
      <c r="H42" s="16">
        <f>H35+H37</f>
        <v>3452828068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 t="s">
        <v>75</v>
      </c>
      <c r="B44" s="32">
        <f t="shared" ref="B44:H44" si="9">B37/(B38/10)</f>
        <v>14.9737046805293</v>
      </c>
      <c r="C44" s="32">
        <f t="shared" si="9"/>
        <v>15.609019258979206</v>
      </c>
      <c r="D44" s="32">
        <f t="shared" si="9"/>
        <v>22.7656544120983</v>
      </c>
      <c r="E44" s="32">
        <f t="shared" si="9"/>
        <v>18.516017120352867</v>
      </c>
      <c r="F44" s="32">
        <f t="shared" si="9"/>
        <v>19.513094196597354</v>
      </c>
      <c r="G44" s="32">
        <f t="shared" si="9"/>
        <v>19.834430730938877</v>
      </c>
      <c r="H44" s="32">
        <f t="shared" si="9"/>
        <v>19.756768827977314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9"/>
      <c r="T44" s="29"/>
      <c r="U44" s="29"/>
      <c r="V44" s="29"/>
      <c r="W44" s="29"/>
      <c r="X44" s="29"/>
      <c r="Y44" s="29"/>
      <c r="Z44" s="29"/>
    </row>
    <row r="45" spans="1:26" ht="15.75" customHeight="1" x14ac:dyDescent="0.25">
      <c r="A45" s="11" t="s">
        <v>76</v>
      </c>
      <c r="B45" s="16">
        <f t="shared" ref="B45:H45" si="10">B38/10</f>
        <v>132250000</v>
      </c>
      <c r="C45" s="16">
        <f t="shared" si="10"/>
        <v>132250000</v>
      </c>
      <c r="D45" s="16">
        <f t="shared" si="10"/>
        <v>132250000</v>
      </c>
      <c r="E45" s="16">
        <f t="shared" si="10"/>
        <v>158700000</v>
      </c>
      <c r="F45" s="16">
        <f t="shared" si="10"/>
        <v>158700000</v>
      </c>
      <c r="G45" s="16">
        <f t="shared" si="10"/>
        <v>158700000</v>
      </c>
      <c r="H45" s="16">
        <f t="shared" si="10"/>
        <v>158700000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3.875" customWidth="1"/>
    <col min="2" max="5" width="13" customWidth="1"/>
    <col min="6" max="6" width="13.75" customWidth="1"/>
    <col min="7" max="7" width="13" customWidth="1"/>
    <col min="8" max="8" width="12.625" customWidth="1"/>
    <col min="9" max="9" width="9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4" t="s">
        <v>4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1" t="s">
        <v>8</v>
      </c>
      <c r="B6" s="2">
        <v>508656845</v>
      </c>
      <c r="C6" s="2">
        <v>521255870</v>
      </c>
      <c r="D6" s="2">
        <v>682432506</v>
      </c>
      <c r="E6" s="2">
        <v>581259655</v>
      </c>
      <c r="F6" s="2">
        <v>429058752</v>
      </c>
      <c r="G6" s="13">
        <v>322454854</v>
      </c>
      <c r="H6" s="13">
        <v>387540983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">
        <v>12</v>
      </c>
      <c r="B7" s="15">
        <v>368969761</v>
      </c>
      <c r="C7" s="15">
        <v>374887390</v>
      </c>
      <c r="D7" s="15">
        <v>506710694</v>
      </c>
      <c r="E7" s="15">
        <v>427596132</v>
      </c>
      <c r="F7" s="15">
        <v>326715544</v>
      </c>
      <c r="G7" s="13">
        <v>229952560</v>
      </c>
      <c r="H7" s="13">
        <v>275053783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14</v>
      </c>
      <c r="B8" s="16">
        <f t="shared" ref="B8:H8" si="0">B6-B7</f>
        <v>139687084</v>
      </c>
      <c r="C8" s="16">
        <f t="shared" si="0"/>
        <v>146368480</v>
      </c>
      <c r="D8" s="16">
        <f t="shared" si="0"/>
        <v>175721812</v>
      </c>
      <c r="E8" s="16">
        <f t="shared" si="0"/>
        <v>153663523</v>
      </c>
      <c r="F8" s="16">
        <f t="shared" si="0"/>
        <v>102343208</v>
      </c>
      <c r="G8" s="18">
        <f t="shared" si="0"/>
        <v>92502294</v>
      </c>
      <c r="H8" s="18">
        <f t="shared" si="0"/>
        <v>112487200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21</v>
      </c>
      <c r="B10" s="16">
        <v>30098903</v>
      </c>
      <c r="C10" s="16">
        <v>36290690</v>
      </c>
      <c r="D10" s="16">
        <v>39662356</v>
      </c>
      <c r="E10" s="16">
        <v>31940283</v>
      </c>
      <c r="F10" s="16">
        <v>30824377</v>
      </c>
      <c r="G10" s="19">
        <v>27917322</v>
      </c>
      <c r="H10" s="19">
        <v>27030596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6" t="s">
        <v>25</v>
      </c>
      <c r="B12" s="16">
        <f t="shared" ref="B12:H12" si="1">B8-B10</f>
        <v>109588181</v>
      </c>
      <c r="C12" s="16">
        <f t="shared" si="1"/>
        <v>110077790</v>
      </c>
      <c r="D12" s="16">
        <f t="shared" si="1"/>
        <v>136059456</v>
      </c>
      <c r="E12" s="16">
        <f t="shared" si="1"/>
        <v>121723240</v>
      </c>
      <c r="F12" s="16">
        <f t="shared" si="1"/>
        <v>71518831</v>
      </c>
      <c r="G12" s="16">
        <f t="shared" si="1"/>
        <v>64584972</v>
      </c>
      <c r="H12" s="16">
        <f t="shared" si="1"/>
        <v>85456604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1" t="s">
        <v>27</v>
      </c>
      <c r="B13" s="16"/>
      <c r="C13" s="16"/>
      <c r="D13" s="16"/>
      <c r="E13" s="16"/>
      <c r="F13" s="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30</v>
      </c>
      <c r="B14" s="2">
        <v>9971905</v>
      </c>
      <c r="C14" s="2">
        <v>9594840</v>
      </c>
      <c r="D14" s="2">
        <v>9533793</v>
      </c>
      <c r="E14" s="2">
        <v>8020534</v>
      </c>
      <c r="F14" s="2">
        <v>8301684</v>
      </c>
      <c r="G14" s="13">
        <v>8228691</v>
      </c>
      <c r="H14" s="13">
        <v>6519450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32</v>
      </c>
      <c r="B15" s="2">
        <v>2827442</v>
      </c>
      <c r="C15" s="2">
        <v>1847294</v>
      </c>
      <c r="D15" s="2">
        <v>5647164</v>
      </c>
      <c r="E15" s="2">
        <v>2255618</v>
      </c>
      <c r="F15" s="2">
        <v>2838126</v>
      </c>
      <c r="G15" s="13">
        <v>4096566</v>
      </c>
      <c r="H15" s="13">
        <v>7775854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1" t="s">
        <v>34</v>
      </c>
      <c r="B16" s="16">
        <f t="shared" ref="B16:H16" si="2">B12-B14+B15</f>
        <v>102443718</v>
      </c>
      <c r="C16" s="16">
        <f t="shared" si="2"/>
        <v>102330244</v>
      </c>
      <c r="D16" s="16">
        <f t="shared" si="2"/>
        <v>132172827</v>
      </c>
      <c r="E16" s="16">
        <f t="shared" si="2"/>
        <v>115958324</v>
      </c>
      <c r="F16" s="16">
        <f t="shared" si="2"/>
        <v>66055273</v>
      </c>
      <c r="G16" s="16">
        <f t="shared" si="2"/>
        <v>60452847</v>
      </c>
      <c r="H16" s="16">
        <f t="shared" si="2"/>
        <v>86713008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36</v>
      </c>
      <c r="B17" s="2">
        <v>4743632</v>
      </c>
      <c r="C17" s="2">
        <v>4872869</v>
      </c>
      <c r="D17" s="2">
        <v>6025032</v>
      </c>
      <c r="E17" s="2">
        <v>5414415</v>
      </c>
      <c r="F17" s="2">
        <v>3145489</v>
      </c>
      <c r="G17" s="13">
        <v>2683632</v>
      </c>
      <c r="H17" s="13">
        <v>4335650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1" t="s">
        <v>39</v>
      </c>
      <c r="B18" s="16">
        <f t="shared" ref="B18:H18" si="3">B16-B17</f>
        <v>97700086</v>
      </c>
      <c r="C18" s="16">
        <f t="shared" si="3"/>
        <v>97457375</v>
      </c>
      <c r="D18" s="16">
        <f t="shared" si="3"/>
        <v>126147795</v>
      </c>
      <c r="E18" s="16">
        <f t="shared" si="3"/>
        <v>110543909</v>
      </c>
      <c r="F18" s="16">
        <f t="shared" si="3"/>
        <v>62909784</v>
      </c>
      <c r="G18" s="16">
        <f t="shared" si="3"/>
        <v>57769215</v>
      </c>
      <c r="H18" s="16">
        <f t="shared" si="3"/>
        <v>82377358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4" t="s">
        <v>42</v>
      </c>
      <c r="B20" s="16">
        <f t="shared" ref="B20:H20" si="4">SUM(B21:B24)</f>
        <v>-11338771</v>
      </c>
      <c r="C20" s="16">
        <f t="shared" si="4"/>
        <v>-10233448</v>
      </c>
      <c r="D20" s="16">
        <f t="shared" si="4"/>
        <v>-18738850</v>
      </c>
      <c r="E20" s="16">
        <f t="shared" si="4"/>
        <v>-13965731</v>
      </c>
      <c r="F20" s="16">
        <f t="shared" si="4"/>
        <v>-7421685</v>
      </c>
      <c r="G20" s="16">
        <f t="shared" si="4"/>
        <v>-8954588</v>
      </c>
      <c r="H20" s="16">
        <f t="shared" si="4"/>
        <v>-10398919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44</v>
      </c>
      <c r="B21" s="2"/>
      <c r="C21" s="2"/>
      <c r="D21" s="2">
        <v>-19338666</v>
      </c>
      <c r="E21" s="2">
        <v>-16590539</v>
      </c>
      <c r="F21" s="2">
        <v>-11384930</v>
      </c>
      <c r="G21" s="13">
        <v>-10446014</v>
      </c>
      <c r="H21" s="13">
        <v>-13474196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47</v>
      </c>
      <c r="B22" s="2">
        <v>-5086568</v>
      </c>
      <c r="C22" s="2">
        <v>-4545591</v>
      </c>
      <c r="D22" s="2"/>
      <c r="E22" s="2"/>
      <c r="F22" s="2"/>
      <c r="G22" s="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48</v>
      </c>
      <c r="B23" s="2">
        <v>-6252203</v>
      </c>
      <c r="C23" s="2">
        <v>-5687857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50</v>
      </c>
      <c r="B24" s="2"/>
      <c r="C24" s="2"/>
      <c r="D24" s="2">
        <v>599816</v>
      </c>
      <c r="E24" s="2">
        <v>2624808</v>
      </c>
      <c r="F24" s="2">
        <v>3963245</v>
      </c>
      <c r="G24" s="13">
        <v>1491426</v>
      </c>
      <c r="H24" s="13">
        <v>3075277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 t="s">
        <v>52</v>
      </c>
      <c r="B25" s="22">
        <f t="shared" ref="B25:D25" si="5">B18+B20</f>
        <v>86361315</v>
      </c>
      <c r="C25" s="22">
        <f t="shared" si="5"/>
        <v>87223927</v>
      </c>
      <c r="D25" s="22">
        <f t="shared" si="5"/>
        <v>107408945</v>
      </c>
      <c r="E25" s="22">
        <f>E18+E20+1</f>
        <v>96578179</v>
      </c>
      <c r="F25" s="22">
        <f t="shared" ref="F25:H25" si="6">F18+F20</f>
        <v>55488099</v>
      </c>
      <c r="G25" s="22">
        <f t="shared" si="6"/>
        <v>48814627</v>
      </c>
      <c r="H25" s="22">
        <f t="shared" si="6"/>
        <v>71978439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/>
      <c r="B26" s="16"/>
      <c r="C26" s="16"/>
      <c r="D26" s="16"/>
      <c r="E26" s="16"/>
      <c r="F26" s="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1" t="s">
        <v>57</v>
      </c>
      <c r="B27" s="27">
        <f>B25/('1'!B38/10)</f>
        <v>0.65301561436672972</v>
      </c>
      <c r="C27" s="27">
        <f>C25/('1'!C38/10)</f>
        <v>0.65953820037807187</v>
      </c>
      <c r="D27" s="27">
        <f>D25/('1'!D38/10)</f>
        <v>0.81216593572778828</v>
      </c>
      <c r="E27" s="27">
        <f>E25/('1'!E38/10)</f>
        <v>0.6085581537492124</v>
      </c>
      <c r="F27" s="27">
        <f>F25/('1'!F38/10)</f>
        <v>0.34964145557655957</v>
      </c>
      <c r="G27" s="27">
        <f>G25/('1'!G38/10)</f>
        <v>0.30759059231253938</v>
      </c>
      <c r="H27" s="27">
        <f>H25/('1'!H38/10)</f>
        <v>0.4535503402646503</v>
      </c>
      <c r="I27" s="2"/>
      <c r="J27" s="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25">
      <c r="A28" s="21" t="s">
        <v>66</v>
      </c>
      <c r="B28" s="30">
        <f>'1'!B38/10</f>
        <v>132250000</v>
      </c>
      <c r="C28" s="30">
        <f>'1'!C38/10</f>
        <v>132250000</v>
      </c>
      <c r="D28" s="30">
        <f>'1'!D38/10</f>
        <v>132250000</v>
      </c>
      <c r="E28" s="30">
        <f>'1'!E38/10</f>
        <v>158700000</v>
      </c>
      <c r="F28" s="30">
        <f>'1'!F38/10</f>
        <v>158700000</v>
      </c>
      <c r="G28" s="30">
        <f>'1'!G38/10</f>
        <v>158700000</v>
      </c>
      <c r="H28" s="30">
        <f>'1'!H38/10</f>
        <v>158700000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9" sqref="F19"/>
    </sheetView>
  </sheetViews>
  <sheetFormatPr defaultColWidth="12.625" defaultRowHeight="15" customHeight="1" x14ac:dyDescent="0.2"/>
  <cols>
    <col min="1" max="1" width="35.375" customWidth="1"/>
    <col min="2" max="7" width="13" customWidth="1"/>
    <col min="8" max="8" width="13.25" customWidth="1"/>
    <col min="9" max="9" width="9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4" t="s">
        <v>4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6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43100</v>
      </c>
      <c r="C5" s="8">
        <v>43190</v>
      </c>
      <c r="D5" s="8">
        <v>43373</v>
      </c>
      <c r="E5" s="8">
        <v>43465</v>
      </c>
      <c r="F5" s="8">
        <v>43555</v>
      </c>
      <c r="G5" s="9">
        <v>43738</v>
      </c>
      <c r="H5" s="9">
        <v>43830</v>
      </c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13</v>
      </c>
      <c r="B7" s="2">
        <v>819013428</v>
      </c>
      <c r="C7" s="2">
        <v>1349396212</v>
      </c>
      <c r="D7" s="2">
        <v>613721500</v>
      </c>
      <c r="E7" s="2">
        <v>1106508508</v>
      </c>
      <c r="F7" s="2">
        <v>1448956739</v>
      </c>
      <c r="G7" s="13">
        <v>227424252</v>
      </c>
      <c r="H7" s="13">
        <v>1679847546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7" t="s">
        <v>15</v>
      </c>
      <c r="B8" s="2">
        <v>5256881</v>
      </c>
      <c r="C8" s="2">
        <v>7499923</v>
      </c>
      <c r="D8" s="2">
        <v>3500705</v>
      </c>
      <c r="E8" s="2">
        <v>5730836</v>
      </c>
      <c r="F8" s="2">
        <v>7899085</v>
      </c>
      <c r="G8" s="13">
        <v>958457</v>
      </c>
      <c r="H8" s="13">
        <v>7899085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>
        <v>-744579669</v>
      </c>
      <c r="C9" s="2">
        <v>-1130584167</v>
      </c>
      <c r="D9" s="2">
        <v>-565145765</v>
      </c>
      <c r="E9" s="2">
        <v>-999661669</v>
      </c>
      <c r="F9" s="2">
        <v>-1314246079</v>
      </c>
      <c r="G9" s="13">
        <v>-198386830</v>
      </c>
      <c r="H9" s="13">
        <v>-1533735445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20</v>
      </c>
      <c r="B10" s="2">
        <v>-19698202</v>
      </c>
      <c r="C10" s="2">
        <v>-29293042</v>
      </c>
      <c r="D10" s="2">
        <v>-9533793</v>
      </c>
      <c r="E10" s="2">
        <v>-17554327</v>
      </c>
      <c r="F10" s="2">
        <v>-25856011</v>
      </c>
      <c r="G10" s="13">
        <v>-8228691</v>
      </c>
      <c r="H10" s="13">
        <v>-6519450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22</v>
      </c>
      <c r="B11" s="2">
        <v>0</v>
      </c>
      <c r="C11" s="2">
        <v>0</v>
      </c>
      <c r="D11" s="2">
        <v>0</v>
      </c>
      <c r="E11" s="2"/>
      <c r="F11" s="2"/>
      <c r="G11" s="13">
        <v>154782</v>
      </c>
      <c r="H11" s="13">
        <v>6213049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24</v>
      </c>
      <c r="B12" s="2">
        <v>-7860877</v>
      </c>
      <c r="C12" s="2">
        <v>-12661683</v>
      </c>
      <c r="D12" s="2">
        <v>0</v>
      </c>
      <c r="E12" s="2"/>
      <c r="F12" s="2">
        <v>-10205473</v>
      </c>
      <c r="G12" s="13">
        <v>-3256599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20"/>
      <c r="B13" s="22">
        <f t="shared" ref="B13:H13" si="0">SUM(B7:B12)</f>
        <v>52131561</v>
      </c>
      <c r="C13" s="22">
        <f t="shared" si="0"/>
        <v>184357243</v>
      </c>
      <c r="D13" s="22">
        <f t="shared" si="0"/>
        <v>42542647</v>
      </c>
      <c r="E13" s="18">
        <f t="shared" si="0"/>
        <v>95023348</v>
      </c>
      <c r="F13" s="18">
        <f t="shared" si="0"/>
        <v>106548261</v>
      </c>
      <c r="G13" s="22">
        <f t="shared" si="0"/>
        <v>18665371</v>
      </c>
      <c r="H13" s="23">
        <f t="shared" si="0"/>
        <v>153704785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20"/>
      <c r="B14" s="2"/>
      <c r="C14" s="2"/>
      <c r="D14" s="2"/>
      <c r="E14" s="18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1" t="s">
        <v>38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3" t="s">
        <v>40</v>
      </c>
      <c r="B16" s="2"/>
      <c r="C16" s="2">
        <v>6542</v>
      </c>
      <c r="D16" s="2">
        <v>0</v>
      </c>
      <c r="E16" s="2">
        <v>-193166</v>
      </c>
      <c r="F16" s="2">
        <v>193166</v>
      </c>
      <c r="G16" s="2"/>
      <c r="H16" s="13">
        <v>172105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41</v>
      </c>
      <c r="B17" s="2"/>
      <c r="C17" s="2">
        <v>146752</v>
      </c>
      <c r="D17" s="2"/>
      <c r="E17" s="2"/>
      <c r="F17" s="2">
        <v>321926</v>
      </c>
      <c r="G17" s="13">
        <v>288457</v>
      </c>
      <c r="H17" s="13">
        <v>32500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43</v>
      </c>
      <c r="B18" s="2">
        <v>-17356428</v>
      </c>
      <c r="C18" s="2">
        <v>-68528979</v>
      </c>
      <c r="D18" s="2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45</v>
      </c>
      <c r="B19" s="2"/>
      <c r="C19" s="2"/>
      <c r="D19" s="2"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22">
        <f t="shared" ref="B20:H20" si="1">SUM(B16:B19)</f>
        <v>-17356428</v>
      </c>
      <c r="C20" s="22">
        <f t="shared" si="1"/>
        <v>-68375685</v>
      </c>
      <c r="D20" s="22">
        <f t="shared" si="1"/>
        <v>0</v>
      </c>
      <c r="E20" s="18">
        <f t="shared" si="1"/>
        <v>-193166</v>
      </c>
      <c r="F20" s="18">
        <f t="shared" si="1"/>
        <v>515092</v>
      </c>
      <c r="G20" s="22">
        <f t="shared" si="1"/>
        <v>288457</v>
      </c>
      <c r="H20" s="22">
        <f t="shared" si="1"/>
        <v>204605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B21" s="2"/>
      <c r="C21" s="2"/>
      <c r="D21" s="2"/>
      <c r="E21" s="18"/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1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54</v>
      </c>
      <c r="B23" s="2">
        <v>-4822045</v>
      </c>
      <c r="C23" s="2">
        <v>-23373235</v>
      </c>
      <c r="D23" s="2">
        <v>-31334047</v>
      </c>
      <c r="E23" s="2">
        <v>-33134993</v>
      </c>
      <c r="F23" s="2">
        <v>-34680986</v>
      </c>
      <c r="G23" s="13">
        <v>7478015</v>
      </c>
      <c r="H23" s="13">
        <v>-73222529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56</v>
      </c>
      <c r="B24" s="2">
        <v>-482204</v>
      </c>
      <c r="C24" s="2">
        <v>-2337324</v>
      </c>
      <c r="D24" s="2">
        <v>-3133405</v>
      </c>
      <c r="E24" s="2">
        <v>-3313499</v>
      </c>
      <c r="F24" s="2">
        <v>-3468099</v>
      </c>
      <c r="G24" s="13">
        <v>747801</v>
      </c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3" t="s">
        <v>59</v>
      </c>
      <c r="B25" s="2"/>
      <c r="C25" s="2"/>
      <c r="D25" s="2"/>
      <c r="E25" s="2"/>
      <c r="F25" s="2"/>
      <c r="G25" s="2"/>
      <c r="H25" s="13">
        <v>-35000000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60</v>
      </c>
      <c r="B26" s="2"/>
      <c r="C26" s="2"/>
      <c r="D26" s="2"/>
      <c r="E26" s="2">
        <v>-66125000</v>
      </c>
      <c r="F26" s="2">
        <v>-66125000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8" t="s">
        <v>63</v>
      </c>
      <c r="B27" s="2"/>
      <c r="C27" s="2"/>
      <c r="D27" s="2"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8">
        <f t="shared" ref="B28:H28" si="2">SUM(B23:B27)</f>
        <v>-5304249</v>
      </c>
      <c r="C28" s="18">
        <f t="shared" si="2"/>
        <v>-25710559</v>
      </c>
      <c r="D28" s="18">
        <f t="shared" si="2"/>
        <v>-34467452</v>
      </c>
      <c r="E28" s="18">
        <f t="shared" si="2"/>
        <v>-102573492</v>
      </c>
      <c r="F28" s="18">
        <f t="shared" si="2"/>
        <v>-104274085</v>
      </c>
      <c r="G28" s="18">
        <f t="shared" si="2"/>
        <v>8225816</v>
      </c>
      <c r="H28" s="18">
        <f t="shared" si="2"/>
        <v>-108222529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2"/>
      <c r="C29" s="2"/>
      <c r="D29" s="2"/>
      <c r="E29" s="16"/>
      <c r="F29" s="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67</v>
      </c>
      <c r="B30" s="16">
        <f t="shared" ref="B30:H30" si="3">SUM(B13,B20,B28)</f>
        <v>29470884</v>
      </c>
      <c r="C30" s="16">
        <f t="shared" si="3"/>
        <v>90270999</v>
      </c>
      <c r="D30" s="16">
        <f t="shared" si="3"/>
        <v>8075195</v>
      </c>
      <c r="E30" s="16">
        <f t="shared" si="3"/>
        <v>-7743310</v>
      </c>
      <c r="F30" s="16">
        <f t="shared" si="3"/>
        <v>2789268</v>
      </c>
      <c r="G30" s="16">
        <f t="shared" si="3"/>
        <v>27179644</v>
      </c>
      <c r="H30" s="16">
        <f t="shared" si="3"/>
        <v>45686861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1" t="s">
        <v>70</v>
      </c>
      <c r="B31" s="2">
        <v>134971282</v>
      </c>
      <c r="C31" s="2">
        <v>134971282</v>
      </c>
      <c r="D31" s="2">
        <v>141994073</v>
      </c>
      <c r="E31" s="2">
        <v>141994073</v>
      </c>
      <c r="F31" s="2">
        <v>141994073</v>
      </c>
      <c r="G31" s="31">
        <f t="shared" ref="G31:H31" si="4">144647227+169507</f>
        <v>144816734</v>
      </c>
      <c r="H31" s="31">
        <f t="shared" si="4"/>
        <v>144816734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 t="s">
        <v>73</v>
      </c>
      <c r="B32" s="16">
        <f>SUM(B30:B31)-1</f>
        <v>164442165</v>
      </c>
      <c r="C32" s="16">
        <f>SUM(C30:C31)</f>
        <v>225242281</v>
      </c>
      <c r="D32" s="16">
        <f>SUM(D30:D31)-1</f>
        <v>150069267</v>
      </c>
      <c r="E32" s="16">
        <f>SUM(E30:E31)-2</f>
        <v>134250761</v>
      </c>
      <c r="F32" s="16">
        <f>SUM(F30:F31)+1</f>
        <v>144783342</v>
      </c>
      <c r="G32" s="16">
        <f t="shared" ref="G32:H32" si="5">SUM(G30:G31)</f>
        <v>171996378</v>
      </c>
      <c r="H32" s="16">
        <f t="shared" si="5"/>
        <v>190503595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16"/>
      <c r="C33" s="16"/>
      <c r="D33" s="16"/>
      <c r="E33" s="16"/>
      <c r="F33" s="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 t="s">
        <v>74</v>
      </c>
      <c r="B34" s="32">
        <f>B13/('1'!B38/10)</f>
        <v>0.39418949716446122</v>
      </c>
      <c r="C34" s="32">
        <f>C13/('1'!C38/10)</f>
        <v>1.3940056181474481</v>
      </c>
      <c r="D34" s="32">
        <f>D13/('1'!D38/10)</f>
        <v>0.3216835311909263</v>
      </c>
      <c r="E34" s="32">
        <f>E13/('1'!E38/10)</f>
        <v>0.59876085696282288</v>
      </c>
      <c r="F34" s="32">
        <f>F13/('1'!F38/10)</f>
        <v>0.67138160680529302</v>
      </c>
      <c r="G34" s="32">
        <f>G13/('1'!G38/10)</f>
        <v>0.11761418399495904</v>
      </c>
      <c r="H34" s="32">
        <f>H13/('1'!H38/10)</f>
        <v>0.96852416509136741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 t="s">
        <v>77</v>
      </c>
      <c r="B35" s="2">
        <f>'1'!B38/10</f>
        <v>132250000</v>
      </c>
      <c r="C35" s="2">
        <f>'1'!C38/10</f>
        <v>132250000</v>
      </c>
      <c r="D35" s="2">
        <f>'1'!D38/10</f>
        <v>132250000</v>
      </c>
      <c r="E35" s="2">
        <f>'1'!E38/10</f>
        <v>158700000</v>
      </c>
      <c r="F35" s="2">
        <f>'1'!F38/10</f>
        <v>158700000</v>
      </c>
      <c r="G35" s="2">
        <f>'1'!G38/10</f>
        <v>158700000</v>
      </c>
      <c r="H35" s="2">
        <f>'1'!H38/10</f>
        <v>158700000</v>
      </c>
      <c r="I35" s="2"/>
      <c r="J35" s="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6" x14ac:dyDescent="0.25">
      <c r="A1" s="1" t="s">
        <v>0</v>
      </c>
    </row>
    <row r="2" spans="1:6" x14ac:dyDescent="0.25">
      <c r="A2" s="1" t="s">
        <v>78</v>
      </c>
    </row>
    <row r="3" spans="1:6" x14ac:dyDescent="0.25">
      <c r="A3" s="4" t="s">
        <v>4</v>
      </c>
    </row>
    <row r="4" spans="1:6" ht="14.25" x14ac:dyDescent="0.2">
      <c r="B4" s="33" t="s">
        <v>5</v>
      </c>
      <c r="C4" s="34" t="s">
        <v>6</v>
      </c>
      <c r="D4" s="33" t="s">
        <v>7</v>
      </c>
      <c r="E4" s="34" t="s">
        <v>5</v>
      </c>
      <c r="F4" s="34" t="s">
        <v>6</v>
      </c>
    </row>
    <row r="5" spans="1:6" ht="14.25" x14ac:dyDescent="0.2">
      <c r="B5" s="35">
        <v>43100</v>
      </c>
      <c r="C5" s="36">
        <v>43190</v>
      </c>
      <c r="D5" s="35">
        <v>43373</v>
      </c>
      <c r="E5" s="36">
        <v>43465</v>
      </c>
      <c r="F5" s="36">
        <v>43555</v>
      </c>
    </row>
    <row r="6" spans="1:6" x14ac:dyDescent="0.25">
      <c r="A6" s="4" t="s">
        <v>79</v>
      </c>
      <c r="B6" s="37">
        <f>'2'!B25/'1'!B21</f>
        <v>3.5543885490852301E-2</v>
      </c>
      <c r="C6" s="37">
        <f>'2'!C25/'1'!C21</f>
        <v>3.48173874063561E-2</v>
      </c>
      <c r="D6" s="37">
        <f>'2'!D25/'1'!D21</f>
        <v>2.9926211282341117E-2</v>
      </c>
      <c r="E6" s="37">
        <f>'2'!E25/'1'!E21</f>
        <v>2.7318829029819754E-2</v>
      </c>
      <c r="F6" s="37">
        <f>'2'!F25/'1'!F21</f>
        <v>1.4987477132753328E-2</v>
      </c>
    </row>
    <row r="7" spans="1:6" x14ac:dyDescent="0.25">
      <c r="A7" s="4" t="s">
        <v>80</v>
      </c>
      <c r="B7" s="37">
        <f>'2'!B25/'1'!B37</f>
        <v>4.361082499615896E-2</v>
      </c>
      <c r="C7" s="37">
        <f>'2'!C25/'1'!C37</f>
        <v>4.2253660491748543E-2</v>
      </c>
      <c r="D7" s="37">
        <f>'2'!D25/'1'!D37</f>
        <v>3.5675053351252706E-2</v>
      </c>
      <c r="E7" s="37">
        <f>'2'!E25/'1'!E37</f>
        <v>3.2866579772184552E-2</v>
      </c>
      <c r="F7" s="37">
        <f>'2'!F25/'1'!F37</f>
        <v>1.7918298966523166E-2</v>
      </c>
    </row>
    <row r="8" spans="1:6" x14ac:dyDescent="0.25">
      <c r="A8" s="4" t="s">
        <v>81</v>
      </c>
      <c r="B8" s="37">
        <f>'1'!B26/'1'!B37</f>
        <v>0.17616841816741455</v>
      </c>
      <c r="C8" s="37">
        <f>'1'!C26/'1'!C37</f>
        <v>0.16001134842888279</v>
      </c>
      <c r="D8" s="37">
        <f>'1'!D26/'1'!D37</f>
        <v>0.10083760952254295</v>
      </c>
      <c r="E8" s="37">
        <f>'1'!E26/'1'!E37</f>
        <v>0.10270461227203709</v>
      </c>
      <c r="F8" s="37">
        <f>'1'!F26/'1'!F37</f>
        <v>9.6957393819892379E-2</v>
      </c>
    </row>
    <row r="9" spans="1:6" x14ac:dyDescent="0.25">
      <c r="A9" s="4" t="s">
        <v>82</v>
      </c>
      <c r="B9" s="38">
        <f>'1'!B12/'1'!B29</f>
        <v>15.138953357006084</v>
      </c>
      <c r="C9" s="38">
        <f>'1'!C12/'1'!C29</f>
        <v>14.184195081188738</v>
      </c>
      <c r="D9" s="38">
        <f>'1'!D12/'1'!D29</f>
        <v>10.062963287988449</v>
      </c>
      <c r="E9" s="38">
        <f>'1'!E12/'1'!E29</f>
        <v>8.8833961553838154</v>
      </c>
      <c r="F9" s="38">
        <f>'1'!F12/'1'!F29</f>
        <v>9.3001855810905454</v>
      </c>
    </row>
    <row r="10" spans="1:6" x14ac:dyDescent="0.25">
      <c r="A10" s="4" t="s">
        <v>83</v>
      </c>
      <c r="B10" s="37">
        <f>'2'!B25/'2'!B6</f>
        <v>0.16978305875349028</v>
      </c>
      <c r="C10" s="37">
        <f>'2'!C25/'2'!C6</f>
        <v>0.16733418656752969</v>
      </c>
      <c r="D10" s="37">
        <f>'2'!D25/'2'!D6</f>
        <v>0.15739130837943993</v>
      </c>
      <c r="E10" s="37">
        <f>'2'!E25/'2'!E6</f>
        <v>0.16615324695122699</v>
      </c>
      <c r="F10" s="37">
        <f>'2'!F25/'2'!F6</f>
        <v>0.12932517689325679</v>
      </c>
    </row>
    <row r="11" spans="1:6" x14ac:dyDescent="0.25">
      <c r="A11" s="4" t="s">
        <v>84</v>
      </c>
      <c r="B11" s="37">
        <f>'2'!B12/'2'!B6</f>
        <v>0.21544619339586396</v>
      </c>
      <c r="C11" s="37">
        <f>'2'!C12/'2'!C6</f>
        <v>0.21117803431163279</v>
      </c>
      <c r="D11" s="37">
        <f>'2'!D12/'2'!D6</f>
        <v>0.19937423086349876</v>
      </c>
      <c r="E11" s="37">
        <f>'2'!E12/'2'!E6</f>
        <v>0.20941284837668631</v>
      </c>
      <c r="F11" s="37">
        <f>'2'!F12/'2'!F6</f>
        <v>0.16668773371158269</v>
      </c>
    </row>
    <row r="12" spans="1:6" x14ac:dyDescent="0.25">
      <c r="A12" s="4" t="s">
        <v>85</v>
      </c>
      <c r="B12" s="37">
        <f>'2'!B25/('1'!B37+'1'!B26)</f>
        <v>3.7078724715384634E-2</v>
      </c>
      <c r="C12" s="37">
        <f>'2'!C25/('1'!C37+'1'!C26)</f>
        <v>3.6425213036904186E-2</v>
      </c>
      <c r="D12" s="37">
        <f>'2'!D25/('1'!D37+'1'!D26)</f>
        <v>3.2407189800433639E-2</v>
      </c>
      <c r="E12" s="37">
        <f>'2'!E25/('1'!E37+'1'!E26)</f>
        <v>2.9805425139616964E-2</v>
      </c>
      <c r="F12" s="37">
        <f>'2'!F25/('1'!F37+'1'!F26)</f>
        <v>1.6334544137696146E-2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2020-04-12T16:21:28Z</dcterms:modified>
</cp:coreProperties>
</file>