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q4Ajs6A9GHkG3vH2hofUJiqBIrQ=="/>
    </ext>
  </extLst>
</workbook>
</file>

<file path=xl/calcChain.xml><?xml version="1.0" encoding="utf-8"?>
<calcChain xmlns="http://schemas.openxmlformats.org/spreadsheetml/2006/main">
  <c r="F10" i="4" l="1"/>
  <c r="D10" i="4"/>
  <c r="C10" i="4"/>
  <c r="B10" i="4"/>
  <c r="D9" i="4"/>
  <c r="C9" i="4"/>
  <c r="I36" i="3"/>
  <c r="H36" i="3"/>
  <c r="G36" i="3"/>
  <c r="F36" i="3"/>
  <c r="E36" i="3"/>
  <c r="D36" i="3"/>
  <c r="C36" i="3"/>
  <c r="B36" i="3"/>
  <c r="I35" i="3"/>
  <c r="I31" i="3"/>
  <c r="I33" i="3" s="1"/>
  <c r="I29" i="3"/>
  <c r="H29" i="3"/>
  <c r="G29" i="3"/>
  <c r="F29" i="3"/>
  <c r="E29" i="3"/>
  <c r="D29" i="3"/>
  <c r="C29" i="3"/>
  <c r="B29" i="3"/>
  <c r="I20" i="3"/>
  <c r="H20" i="3"/>
  <c r="G20" i="3"/>
  <c r="F20" i="3"/>
  <c r="E20" i="3"/>
  <c r="D20" i="3"/>
  <c r="C20" i="3"/>
  <c r="B20" i="3"/>
  <c r="I12" i="3"/>
  <c r="H12" i="3"/>
  <c r="H35" i="3" s="1"/>
  <c r="G12" i="3"/>
  <c r="G35" i="3" s="1"/>
  <c r="F12" i="3"/>
  <c r="F35" i="3" s="1"/>
  <c r="E12" i="3"/>
  <c r="E35" i="3" s="1"/>
  <c r="D12" i="3"/>
  <c r="D35" i="3" s="1"/>
  <c r="C12" i="3"/>
  <c r="C35" i="3" s="1"/>
  <c r="B12" i="3"/>
  <c r="B35" i="3" s="1"/>
  <c r="I26" i="2"/>
  <c r="H26" i="2"/>
  <c r="G26" i="2"/>
  <c r="F26" i="2"/>
  <c r="E26" i="2"/>
  <c r="D26" i="2"/>
  <c r="C26" i="2"/>
  <c r="B26" i="2"/>
  <c r="F14" i="2"/>
  <c r="I10" i="2"/>
  <c r="H10" i="2"/>
  <c r="G10" i="2"/>
  <c r="F10" i="2"/>
  <c r="E10" i="2"/>
  <c r="D10" i="2"/>
  <c r="C10" i="2"/>
  <c r="B10" i="2"/>
  <c r="I8" i="2"/>
  <c r="I14" i="2" s="1"/>
  <c r="I18" i="2" s="1"/>
  <c r="I20" i="2" s="1"/>
  <c r="I23" i="2" s="1"/>
  <c r="I25" i="2" s="1"/>
  <c r="H8" i="2"/>
  <c r="H14" i="2" s="1"/>
  <c r="H18" i="2" s="1"/>
  <c r="H20" i="2" s="1"/>
  <c r="H23" i="2" s="1"/>
  <c r="H25" i="2" s="1"/>
  <c r="G8" i="2"/>
  <c r="G14" i="2" s="1"/>
  <c r="G18" i="2" s="1"/>
  <c r="G20" i="2" s="1"/>
  <c r="G23" i="2" s="1"/>
  <c r="G25" i="2" s="1"/>
  <c r="F8" i="2"/>
  <c r="E8" i="2"/>
  <c r="E14" i="2" s="1"/>
  <c r="D8" i="2"/>
  <c r="D14" i="2" s="1"/>
  <c r="D18" i="2" s="1"/>
  <c r="D20" i="2" s="1"/>
  <c r="D23" i="2" s="1"/>
  <c r="C8" i="2"/>
  <c r="C14" i="2" s="1"/>
  <c r="B8" i="2"/>
  <c r="B14" i="2" s="1"/>
  <c r="I55" i="1"/>
  <c r="H55" i="1"/>
  <c r="G55" i="1"/>
  <c r="F55" i="1"/>
  <c r="E55" i="1"/>
  <c r="D55" i="1"/>
  <c r="C55" i="1"/>
  <c r="B55" i="1"/>
  <c r="F54" i="1"/>
  <c r="I46" i="1"/>
  <c r="I54" i="1" s="1"/>
  <c r="H46" i="1"/>
  <c r="H54" i="1" s="1"/>
  <c r="G46" i="1"/>
  <c r="G54" i="1" s="1"/>
  <c r="F46" i="1"/>
  <c r="F9" i="4" s="1"/>
  <c r="E46" i="1"/>
  <c r="E9" i="4" s="1"/>
  <c r="D46" i="1"/>
  <c r="D54" i="1" s="1"/>
  <c r="C46" i="1"/>
  <c r="C54" i="1" s="1"/>
  <c r="B46" i="1"/>
  <c r="B9" i="4" s="1"/>
  <c r="F44" i="1"/>
  <c r="F52" i="1" s="1"/>
  <c r="I31" i="1"/>
  <c r="I44" i="1" s="1"/>
  <c r="I52" i="1" s="1"/>
  <c r="H31" i="1"/>
  <c r="H44" i="1" s="1"/>
  <c r="H52" i="1" s="1"/>
  <c r="G31" i="1"/>
  <c r="G44" i="1" s="1"/>
  <c r="G52" i="1" s="1"/>
  <c r="F31" i="1"/>
  <c r="E31" i="1"/>
  <c r="E44" i="1" s="1"/>
  <c r="E52" i="1" s="1"/>
  <c r="D31" i="1"/>
  <c r="D44" i="1" s="1"/>
  <c r="D52" i="1" s="1"/>
  <c r="C31" i="1"/>
  <c r="C44" i="1" s="1"/>
  <c r="C52" i="1" s="1"/>
  <c r="B31" i="1"/>
  <c r="B44" i="1" s="1"/>
  <c r="B52" i="1" s="1"/>
  <c r="I25" i="1"/>
  <c r="H25" i="1"/>
  <c r="G25" i="1"/>
  <c r="F25" i="1"/>
  <c r="E25" i="1"/>
  <c r="D25" i="1"/>
  <c r="C25" i="1"/>
  <c r="B25" i="1"/>
  <c r="F21" i="1"/>
  <c r="I13" i="1"/>
  <c r="H13" i="1"/>
  <c r="G13" i="1"/>
  <c r="F13" i="1"/>
  <c r="E13" i="1"/>
  <c r="E10" i="4" s="1"/>
  <c r="D13" i="1"/>
  <c r="C13" i="1"/>
  <c r="B13" i="1"/>
  <c r="I7" i="1"/>
  <c r="I21" i="1" s="1"/>
  <c r="H7" i="1"/>
  <c r="H21" i="1" s="1"/>
  <c r="G7" i="1"/>
  <c r="G21" i="1" s="1"/>
  <c r="F7" i="1"/>
  <c r="E7" i="1"/>
  <c r="E21" i="1" s="1"/>
  <c r="D7" i="1"/>
  <c r="D21" i="1" s="1"/>
  <c r="C7" i="1"/>
  <c r="C21" i="1" s="1"/>
  <c r="B7" i="1"/>
  <c r="B21" i="1" s="1"/>
  <c r="E12" i="4" l="1"/>
  <c r="E18" i="2"/>
  <c r="E20" i="2" s="1"/>
  <c r="E23" i="2" s="1"/>
  <c r="B12" i="4"/>
  <c r="B18" i="2"/>
  <c r="B20" i="2" s="1"/>
  <c r="B23" i="2" s="1"/>
  <c r="D11" i="4"/>
  <c r="D7" i="4"/>
  <c r="D25" i="2"/>
  <c r="D13" i="4"/>
  <c r="F12" i="4"/>
  <c r="F18" i="2"/>
  <c r="F20" i="2" s="1"/>
  <c r="F23" i="2" s="1"/>
  <c r="B54" i="1"/>
  <c r="D8" i="4"/>
  <c r="D12" i="4"/>
  <c r="E54" i="1"/>
  <c r="C12" i="4"/>
  <c r="C18" i="2"/>
  <c r="C20" i="2" s="1"/>
  <c r="C23" i="2" s="1"/>
  <c r="E31" i="3"/>
  <c r="E33" i="3" s="1"/>
  <c r="B31" i="3"/>
  <c r="B33" i="3" s="1"/>
  <c r="F31" i="3"/>
  <c r="F33" i="3" s="1"/>
  <c r="C31" i="3"/>
  <c r="C33" i="3" s="1"/>
  <c r="G31" i="3"/>
  <c r="G33" i="3" s="1"/>
  <c r="D31" i="3"/>
  <c r="D33" i="3" s="1"/>
  <c r="H31" i="3"/>
  <c r="H33" i="3" s="1"/>
  <c r="C8" i="4" l="1"/>
  <c r="C11" i="4"/>
  <c r="C7" i="4"/>
  <c r="C25" i="2"/>
  <c r="C13" i="4"/>
  <c r="B13" i="4"/>
  <c r="B8" i="4"/>
  <c r="B11" i="4"/>
  <c r="B7" i="4"/>
  <c r="B25" i="2"/>
  <c r="F13" i="4"/>
  <c r="F8" i="4"/>
  <c r="F11" i="4"/>
  <c r="F7" i="4"/>
  <c r="F25" i="2"/>
  <c r="E13" i="4"/>
  <c r="E8" i="4"/>
  <c r="E25" i="2"/>
  <c r="E11" i="4"/>
  <c r="E7" i="4"/>
</calcChain>
</file>

<file path=xl/sharedStrings.xml><?xml version="1.0" encoding="utf-8"?>
<sst xmlns="http://schemas.openxmlformats.org/spreadsheetml/2006/main" count="128" uniqueCount="95">
  <si>
    <t>National Polymer Industries Limited</t>
  </si>
  <si>
    <t>Balance Sheet</t>
  </si>
  <si>
    <t>Cash Flow Statement</t>
  </si>
  <si>
    <t>Income Statement</t>
  </si>
  <si>
    <t>As at quarter end</t>
  </si>
  <si>
    <t>Quarter 3</t>
  </si>
  <si>
    <t>Quarter 2</t>
  </si>
  <si>
    <t>Quarter 1</t>
  </si>
  <si>
    <t>Net Cash Flows - Operating Activities</t>
  </si>
  <si>
    <t>Cash Received from Turnover and Others</t>
  </si>
  <si>
    <t>ASSETS</t>
  </si>
  <si>
    <t>Cash paid to Suppliers, Employees and Others</t>
  </si>
  <si>
    <t>Net Revenues</t>
  </si>
  <si>
    <t>Income tax paid</t>
  </si>
  <si>
    <t>Cost of goods sold</t>
  </si>
  <si>
    <t>NON CURRENT ASSETS</t>
  </si>
  <si>
    <t>Income tax refund</t>
  </si>
  <si>
    <t>Financial expenses</t>
  </si>
  <si>
    <t>Gross Profit</t>
  </si>
  <si>
    <t>Net Cash Flows - Investment Activities</t>
  </si>
  <si>
    <t>Property,Plant  and  Equipment</t>
  </si>
  <si>
    <t xml:space="preserve">Acquisition of Fixed Assets </t>
  </si>
  <si>
    <t>Deferred Expenses</t>
  </si>
  <si>
    <t>Disposal of Fixed Assets</t>
  </si>
  <si>
    <t>Operating Incomes/Expenses</t>
  </si>
  <si>
    <t>Interest received on investment (FDR)</t>
  </si>
  <si>
    <t>Investment</t>
  </si>
  <si>
    <t>Investment in FDR</t>
  </si>
  <si>
    <t>Capital Work in Progress</t>
  </si>
  <si>
    <t>Administrative Expenses</t>
  </si>
  <si>
    <t>Net Cash Flows - Financing Activities</t>
  </si>
  <si>
    <t>CURRENT ASSETS</t>
  </si>
  <si>
    <t>Proceeds from Long Term loan</t>
  </si>
  <si>
    <t>Selling and Distribution Expenses</t>
  </si>
  <si>
    <t>Repayment of Term Loans</t>
  </si>
  <si>
    <t>Intercompany loan</t>
  </si>
  <si>
    <t>Dividend Paid</t>
  </si>
  <si>
    <t>Payment of Financial Lease Loan</t>
  </si>
  <si>
    <t>Interest Paid on Long Term Loan</t>
  </si>
  <si>
    <t>Inventories</t>
  </si>
  <si>
    <t>Operating Profit</t>
  </si>
  <si>
    <t>Accounts Receivables</t>
  </si>
  <si>
    <t>Non-Operating Income/(Expenses)</t>
  </si>
  <si>
    <t>Accrued Interest Receivable on FDR</t>
  </si>
  <si>
    <t>Net Change in Cash Flows</t>
  </si>
  <si>
    <t>Advances,  Deposits and Prepayments</t>
  </si>
  <si>
    <t>Other Income</t>
  </si>
  <si>
    <t>Advance Income Tax</t>
  </si>
  <si>
    <t>Financial Expenses</t>
  </si>
  <si>
    <t>Profit Before contribution to WPPF</t>
  </si>
  <si>
    <t>Cash and Cash Equivalents</t>
  </si>
  <si>
    <t>Cash and Cash Equivalents at Beginning Period</t>
  </si>
  <si>
    <t>Cash and Cash Equivalents at End of Period</t>
  </si>
  <si>
    <t>Contribution to WPPF and Welfare Fund</t>
  </si>
  <si>
    <t>Profit Before Income Tax</t>
  </si>
  <si>
    <t>Net Operating Cash Flow Per Share</t>
  </si>
  <si>
    <t>Liabilities and Capital</t>
  </si>
  <si>
    <t>Provision for Taxation</t>
  </si>
  <si>
    <t>Income Tax</t>
  </si>
  <si>
    <t>Liabilities</t>
  </si>
  <si>
    <t>Net Profit</t>
  </si>
  <si>
    <t>Shares to Calculate NOCFPS</t>
  </si>
  <si>
    <t>Non Current Liabilities</t>
  </si>
  <si>
    <t>Long Term Loan</t>
  </si>
  <si>
    <t>Obligation under Financial Lease</t>
  </si>
  <si>
    <t>Earnings per share (par value Taka 10)</t>
  </si>
  <si>
    <t>Deferred Tax Liability</t>
  </si>
  <si>
    <t>Current Liabilities</t>
  </si>
  <si>
    <t>Shares to Calculate EPS</t>
  </si>
  <si>
    <t>Short Term Loan</t>
  </si>
  <si>
    <t>Long Term Loan - current Maturity</t>
  </si>
  <si>
    <t>Bank Overdraft</t>
  </si>
  <si>
    <t>Accounts Payable</t>
  </si>
  <si>
    <t>Inter-company loan</t>
  </si>
  <si>
    <t>Cash Credit/Overdraft</t>
  </si>
  <si>
    <t>Ratio</t>
  </si>
  <si>
    <t>Liabilities for Expenses</t>
  </si>
  <si>
    <t>Return on Asset (ROA)</t>
  </si>
  <si>
    <t>WPPF and WF</t>
  </si>
  <si>
    <t>Liabilities for Other Finance</t>
  </si>
  <si>
    <t>Return on Equity (ROE)</t>
  </si>
  <si>
    <t>Creditor for expenses and accuals</t>
  </si>
  <si>
    <t>Provision for Tax</t>
  </si>
  <si>
    <t>Debt to Equity</t>
  </si>
  <si>
    <t>Current Ratio</t>
  </si>
  <si>
    <t>Net Margin</t>
  </si>
  <si>
    <t>Shareholders’ Equity</t>
  </si>
  <si>
    <t>Operating Margin</t>
  </si>
  <si>
    <t>Return on Invested Capital (ROIC)</t>
  </si>
  <si>
    <t>Share Capital</t>
  </si>
  <si>
    <t>Share Premium</t>
  </si>
  <si>
    <t>Reserve on Revaluation of Assets</t>
  </si>
  <si>
    <t>Retained Earnings/General Reserve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</si>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</sst>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_);_(* \(#,##0\);_(* &quot;-&quot;??_);_(@_)"/>
    <numFmt numFmtId="166" formatCode="_(* #,##0.00_);_(* \(#,##0.00\);_(* &quot;-&quot;_);_(@_)"/>
    <numFmt numFmtId="167" formatCode="0.0%"/>
    <numFmt numFmtId="168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0" fontId="1" fillId="0" borderId="1" xfId="0" applyFont="1" applyBorder="1"/>
    <xf numFmtId="165" fontId="2" fillId="0" borderId="0" xfId="0" applyNumberFormat="1" applyFont="1"/>
    <xf numFmtId="164" fontId="2" fillId="0" borderId="0" xfId="0" applyNumberFormat="1" applyFont="1"/>
    <xf numFmtId="0" fontId="5" fillId="0" borderId="0" xfId="0" applyFont="1"/>
    <xf numFmtId="165" fontId="6" fillId="0" borderId="0" xfId="0" applyNumberFormat="1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41" fontId="6" fillId="0" borderId="0" xfId="0" applyNumberFormat="1" applyFont="1" applyAlignment="1"/>
    <xf numFmtId="0" fontId="6" fillId="0" borderId="0" xfId="0" applyFont="1" applyAlignment="1"/>
    <xf numFmtId="41" fontId="2" fillId="0" borderId="1" xfId="0" applyNumberFormat="1" applyFont="1" applyBorder="1"/>
    <xf numFmtId="0" fontId="7" fillId="0" borderId="0" xfId="0" applyFont="1"/>
    <xf numFmtId="3" fontId="1" fillId="0" borderId="2" xfId="0" applyNumberFormat="1" applyFont="1" applyBorder="1"/>
    <xf numFmtId="41" fontId="1" fillId="0" borderId="0" xfId="0" applyNumberFormat="1" applyFont="1"/>
    <xf numFmtId="165" fontId="1" fillId="0" borderId="2" xfId="0" applyNumberFormat="1" applyFont="1" applyBorder="1"/>
    <xf numFmtId="41" fontId="1" fillId="0" borderId="2" xfId="0" applyNumberFormat="1" applyFont="1" applyBorder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1" fillId="0" borderId="3" xfId="0" applyFont="1" applyBorder="1"/>
    <xf numFmtId="3" fontId="1" fillId="0" borderId="0" xfId="0" applyNumberFormat="1" applyFont="1"/>
    <xf numFmtId="165" fontId="1" fillId="0" borderId="0" xfId="0" applyNumberFormat="1" applyFont="1"/>
    <xf numFmtId="43" fontId="1" fillId="0" borderId="0" xfId="0" applyNumberFormat="1" applyFont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1" fillId="0" borderId="3" xfId="0" applyNumberFormat="1" applyFont="1" applyBorder="1"/>
    <xf numFmtId="166" fontId="1" fillId="0" borderId="4" xfId="0" applyNumberFormat="1" applyFont="1" applyBorder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1" fillId="0" borderId="0" xfId="0" applyNumberFormat="1" applyFont="1"/>
    <xf numFmtId="4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" customWidth="1"/>
    <col min="2" max="6" width="12.5" customWidth="1"/>
    <col min="7" max="7" width="15.5" customWidth="1"/>
    <col min="8" max="8" width="12.5" customWidth="1"/>
    <col min="9" max="9" width="13.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4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9" t="s">
        <v>15</v>
      </c>
      <c r="B7" s="21">
        <f t="shared" ref="B7:I7" si="0">SUM(B8:B11)</f>
        <v>1055997000</v>
      </c>
      <c r="C7" s="21">
        <f t="shared" si="0"/>
        <v>1490511000</v>
      </c>
      <c r="D7" s="21">
        <f t="shared" si="0"/>
        <v>1545575000</v>
      </c>
      <c r="E7" s="21">
        <f t="shared" si="0"/>
        <v>1727378000</v>
      </c>
      <c r="F7" s="21">
        <f t="shared" si="0"/>
        <v>1743605000</v>
      </c>
      <c r="G7" s="21">
        <f t="shared" si="0"/>
        <v>1720334000</v>
      </c>
      <c r="H7" s="21">
        <f t="shared" si="0"/>
        <v>1845382000</v>
      </c>
      <c r="I7" s="21">
        <f t="shared" si="0"/>
        <v>1865919242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20</v>
      </c>
      <c r="B8" s="2">
        <v>1055997000</v>
      </c>
      <c r="C8" s="2">
        <v>1107839000</v>
      </c>
      <c r="D8" s="2">
        <v>1309819000</v>
      </c>
      <c r="E8" s="2">
        <v>1520772000</v>
      </c>
      <c r="F8" s="2">
        <v>1536999000</v>
      </c>
      <c r="G8" s="2">
        <v>1498728000</v>
      </c>
      <c r="H8" s="16">
        <v>1637041000</v>
      </c>
      <c r="I8" s="16">
        <v>1653455228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16">
        <v>0</v>
      </c>
      <c r="I9" s="16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26</v>
      </c>
      <c r="B10" s="2">
        <v>0</v>
      </c>
      <c r="C10" s="2">
        <v>100000000</v>
      </c>
      <c r="D10" s="2">
        <v>100000000</v>
      </c>
      <c r="E10" s="2">
        <v>106700000</v>
      </c>
      <c r="F10" s="2">
        <v>106700000</v>
      </c>
      <c r="G10" s="2">
        <v>106700000</v>
      </c>
      <c r="H10" s="16">
        <v>128455000</v>
      </c>
      <c r="I10" s="16">
        <v>132577625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28</v>
      </c>
      <c r="B11" s="2">
        <v>0</v>
      </c>
      <c r="C11" s="2">
        <v>282672000</v>
      </c>
      <c r="D11" s="2">
        <v>135756000</v>
      </c>
      <c r="E11" s="2">
        <v>99906000</v>
      </c>
      <c r="F11" s="2">
        <v>99906000</v>
      </c>
      <c r="G11" s="2">
        <v>114906000</v>
      </c>
      <c r="H11" s="16">
        <v>79886000</v>
      </c>
      <c r="I11" s="16">
        <v>79886389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9" t="s">
        <v>31</v>
      </c>
      <c r="B13" s="21">
        <f t="shared" ref="B13:I13" si="1">SUM(B14:B19)</f>
        <v>1492981000</v>
      </c>
      <c r="C13" s="21">
        <f t="shared" si="1"/>
        <v>1633920000</v>
      </c>
      <c r="D13" s="21">
        <f t="shared" si="1"/>
        <v>1720697000</v>
      </c>
      <c r="E13" s="21">
        <f t="shared" si="1"/>
        <v>1926950000</v>
      </c>
      <c r="F13" s="21">
        <f t="shared" si="1"/>
        <v>2053375000</v>
      </c>
      <c r="G13" s="21">
        <f t="shared" si="1"/>
        <v>2333309000</v>
      </c>
      <c r="H13" s="21">
        <f t="shared" si="1"/>
        <v>2474144000</v>
      </c>
      <c r="I13" s="21">
        <f t="shared" si="1"/>
        <v>2485677857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39</v>
      </c>
      <c r="B14" s="2">
        <v>749046000</v>
      </c>
      <c r="C14" s="2">
        <v>664886000</v>
      </c>
      <c r="D14" s="2">
        <v>757886000</v>
      </c>
      <c r="E14" s="2">
        <v>859614000</v>
      </c>
      <c r="F14" s="2">
        <v>910614000</v>
      </c>
      <c r="G14" s="2">
        <v>946514000</v>
      </c>
      <c r="H14" s="16">
        <v>1189840000</v>
      </c>
      <c r="I14" s="16">
        <v>1073520806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41</v>
      </c>
      <c r="B15" s="2">
        <v>158632000</v>
      </c>
      <c r="C15" s="2">
        <v>255334000</v>
      </c>
      <c r="D15" s="2">
        <v>291334000</v>
      </c>
      <c r="E15" s="2">
        <v>362320000</v>
      </c>
      <c r="F15" s="2">
        <v>412320000</v>
      </c>
      <c r="G15" s="2">
        <v>494861000</v>
      </c>
      <c r="H15" s="16">
        <v>602594000</v>
      </c>
      <c r="I15" s="16">
        <v>756812398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6" t="s">
        <v>43</v>
      </c>
      <c r="B16" s="2"/>
      <c r="C16" s="2"/>
      <c r="D16" s="2"/>
      <c r="E16" s="2"/>
      <c r="F16" s="2"/>
      <c r="G16" s="2"/>
      <c r="H16" s="16">
        <v>4395000</v>
      </c>
      <c r="I16" s="16">
        <v>7041100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45</v>
      </c>
      <c r="B17" s="2">
        <v>384573000</v>
      </c>
      <c r="C17" s="2">
        <v>535669000</v>
      </c>
      <c r="D17" s="2">
        <v>490257000</v>
      </c>
      <c r="E17" s="2">
        <v>196833000</v>
      </c>
      <c r="F17" s="2">
        <v>196833000</v>
      </c>
      <c r="G17" s="2">
        <v>233806000</v>
      </c>
      <c r="H17" s="16">
        <v>190552000</v>
      </c>
      <c r="I17" s="16">
        <v>199214299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47</v>
      </c>
      <c r="B18" s="2">
        <v>0</v>
      </c>
      <c r="C18" s="2">
        <v>0</v>
      </c>
      <c r="D18" s="2">
        <v>0</v>
      </c>
      <c r="E18" s="2">
        <v>315486000</v>
      </c>
      <c r="F18" s="2">
        <v>340911000</v>
      </c>
      <c r="G18" s="2">
        <v>446195000</v>
      </c>
      <c r="H18" s="16">
        <v>289210000</v>
      </c>
      <c r="I18" s="16">
        <v>206705108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50</v>
      </c>
      <c r="B19" s="2">
        <v>200730000</v>
      </c>
      <c r="C19" s="2">
        <v>178031000</v>
      </c>
      <c r="D19" s="2">
        <v>181220000</v>
      </c>
      <c r="E19" s="2">
        <v>192697000</v>
      </c>
      <c r="F19" s="2">
        <v>192697000</v>
      </c>
      <c r="G19" s="2">
        <v>211933000</v>
      </c>
      <c r="H19" s="16">
        <v>197553000</v>
      </c>
      <c r="I19" s="16">
        <v>242384146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1"/>
      <c r="B21" s="21">
        <f t="shared" ref="B21:H21" si="2">SUM(B7,B13)</f>
        <v>2548978000</v>
      </c>
      <c r="C21" s="21">
        <f t="shared" si="2"/>
        <v>3124431000</v>
      </c>
      <c r="D21" s="21">
        <f t="shared" si="2"/>
        <v>3266272000</v>
      </c>
      <c r="E21" s="21">
        <f t="shared" si="2"/>
        <v>3654328000</v>
      </c>
      <c r="F21" s="21">
        <f t="shared" si="2"/>
        <v>3796980000</v>
      </c>
      <c r="G21" s="21">
        <f t="shared" si="2"/>
        <v>4053643000</v>
      </c>
      <c r="H21" s="21">
        <f t="shared" si="2"/>
        <v>4319526000</v>
      </c>
      <c r="I21" s="21">
        <f>SUM(I7,I13)-1</f>
        <v>4351597098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1"/>
      <c r="B22" s="21"/>
      <c r="C22" s="21"/>
      <c r="D22" s="21"/>
      <c r="E22" s="21"/>
      <c r="F22" s="2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0" t="s">
        <v>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1" t="s">
        <v>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9" t="s">
        <v>62</v>
      </c>
      <c r="B25" s="21">
        <f t="shared" ref="B25:I25" si="3">SUM(B26:B29)</f>
        <v>222659000</v>
      </c>
      <c r="C25" s="21">
        <f t="shared" si="3"/>
        <v>162233000</v>
      </c>
      <c r="D25" s="21">
        <f t="shared" si="3"/>
        <v>461109000</v>
      </c>
      <c r="E25" s="21">
        <f t="shared" si="3"/>
        <v>563098000</v>
      </c>
      <c r="F25" s="21">
        <f t="shared" si="3"/>
        <v>531254000</v>
      </c>
      <c r="G25" s="21">
        <f t="shared" si="3"/>
        <v>610470000</v>
      </c>
      <c r="H25" s="21">
        <f t="shared" si="3"/>
        <v>730083000</v>
      </c>
      <c r="I25" s="21">
        <f t="shared" si="3"/>
        <v>772844645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63</v>
      </c>
      <c r="B26" s="2">
        <v>143174000</v>
      </c>
      <c r="C26" s="2">
        <v>82748000</v>
      </c>
      <c r="D26" s="2">
        <v>381624000</v>
      </c>
      <c r="E26" s="2">
        <v>483613000</v>
      </c>
      <c r="F26" s="2">
        <v>451769000</v>
      </c>
      <c r="G26" s="2">
        <v>530985000</v>
      </c>
      <c r="H26" s="16">
        <v>650598000</v>
      </c>
      <c r="I26" s="16">
        <v>693359631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9" t="s">
        <v>66</v>
      </c>
      <c r="B29" s="21">
        <v>79485000</v>
      </c>
      <c r="C29" s="21">
        <v>79485000</v>
      </c>
      <c r="D29" s="21">
        <v>79485000</v>
      </c>
      <c r="E29" s="21">
        <v>79485000</v>
      </c>
      <c r="F29" s="21">
        <v>79485000</v>
      </c>
      <c r="G29" s="2">
        <v>79485000</v>
      </c>
      <c r="H29" s="16">
        <v>79485000</v>
      </c>
      <c r="I29" s="16">
        <v>79485014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9" t="s">
        <v>67</v>
      </c>
      <c r="B31" s="21">
        <f t="shared" ref="B31:I31" si="4">SUM(B32:B42)</f>
        <v>1299432000</v>
      </c>
      <c r="C31" s="21">
        <f t="shared" si="4"/>
        <v>1909300000</v>
      </c>
      <c r="D31" s="21">
        <f t="shared" si="4"/>
        <v>1732401000</v>
      </c>
      <c r="E31" s="21">
        <f t="shared" si="4"/>
        <v>2005769000</v>
      </c>
      <c r="F31" s="21">
        <f t="shared" si="4"/>
        <v>2156155000</v>
      </c>
      <c r="G31" s="21">
        <f t="shared" si="4"/>
        <v>2287571000</v>
      </c>
      <c r="H31" s="21">
        <f t="shared" si="4"/>
        <v>2379292000</v>
      </c>
      <c r="I31" s="21">
        <f t="shared" si="4"/>
        <v>2322707975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69</v>
      </c>
      <c r="B32" s="2">
        <v>1197515000</v>
      </c>
      <c r="C32" s="2">
        <v>1739775000</v>
      </c>
      <c r="D32" s="2">
        <v>1495856000</v>
      </c>
      <c r="E32" s="2">
        <v>1484831000</v>
      </c>
      <c r="F32" s="2">
        <v>1625457000</v>
      </c>
      <c r="G32" s="2">
        <v>1658128000</v>
      </c>
      <c r="H32" s="16">
        <v>1491939000</v>
      </c>
      <c r="I32" s="16">
        <v>1638989753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70</v>
      </c>
      <c r="B33" s="2">
        <v>80810000</v>
      </c>
      <c r="C33" s="2">
        <v>80567000</v>
      </c>
      <c r="D33" s="2">
        <v>133841000</v>
      </c>
      <c r="E33" s="2">
        <v>200333000</v>
      </c>
      <c r="F33" s="2">
        <v>200363000</v>
      </c>
      <c r="G33" s="2">
        <v>202588000</v>
      </c>
      <c r="H33" s="16">
        <v>313377000</v>
      </c>
      <c r="I33" s="16">
        <v>259085348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6" t="s">
        <v>71</v>
      </c>
      <c r="B34" s="2"/>
      <c r="C34" s="2"/>
      <c r="D34" s="2"/>
      <c r="E34" s="2"/>
      <c r="F34" s="2"/>
      <c r="G34" s="2"/>
      <c r="H34" s="16">
        <v>359427000</v>
      </c>
      <c r="I34" s="16">
        <v>234886282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72</v>
      </c>
      <c r="B35" s="2">
        <v>16043000</v>
      </c>
      <c r="C35" s="2">
        <v>21257000</v>
      </c>
      <c r="D35" s="2">
        <v>26985000</v>
      </c>
      <c r="E35" s="2">
        <v>23043000</v>
      </c>
      <c r="F35" s="2">
        <v>23043000</v>
      </c>
      <c r="G35" s="2">
        <v>23043000</v>
      </c>
      <c r="H35" s="16">
        <v>10719000</v>
      </c>
      <c r="I35" s="16">
        <v>10429280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6" t="s">
        <v>73</v>
      </c>
      <c r="B36" s="2"/>
      <c r="C36" s="2"/>
      <c r="D36" s="2"/>
      <c r="E36" s="2"/>
      <c r="F36" s="2"/>
      <c r="G36" s="2"/>
      <c r="H36" s="16">
        <v>73807000</v>
      </c>
      <c r="I36" s="16">
        <v>67279105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74</v>
      </c>
      <c r="B37" s="2">
        <v>0</v>
      </c>
      <c r="C37" s="2">
        <v>61274000</v>
      </c>
      <c r="D37" s="2">
        <v>7822000</v>
      </c>
      <c r="E37" s="2">
        <v>233869000</v>
      </c>
      <c r="F37" s="2">
        <v>233869000</v>
      </c>
      <c r="G37" s="2">
        <v>311815000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/>
      <c r="H38" s="16">
        <v>34390000</v>
      </c>
      <c r="I38" s="16">
        <v>30407994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6" t="s">
        <v>78</v>
      </c>
      <c r="B39" s="2"/>
      <c r="C39" s="2"/>
      <c r="D39" s="2"/>
      <c r="E39" s="2"/>
      <c r="F39" s="2"/>
      <c r="G39" s="2"/>
      <c r="H39" s="16">
        <v>12032000</v>
      </c>
      <c r="I39" s="16">
        <v>6822224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79</v>
      </c>
      <c r="B40" s="2">
        <v>258000</v>
      </c>
      <c r="C40" s="2">
        <v>0</v>
      </c>
      <c r="D40" s="2">
        <v>0</v>
      </c>
      <c r="E40" s="2">
        <v>0</v>
      </c>
      <c r="F40" s="2">
        <v>9060000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81</v>
      </c>
      <c r="B41" s="2">
        <v>4806000</v>
      </c>
      <c r="C41" s="2">
        <v>6427000</v>
      </c>
      <c r="D41" s="2">
        <v>0</v>
      </c>
      <c r="E41" s="2">
        <v>7368000</v>
      </c>
      <c r="F41" s="2">
        <v>0</v>
      </c>
      <c r="G41" s="2">
        <v>12291000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82</v>
      </c>
      <c r="B42" s="2">
        <v>0</v>
      </c>
      <c r="C42" s="2">
        <v>0</v>
      </c>
      <c r="D42" s="2">
        <v>67897000</v>
      </c>
      <c r="E42" s="2">
        <v>56325000</v>
      </c>
      <c r="F42" s="2">
        <v>64363000</v>
      </c>
      <c r="G42" s="2">
        <v>79706000</v>
      </c>
      <c r="H42" s="16">
        <v>83601000</v>
      </c>
      <c r="I42" s="16">
        <v>74807989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1"/>
      <c r="B43" s="21"/>
      <c r="C43" s="21"/>
      <c r="D43" s="2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1"/>
      <c r="B44" s="21">
        <f t="shared" ref="B44:I44" si="5">SUM(B31,B25)</f>
        <v>1522091000</v>
      </c>
      <c r="C44" s="21">
        <f t="shared" si="5"/>
        <v>2071533000</v>
      </c>
      <c r="D44" s="21">
        <f t="shared" si="5"/>
        <v>2193510000</v>
      </c>
      <c r="E44" s="21">
        <f t="shared" si="5"/>
        <v>2568867000</v>
      </c>
      <c r="F44" s="21">
        <f t="shared" si="5"/>
        <v>2687409000</v>
      </c>
      <c r="G44" s="21">
        <f t="shared" si="5"/>
        <v>2898041000</v>
      </c>
      <c r="H44" s="21">
        <f t="shared" si="5"/>
        <v>3109375000</v>
      </c>
      <c r="I44" s="21">
        <f t="shared" si="5"/>
        <v>3095552620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1"/>
      <c r="B45" s="21"/>
      <c r="C45" s="21"/>
      <c r="D45" s="2"/>
      <c r="E45" s="2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9" t="s">
        <v>86</v>
      </c>
      <c r="B46" s="21">
        <f t="shared" ref="B46:I46" si="6">SUM(B47:B50)</f>
        <v>1026887000</v>
      </c>
      <c r="C46" s="21">
        <f t="shared" si="6"/>
        <v>1052898000</v>
      </c>
      <c r="D46" s="21">
        <f t="shared" si="6"/>
        <v>1072762000</v>
      </c>
      <c r="E46" s="21">
        <f t="shared" si="6"/>
        <v>1085461000</v>
      </c>
      <c r="F46" s="21">
        <f t="shared" si="6"/>
        <v>1109571000</v>
      </c>
      <c r="G46" s="21">
        <f t="shared" si="6"/>
        <v>1155604000</v>
      </c>
      <c r="H46" s="21">
        <f t="shared" si="6"/>
        <v>1210152000</v>
      </c>
      <c r="I46" s="21">
        <f t="shared" si="6"/>
        <v>1256044477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89</v>
      </c>
      <c r="B47" s="2">
        <v>204313000</v>
      </c>
      <c r="C47" s="2">
        <v>204312000</v>
      </c>
      <c r="D47" s="2">
        <v>245174000</v>
      </c>
      <c r="E47" s="2">
        <v>245174000</v>
      </c>
      <c r="F47" s="2">
        <v>245174000</v>
      </c>
      <c r="G47" s="2">
        <v>299113000</v>
      </c>
      <c r="H47" s="16">
        <v>299113000</v>
      </c>
      <c r="I47" s="16">
        <v>364918340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90</v>
      </c>
      <c r="B48" s="2">
        <v>134000000</v>
      </c>
      <c r="C48" s="2">
        <v>134000000</v>
      </c>
      <c r="D48" s="2">
        <v>134000000</v>
      </c>
      <c r="E48" s="2">
        <v>134000000</v>
      </c>
      <c r="F48" s="2">
        <v>134000000</v>
      </c>
      <c r="G48" s="2">
        <v>134000000</v>
      </c>
      <c r="H48" s="16">
        <v>134000000</v>
      </c>
      <c r="I48" s="16">
        <v>134000000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91</v>
      </c>
      <c r="B49" s="2">
        <v>496261000</v>
      </c>
      <c r="C49" s="2">
        <v>496261000</v>
      </c>
      <c r="D49" s="2">
        <v>496261000</v>
      </c>
      <c r="E49" s="2">
        <v>496261000</v>
      </c>
      <c r="F49" s="2">
        <v>496261000</v>
      </c>
      <c r="G49" s="2">
        <v>496261000</v>
      </c>
      <c r="H49" s="16">
        <v>496261000</v>
      </c>
      <c r="I49" s="16">
        <v>496260922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92</v>
      </c>
      <c r="B50" s="2">
        <v>192313000</v>
      </c>
      <c r="C50" s="2">
        <v>218325000</v>
      </c>
      <c r="D50" s="2">
        <v>197327000</v>
      </c>
      <c r="E50" s="2">
        <v>210026000</v>
      </c>
      <c r="F50" s="2">
        <v>234136000</v>
      </c>
      <c r="G50" s="2">
        <v>226230000</v>
      </c>
      <c r="H50" s="16">
        <v>280778000</v>
      </c>
      <c r="I50" s="16">
        <v>260865215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1"/>
      <c r="B52" s="21">
        <f t="shared" ref="B52:F52" si="7">SUM(B44,B46)</f>
        <v>2548978000</v>
      </c>
      <c r="C52" s="21">
        <f t="shared" si="7"/>
        <v>3124431000</v>
      </c>
      <c r="D52" s="21">
        <f t="shared" si="7"/>
        <v>3266272000</v>
      </c>
      <c r="E52" s="21">
        <f t="shared" si="7"/>
        <v>3654328000</v>
      </c>
      <c r="F52" s="21">
        <f t="shared" si="7"/>
        <v>3796980000</v>
      </c>
      <c r="G52" s="21">
        <f>SUM(G44,G46)-2000</f>
        <v>4053643000</v>
      </c>
      <c r="H52" s="21">
        <f>SUM(H44,H46)-1000</f>
        <v>4319526000</v>
      </c>
      <c r="I52" s="21">
        <f>SUM(I44,I46)+1</f>
        <v>4351597098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9" t="s">
        <v>93</v>
      </c>
      <c r="B54" s="37">
        <f t="shared" ref="B54:I54" si="8">B46/(B47/10)</f>
        <v>50.260482690773472</v>
      </c>
      <c r="C54" s="37">
        <f t="shared" si="8"/>
        <v>51.533830612005168</v>
      </c>
      <c r="D54" s="37">
        <f t="shared" si="8"/>
        <v>43.755129010417093</v>
      </c>
      <c r="E54" s="37">
        <f t="shared" si="8"/>
        <v>44.273087684664766</v>
      </c>
      <c r="F54" s="37">
        <f t="shared" si="8"/>
        <v>45.256470914534169</v>
      </c>
      <c r="G54" s="37">
        <f t="shared" si="8"/>
        <v>38.634362264428496</v>
      </c>
      <c r="H54" s="37">
        <f t="shared" si="8"/>
        <v>40.458020881740346</v>
      </c>
      <c r="I54" s="37">
        <f t="shared" si="8"/>
        <v>34.419878074639932</v>
      </c>
      <c r="J54" s="2"/>
      <c r="K54" s="2"/>
      <c r="L54" s="2"/>
      <c r="M54" s="2"/>
      <c r="N54" s="2"/>
      <c r="O54" s="2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25">
      <c r="A55" s="9" t="s">
        <v>94</v>
      </c>
      <c r="B55" s="10">
        <f t="shared" ref="B55:I55" si="9">B47/10</f>
        <v>20431300</v>
      </c>
      <c r="C55" s="10">
        <f t="shared" si="9"/>
        <v>20431200</v>
      </c>
      <c r="D55" s="10">
        <f t="shared" si="9"/>
        <v>24517400</v>
      </c>
      <c r="E55" s="10">
        <f t="shared" si="9"/>
        <v>24517400</v>
      </c>
      <c r="F55" s="10">
        <f t="shared" si="9"/>
        <v>24517400</v>
      </c>
      <c r="G55" s="10">
        <f t="shared" si="9"/>
        <v>29911300</v>
      </c>
      <c r="H55" s="10">
        <f t="shared" si="9"/>
        <v>29911300</v>
      </c>
      <c r="I55" s="10">
        <f t="shared" si="9"/>
        <v>36491834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38"/>
      <c r="C58" s="38"/>
      <c r="D58" s="38"/>
      <c r="E58" s="38"/>
      <c r="F58" s="38"/>
      <c r="G58" s="38"/>
      <c r="H58" s="38"/>
      <c r="I58" s="38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625" customWidth="1"/>
    <col min="2" max="2" width="13.5" customWidth="1"/>
    <col min="3" max="3" width="12.75" customWidth="1"/>
    <col min="4" max="4" width="12.5" customWidth="1"/>
    <col min="5" max="6" width="12.75" customWidth="1"/>
    <col min="7" max="7" width="15.125" customWidth="1"/>
    <col min="8" max="8" width="13.875" customWidth="1"/>
    <col min="9" max="9" width="14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9" t="s">
        <v>12</v>
      </c>
      <c r="B6" s="2">
        <v>1358989000</v>
      </c>
      <c r="C6" s="2">
        <v>1332240000</v>
      </c>
      <c r="D6" s="2">
        <v>1868041000</v>
      </c>
      <c r="E6" s="2">
        <v>660141000</v>
      </c>
      <c r="F6" s="2">
        <v>1384855000</v>
      </c>
      <c r="G6" s="2">
        <v>2194462000</v>
      </c>
      <c r="H6" s="16">
        <v>892593000</v>
      </c>
      <c r="I6" s="16">
        <v>1964846034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14</v>
      </c>
      <c r="B7" s="18">
        <v>1109481000</v>
      </c>
      <c r="C7" s="18">
        <v>1115581000</v>
      </c>
      <c r="D7" s="2">
        <v>1562311000</v>
      </c>
      <c r="E7" s="18">
        <v>550545000</v>
      </c>
      <c r="F7" s="18">
        <v>1150049000</v>
      </c>
      <c r="G7" s="2">
        <v>1783819000</v>
      </c>
      <c r="H7" s="16">
        <v>730244000</v>
      </c>
      <c r="I7" s="16">
        <v>1603682410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 t="s">
        <v>18</v>
      </c>
      <c r="B8" s="21">
        <f t="shared" ref="B8:I8" si="0">B6-B7</f>
        <v>249508000</v>
      </c>
      <c r="C8" s="21">
        <f t="shared" si="0"/>
        <v>216659000</v>
      </c>
      <c r="D8" s="21">
        <f t="shared" si="0"/>
        <v>305730000</v>
      </c>
      <c r="E8" s="21">
        <f t="shared" si="0"/>
        <v>109596000</v>
      </c>
      <c r="F8" s="21">
        <f t="shared" si="0"/>
        <v>234806000</v>
      </c>
      <c r="G8" s="23">
        <f t="shared" si="0"/>
        <v>410643000</v>
      </c>
      <c r="H8" s="23">
        <f t="shared" si="0"/>
        <v>162349000</v>
      </c>
      <c r="I8" s="23">
        <f t="shared" si="0"/>
        <v>361163624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1"/>
      <c r="B9" s="21"/>
      <c r="C9" s="21"/>
      <c r="D9" s="21"/>
      <c r="E9" s="21"/>
      <c r="F9" s="2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9" t="s">
        <v>24</v>
      </c>
      <c r="B10" s="21">
        <f t="shared" ref="B10:G10" si="1">SUM(B11)</f>
        <v>124049000</v>
      </c>
      <c r="C10" s="21">
        <f t="shared" si="1"/>
        <v>114049000</v>
      </c>
      <c r="D10" s="21">
        <f t="shared" si="1"/>
        <v>153121000</v>
      </c>
      <c r="E10" s="21">
        <f t="shared" si="1"/>
        <v>48550000</v>
      </c>
      <c r="F10" s="21">
        <f t="shared" si="1"/>
        <v>99690000</v>
      </c>
      <c r="G10" s="21">
        <f t="shared" si="1"/>
        <v>168321000</v>
      </c>
      <c r="H10" s="21">
        <f t="shared" ref="H10:I10" si="2">SUM(H11,H12)</f>
        <v>61881000</v>
      </c>
      <c r="I10" s="21">
        <f t="shared" si="2"/>
        <v>123805544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6" t="s">
        <v>29</v>
      </c>
      <c r="B11" s="2">
        <v>124049000</v>
      </c>
      <c r="C11" s="2">
        <v>114049000</v>
      </c>
      <c r="D11" s="2">
        <v>153121000</v>
      </c>
      <c r="E11" s="2">
        <v>48550000</v>
      </c>
      <c r="F11" s="2">
        <v>99690000</v>
      </c>
      <c r="G11" s="2">
        <v>168321000</v>
      </c>
      <c r="H11" s="16">
        <v>39903000</v>
      </c>
      <c r="I11" s="16">
        <v>81090674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6" t="s">
        <v>33</v>
      </c>
      <c r="B12" s="2"/>
      <c r="C12" s="2"/>
      <c r="D12" s="2"/>
      <c r="E12" s="2"/>
      <c r="F12" s="2"/>
      <c r="G12" s="2"/>
      <c r="H12" s="16">
        <v>21978000</v>
      </c>
      <c r="I12" s="16">
        <v>42714870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 t="s">
        <v>40</v>
      </c>
      <c r="B14" s="21">
        <f t="shared" ref="B14:I14" si="3">B8-B10</f>
        <v>125459000</v>
      </c>
      <c r="C14" s="21">
        <f t="shared" si="3"/>
        <v>102610000</v>
      </c>
      <c r="D14" s="21">
        <f t="shared" si="3"/>
        <v>152609000</v>
      </c>
      <c r="E14" s="21">
        <f t="shared" si="3"/>
        <v>61046000</v>
      </c>
      <c r="F14" s="21">
        <f t="shared" si="3"/>
        <v>135116000</v>
      </c>
      <c r="G14" s="21">
        <f t="shared" si="3"/>
        <v>242322000</v>
      </c>
      <c r="H14" s="21">
        <f t="shared" si="3"/>
        <v>100468000</v>
      </c>
      <c r="I14" s="21">
        <f t="shared" si="3"/>
        <v>237358080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6" t="s">
        <v>42</v>
      </c>
      <c r="B15" s="21"/>
      <c r="C15" s="21"/>
      <c r="D15" s="21"/>
      <c r="E15" s="21"/>
      <c r="F15" s="2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46</v>
      </c>
      <c r="B16" s="2">
        <v>2041000</v>
      </c>
      <c r="C16" s="2">
        <v>2228000</v>
      </c>
      <c r="D16" s="2">
        <v>2228000</v>
      </c>
      <c r="E16" s="2">
        <v>0</v>
      </c>
      <c r="F16" s="2">
        <v>979000</v>
      </c>
      <c r="G16" s="2">
        <v>979000</v>
      </c>
      <c r="H16" s="16">
        <v>574000</v>
      </c>
      <c r="I16" s="16">
        <v>10060140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48</v>
      </c>
      <c r="B17" s="2">
        <v>68998000</v>
      </c>
      <c r="C17" s="2">
        <v>72978000</v>
      </c>
      <c r="D17" s="2">
        <v>95096000</v>
      </c>
      <c r="E17" s="2">
        <v>28250000</v>
      </c>
      <c r="F17" s="2">
        <v>69460000</v>
      </c>
      <c r="G17" s="2">
        <v>112060000</v>
      </c>
      <c r="H17" s="16">
        <v>38945000</v>
      </c>
      <c r="I17" s="16">
        <v>110973735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 t="s">
        <v>49</v>
      </c>
      <c r="B18" s="21">
        <f t="shared" ref="B18:I18" si="4">B14-B17+B16</f>
        <v>58502000</v>
      </c>
      <c r="C18" s="21">
        <f t="shared" si="4"/>
        <v>31860000</v>
      </c>
      <c r="D18" s="21">
        <f t="shared" si="4"/>
        <v>59741000</v>
      </c>
      <c r="E18" s="21">
        <f t="shared" si="4"/>
        <v>32796000</v>
      </c>
      <c r="F18" s="21">
        <f t="shared" si="4"/>
        <v>66635000</v>
      </c>
      <c r="G18" s="21">
        <f t="shared" si="4"/>
        <v>131241000</v>
      </c>
      <c r="H18" s="21">
        <f t="shared" si="4"/>
        <v>62097000</v>
      </c>
      <c r="I18" s="21">
        <f t="shared" si="4"/>
        <v>136444485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53</v>
      </c>
      <c r="B19" s="2">
        <v>2925000</v>
      </c>
      <c r="C19" s="2">
        <v>1593000</v>
      </c>
      <c r="D19" s="2">
        <v>2987000</v>
      </c>
      <c r="E19" s="2">
        <v>1640000</v>
      </c>
      <c r="F19" s="2">
        <v>3332000</v>
      </c>
      <c r="G19" s="2">
        <v>6562000</v>
      </c>
      <c r="H19" s="16">
        <v>3105000</v>
      </c>
      <c r="I19" s="16">
        <v>6822224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1" t="s">
        <v>54</v>
      </c>
      <c r="B20" s="21">
        <f t="shared" ref="B20:I20" si="5">B18-B19</f>
        <v>55577000</v>
      </c>
      <c r="C20" s="21">
        <f t="shared" si="5"/>
        <v>30267000</v>
      </c>
      <c r="D20" s="21">
        <f t="shared" si="5"/>
        <v>56754000</v>
      </c>
      <c r="E20" s="21">
        <f t="shared" si="5"/>
        <v>31156000</v>
      </c>
      <c r="F20" s="21">
        <f t="shared" si="5"/>
        <v>63303000</v>
      </c>
      <c r="G20" s="21">
        <f t="shared" si="5"/>
        <v>124679000</v>
      </c>
      <c r="H20" s="21">
        <f t="shared" si="5"/>
        <v>58992000</v>
      </c>
      <c r="I20" s="21">
        <f t="shared" si="5"/>
        <v>129622261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9" t="s">
        <v>57</v>
      </c>
      <c r="B21" s="21"/>
      <c r="C21" s="21"/>
      <c r="D21" s="2"/>
      <c r="E21" s="21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1" t="s">
        <v>58</v>
      </c>
      <c r="B22" s="2">
        <v>-13894000</v>
      </c>
      <c r="C22" s="2">
        <v>-7567000</v>
      </c>
      <c r="D22" s="2">
        <v>-14188000</v>
      </c>
      <c r="E22" s="2">
        <v>-7789000</v>
      </c>
      <c r="F22" s="2">
        <v>-15826000</v>
      </c>
      <c r="G22" s="2">
        <v>-31170000</v>
      </c>
      <c r="H22" s="16">
        <v>-14748000</v>
      </c>
      <c r="I22" s="16">
        <v>-32405565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9" t="s">
        <v>60</v>
      </c>
      <c r="B23" s="32">
        <f t="shared" ref="B23:H23" si="6">B20+B22</f>
        <v>41683000</v>
      </c>
      <c r="C23" s="32">
        <f t="shared" si="6"/>
        <v>22700000</v>
      </c>
      <c r="D23" s="32">
        <f t="shared" si="6"/>
        <v>42566000</v>
      </c>
      <c r="E23" s="32">
        <f t="shared" si="6"/>
        <v>23367000</v>
      </c>
      <c r="F23" s="32">
        <f t="shared" si="6"/>
        <v>47477000</v>
      </c>
      <c r="G23" s="32">
        <f t="shared" si="6"/>
        <v>93509000</v>
      </c>
      <c r="H23" s="32">
        <f t="shared" si="6"/>
        <v>44244000</v>
      </c>
      <c r="I23" s="32">
        <f>I20+I22-1</f>
        <v>97216695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21"/>
      <c r="C24" s="21"/>
      <c r="D24" s="2"/>
      <c r="E24" s="21"/>
      <c r="F24" s="2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9" t="s">
        <v>65</v>
      </c>
      <c r="B25" s="33">
        <f>B23/('1'!B47/10)</f>
        <v>2.0401540773225393</v>
      </c>
      <c r="C25" s="33">
        <f>C23/('1'!C47/10)</f>
        <v>1.1110458514428914</v>
      </c>
      <c r="D25" s="33">
        <f>D23/('1'!D47/10)</f>
        <v>1.7361547309257914</v>
      </c>
      <c r="E25" s="33">
        <f>E23/('1'!E47/10)</f>
        <v>0.95307822199743852</v>
      </c>
      <c r="F25" s="33">
        <f>F23/('1'!F47/10)</f>
        <v>1.9364614518668375</v>
      </c>
      <c r="G25" s="33">
        <f>G23/('1'!G47/10)</f>
        <v>3.1262098270553271</v>
      </c>
      <c r="H25" s="33">
        <f>H23/('1'!H47/10)</f>
        <v>1.4791734227532738</v>
      </c>
      <c r="I25" s="33">
        <f>I23/('1'!I47/10)</f>
        <v>2.6640671170432269</v>
      </c>
      <c r="J25" s="2"/>
      <c r="K25" s="2"/>
      <c r="L25" s="2"/>
      <c r="M25" s="2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5">
      <c r="A26" s="26" t="s">
        <v>68</v>
      </c>
      <c r="B26" s="10">
        <f>'1'!B47/10</f>
        <v>20431300</v>
      </c>
      <c r="C26" s="10">
        <f>'1'!C47/10</f>
        <v>20431200</v>
      </c>
      <c r="D26" s="10">
        <f>'1'!D47/10</f>
        <v>24517400</v>
      </c>
      <c r="E26" s="10">
        <f>'1'!E47/10</f>
        <v>24517400</v>
      </c>
      <c r="F26" s="10">
        <f>'1'!F47/10</f>
        <v>24517400</v>
      </c>
      <c r="G26" s="10">
        <f>'1'!G47/10</f>
        <v>29911300</v>
      </c>
      <c r="H26" s="10">
        <f>'1'!H47/10</f>
        <v>29911300</v>
      </c>
      <c r="I26" s="10">
        <f>'1'!I47/10</f>
        <v>36491834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5" sqref="K15"/>
    </sheetView>
  </sheetViews>
  <sheetFormatPr defaultColWidth="12.625" defaultRowHeight="15" customHeight="1" x14ac:dyDescent="0.2"/>
  <cols>
    <col min="1" max="1" width="34.375" customWidth="1"/>
    <col min="2" max="3" width="12.75" customWidth="1"/>
    <col min="4" max="4" width="12.5" customWidth="1"/>
    <col min="5" max="6" width="12.75" customWidth="1"/>
    <col min="7" max="7" width="15.125" customWidth="1"/>
    <col min="8" max="8" width="12.75" customWidth="1"/>
    <col min="9" max="9" width="13.875" customWidth="1"/>
    <col min="10" max="26" width="7.625" customWidth="1"/>
  </cols>
  <sheetData>
    <row r="1" spans="1:16" x14ac:dyDescent="0.25">
      <c r="A1" s="1" t="s">
        <v>0</v>
      </c>
    </row>
    <row r="2" spans="1:16" ht="15.75" x14ac:dyDescent="0.25">
      <c r="A2" s="1" t="s">
        <v>2</v>
      </c>
      <c r="B2" s="3"/>
      <c r="C2" s="3"/>
      <c r="E2" s="3"/>
    </row>
    <row r="3" spans="1:16" ht="15.75" x14ac:dyDescent="0.25">
      <c r="A3" s="1" t="s">
        <v>4</v>
      </c>
      <c r="B3" s="3"/>
      <c r="C3" s="3"/>
      <c r="E3" s="3"/>
    </row>
    <row r="4" spans="1:1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</row>
    <row r="5" spans="1:16" ht="15.75" x14ac:dyDescent="0.25">
      <c r="A5" s="3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</row>
    <row r="6" spans="1:16" x14ac:dyDescent="0.25">
      <c r="A6" s="9" t="s">
        <v>8</v>
      </c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2" t="s">
        <v>9</v>
      </c>
      <c r="B7" s="12">
        <v>1379271000</v>
      </c>
      <c r="C7" s="12">
        <v>1315802000</v>
      </c>
      <c r="D7" s="12">
        <v>1815603000</v>
      </c>
      <c r="E7" s="12">
        <v>619124000</v>
      </c>
      <c r="F7" s="12">
        <v>1293838000</v>
      </c>
      <c r="G7" s="10">
        <v>2020904000</v>
      </c>
      <c r="H7" s="13">
        <v>801246000</v>
      </c>
      <c r="I7" s="13">
        <v>1718706835</v>
      </c>
      <c r="J7" s="10"/>
      <c r="K7" s="10"/>
      <c r="L7" s="10"/>
      <c r="M7" s="10"/>
      <c r="N7" s="10"/>
      <c r="O7" s="10"/>
      <c r="P7" s="10"/>
    </row>
    <row r="8" spans="1:16" x14ac:dyDescent="0.25">
      <c r="A8" s="15" t="s">
        <v>11</v>
      </c>
      <c r="B8" s="12">
        <v>-1377259000</v>
      </c>
      <c r="C8" s="12">
        <v>-1255705000</v>
      </c>
      <c r="D8" s="12">
        <v>-1785507000</v>
      </c>
      <c r="E8" s="12">
        <v>-591262000</v>
      </c>
      <c r="F8" s="12">
        <v>-1185434000</v>
      </c>
      <c r="G8" s="10">
        <v>-1833974000</v>
      </c>
      <c r="H8" s="13">
        <v>-826751000</v>
      </c>
      <c r="I8" s="13">
        <v>-1388868922</v>
      </c>
      <c r="J8" s="10"/>
      <c r="K8" s="10"/>
      <c r="L8" s="10"/>
      <c r="M8" s="10"/>
      <c r="N8" s="10"/>
      <c r="O8" s="10"/>
      <c r="P8" s="10"/>
    </row>
    <row r="9" spans="1:16" x14ac:dyDescent="0.25">
      <c r="A9" s="17" t="s">
        <v>13</v>
      </c>
      <c r="G9" s="10"/>
      <c r="H9" s="13">
        <v>-37699000</v>
      </c>
      <c r="I9" s="13">
        <v>-63516118</v>
      </c>
      <c r="J9" s="10"/>
      <c r="K9" s="10"/>
      <c r="L9" s="10"/>
      <c r="M9" s="10"/>
      <c r="N9" s="10"/>
      <c r="O9" s="10"/>
      <c r="P9" s="10"/>
    </row>
    <row r="10" spans="1:16" x14ac:dyDescent="0.25">
      <c r="A10" s="17" t="s">
        <v>16</v>
      </c>
      <c r="G10" s="10"/>
      <c r="H10" s="13">
        <v>117485000</v>
      </c>
      <c r="I10" s="13">
        <v>0</v>
      </c>
      <c r="J10" s="10"/>
      <c r="K10" s="10"/>
      <c r="L10" s="10"/>
      <c r="M10" s="10"/>
      <c r="N10" s="10"/>
      <c r="O10" s="10"/>
      <c r="P10" s="10"/>
    </row>
    <row r="11" spans="1:16" x14ac:dyDescent="0.25">
      <c r="A11" s="17" t="s">
        <v>17</v>
      </c>
      <c r="G11" s="10"/>
      <c r="H11" s="13">
        <v>-38945000</v>
      </c>
      <c r="I11" s="13">
        <v>-61035554</v>
      </c>
      <c r="J11" s="10"/>
      <c r="K11" s="10"/>
      <c r="L11" s="10"/>
      <c r="M11" s="10"/>
      <c r="N11" s="10"/>
      <c r="O11" s="10"/>
      <c r="P11" s="10"/>
    </row>
    <row r="12" spans="1:16" x14ac:dyDescent="0.25">
      <c r="A12" s="1"/>
      <c r="B12" s="20">
        <f t="shared" ref="B12:G12" si="0">SUM(B7:B8)</f>
        <v>2012000</v>
      </c>
      <c r="C12" s="20">
        <f t="shared" si="0"/>
        <v>60097000</v>
      </c>
      <c r="D12" s="20">
        <f t="shared" si="0"/>
        <v>30096000</v>
      </c>
      <c r="E12" s="20">
        <f t="shared" si="0"/>
        <v>27862000</v>
      </c>
      <c r="F12" s="20">
        <f t="shared" si="0"/>
        <v>108404000</v>
      </c>
      <c r="G12" s="22">
        <f t="shared" si="0"/>
        <v>186930000</v>
      </c>
      <c r="H12" s="22">
        <f t="shared" ref="H12:I12" si="1">SUM(H7:H11)</f>
        <v>15336000</v>
      </c>
      <c r="I12" s="22">
        <f t="shared" si="1"/>
        <v>205286241</v>
      </c>
      <c r="J12" s="10"/>
      <c r="K12" s="10"/>
      <c r="L12" s="10"/>
      <c r="M12" s="10"/>
      <c r="N12" s="10"/>
      <c r="O12" s="10"/>
      <c r="P12" s="10"/>
    </row>
    <row r="13" spans="1:16" x14ac:dyDescent="0.25"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25">
      <c r="A14" s="9" t="s">
        <v>19</v>
      </c>
      <c r="E14" s="24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A15" s="25" t="s">
        <v>21</v>
      </c>
      <c r="B15" s="12">
        <v>-61152000</v>
      </c>
      <c r="C15" s="12">
        <v>-117059000</v>
      </c>
      <c r="D15" s="12">
        <v>-340431000</v>
      </c>
      <c r="E15" s="12">
        <v>-133336000</v>
      </c>
      <c r="F15" s="12">
        <v>-176778000</v>
      </c>
      <c r="G15" s="10">
        <v>-219808000</v>
      </c>
      <c r="H15" s="13">
        <v>-58548000</v>
      </c>
      <c r="I15" s="13">
        <v>-132470123</v>
      </c>
      <c r="J15" s="10"/>
      <c r="K15" s="10"/>
      <c r="L15" s="10"/>
      <c r="M15" s="10"/>
      <c r="N15" s="10"/>
      <c r="O15" s="10"/>
      <c r="P15" s="10"/>
    </row>
    <row r="16" spans="1:16" x14ac:dyDescent="0.25">
      <c r="A16" s="25" t="s">
        <v>23</v>
      </c>
      <c r="B16" s="24"/>
      <c r="C16" s="24"/>
      <c r="E16" s="24"/>
      <c r="F16" s="24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25">
      <c r="A17" s="25" t="s">
        <v>25</v>
      </c>
      <c r="B17" s="24"/>
      <c r="C17" s="24"/>
      <c r="D17" s="24"/>
      <c r="E17" s="24"/>
      <c r="F17" s="24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A18" s="25" t="s">
        <v>27</v>
      </c>
      <c r="B18" s="24"/>
      <c r="C18" s="24"/>
      <c r="D18" s="24"/>
      <c r="E18" s="24"/>
      <c r="F18" s="24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25" t="s">
        <v>28</v>
      </c>
      <c r="B19" s="12">
        <v>0</v>
      </c>
      <c r="C19" s="12">
        <v>-169509000</v>
      </c>
      <c r="D19" s="12">
        <v>-22593000</v>
      </c>
      <c r="E19" s="12">
        <v>-12210000</v>
      </c>
      <c r="F19" s="12">
        <v>-12210000</v>
      </c>
      <c r="G19" s="10">
        <v>-27210000</v>
      </c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1"/>
      <c r="B20" s="20">
        <f t="shared" ref="B20:I20" si="2">SUM(B15:B19)</f>
        <v>-61152000</v>
      </c>
      <c r="C20" s="20">
        <f t="shared" si="2"/>
        <v>-286568000</v>
      </c>
      <c r="D20" s="20">
        <f t="shared" si="2"/>
        <v>-363024000</v>
      </c>
      <c r="E20" s="20">
        <f t="shared" si="2"/>
        <v>-145546000</v>
      </c>
      <c r="F20" s="20">
        <f t="shared" si="2"/>
        <v>-188988000</v>
      </c>
      <c r="G20" s="22">
        <f t="shared" si="2"/>
        <v>-247018000</v>
      </c>
      <c r="H20" s="22">
        <f t="shared" si="2"/>
        <v>-58548000</v>
      </c>
      <c r="I20" s="22">
        <f t="shared" si="2"/>
        <v>-132470123</v>
      </c>
      <c r="J20" s="10"/>
      <c r="K20" s="10"/>
      <c r="L20" s="10"/>
      <c r="M20" s="10"/>
      <c r="N20" s="10"/>
      <c r="O20" s="10"/>
      <c r="P20" s="10"/>
    </row>
    <row r="21" spans="1:16" x14ac:dyDescent="0.25"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9" t="s">
        <v>30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5" t="s">
        <v>32</v>
      </c>
      <c r="B23" s="12">
        <v>216001000</v>
      </c>
      <c r="C23" s="12">
        <v>251801000</v>
      </c>
      <c r="D23" s="12">
        <v>360032000</v>
      </c>
      <c r="E23" s="12">
        <v>144759000</v>
      </c>
      <c r="F23" s="12">
        <v>160757000</v>
      </c>
      <c r="G23" s="10">
        <v>225064000</v>
      </c>
      <c r="H23" s="13">
        <v>391718000</v>
      </c>
      <c r="I23" s="13">
        <v>399791077</v>
      </c>
      <c r="J23" s="10"/>
      <c r="K23" s="10"/>
      <c r="L23" s="10"/>
      <c r="M23" s="10"/>
      <c r="N23" s="10"/>
      <c r="O23" s="10"/>
      <c r="P23" s="10"/>
    </row>
    <row r="24" spans="1:16" ht="15.75" customHeight="1" x14ac:dyDescent="0.25">
      <c r="A24" s="15" t="s">
        <v>34</v>
      </c>
      <c r="B24" s="12">
        <v>0</v>
      </c>
      <c r="C24" s="12">
        <v>0</v>
      </c>
      <c r="D24" s="12">
        <v>0</v>
      </c>
      <c r="E24" s="12">
        <v>-22630000</v>
      </c>
      <c r="F24" s="12">
        <v>-70442000</v>
      </c>
      <c r="G24" s="10">
        <v>-121048000</v>
      </c>
      <c r="H24" s="13">
        <v>-314846000</v>
      </c>
      <c r="I24" s="13">
        <v>-367862444</v>
      </c>
      <c r="J24" s="10"/>
      <c r="K24" s="10"/>
      <c r="L24" s="10"/>
      <c r="M24" s="10"/>
      <c r="N24" s="10"/>
      <c r="O24" s="10"/>
      <c r="P24" s="10"/>
    </row>
    <row r="25" spans="1:16" ht="15.75" customHeight="1" x14ac:dyDescent="0.25">
      <c r="A25" s="17" t="s">
        <v>35</v>
      </c>
      <c r="G25" s="10"/>
      <c r="H25" s="13">
        <v>-6212000</v>
      </c>
      <c r="I25" s="13">
        <v>-12739899</v>
      </c>
      <c r="J25" s="10"/>
      <c r="K25" s="10"/>
      <c r="L25" s="10"/>
      <c r="M25" s="10"/>
      <c r="N25" s="10"/>
      <c r="O25" s="10"/>
      <c r="P25" s="10"/>
    </row>
    <row r="26" spans="1:16" ht="15.75" customHeight="1" x14ac:dyDescent="0.25">
      <c r="A26" s="15" t="s">
        <v>36</v>
      </c>
      <c r="B26" s="12">
        <v>0</v>
      </c>
      <c r="C26" s="12">
        <v>0</v>
      </c>
      <c r="D26" s="12">
        <v>0</v>
      </c>
      <c r="E26" s="12">
        <v>0</v>
      </c>
      <c r="F26" s="12">
        <v>-26576000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ht="15.75" customHeight="1" x14ac:dyDescent="0.25">
      <c r="A27" s="15" t="s">
        <v>37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ht="15.75" customHeight="1" x14ac:dyDescent="0.25">
      <c r="A28" s="15" t="s">
        <v>38</v>
      </c>
      <c r="B28" s="12">
        <v>-12366000</v>
      </c>
      <c r="C28" s="12">
        <v>-18604000</v>
      </c>
      <c r="D28" s="12">
        <v>-17190000</v>
      </c>
      <c r="E28" s="12">
        <v>-21290000</v>
      </c>
      <c r="F28" s="12">
        <v>0</v>
      </c>
      <c r="G28" s="10">
        <v>-41536000</v>
      </c>
      <c r="H28" s="13">
        <v>-30213000</v>
      </c>
      <c r="I28" s="13">
        <v>-49938181</v>
      </c>
      <c r="J28" s="10"/>
      <c r="K28" s="10"/>
      <c r="L28" s="10"/>
      <c r="M28" s="10"/>
      <c r="N28" s="10"/>
      <c r="O28" s="10"/>
      <c r="P28" s="10"/>
    </row>
    <row r="29" spans="1:16" ht="15.75" customHeight="1" x14ac:dyDescent="0.25">
      <c r="A29" s="1"/>
      <c r="B29" s="20">
        <f t="shared" ref="B29:I29" si="3">SUM(B23:B28)</f>
        <v>203635000</v>
      </c>
      <c r="C29" s="20">
        <f t="shared" si="3"/>
        <v>233197000</v>
      </c>
      <c r="D29" s="20">
        <f t="shared" si="3"/>
        <v>342842000</v>
      </c>
      <c r="E29" s="20">
        <f t="shared" si="3"/>
        <v>100839000</v>
      </c>
      <c r="F29" s="20">
        <f t="shared" si="3"/>
        <v>63739000</v>
      </c>
      <c r="G29" s="22">
        <f t="shared" si="3"/>
        <v>62480000</v>
      </c>
      <c r="H29" s="22">
        <f t="shared" si="3"/>
        <v>40447000</v>
      </c>
      <c r="I29" s="22">
        <f t="shared" si="3"/>
        <v>-30749447</v>
      </c>
      <c r="J29" s="10"/>
      <c r="K29" s="10"/>
      <c r="L29" s="10"/>
      <c r="M29" s="10"/>
      <c r="N29" s="10"/>
      <c r="O29" s="10"/>
      <c r="P29" s="10"/>
    </row>
    <row r="30" spans="1:16" ht="15.75" customHeight="1" x14ac:dyDescent="0.25"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 x14ac:dyDescent="0.25">
      <c r="A31" s="1" t="s">
        <v>44</v>
      </c>
      <c r="B31" s="27">
        <f t="shared" ref="B31:I31" si="4">SUM(B12,B20,B29)</f>
        <v>144495000</v>
      </c>
      <c r="C31" s="27">
        <f t="shared" si="4"/>
        <v>6726000</v>
      </c>
      <c r="D31" s="27">
        <f t="shared" si="4"/>
        <v>9914000</v>
      </c>
      <c r="E31" s="27">
        <f t="shared" si="4"/>
        <v>-16845000</v>
      </c>
      <c r="F31" s="27">
        <f t="shared" si="4"/>
        <v>-16845000</v>
      </c>
      <c r="G31" s="28">
        <f t="shared" si="4"/>
        <v>2392000</v>
      </c>
      <c r="H31" s="28">
        <f t="shared" si="4"/>
        <v>-2765000</v>
      </c>
      <c r="I31" s="28">
        <f t="shared" si="4"/>
        <v>42066671</v>
      </c>
      <c r="J31" s="10"/>
      <c r="K31" s="10"/>
      <c r="L31" s="10"/>
      <c r="M31" s="10"/>
      <c r="N31" s="10"/>
      <c r="O31" s="10"/>
      <c r="P31" s="10"/>
    </row>
    <row r="32" spans="1:16" ht="15.75" customHeight="1" x14ac:dyDescent="0.25">
      <c r="A32" s="26" t="s">
        <v>51</v>
      </c>
      <c r="B32" s="12">
        <v>43869000</v>
      </c>
      <c r="C32" s="12">
        <v>171306000</v>
      </c>
      <c r="D32" s="12">
        <v>171306000</v>
      </c>
      <c r="E32" s="12">
        <v>209542000</v>
      </c>
      <c r="F32" s="12">
        <v>209542000</v>
      </c>
      <c r="G32" s="10">
        <v>209542000</v>
      </c>
      <c r="H32" s="13">
        <v>200317000</v>
      </c>
      <c r="I32" s="13">
        <v>200317476</v>
      </c>
      <c r="J32" s="10"/>
      <c r="K32" s="10"/>
      <c r="L32" s="10"/>
      <c r="M32" s="10"/>
      <c r="N32" s="10"/>
      <c r="O32" s="10"/>
      <c r="P32" s="10"/>
    </row>
    <row r="33" spans="1:16" ht="15.75" customHeight="1" x14ac:dyDescent="0.25">
      <c r="A33" s="9" t="s">
        <v>52</v>
      </c>
      <c r="B33" s="27">
        <f t="shared" ref="B33:G33" si="5">SUM(B31:B32)</f>
        <v>188364000</v>
      </c>
      <c r="C33" s="27">
        <f t="shared" si="5"/>
        <v>178032000</v>
      </c>
      <c r="D33" s="27">
        <f t="shared" si="5"/>
        <v>181220000</v>
      </c>
      <c r="E33" s="27">
        <f t="shared" si="5"/>
        <v>192697000</v>
      </c>
      <c r="F33" s="27">
        <f t="shared" si="5"/>
        <v>192697000</v>
      </c>
      <c r="G33" s="28">
        <f t="shared" si="5"/>
        <v>211934000</v>
      </c>
      <c r="H33" s="28">
        <f>SUM(H31:H32)+1000</f>
        <v>197553000</v>
      </c>
      <c r="I33" s="28">
        <f>SUM(I31:I32)</f>
        <v>242384147</v>
      </c>
      <c r="J33" s="10"/>
      <c r="K33" s="10"/>
      <c r="L33" s="10"/>
      <c r="M33" s="10"/>
      <c r="N33" s="10"/>
      <c r="O33" s="10"/>
      <c r="P33" s="10"/>
    </row>
    <row r="34" spans="1:16" ht="15.75" customHeight="1" x14ac:dyDescent="0.25">
      <c r="B34" s="1"/>
      <c r="C34" s="1"/>
      <c r="E34" s="1"/>
      <c r="F34" s="1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5.75" customHeight="1" x14ac:dyDescent="0.25">
      <c r="A35" s="9" t="s">
        <v>55</v>
      </c>
      <c r="B35" s="29">
        <f>B12/('1'!B47/10)</f>
        <v>9.8476357353668151E-2</v>
      </c>
      <c r="C35" s="29">
        <f>C12/('1'!C47/10)</f>
        <v>2.9414327107560987</v>
      </c>
      <c r="D35" s="29">
        <f>D12/('1'!D47/10)</f>
        <v>1.2275363619307105</v>
      </c>
      <c r="E35" s="29">
        <f>E12/('1'!E47/10)</f>
        <v>1.1364174015189212</v>
      </c>
      <c r="F35" s="29">
        <f>F12/('1'!F47/10)</f>
        <v>4.4215128847267655</v>
      </c>
      <c r="G35" s="29">
        <f>G12/('1'!G47/10)</f>
        <v>6.2494776221695476</v>
      </c>
      <c r="H35" s="29">
        <f>H12/('1'!H47/10)</f>
        <v>0.51271593009999561</v>
      </c>
      <c r="I35" s="29">
        <f>I12/('1'!I47/10)</f>
        <v>5.6255391548695526</v>
      </c>
      <c r="J35" s="10"/>
      <c r="K35" s="10"/>
      <c r="L35" s="10"/>
      <c r="M35" s="10"/>
      <c r="N35" s="10"/>
      <c r="O35" s="10"/>
      <c r="P35" s="10"/>
    </row>
    <row r="36" spans="1:16" ht="15.75" customHeight="1" x14ac:dyDescent="0.25">
      <c r="A36" s="9" t="s">
        <v>61</v>
      </c>
      <c r="B36" s="10">
        <f>'1'!B47/10</f>
        <v>20431300</v>
      </c>
      <c r="C36" s="10">
        <f>'1'!C47/10</f>
        <v>20431200</v>
      </c>
      <c r="D36" s="10">
        <f>'1'!D47/10</f>
        <v>24517400</v>
      </c>
      <c r="E36" s="10">
        <f>'1'!E47/10</f>
        <v>24517400</v>
      </c>
      <c r="F36" s="10">
        <f>'1'!F47/10</f>
        <v>24517400</v>
      </c>
      <c r="G36" s="10">
        <f>'1'!G47/10</f>
        <v>29911300</v>
      </c>
      <c r="H36" s="10">
        <f>'1'!H47/10</f>
        <v>29911300</v>
      </c>
      <c r="I36" s="10">
        <f>'1'!I47/10</f>
        <v>36491834</v>
      </c>
      <c r="J36" s="10"/>
      <c r="K36" s="10"/>
      <c r="L36" s="10"/>
      <c r="M36" s="10"/>
      <c r="N36" s="10"/>
      <c r="O36" s="10"/>
      <c r="P36" s="10"/>
    </row>
    <row r="37" spans="1:16" ht="15.75" customHeight="1" x14ac:dyDescent="0.25"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5"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5"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5"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5.75" customHeight="1" x14ac:dyDescent="0.25"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5"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5"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5">
      <c r="H44" s="10"/>
      <c r="I44" s="10"/>
      <c r="J44" s="10"/>
      <c r="K44" s="10"/>
      <c r="L44" s="10"/>
      <c r="M44" s="10"/>
      <c r="N44" s="10"/>
      <c r="O44" s="10"/>
      <c r="P44" s="10"/>
    </row>
    <row r="45" spans="1:16" ht="15.75" customHeight="1" x14ac:dyDescent="0.25"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5.75" customHeight="1" x14ac:dyDescent="0.25"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5.75" customHeight="1" x14ac:dyDescent="0.25"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3.75" customWidth="1"/>
    <col min="3" max="3" width="12.625" customWidth="1"/>
    <col min="4" max="4" width="10.75" customWidth="1"/>
    <col min="5" max="5" width="11.75" customWidth="1"/>
    <col min="6" max="6" width="12.7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75</v>
      </c>
    </row>
    <row r="3" spans="1:6" x14ac:dyDescent="0.25">
      <c r="A3" s="1" t="s">
        <v>4</v>
      </c>
    </row>
    <row r="5" spans="1:6" x14ac:dyDescent="0.25">
      <c r="B5" s="5" t="s">
        <v>5</v>
      </c>
      <c r="C5" s="5" t="s">
        <v>6</v>
      </c>
      <c r="D5" s="5" t="s">
        <v>5</v>
      </c>
      <c r="E5" s="5" t="s">
        <v>7</v>
      </c>
      <c r="F5" s="5" t="s">
        <v>6</v>
      </c>
    </row>
    <row r="6" spans="1:6" ht="15.75" x14ac:dyDescent="0.25">
      <c r="B6" s="6">
        <v>42825</v>
      </c>
      <c r="C6" s="6">
        <v>43100</v>
      </c>
      <c r="D6" s="6">
        <v>43190</v>
      </c>
      <c r="E6" s="6">
        <v>43373</v>
      </c>
      <c r="F6" s="6">
        <v>43465</v>
      </c>
    </row>
    <row r="7" spans="1:6" x14ac:dyDescent="0.25">
      <c r="A7" s="12" t="s">
        <v>77</v>
      </c>
      <c r="B7" s="35">
        <f>'2'!B23/'1'!B21</f>
        <v>1.6352828466938515E-2</v>
      </c>
      <c r="C7" s="35">
        <f>'2'!C23/'1'!C21</f>
        <v>7.2653228699881677E-3</v>
      </c>
      <c r="D7" s="35">
        <f>'2'!D23/'1'!D21</f>
        <v>1.3031982639535226E-2</v>
      </c>
      <c r="E7" s="35">
        <f>'2'!E23/'1'!E21</f>
        <v>6.3943357027612191E-3</v>
      </c>
      <c r="F7" s="35">
        <f>'2'!F23/'1'!F21</f>
        <v>1.2503884666234744E-2</v>
      </c>
    </row>
    <row r="8" spans="1:6" x14ac:dyDescent="0.25">
      <c r="A8" s="12" t="s">
        <v>80</v>
      </c>
      <c r="B8" s="35">
        <f>'2'!B23/'1'!B46</f>
        <v>4.0591613293380867E-2</v>
      </c>
      <c r="C8" s="35">
        <f>'2'!C23/'1'!C46</f>
        <v>2.1559543279595934E-2</v>
      </c>
      <c r="D8" s="35">
        <f>'2'!D23/'1'!D46</f>
        <v>3.96788849716899E-2</v>
      </c>
      <c r="E8" s="35">
        <f>'2'!E23/'1'!E46</f>
        <v>2.1527258925009743E-2</v>
      </c>
      <c r="F8" s="35">
        <f>'2'!F23/'1'!F46</f>
        <v>4.2788609291338722E-2</v>
      </c>
    </row>
    <row r="9" spans="1:6" x14ac:dyDescent="0.25">
      <c r="A9" s="12" t="s">
        <v>83</v>
      </c>
      <c r="B9" s="35">
        <f>'1'!B26/'1'!B46</f>
        <v>0.13942527269310059</v>
      </c>
      <c r="C9" s="35">
        <f>'1'!C26/'1'!C46</f>
        <v>7.8590708691630151E-2</v>
      </c>
      <c r="D9" s="35">
        <f>'1'!D26/'1'!D46</f>
        <v>0.35573967012254348</v>
      </c>
      <c r="E9" s="35">
        <f>'1'!E26/'1'!E46</f>
        <v>0.44553696539995447</v>
      </c>
      <c r="F9" s="35">
        <f>'1'!F26/'1'!F46</f>
        <v>0.40715645956860802</v>
      </c>
    </row>
    <row r="10" spans="1:6" x14ac:dyDescent="0.25">
      <c r="A10" s="12" t="s">
        <v>84</v>
      </c>
      <c r="B10" s="36">
        <f>'1'!B13/'1'!B31</f>
        <v>1.1489489253766261</v>
      </c>
      <c r="C10" s="36">
        <f>'1'!C13/'1'!C31</f>
        <v>0.85576913004766142</v>
      </c>
      <c r="D10" s="36">
        <f>'1'!D13/'1'!D31</f>
        <v>0.99324405839063823</v>
      </c>
      <c r="E10" s="36">
        <f>'1'!E13/'1'!E31</f>
        <v>0.96070384974540934</v>
      </c>
      <c r="F10" s="36">
        <f>'1'!F13/'1'!F31</f>
        <v>0.95233181287987179</v>
      </c>
    </row>
    <row r="11" spans="1:6" x14ac:dyDescent="0.25">
      <c r="A11" s="12" t="s">
        <v>85</v>
      </c>
      <c r="B11" s="35">
        <f>'2'!B23/'2'!B6</f>
        <v>3.0672065778310199E-2</v>
      </c>
      <c r="C11" s="35">
        <f>'2'!C23/'2'!C6</f>
        <v>1.7038971957004743E-2</v>
      </c>
      <c r="D11" s="35">
        <f>'2'!D23/'2'!D6</f>
        <v>2.2786437770905457E-2</v>
      </c>
      <c r="E11" s="35">
        <f>'2'!E23/'2'!E6</f>
        <v>3.539698337173422E-2</v>
      </c>
      <c r="F11" s="35">
        <f>'2'!F23/'2'!F6</f>
        <v>3.4283011578829556E-2</v>
      </c>
    </row>
    <row r="12" spans="1:6" x14ac:dyDescent="0.25">
      <c r="A12" s="12" t="s">
        <v>87</v>
      </c>
      <c r="B12" s="35">
        <f>'2'!B14/'2'!B6</f>
        <v>9.2317892197802925E-2</v>
      </c>
      <c r="C12" s="35">
        <f>'2'!C14/'2'!C6</f>
        <v>7.702065693868973E-2</v>
      </c>
      <c r="D12" s="35">
        <f>'2'!D14/'2'!D6</f>
        <v>8.169467372504137E-2</v>
      </c>
      <c r="E12" s="35">
        <f>'2'!E14/'2'!E6</f>
        <v>9.2474183545636468E-2</v>
      </c>
      <c r="F12" s="35">
        <f>'2'!F14/'2'!F6</f>
        <v>9.7566893284856543E-2</v>
      </c>
    </row>
    <row r="13" spans="1:6" x14ac:dyDescent="0.25">
      <c r="A13" s="12" t="s">
        <v>88</v>
      </c>
      <c r="B13" s="35">
        <f>'2'!B23/('1'!B46+'1'!B26)</f>
        <v>3.5624638373554882E-2</v>
      </c>
      <c r="C13" s="35">
        <f>'2'!C23/('1'!C46+'1'!C26)</f>
        <v>1.9988623215332946E-2</v>
      </c>
      <c r="D13" s="35">
        <f>'2'!D23/('1'!D46+'1'!D26)</f>
        <v>2.9267333431427421E-2</v>
      </c>
      <c r="E13" s="35">
        <f>'2'!E23/('1'!E46+'1'!E26)</f>
        <v>1.489222305640142E-2</v>
      </c>
      <c r="F13" s="35">
        <f>'2'!F23/('1'!F46+'1'!F26)</f>
        <v>3.0407854791397133E-2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2020-04-11T14:54:49Z</dcterms:modified>
</cp:coreProperties>
</file>