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3" l="1"/>
  <c r="C47" i="3"/>
  <c r="E47" i="3"/>
  <c r="F47" i="3"/>
  <c r="C31" i="2"/>
  <c r="D31" i="2"/>
  <c r="E31" i="2"/>
  <c r="F31" i="2"/>
  <c r="D27" i="1"/>
  <c r="D43" i="1"/>
  <c r="F32" i="1"/>
  <c r="B32" i="1"/>
  <c r="C32" i="1"/>
  <c r="D32" i="1"/>
  <c r="E32" i="1"/>
  <c r="B14" i="1"/>
  <c r="D47" i="3"/>
  <c r="B31" i="2"/>
  <c r="C57" i="1" l="1"/>
  <c r="D57" i="1"/>
  <c r="E57" i="1"/>
  <c r="F57" i="1"/>
  <c r="B57" i="1"/>
  <c r="C43" i="1"/>
  <c r="E43" i="1"/>
  <c r="F43" i="1"/>
  <c r="B43" i="1"/>
  <c r="B27" i="1" l="1"/>
  <c r="B41" i="1" s="1"/>
  <c r="B54" i="1" l="1"/>
  <c r="C8" i="2"/>
  <c r="C12" i="2" s="1"/>
  <c r="D8" i="2"/>
  <c r="D12" i="2" s="1"/>
  <c r="E8" i="2"/>
  <c r="E12" i="2" s="1"/>
  <c r="F8" i="2"/>
  <c r="F12" i="2" s="1"/>
  <c r="B8" i="2"/>
  <c r="B12" i="2" s="1"/>
  <c r="B19" i="2" s="1"/>
  <c r="B22" i="2" s="1"/>
  <c r="F19" i="2" l="1"/>
  <c r="F22" i="2" s="1"/>
  <c r="F11" i="5"/>
  <c r="E19" i="2"/>
  <c r="E22" i="2" s="1"/>
  <c r="E11" i="5"/>
  <c r="B11" i="5"/>
  <c r="D19" i="2"/>
  <c r="D22" i="2" s="1"/>
  <c r="D11" i="5"/>
  <c r="C19" i="2"/>
  <c r="C22" i="2" s="1"/>
  <c r="C11" i="5"/>
  <c r="C39" i="3"/>
  <c r="D39" i="3"/>
  <c r="E39" i="3"/>
  <c r="F39" i="3"/>
  <c r="B39" i="3"/>
  <c r="C27" i="1"/>
  <c r="E27" i="1"/>
  <c r="F27" i="1"/>
  <c r="C7" i="1"/>
  <c r="D7" i="1"/>
  <c r="E7" i="1"/>
  <c r="F7" i="1"/>
  <c r="B7" i="1"/>
  <c r="B23" i="1" s="1"/>
  <c r="B8" i="5" l="1"/>
  <c r="B56" i="1"/>
  <c r="C56" i="1"/>
  <c r="C8" i="5"/>
  <c r="F8" i="5"/>
  <c r="F56" i="1"/>
  <c r="D8" i="5"/>
  <c r="D56" i="1"/>
  <c r="E8" i="5"/>
  <c r="E56" i="1"/>
  <c r="F24" i="3"/>
  <c r="E24" i="3"/>
  <c r="D24" i="3"/>
  <c r="C24" i="3"/>
  <c r="B24" i="3"/>
  <c r="C13" i="3"/>
  <c r="C46" i="3" s="1"/>
  <c r="D13" i="3"/>
  <c r="D46" i="3" s="1"/>
  <c r="E13" i="3"/>
  <c r="E46" i="3" s="1"/>
  <c r="F13" i="3"/>
  <c r="F46" i="3" s="1"/>
  <c r="B13" i="3" l="1"/>
  <c r="B46" i="3" s="1"/>
  <c r="C14" i="1" l="1"/>
  <c r="C9" i="5" s="1"/>
  <c r="D14" i="1"/>
  <c r="D9" i="5" s="1"/>
  <c r="E14" i="1"/>
  <c r="E9" i="5" s="1"/>
  <c r="F14" i="1"/>
  <c r="F9" i="5" s="1"/>
  <c r="B9" i="5"/>
  <c r="E24" i="2" l="1"/>
  <c r="E28" i="2" s="1"/>
  <c r="E41" i="1"/>
  <c r="E54" i="1" s="1"/>
  <c r="E23" i="1"/>
  <c r="E7" i="5" l="1"/>
  <c r="E12" i="5"/>
  <c r="E10" i="5"/>
  <c r="E6" i="5"/>
  <c r="E30" i="2"/>
  <c r="E41" i="3"/>
  <c r="E43" i="3" s="1"/>
  <c r="F24" i="2"/>
  <c r="F28" i="2" s="1"/>
  <c r="F41" i="1"/>
  <c r="F54" i="1" s="1"/>
  <c r="F23" i="1"/>
  <c r="C24" i="2"/>
  <c r="C28" i="2" s="1"/>
  <c r="D24" i="2"/>
  <c r="D28" i="2" s="1"/>
  <c r="B24" i="2"/>
  <c r="B28" i="2" s="1"/>
  <c r="D41" i="1"/>
  <c r="D54" i="1" s="1"/>
  <c r="D23" i="1"/>
  <c r="F12" i="5" l="1"/>
  <c r="F7" i="5"/>
  <c r="C12" i="5"/>
  <c r="C7" i="5"/>
  <c r="D7" i="5"/>
  <c r="D12" i="5"/>
  <c r="B7" i="5"/>
  <c r="B12" i="5"/>
  <c r="F6" i="5"/>
  <c r="F10" i="5"/>
  <c r="B10" i="5"/>
  <c r="B6" i="5"/>
  <c r="D10" i="5"/>
  <c r="D6" i="5"/>
  <c r="C10" i="5"/>
  <c r="D30" i="2"/>
  <c r="B41" i="3"/>
  <c r="B43" i="3" s="1"/>
  <c r="C41" i="1"/>
  <c r="C54" i="1" s="1"/>
  <c r="C23" i="1"/>
  <c r="C6" i="5" s="1"/>
  <c r="F41" i="3"/>
  <c r="F43" i="3" s="1"/>
  <c r="D41" i="3"/>
  <c r="D43" i="3" s="1"/>
  <c r="C41" i="3"/>
  <c r="C43" i="3" s="1"/>
  <c r="B30" i="2" l="1"/>
  <c r="C30" i="2"/>
  <c r="F30" i="2"/>
</calcChain>
</file>

<file path=xl/sharedStrings.xml><?xml version="1.0" encoding="utf-8"?>
<sst xmlns="http://schemas.openxmlformats.org/spreadsheetml/2006/main" count="136" uniqueCount="110">
  <si>
    <t>ASSETS</t>
  </si>
  <si>
    <t>NON CURRENT ASSETS</t>
  </si>
  <si>
    <t>CURRENT ASSETS</t>
  </si>
  <si>
    <t>Gross Profit</t>
  </si>
  <si>
    <t>Operating Profit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</si>
  <si>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</si>
  <si>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</si>
  <si>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</si>
  <si>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</si>
  <si>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</si>
  <si>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</si>
  <si>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Share capital</t>
  </si>
  <si>
    <t>Financial charges</t>
  </si>
  <si>
    <t>Revaluation reserve</t>
  </si>
  <si>
    <t>Accounts receivables</t>
  </si>
  <si>
    <t>Accounts payable</t>
  </si>
  <si>
    <t>Long term borrowings</t>
  </si>
  <si>
    <t>Other payables</t>
  </si>
  <si>
    <t>Provision for income tax</t>
  </si>
  <si>
    <t>Cash receipts from customer and others</t>
  </si>
  <si>
    <t>Cash paid to employees &amp; suppliers</t>
  </si>
  <si>
    <t>Income taxes paid</t>
  </si>
  <si>
    <t>SUMMIT ALLIANCE PORT LIMITED</t>
  </si>
  <si>
    <t>Financial assets available for sale</t>
  </si>
  <si>
    <t>Other receivables</t>
  </si>
  <si>
    <t>Advance, deposits &amp; prepayments</t>
  </si>
  <si>
    <t>Capital reserve</t>
  </si>
  <si>
    <t>Deferred liabilities for gratuity</t>
  </si>
  <si>
    <t>Consideration payable</t>
  </si>
  <si>
    <t>Dividend payable cash</t>
  </si>
  <si>
    <t>Dividend on investment</t>
  </si>
  <si>
    <t>Acquisition of property, plant &amp; equipment</t>
  </si>
  <si>
    <t>Capital work in progress</t>
  </si>
  <si>
    <t>Advance, deposits and prepayments</t>
  </si>
  <si>
    <t>Sale of financial assets</t>
  </si>
  <si>
    <t>Bank overdrafts</t>
  </si>
  <si>
    <t>Inter company transaction</t>
  </si>
  <si>
    <t>General &amp; administrative expenses</t>
  </si>
  <si>
    <t>Advertisement &amp; sales promotion expenses</t>
  </si>
  <si>
    <t>Capital gain from sale of investment</t>
  </si>
  <si>
    <t>Other income</t>
  </si>
  <si>
    <t>Assets in transit</t>
  </si>
  <si>
    <t>Preliminary expenses</t>
  </si>
  <si>
    <t>Intangible asset: goodwill</t>
  </si>
  <si>
    <t>Deferred tax liability</t>
  </si>
  <si>
    <t>Term loan received</t>
  </si>
  <si>
    <t>Benificiaries profit particpation fund</t>
  </si>
  <si>
    <t>Sale of fixed asset</t>
  </si>
  <si>
    <t>Proceeds from long term loan</t>
  </si>
  <si>
    <t>Financial assets-fair value reserve</t>
  </si>
  <si>
    <t>Loss on sale of financial assets available for sale</t>
  </si>
  <si>
    <t>Short term loan</t>
  </si>
  <si>
    <t>Share premium</t>
  </si>
  <si>
    <t>Loss from RT Trail Operation</t>
  </si>
  <si>
    <t>Share Premium</t>
  </si>
  <si>
    <t>Right Issue</t>
  </si>
  <si>
    <t>Bridge loan</t>
  </si>
  <si>
    <t>Provision for contribution against WPPF</t>
  </si>
  <si>
    <t>Debt to Equity</t>
  </si>
  <si>
    <t>Current Ratio</t>
  </si>
  <si>
    <t>Operating Margin</t>
  </si>
  <si>
    <t>Sale proceeds of assets discard</t>
  </si>
  <si>
    <t>Long term loan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</si>
  <si>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</si>
  <si>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</si>
  <si>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</si>
  <si>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</si>
  <si>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</si>
  <si>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</si>
  <si>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</si>
  <si>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</si>
  <si>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</si>
  <si>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</si>
  <si>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</si>
  <si>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</si>
  <si>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</si>
  <si>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</si>
  <si>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</si>
  <si>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</si>
  <si>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</si>
  <si>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</si>
  <si>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</si>
  <si>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</si>
  <si>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</si>
  <si>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</si>
  <si>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</si>
  <si>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</si>
  <si>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</si>
  <si>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</si>
  <si>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</si>
  <si>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</si>
  <si>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</si>
  <si>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</si>
  <si>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</si>
  <si>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</si>
  <si>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</si>
  <si>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Quarter 1</t>
  </si>
  <si>
    <t>Quarter 2</t>
  </si>
  <si>
    <t>Quarter 3</t>
  </si>
  <si>
    <t>Quarter 4</t>
  </si>
  <si>
    <t>Quarter 5</t>
  </si>
  <si>
    <t>As at quarter end</t>
  </si>
  <si>
    <t>Ratio</t>
  </si>
  <si>
    <t>Short Term loan and Bank overdraft</t>
  </si>
  <si>
    <t>Unclaimed Dividend</t>
  </si>
  <si>
    <t>Payment for Right Share</t>
  </si>
  <si>
    <t>Inter company transaction-Cemcor LTD</t>
  </si>
  <si>
    <t>Inter company transaction-CTSL</t>
  </si>
  <si>
    <t>Dividend paid</t>
  </si>
  <si>
    <t>Inter company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</si>
</sst>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3" fontId="2" fillId="0" borderId="0" xfId="0" applyNumberFormat="1" applyFont="1"/>
    <xf numFmtId="43" fontId="0" fillId="0" borderId="0" xfId="1" applyFont="1"/>
    <xf numFmtId="164" fontId="0" fillId="0" borderId="0" xfId="1" applyNumberFormat="1" applyFont="1"/>
    <xf numFmtId="164" fontId="1" fillId="0" borderId="2" xfId="1" applyNumberFormat="1" applyFont="1" applyBorder="1"/>
    <xf numFmtId="164" fontId="3" fillId="0" borderId="2" xfId="1" applyNumberFormat="1" applyFont="1" applyBorder="1"/>
    <xf numFmtId="164" fontId="1" fillId="0" borderId="0" xfId="1" applyNumberFormat="1" applyFont="1"/>
    <xf numFmtId="164" fontId="0" fillId="0" borderId="0" xfId="1" applyNumberFormat="1" applyFont="1" applyFill="1"/>
    <xf numFmtId="164" fontId="1" fillId="0" borderId="0" xfId="1" applyNumberFormat="1" applyFont="1" applyBorder="1"/>
    <xf numFmtId="164" fontId="0" fillId="0" borderId="0" xfId="1" applyNumberFormat="1" applyFont="1" applyBorder="1"/>
    <xf numFmtId="164" fontId="1" fillId="0" borderId="1" xfId="1" applyNumberFormat="1" applyFont="1" applyBorder="1"/>
    <xf numFmtId="10" fontId="0" fillId="0" borderId="0" xfId="2" applyNumberFormat="1" applyFont="1"/>
    <xf numFmtId="2" fontId="0" fillId="0" borderId="0" xfId="0" applyNumberFormat="1"/>
    <xf numFmtId="0" fontId="1" fillId="0" borderId="3" xfId="0" applyFont="1" applyBorder="1" applyAlignment="1">
      <alignment horizontal="left"/>
    </xf>
    <xf numFmtId="0" fontId="5" fillId="0" borderId="0" xfId="0" applyFont="1"/>
    <xf numFmtId="0" fontId="2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3" xfId="0" applyFont="1" applyBorder="1"/>
    <xf numFmtId="0" fontId="1" fillId="0" borderId="1" xfId="0" applyFont="1" applyBorder="1"/>
    <xf numFmtId="165" fontId="2" fillId="0" borderId="0" xfId="0" applyNumberFormat="1" applyFont="1"/>
    <xf numFmtId="165" fontId="2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0"/>
  <sheetViews>
    <sheetView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RowHeight="15" x14ac:dyDescent="0.25"/>
  <cols>
    <col min="1" max="1" width="41.140625" bestFit="1" customWidth="1"/>
    <col min="2" max="6" width="14.28515625" bestFit="1" customWidth="1"/>
  </cols>
  <sheetData>
    <row r="1" spans="1:7" ht="15.75" x14ac:dyDescent="0.25">
      <c r="A1" s="3" t="s">
        <v>22</v>
      </c>
    </row>
    <row r="2" spans="1:7" ht="15.75" x14ac:dyDescent="0.25">
      <c r="A2" s="3" t="s">
        <v>63</v>
      </c>
      <c r="B2" s="40"/>
      <c r="C2" s="40"/>
      <c r="D2" s="40"/>
      <c r="E2" s="40"/>
      <c r="F2" s="40"/>
      <c r="G2" s="40"/>
    </row>
    <row r="3" spans="1:7" ht="15.75" x14ac:dyDescent="0.25">
      <c r="A3" s="3" t="s">
        <v>101</v>
      </c>
      <c r="B3" s="41"/>
      <c r="C3" s="41"/>
      <c r="D3" s="41"/>
      <c r="E3" s="41"/>
      <c r="F3" s="15"/>
      <c r="G3" s="40"/>
    </row>
    <row r="4" spans="1:7" ht="15.75" x14ac:dyDescent="0.25">
      <c r="B4" s="41" t="s">
        <v>96</v>
      </c>
      <c r="C4" s="41" t="s">
        <v>97</v>
      </c>
      <c r="D4" s="41" t="s">
        <v>98</v>
      </c>
      <c r="E4" s="41" t="s">
        <v>99</v>
      </c>
      <c r="F4" s="41" t="s">
        <v>100</v>
      </c>
      <c r="G4" s="40"/>
    </row>
    <row r="5" spans="1:7" ht="15.75" x14ac:dyDescent="0.25">
      <c r="A5" s="3"/>
      <c r="B5" s="42">
        <v>43100</v>
      </c>
      <c r="C5" s="43">
        <v>43190</v>
      </c>
      <c r="D5" s="42">
        <v>43373</v>
      </c>
      <c r="E5" s="42">
        <v>43465</v>
      </c>
      <c r="F5" s="42">
        <v>43555</v>
      </c>
      <c r="G5" s="40"/>
    </row>
    <row r="6" spans="1:7" x14ac:dyDescent="0.25">
      <c r="A6" s="28" t="s">
        <v>0</v>
      </c>
    </row>
    <row r="7" spans="1:7" x14ac:dyDescent="0.25">
      <c r="A7" s="29" t="s">
        <v>1</v>
      </c>
      <c r="B7" s="4">
        <f>SUM(B8:B12)</f>
        <v>8422848161</v>
      </c>
      <c r="C7" s="4">
        <f t="shared" ref="C7:F7" si="0">SUM(C8:C12)</f>
        <v>0</v>
      </c>
      <c r="D7" s="4">
        <f>SUM(D8:D12)</f>
        <v>8659197364</v>
      </c>
      <c r="E7" s="4">
        <f t="shared" si="0"/>
        <v>8859895441</v>
      </c>
      <c r="F7" s="4">
        <f t="shared" si="0"/>
        <v>9056564211</v>
      </c>
    </row>
    <row r="8" spans="1:7" x14ac:dyDescent="0.25">
      <c r="A8" t="s">
        <v>6</v>
      </c>
      <c r="B8" s="1">
        <v>8421848186</v>
      </c>
      <c r="C8" s="1"/>
      <c r="D8" s="6">
        <v>8658197389</v>
      </c>
      <c r="E8" s="18">
        <v>8731564850</v>
      </c>
      <c r="F8" s="6">
        <v>8911357496</v>
      </c>
    </row>
    <row r="9" spans="1:7" x14ac:dyDescent="0.25">
      <c r="A9" t="s">
        <v>41</v>
      </c>
      <c r="C9" s="1"/>
      <c r="E9" s="18"/>
      <c r="F9" s="6"/>
    </row>
    <row r="10" spans="1:7" x14ac:dyDescent="0.25">
      <c r="A10" t="s">
        <v>32</v>
      </c>
      <c r="B10" s="1"/>
      <c r="C10" s="1"/>
      <c r="D10" s="6"/>
      <c r="E10" s="18">
        <v>127330616</v>
      </c>
      <c r="F10" s="6">
        <v>144206740</v>
      </c>
    </row>
    <row r="11" spans="1:7" x14ac:dyDescent="0.25">
      <c r="A11" t="s">
        <v>42</v>
      </c>
      <c r="B11" s="1"/>
      <c r="C11" s="1"/>
      <c r="D11" s="6"/>
      <c r="E11" s="6"/>
      <c r="F11" s="6"/>
    </row>
    <row r="12" spans="1:7" x14ac:dyDescent="0.25">
      <c r="A12" t="s">
        <v>43</v>
      </c>
      <c r="B12" s="1">
        <v>999975</v>
      </c>
      <c r="C12" s="1"/>
      <c r="D12" s="6">
        <v>999975</v>
      </c>
      <c r="E12" s="6">
        <v>999975</v>
      </c>
      <c r="F12" s="6">
        <v>999975</v>
      </c>
    </row>
    <row r="13" spans="1:7" x14ac:dyDescent="0.25">
      <c r="B13" s="1"/>
      <c r="C13" s="1"/>
      <c r="D13" s="6"/>
      <c r="E13" s="6"/>
      <c r="F13" s="6"/>
    </row>
    <row r="14" spans="1:7" x14ac:dyDescent="0.25">
      <c r="A14" s="29" t="s">
        <v>2</v>
      </c>
      <c r="B14" s="4">
        <f>SUM(B15:B21)</f>
        <v>896394231</v>
      </c>
      <c r="C14" s="4">
        <f t="shared" ref="C14:F14" si="1">SUM(C15:C21)</f>
        <v>0</v>
      </c>
      <c r="D14" s="4">
        <f t="shared" si="1"/>
        <v>1045709791</v>
      </c>
      <c r="E14" s="4">
        <f t="shared" si="1"/>
        <v>902615562</v>
      </c>
      <c r="F14" s="4">
        <f t="shared" si="1"/>
        <v>877643587</v>
      </c>
    </row>
    <row r="15" spans="1:7" x14ac:dyDescent="0.25">
      <c r="A15" s="5" t="s">
        <v>14</v>
      </c>
      <c r="B15" s="1">
        <v>220563688</v>
      </c>
      <c r="C15" s="1"/>
      <c r="D15" s="6">
        <v>228593269</v>
      </c>
      <c r="E15" s="6">
        <v>198008599</v>
      </c>
      <c r="F15" s="6">
        <v>225155224</v>
      </c>
    </row>
    <row r="16" spans="1:7" x14ac:dyDescent="0.25">
      <c r="A16" s="5" t="s">
        <v>23</v>
      </c>
      <c r="B16" s="1">
        <v>20691145</v>
      </c>
      <c r="C16" s="1"/>
      <c r="D16" s="6">
        <v>13354607</v>
      </c>
      <c r="E16" s="6">
        <v>13127581</v>
      </c>
      <c r="F16" s="6">
        <v>12918691</v>
      </c>
    </row>
    <row r="17" spans="1:6" x14ac:dyDescent="0.25">
      <c r="A17" s="5" t="s">
        <v>24</v>
      </c>
      <c r="B17" s="1">
        <v>410925803</v>
      </c>
      <c r="C17" s="1"/>
      <c r="D17" s="6">
        <v>453125283</v>
      </c>
      <c r="E17" s="6">
        <v>450364970</v>
      </c>
      <c r="F17" s="6">
        <v>298440033</v>
      </c>
    </row>
    <row r="18" spans="1:6" x14ac:dyDescent="0.25">
      <c r="A18" s="5" t="s">
        <v>25</v>
      </c>
      <c r="B18" s="18">
        <v>197094982</v>
      </c>
      <c r="C18" s="18"/>
      <c r="D18" s="18">
        <v>255011975</v>
      </c>
      <c r="E18" s="18">
        <v>204820031</v>
      </c>
      <c r="F18" s="18">
        <v>238221634</v>
      </c>
    </row>
    <row r="19" spans="1:6" x14ac:dyDescent="0.25">
      <c r="A19" s="5" t="s">
        <v>5</v>
      </c>
      <c r="B19" s="18">
        <v>6491713</v>
      </c>
      <c r="C19" s="18"/>
      <c r="D19" s="18">
        <v>7607657</v>
      </c>
      <c r="E19" s="18">
        <v>15227640</v>
      </c>
      <c r="F19" s="18">
        <v>12835525</v>
      </c>
    </row>
    <row r="20" spans="1:6" x14ac:dyDescent="0.25">
      <c r="A20" s="5" t="s">
        <v>109</v>
      </c>
      <c r="B20" s="18"/>
      <c r="C20" s="18"/>
      <c r="D20" s="18"/>
      <c r="E20" s="18"/>
      <c r="F20" s="18"/>
    </row>
    <row r="21" spans="1:6" x14ac:dyDescent="0.25">
      <c r="A21" s="5" t="s">
        <v>10</v>
      </c>
      <c r="B21" s="18">
        <v>40626900</v>
      </c>
      <c r="C21" s="18"/>
      <c r="D21" s="18">
        <v>88017000</v>
      </c>
      <c r="E21" s="18">
        <v>21066741</v>
      </c>
      <c r="F21" s="18">
        <v>90072480</v>
      </c>
    </row>
    <row r="22" spans="1:6" x14ac:dyDescent="0.25">
      <c r="B22" s="18"/>
      <c r="C22" s="18"/>
      <c r="D22" s="18"/>
      <c r="E22" s="18"/>
      <c r="F22" s="18"/>
    </row>
    <row r="23" spans="1:6" x14ac:dyDescent="0.25">
      <c r="A23" s="2"/>
      <c r="B23" s="21">
        <f>SUM(B7,B14)</f>
        <v>9319242392</v>
      </c>
      <c r="C23" s="21">
        <f t="shared" ref="C23:F23" si="2">SUM(C7,C14)</f>
        <v>0</v>
      </c>
      <c r="D23" s="21">
        <f t="shared" si="2"/>
        <v>9704907155</v>
      </c>
      <c r="E23" s="21">
        <f t="shared" si="2"/>
        <v>9762511003</v>
      </c>
      <c r="F23" s="21">
        <f t="shared" si="2"/>
        <v>9934207798</v>
      </c>
    </row>
    <row r="24" spans="1:6" x14ac:dyDescent="0.25">
      <c r="B24" s="18"/>
      <c r="C24" s="18"/>
      <c r="D24" s="18"/>
      <c r="E24" s="18"/>
      <c r="F24" s="18"/>
    </row>
    <row r="25" spans="1:6" ht="15.75" x14ac:dyDescent="0.25">
      <c r="A25" s="30" t="s">
        <v>64</v>
      </c>
      <c r="B25" s="18"/>
      <c r="C25" s="21"/>
      <c r="D25" s="21"/>
      <c r="E25" s="21"/>
      <c r="F25" s="21"/>
    </row>
    <row r="26" spans="1:6" ht="15.75" x14ac:dyDescent="0.25">
      <c r="A26" s="31" t="s">
        <v>65</v>
      </c>
      <c r="B26" s="18"/>
      <c r="C26" s="18"/>
      <c r="D26" s="18"/>
      <c r="E26" s="18"/>
      <c r="F26" s="18"/>
    </row>
    <row r="27" spans="1:6" x14ac:dyDescent="0.25">
      <c r="A27" s="29" t="s">
        <v>66</v>
      </c>
      <c r="B27" s="21">
        <f>SUM(B28:B30)</f>
        <v>2571458277</v>
      </c>
      <c r="C27" s="21">
        <f t="shared" ref="C27:F27" si="3">SUM(C28:C30)</f>
        <v>0</v>
      </c>
      <c r="D27" s="21">
        <f>SUM(D28:D30)</f>
        <v>2387694639</v>
      </c>
      <c r="E27" s="21">
        <f t="shared" si="3"/>
        <v>2825078626</v>
      </c>
      <c r="F27" s="21">
        <f t="shared" si="3"/>
        <v>2824961396</v>
      </c>
    </row>
    <row r="28" spans="1:6" x14ac:dyDescent="0.25">
      <c r="A28" s="5" t="s">
        <v>16</v>
      </c>
      <c r="B28" s="18">
        <v>2227963232</v>
      </c>
      <c r="C28" s="18"/>
      <c r="D28" s="18">
        <v>2142923471</v>
      </c>
      <c r="E28" s="18">
        <v>2574286221</v>
      </c>
      <c r="F28" s="18">
        <v>74001215</v>
      </c>
    </row>
    <row r="29" spans="1:6" x14ac:dyDescent="0.25">
      <c r="A29" s="5" t="s">
        <v>27</v>
      </c>
      <c r="B29" s="18">
        <v>277065655</v>
      </c>
      <c r="C29" s="18"/>
      <c r="D29" s="18">
        <v>75139055</v>
      </c>
      <c r="E29" s="18">
        <v>78090611</v>
      </c>
      <c r="F29" s="18">
        <v>179035001</v>
      </c>
    </row>
    <row r="30" spans="1:6" x14ac:dyDescent="0.25">
      <c r="A30" s="5" t="s">
        <v>44</v>
      </c>
      <c r="B30" s="18">
        <v>66429390</v>
      </c>
      <c r="C30" s="18"/>
      <c r="D30" s="18">
        <v>169632113</v>
      </c>
      <c r="E30" s="18">
        <v>172701794</v>
      </c>
      <c r="F30" s="18">
        <v>2571925180</v>
      </c>
    </row>
    <row r="31" spans="1:6" x14ac:dyDescent="0.25">
      <c r="B31" s="18"/>
      <c r="C31" s="18"/>
      <c r="D31" s="18"/>
      <c r="E31" s="18"/>
      <c r="F31" s="18"/>
    </row>
    <row r="32" spans="1:6" x14ac:dyDescent="0.25">
      <c r="A32" s="29" t="s">
        <v>67</v>
      </c>
      <c r="B32" s="21">
        <f t="shared" ref="B32:C32" si="4">SUM(B33:B40)</f>
        <v>1419180709</v>
      </c>
      <c r="C32" s="21">
        <f t="shared" si="4"/>
        <v>0</v>
      </c>
      <c r="D32" s="21">
        <f>SUM(D33:D40)</f>
        <v>2047719393</v>
      </c>
      <c r="E32" s="21">
        <f>SUM(E33:E40)</f>
        <v>1647985635</v>
      </c>
      <c r="F32" s="21">
        <f>SUM(F33:F40)</f>
        <v>1804980550</v>
      </c>
    </row>
    <row r="33" spans="1:6" x14ac:dyDescent="0.25">
      <c r="A33" s="5" t="s">
        <v>28</v>
      </c>
      <c r="B33" s="18"/>
      <c r="C33" s="18"/>
      <c r="D33" s="18"/>
      <c r="E33" s="18"/>
      <c r="F33" s="18"/>
    </row>
    <row r="34" spans="1:6" x14ac:dyDescent="0.25">
      <c r="A34" s="5" t="s">
        <v>103</v>
      </c>
      <c r="B34" s="18">
        <v>822037804</v>
      </c>
      <c r="C34" s="18"/>
      <c r="D34" s="18">
        <v>1362263288</v>
      </c>
      <c r="E34" s="18">
        <v>1024491986</v>
      </c>
      <c r="F34" s="18">
        <v>1404432681</v>
      </c>
    </row>
    <row r="35" spans="1:6" x14ac:dyDescent="0.25">
      <c r="A35" s="5" t="s">
        <v>15</v>
      </c>
      <c r="B35" s="18">
        <v>10986762</v>
      </c>
      <c r="C35" s="18"/>
      <c r="D35" s="18">
        <v>22397650</v>
      </c>
      <c r="E35" s="18">
        <v>16043315</v>
      </c>
      <c r="F35" s="18">
        <v>21545514</v>
      </c>
    </row>
    <row r="36" spans="1:6" x14ac:dyDescent="0.25">
      <c r="A36" s="5" t="s">
        <v>29</v>
      </c>
      <c r="B36" s="18"/>
      <c r="C36" s="18"/>
      <c r="D36" s="18">
        <v>279113786</v>
      </c>
      <c r="E36" s="18"/>
      <c r="F36" s="18"/>
    </row>
    <row r="37" spans="1:6" x14ac:dyDescent="0.25">
      <c r="A37" s="5" t="s">
        <v>18</v>
      </c>
      <c r="B37" s="18">
        <v>9065539</v>
      </c>
      <c r="C37" s="18"/>
      <c r="D37" s="18">
        <v>12913673</v>
      </c>
      <c r="E37" s="18">
        <v>3584864</v>
      </c>
      <c r="F37" s="18">
        <v>3816280</v>
      </c>
    </row>
    <row r="38" spans="1:6" x14ac:dyDescent="0.25">
      <c r="A38" s="5" t="s">
        <v>46</v>
      </c>
      <c r="B38" s="18">
        <v>24044181</v>
      </c>
      <c r="C38" s="18"/>
      <c r="D38" s="18">
        <v>13606993</v>
      </c>
      <c r="E38" s="18">
        <v>11866310</v>
      </c>
      <c r="F38" s="18">
        <v>5336416</v>
      </c>
    </row>
    <row r="39" spans="1:6" x14ac:dyDescent="0.25">
      <c r="A39" s="5" t="s">
        <v>17</v>
      </c>
      <c r="B39" s="18">
        <v>269476139</v>
      </c>
      <c r="C39" s="18"/>
      <c r="D39" s="18">
        <v>209098063</v>
      </c>
      <c r="E39" s="18">
        <v>243284482</v>
      </c>
      <c r="F39" s="18">
        <v>225327395</v>
      </c>
    </row>
    <row r="40" spans="1:6" x14ac:dyDescent="0.25">
      <c r="A40" s="5" t="s">
        <v>104</v>
      </c>
      <c r="B40" s="18">
        <v>283570284</v>
      </c>
      <c r="C40" s="18"/>
      <c r="D40" s="18">
        <v>148325940</v>
      </c>
      <c r="E40" s="18">
        <v>348714678</v>
      </c>
      <c r="F40" s="18">
        <v>144522264</v>
      </c>
    </row>
    <row r="41" spans="1:6" x14ac:dyDescent="0.25">
      <c r="A41" s="2"/>
      <c r="B41" s="21">
        <f>SUM(B27,B32)</f>
        <v>3990638986</v>
      </c>
      <c r="C41" s="21">
        <f t="shared" ref="C41:F41" si="5">SUM(C27,C32)</f>
        <v>0</v>
      </c>
      <c r="D41" s="21">
        <f t="shared" si="5"/>
        <v>4435414032</v>
      </c>
      <c r="E41" s="21">
        <f t="shared" si="5"/>
        <v>4473064261</v>
      </c>
      <c r="F41" s="21">
        <f t="shared" si="5"/>
        <v>4629941946</v>
      </c>
    </row>
    <row r="42" spans="1:6" x14ac:dyDescent="0.25">
      <c r="A42" s="2"/>
      <c r="B42" s="21"/>
      <c r="C42" s="21"/>
      <c r="D42" s="21"/>
      <c r="E42" s="21"/>
      <c r="F42" s="21"/>
    </row>
    <row r="43" spans="1:6" x14ac:dyDescent="0.25">
      <c r="A43" s="29" t="s">
        <v>68</v>
      </c>
      <c r="B43" s="21">
        <f>SUM(B44:B49)</f>
        <v>5328556285</v>
      </c>
      <c r="C43" s="21">
        <f t="shared" ref="C43:F43" si="6">SUM(C44:C49)</f>
        <v>0</v>
      </c>
      <c r="D43" s="21">
        <f>SUM(D44:D49)</f>
        <v>5269413815</v>
      </c>
      <c r="E43" s="21">
        <f t="shared" si="6"/>
        <v>5289399809</v>
      </c>
      <c r="F43" s="21">
        <f t="shared" si="6"/>
        <v>5304214089</v>
      </c>
    </row>
    <row r="44" spans="1:6" x14ac:dyDescent="0.25">
      <c r="A44" t="s">
        <v>11</v>
      </c>
      <c r="B44" s="18">
        <v>2232910290</v>
      </c>
      <c r="C44" s="18"/>
      <c r="D44" s="18">
        <v>2232910290</v>
      </c>
      <c r="E44" s="18">
        <v>2232910290</v>
      </c>
      <c r="F44" s="18">
        <v>2232910290</v>
      </c>
    </row>
    <row r="45" spans="1:6" x14ac:dyDescent="0.25">
      <c r="A45" t="s">
        <v>52</v>
      </c>
      <c r="B45" s="18">
        <v>171762330</v>
      </c>
      <c r="C45" s="18"/>
      <c r="D45" s="18">
        <v>171762330</v>
      </c>
      <c r="E45" s="18">
        <v>171762330</v>
      </c>
      <c r="F45" s="18">
        <v>171762330</v>
      </c>
    </row>
    <row r="46" spans="1:6" x14ac:dyDescent="0.25">
      <c r="A46" t="s">
        <v>13</v>
      </c>
      <c r="B46" s="18">
        <v>2894323406</v>
      </c>
      <c r="C46" s="18"/>
      <c r="D46" s="18">
        <v>2891405120</v>
      </c>
      <c r="E46" s="18">
        <v>2890384120</v>
      </c>
      <c r="F46" s="18">
        <v>2889449402</v>
      </c>
    </row>
    <row r="47" spans="1:6" x14ac:dyDescent="0.25">
      <c r="A47" t="s">
        <v>49</v>
      </c>
      <c r="B47" s="18">
        <v>-32261270</v>
      </c>
      <c r="C47" s="18"/>
      <c r="D47" s="18">
        <v>-38742856</v>
      </c>
      <c r="E47" s="18">
        <v>-38717742</v>
      </c>
      <c r="F47" s="18">
        <v>-38689478</v>
      </c>
    </row>
    <row r="48" spans="1:6" x14ac:dyDescent="0.25">
      <c r="A48" t="s">
        <v>26</v>
      </c>
      <c r="B48" s="18"/>
      <c r="C48" s="18"/>
      <c r="D48" s="18"/>
      <c r="E48" s="18"/>
      <c r="F48" s="18"/>
    </row>
    <row r="49" spans="1:6" x14ac:dyDescent="0.25">
      <c r="A49" t="s">
        <v>9</v>
      </c>
      <c r="B49" s="18">
        <v>61821529</v>
      </c>
      <c r="C49" s="18"/>
      <c r="D49" s="18">
        <v>12078931</v>
      </c>
      <c r="E49" s="18">
        <v>33060811</v>
      </c>
      <c r="F49" s="18">
        <v>48781545</v>
      </c>
    </row>
    <row r="50" spans="1:6" x14ac:dyDescent="0.25">
      <c r="B50" s="18"/>
      <c r="C50" s="18"/>
      <c r="D50" s="18"/>
      <c r="E50" s="18"/>
      <c r="F50" s="18"/>
    </row>
    <row r="51" spans="1:6" x14ac:dyDescent="0.25">
      <c r="A51" s="29" t="s">
        <v>69</v>
      </c>
      <c r="B51" s="18">
        <v>47118</v>
      </c>
      <c r="C51" s="18"/>
      <c r="D51" s="18">
        <v>79308</v>
      </c>
      <c r="E51" s="18">
        <v>46934</v>
      </c>
      <c r="F51" s="18">
        <v>51760</v>
      </c>
    </row>
    <row r="52" spans="1:6" x14ac:dyDescent="0.25">
      <c r="A52" s="2"/>
      <c r="B52" s="21"/>
      <c r="C52" s="21"/>
      <c r="D52" s="21"/>
      <c r="E52" s="21"/>
      <c r="F52" s="21"/>
    </row>
    <row r="53" spans="1:6" x14ac:dyDescent="0.25">
      <c r="A53" s="2"/>
      <c r="B53" s="18"/>
      <c r="C53" s="18"/>
      <c r="D53" s="22"/>
      <c r="E53" s="22"/>
      <c r="F53" s="22"/>
    </row>
    <row r="54" spans="1:6" x14ac:dyDescent="0.25">
      <c r="A54" s="2"/>
      <c r="B54" s="21">
        <f>SUM(B43,B41,B51)</f>
        <v>9319242389</v>
      </c>
      <c r="C54" s="21">
        <f t="shared" ref="C54:E54" si="7">SUM(C43,C41)+C51</f>
        <v>0</v>
      </c>
      <c r="D54" s="21">
        <f t="shared" si="7"/>
        <v>9704907155</v>
      </c>
      <c r="E54" s="21">
        <f t="shared" si="7"/>
        <v>9762511004</v>
      </c>
      <c r="F54" s="21">
        <f>SUM(F43,F41)+F51</f>
        <v>9934207795</v>
      </c>
    </row>
    <row r="55" spans="1:6" x14ac:dyDescent="0.25">
      <c r="B55" s="18"/>
      <c r="C55" s="18"/>
      <c r="D55" s="22"/>
      <c r="E55" s="22"/>
      <c r="F55" s="22"/>
    </row>
    <row r="56" spans="1:6" x14ac:dyDescent="0.25">
      <c r="A56" s="32" t="s">
        <v>70</v>
      </c>
      <c r="B56" s="11">
        <f t="shared" ref="B56:F56" si="8">(B43-B51)/(B44/10)</f>
        <v>23.863516554442498</v>
      </c>
      <c r="C56" s="11" t="e">
        <f t="shared" si="8"/>
        <v>#DIV/0!</v>
      </c>
      <c r="D56" s="11">
        <f t="shared" si="8"/>
        <v>23.598505191178102</v>
      </c>
      <c r="E56" s="11">
        <f t="shared" si="8"/>
        <v>23.688156656754895</v>
      </c>
      <c r="F56" s="11">
        <f t="shared" si="8"/>
        <v>23.754480207980052</v>
      </c>
    </row>
    <row r="57" spans="1:6" x14ac:dyDescent="0.25">
      <c r="A57" s="32" t="s">
        <v>71</v>
      </c>
      <c r="B57" s="4">
        <f>B44/10</f>
        <v>223291029</v>
      </c>
      <c r="C57" s="4">
        <f t="shared" ref="C57:F57" si="9">C44/10</f>
        <v>0</v>
      </c>
      <c r="D57" s="4">
        <f t="shared" si="9"/>
        <v>223291029</v>
      </c>
      <c r="E57" s="4">
        <f t="shared" si="9"/>
        <v>223291029</v>
      </c>
      <c r="F57" s="4">
        <f t="shared" si="9"/>
        <v>223291029</v>
      </c>
    </row>
    <row r="58" spans="1:6" x14ac:dyDescent="0.25">
      <c r="B58" s="1"/>
      <c r="C58" s="1"/>
      <c r="D58" s="1"/>
      <c r="E58" s="1"/>
      <c r="F58" s="1"/>
    </row>
    <row r="59" spans="1:6" x14ac:dyDescent="0.25">
      <c r="F59" s="1"/>
    </row>
    <row r="60" spans="1:6" x14ac:dyDescent="0.25">
      <c r="B60" s="2"/>
      <c r="C60" s="11"/>
      <c r="D60" s="2"/>
      <c r="E60" s="2"/>
      <c r="F60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1"/>
  <sheetViews>
    <sheetView workbookViewId="0">
      <pane xSplit="1" ySplit="5" topLeftCell="E15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5" x14ac:dyDescent="0.25"/>
  <cols>
    <col min="1" max="1" width="44.140625" bestFit="1" customWidth="1"/>
    <col min="2" max="4" width="12.5703125" bestFit="1" customWidth="1"/>
    <col min="5" max="6" width="14.28515625" bestFit="1" customWidth="1"/>
  </cols>
  <sheetData>
    <row r="1" spans="1:6" ht="15.75" x14ac:dyDescent="0.25">
      <c r="A1" s="3" t="s">
        <v>22</v>
      </c>
    </row>
    <row r="2" spans="1:6" ht="15.75" x14ac:dyDescent="0.25">
      <c r="A2" s="3" t="s">
        <v>72</v>
      </c>
      <c r="B2" s="16"/>
      <c r="C2" s="16"/>
      <c r="D2" s="16"/>
      <c r="E2" s="16"/>
      <c r="F2" s="16"/>
    </row>
    <row r="3" spans="1:6" ht="15.75" x14ac:dyDescent="0.25">
      <c r="A3" s="3" t="s">
        <v>101</v>
      </c>
      <c r="B3" s="41"/>
      <c r="C3" s="41"/>
      <c r="D3" s="41"/>
      <c r="E3" s="41"/>
      <c r="F3" s="15"/>
    </row>
    <row r="4" spans="1:6" ht="15.75" x14ac:dyDescent="0.25">
      <c r="B4" s="41" t="s">
        <v>96</v>
      </c>
      <c r="C4" s="41" t="s">
        <v>97</v>
      </c>
      <c r="D4" s="41" t="s">
        <v>98</v>
      </c>
      <c r="E4" s="41" t="s">
        <v>99</v>
      </c>
      <c r="F4" s="41" t="s">
        <v>100</v>
      </c>
    </row>
    <row r="5" spans="1:6" ht="15.75" x14ac:dyDescent="0.25">
      <c r="A5" s="3"/>
      <c r="B5" s="42">
        <v>43100</v>
      </c>
      <c r="C5" s="43">
        <v>43190</v>
      </c>
      <c r="D5" s="42">
        <v>43373</v>
      </c>
      <c r="E5" s="42">
        <v>43465</v>
      </c>
      <c r="F5" s="42">
        <v>43555</v>
      </c>
    </row>
    <row r="6" spans="1:6" x14ac:dyDescent="0.25">
      <c r="A6" s="32" t="s">
        <v>73</v>
      </c>
      <c r="B6" s="18">
        <v>748227204</v>
      </c>
      <c r="C6" s="18"/>
      <c r="D6" s="18">
        <v>422356121</v>
      </c>
      <c r="E6" s="18">
        <v>804992643</v>
      </c>
      <c r="F6" s="18">
        <v>1212874344</v>
      </c>
    </row>
    <row r="7" spans="1:6" x14ac:dyDescent="0.25">
      <c r="A7" t="s">
        <v>74</v>
      </c>
      <c r="B7" s="22">
        <v>402213351</v>
      </c>
      <c r="C7" s="22"/>
      <c r="D7" s="22">
        <v>222646248</v>
      </c>
      <c r="E7" s="22">
        <v>416397669</v>
      </c>
      <c r="F7" s="22">
        <v>642376408</v>
      </c>
    </row>
    <row r="8" spans="1:6" x14ac:dyDescent="0.25">
      <c r="A8" s="32" t="s">
        <v>3</v>
      </c>
      <c r="B8" s="19">
        <f>B6-B7</f>
        <v>346013853</v>
      </c>
      <c r="C8" s="19">
        <f t="shared" ref="C8:F8" si="0">C6-C7</f>
        <v>0</v>
      </c>
      <c r="D8" s="19">
        <f t="shared" si="0"/>
        <v>199709873</v>
      </c>
      <c r="E8" s="19">
        <f t="shared" si="0"/>
        <v>388594974</v>
      </c>
      <c r="F8" s="19">
        <f t="shared" si="0"/>
        <v>570497936</v>
      </c>
    </row>
    <row r="9" spans="1:6" x14ac:dyDescent="0.25">
      <c r="A9" s="32" t="s">
        <v>75</v>
      </c>
      <c r="B9" s="21"/>
      <c r="C9" s="21"/>
      <c r="D9" s="21"/>
      <c r="E9" s="21"/>
      <c r="F9" s="21"/>
    </row>
    <row r="10" spans="1:6" x14ac:dyDescent="0.25">
      <c r="A10" s="5" t="s">
        <v>37</v>
      </c>
      <c r="B10" s="22">
        <v>78727075</v>
      </c>
      <c r="C10" s="22"/>
      <c r="D10" s="22">
        <v>43612369</v>
      </c>
      <c r="E10" s="22">
        <v>92449223</v>
      </c>
      <c r="F10" s="22">
        <v>136928377</v>
      </c>
    </row>
    <row r="11" spans="1:6" x14ac:dyDescent="0.25">
      <c r="A11" s="5" t="s">
        <v>38</v>
      </c>
      <c r="B11" s="22">
        <v>732940</v>
      </c>
      <c r="C11" s="22"/>
      <c r="D11" s="22">
        <v>100000</v>
      </c>
      <c r="E11" s="22">
        <v>574860</v>
      </c>
      <c r="F11" s="22">
        <v>957220</v>
      </c>
    </row>
    <row r="12" spans="1:6" x14ac:dyDescent="0.25">
      <c r="A12" s="32" t="s">
        <v>4</v>
      </c>
      <c r="B12" s="19">
        <f>B8-B10-B11</f>
        <v>266553838</v>
      </c>
      <c r="C12" s="19">
        <f t="shared" ref="C12:F12" si="1">C8-C10-C11</f>
        <v>0</v>
      </c>
      <c r="D12" s="19">
        <f t="shared" si="1"/>
        <v>155997504</v>
      </c>
      <c r="E12" s="19">
        <f t="shared" si="1"/>
        <v>295570891</v>
      </c>
      <c r="F12" s="19">
        <f t="shared" si="1"/>
        <v>432612339</v>
      </c>
    </row>
    <row r="13" spans="1:6" x14ac:dyDescent="0.25">
      <c r="A13" s="33" t="s">
        <v>76</v>
      </c>
      <c r="B13" s="23"/>
      <c r="C13" s="23"/>
      <c r="D13" s="23"/>
      <c r="E13" s="23"/>
      <c r="F13" s="23"/>
    </row>
    <row r="14" spans="1:6" x14ac:dyDescent="0.25">
      <c r="A14" s="5" t="s">
        <v>12</v>
      </c>
      <c r="B14" s="24">
        <v>103155171</v>
      </c>
      <c r="C14" s="24"/>
      <c r="D14" s="24">
        <v>76866175</v>
      </c>
      <c r="E14" s="24">
        <v>176232477</v>
      </c>
      <c r="F14" s="24">
        <v>267990280</v>
      </c>
    </row>
    <row r="15" spans="1:6" x14ac:dyDescent="0.25">
      <c r="A15" s="5" t="s">
        <v>40</v>
      </c>
      <c r="B15" s="24">
        <v>2115557</v>
      </c>
      <c r="C15" s="24"/>
      <c r="D15" s="24">
        <v>354731</v>
      </c>
      <c r="E15" s="24">
        <v>1458757</v>
      </c>
      <c r="F15" s="24">
        <v>3741988</v>
      </c>
    </row>
    <row r="16" spans="1:6" x14ac:dyDescent="0.25">
      <c r="A16" s="5" t="s">
        <v>50</v>
      </c>
      <c r="B16" s="24">
        <v>208173</v>
      </c>
      <c r="C16" s="24"/>
      <c r="D16" s="24"/>
      <c r="E16" s="24"/>
      <c r="F16" s="24">
        <v>0</v>
      </c>
    </row>
    <row r="17" spans="1:6" x14ac:dyDescent="0.25">
      <c r="A17" s="5" t="s">
        <v>30</v>
      </c>
      <c r="B17" s="24"/>
      <c r="C17" s="24"/>
      <c r="D17" s="24"/>
      <c r="E17" s="24"/>
      <c r="F17" s="24"/>
    </row>
    <row r="18" spans="1:6" x14ac:dyDescent="0.25">
      <c r="A18" s="5" t="s">
        <v>39</v>
      </c>
      <c r="B18" s="24"/>
      <c r="C18" s="24"/>
      <c r="D18" s="24"/>
      <c r="E18" s="24"/>
      <c r="F18" s="24"/>
    </row>
    <row r="19" spans="1:6" x14ac:dyDescent="0.25">
      <c r="A19" s="32" t="s">
        <v>77</v>
      </c>
      <c r="B19" s="19">
        <f>B12-B14+B15-B16+B17+B18</f>
        <v>165306051</v>
      </c>
      <c r="C19" s="19">
        <f t="shared" ref="C19:E19" si="2">C12-C14+C15+C16+C17+C18</f>
        <v>0</v>
      </c>
      <c r="D19" s="19">
        <f t="shared" si="2"/>
        <v>79486060</v>
      </c>
      <c r="E19" s="19">
        <f t="shared" si="2"/>
        <v>120797171</v>
      </c>
      <c r="F19" s="19">
        <f>F12-F14+F15+F16+F17+F18</f>
        <v>168364047</v>
      </c>
    </row>
    <row r="20" spans="1:6" x14ac:dyDescent="0.25">
      <c r="A20" s="5" t="s">
        <v>53</v>
      </c>
      <c r="B20" s="24">
        <v>63540130</v>
      </c>
      <c r="C20" s="24"/>
      <c r="D20" s="24">
        <v>26699996</v>
      </c>
      <c r="E20" s="24">
        <v>41740640</v>
      </c>
      <c r="F20" s="24">
        <v>64054128</v>
      </c>
    </row>
    <row r="21" spans="1:6" x14ac:dyDescent="0.25">
      <c r="A21" s="5" t="s">
        <v>57</v>
      </c>
      <c r="B21" s="24">
        <v>5088296</v>
      </c>
      <c r="C21" s="24"/>
      <c r="D21" s="24">
        <v>2378011</v>
      </c>
      <c r="E21" s="24">
        <v>4043843</v>
      </c>
      <c r="F21" s="24">
        <v>5336229</v>
      </c>
    </row>
    <row r="22" spans="1:6" x14ac:dyDescent="0.25">
      <c r="A22" s="32" t="s">
        <v>78</v>
      </c>
      <c r="B22" s="23">
        <f>B19-B20-B21</f>
        <v>96677625</v>
      </c>
      <c r="C22" s="23">
        <f t="shared" ref="C22:E22" si="3">C19+C20-C21</f>
        <v>0</v>
      </c>
      <c r="D22" s="23">
        <f>D19-D20-D21</f>
        <v>50408053</v>
      </c>
      <c r="E22" s="23">
        <f t="shared" si="3"/>
        <v>158493968</v>
      </c>
      <c r="F22" s="23">
        <f>F19-F20-F21</f>
        <v>98973690</v>
      </c>
    </row>
    <row r="23" spans="1:6" x14ac:dyDescent="0.25">
      <c r="A23" s="2"/>
      <c r="B23" s="23"/>
      <c r="C23" s="23"/>
      <c r="D23" s="23"/>
      <c r="E23" s="23"/>
      <c r="F23" s="23"/>
    </row>
    <row r="24" spans="1:6" x14ac:dyDescent="0.25">
      <c r="A24" s="29" t="s">
        <v>79</v>
      </c>
      <c r="B24" s="23">
        <f t="shared" ref="B24:F24" si="4">SUM(B25:B26)</f>
        <v>-30182229</v>
      </c>
      <c r="C24" s="23">
        <f t="shared" si="4"/>
        <v>0</v>
      </c>
      <c r="D24" s="23">
        <f t="shared" si="4"/>
        <v>-14373127</v>
      </c>
      <c r="E24" s="23">
        <f t="shared" si="4"/>
        <v>-19100686</v>
      </c>
      <c r="F24" s="23">
        <f t="shared" si="4"/>
        <v>-28486734</v>
      </c>
    </row>
    <row r="25" spans="1:6" x14ac:dyDescent="0.25">
      <c r="A25" s="5" t="s">
        <v>7</v>
      </c>
      <c r="B25" s="24">
        <v>-24534968</v>
      </c>
      <c r="C25" s="24"/>
      <c r="D25" s="24">
        <v>-14586301</v>
      </c>
      <c r="E25" s="24">
        <v>-15862616</v>
      </c>
      <c r="F25" s="24">
        <v>-18462598</v>
      </c>
    </row>
    <row r="26" spans="1:6" x14ac:dyDescent="0.25">
      <c r="A26" s="5" t="s">
        <v>8</v>
      </c>
      <c r="B26" s="24">
        <v>-5647261</v>
      </c>
      <c r="C26" s="24"/>
      <c r="D26" s="24">
        <v>213174</v>
      </c>
      <c r="E26" s="24">
        <v>-3238070</v>
      </c>
      <c r="F26" s="24">
        <v>-10024136</v>
      </c>
    </row>
    <row r="27" spans="1:6" x14ac:dyDescent="0.25">
      <c r="A27" s="14"/>
      <c r="B27" s="24"/>
      <c r="C27" s="24"/>
      <c r="D27" s="24"/>
      <c r="E27" s="24"/>
      <c r="F27" s="24"/>
    </row>
    <row r="28" spans="1:6" x14ac:dyDescent="0.25">
      <c r="A28" s="32" t="s">
        <v>80</v>
      </c>
      <c r="B28" s="25">
        <f>B22+B24</f>
        <v>66495396</v>
      </c>
      <c r="C28" s="25">
        <f t="shared" ref="C28:F28" si="5">C22+C24</f>
        <v>0</v>
      </c>
      <c r="D28" s="25">
        <f t="shared" si="5"/>
        <v>36034926</v>
      </c>
      <c r="E28" s="25">
        <f t="shared" si="5"/>
        <v>139393282</v>
      </c>
      <c r="F28" s="25">
        <f t="shared" si="5"/>
        <v>70486956</v>
      </c>
    </row>
    <row r="29" spans="1:6" x14ac:dyDescent="0.25">
      <c r="A29" s="2"/>
      <c r="B29" s="9"/>
      <c r="C29" s="8"/>
      <c r="D29" s="8"/>
      <c r="E29" s="8"/>
      <c r="F29" s="8"/>
    </row>
    <row r="30" spans="1:6" x14ac:dyDescent="0.25">
      <c r="A30" s="32" t="s">
        <v>81</v>
      </c>
      <c r="B30" s="10">
        <f>B28/('1'!B44/10)</f>
        <v>0.29779698852120029</v>
      </c>
      <c r="C30" s="10" t="e">
        <f>C28/('1'!C44/10)</f>
        <v>#DIV/0!</v>
      </c>
      <c r="D30" s="10">
        <f>D28/('1'!D44/10)</f>
        <v>0.16138098409676818</v>
      </c>
      <c r="E30" s="10">
        <f>E28/('1'!E44/10)</f>
        <v>0.62426727407844051</v>
      </c>
      <c r="F30" s="10">
        <f>F28/('1'!F44/10)</f>
        <v>0.31567303136034186</v>
      </c>
    </row>
    <row r="31" spans="1:6" x14ac:dyDescent="0.25">
      <c r="A31" s="33" t="s">
        <v>82</v>
      </c>
      <c r="B31" s="24">
        <f>'1'!B44/10</f>
        <v>223291029</v>
      </c>
      <c r="C31" s="24">
        <f>'1'!C44/10</f>
        <v>0</v>
      </c>
      <c r="D31" s="24">
        <f>'1'!D44/10</f>
        <v>223291029</v>
      </c>
      <c r="E31" s="24">
        <f>'1'!E44/10</f>
        <v>223291029</v>
      </c>
      <c r="F31" s="24">
        <f>'1'!F44/10</f>
        <v>223291029</v>
      </c>
    </row>
    <row r="51" spans="1:2" x14ac:dyDescent="0.25">
      <c r="A51" s="7"/>
      <c r="B5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7"/>
  <sheetViews>
    <sheetView tabSelected="1" zoomScaleNormal="100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J40" sqref="J40"/>
    </sheetView>
  </sheetViews>
  <sheetFormatPr defaultRowHeight="15" x14ac:dyDescent="0.25"/>
  <cols>
    <col min="1" max="1" width="40.140625" bestFit="1" customWidth="1"/>
    <col min="2" max="3" width="13.42578125" bestFit="1" customWidth="1"/>
    <col min="4" max="5" width="14.42578125" customWidth="1"/>
    <col min="6" max="6" width="16" bestFit="1" customWidth="1"/>
  </cols>
  <sheetData>
    <row r="1" spans="1:6" ht="15.75" x14ac:dyDescent="0.25">
      <c r="A1" s="3" t="s">
        <v>22</v>
      </c>
    </row>
    <row r="2" spans="1:6" ht="15.75" x14ac:dyDescent="0.25">
      <c r="A2" s="3" t="s">
        <v>83</v>
      </c>
      <c r="B2" s="3"/>
      <c r="C2" s="3"/>
      <c r="D2" s="3"/>
      <c r="E2" s="3"/>
      <c r="F2" s="12"/>
    </row>
    <row r="3" spans="1:6" ht="15.75" x14ac:dyDescent="0.25">
      <c r="A3" s="44" t="s">
        <v>101</v>
      </c>
      <c r="B3" s="37"/>
      <c r="C3" s="37"/>
      <c r="D3" s="37"/>
      <c r="E3" s="37"/>
      <c r="F3" s="13"/>
    </row>
    <row r="4" spans="1:6" ht="15.75" x14ac:dyDescent="0.25">
      <c r="A4" s="36"/>
      <c r="B4" s="37" t="s">
        <v>96</v>
      </c>
      <c r="C4" s="37" t="s">
        <v>97</v>
      </c>
      <c r="D4" s="37" t="s">
        <v>98</v>
      </c>
      <c r="E4" s="37" t="s">
        <v>99</v>
      </c>
      <c r="F4" s="37" t="s">
        <v>100</v>
      </c>
    </row>
    <row r="5" spans="1:6" ht="15.75" x14ac:dyDescent="0.25">
      <c r="A5" s="37"/>
      <c r="B5" s="38">
        <v>43100</v>
      </c>
      <c r="C5" s="39">
        <v>43190</v>
      </c>
      <c r="D5" s="38">
        <v>43373</v>
      </c>
      <c r="E5" s="38">
        <v>43465</v>
      </c>
      <c r="F5" s="38">
        <v>43555</v>
      </c>
    </row>
    <row r="6" spans="1:6" x14ac:dyDescent="0.25">
      <c r="A6" s="32" t="s">
        <v>84</v>
      </c>
    </row>
    <row r="7" spans="1:6" x14ac:dyDescent="0.25">
      <c r="A7" t="s">
        <v>19</v>
      </c>
      <c r="B7" s="18">
        <v>692075585</v>
      </c>
      <c r="C7" s="18"/>
      <c r="D7" s="18">
        <v>440713619</v>
      </c>
      <c r="E7" s="18">
        <v>877057804</v>
      </c>
      <c r="F7" s="18">
        <v>1419427533</v>
      </c>
    </row>
    <row r="8" spans="1:6" x14ac:dyDescent="0.25">
      <c r="A8" s="5" t="s">
        <v>20</v>
      </c>
      <c r="B8" s="18">
        <v>-428298236</v>
      </c>
      <c r="C8" s="18"/>
      <c r="D8" s="18">
        <v>-310510095</v>
      </c>
      <c r="E8" s="18">
        <v>-531756657</v>
      </c>
      <c r="F8" s="18">
        <v>-832357661</v>
      </c>
    </row>
    <row r="9" spans="1:6" x14ac:dyDescent="0.25">
      <c r="A9" t="s">
        <v>30</v>
      </c>
      <c r="B9" s="18">
        <v>149429</v>
      </c>
      <c r="C9" s="18"/>
      <c r="D9" s="18">
        <v>38761</v>
      </c>
      <c r="E9" s="18">
        <v>38761</v>
      </c>
      <c r="F9" s="18">
        <v>69751</v>
      </c>
    </row>
    <row r="10" spans="1:6" x14ac:dyDescent="0.25">
      <c r="A10" t="s">
        <v>40</v>
      </c>
      <c r="B10" s="18">
        <v>1415459</v>
      </c>
      <c r="C10" s="18"/>
      <c r="D10" s="18">
        <v>296424</v>
      </c>
      <c r="E10" s="18">
        <v>1255970</v>
      </c>
      <c r="F10" s="18">
        <v>3484803</v>
      </c>
    </row>
    <row r="11" spans="1:6" x14ac:dyDescent="0.25">
      <c r="A11" s="5" t="s">
        <v>21</v>
      </c>
      <c r="B11" s="18">
        <v>-18497475</v>
      </c>
      <c r="C11" s="18"/>
      <c r="D11" s="18">
        <v>-5272360</v>
      </c>
      <c r="E11" s="18">
        <v>-15877485</v>
      </c>
      <c r="F11" s="18">
        <v>-18246049</v>
      </c>
    </row>
    <row r="12" spans="1:6" x14ac:dyDescent="0.25">
      <c r="A12" s="5" t="s">
        <v>12</v>
      </c>
      <c r="B12" s="18">
        <v>-103155171</v>
      </c>
      <c r="C12" s="18"/>
      <c r="D12" s="18">
        <v>-76866175</v>
      </c>
      <c r="E12" s="18">
        <v>-176232477</v>
      </c>
      <c r="F12" s="18">
        <v>-267990280</v>
      </c>
    </row>
    <row r="13" spans="1:6" x14ac:dyDescent="0.25">
      <c r="A13" s="2"/>
      <c r="B13" s="19">
        <f t="shared" ref="B13:F13" si="0">SUM(B7:B12)</f>
        <v>143689591</v>
      </c>
      <c r="C13" s="19">
        <f t="shared" si="0"/>
        <v>0</v>
      </c>
      <c r="D13" s="19">
        <f t="shared" si="0"/>
        <v>48400174</v>
      </c>
      <c r="E13" s="19">
        <f t="shared" si="0"/>
        <v>154485916</v>
      </c>
      <c r="F13" s="19">
        <f t="shared" si="0"/>
        <v>304388097</v>
      </c>
    </row>
    <row r="14" spans="1:6" x14ac:dyDescent="0.25">
      <c r="B14" s="18"/>
      <c r="C14" s="18"/>
      <c r="D14" s="18"/>
      <c r="E14" s="18"/>
      <c r="F14" s="18"/>
    </row>
    <row r="15" spans="1:6" x14ac:dyDescent="0.25">
      <c r="A15" s="32" t="s">
        <v>85</v>
      </c>
      <c r="B15" s="18"/>
      <c r="C15" s="18"/>
      <c r="D15" s="18"/>
      <c r="E15" s="18"/>
      <c r="F15" s="18"/>
    </row>
    <row r="16" spans="1:6" x14ac:dyDescent="0.25">
      <c r="A16" t="s">
        <v>31</v>
      </c>
      <c r="B16" s="18">
        <v>-236326034</v>
      </c>
      <c r="C16" s="18"/>
      <c r="D16" s="18">
        <v>-48633180</v>
      </c>
      <c r="E16" s="18">
        <v>-154948531</v>
      </c>
      <c r="F16" s="18">
        <v>-368277757</v>
      </c>
    </row>
    <row r="17" spans="1:6" x14ac:dyDescent="0.25">
      <c r="A17" s="5" t="s">
        <v>41</v>
      </c>
      <c r="B17" s="18"/>
      <c r="C17" s="18"/>
      <c r="D17" s="18"/>
      <c r="E17" s="18">
        <v>1520000</v>
      </c>
      <c r="F17" s="18"/>
    </row>
    <row r="18" spans="1:6" x14ac:dyDescent="0.25">
      <c r="A18" s="5" t="s">
        <v>61</v>
      </c>
      <c r="B18" s="18">
        <v>1370000</v>
      </c>
      <c r="C18" s="18"/>
      <c r="D18" s="18"/>
      <c r="E18" s="18"/>
      <c r="F18" s="18">
        <v>1520000</v>
      </c>
    </row>
    <row r="19" spans="1:6" x14ac:dyDescent="0.25">
      <c r="A19" s="5" t="s">
        <v>32</v>
      </c>
      <c r="B19" s="18"/>
      <c r="C19" s="18"/>
      <c r="D19" s="18"/>
      <c r="E19" s="18">
        <v>-70666319</v>
      </c>
      <c r="F19" s="18">
        <v>-87542442</v>
      </c>
    </row>
    <row r="20" spans="1:6" x14ac:dyDescent="0.25">
      <c r="A20" s="5" t="s">
        <v>33</v>
      </c>
      <c r="B20" s="18">
        <v>-15705376</v>
      </c>
      <c r="C20" s="18"/>
      <c r="D20" s="18">
        <v>-45337825</v>
      </c>
      <c r="E20" s="18">
        <v>-51774308</v>
      </c>
      <c r="F20" s="18">
        <v>-85175911</v>
      </c>
    </row>
    <row r="21" spans="1:6" x14ac:dyDescent="0.25">
      <c r="A21" s="5" t="s">
        <v>105</v>
      </c>
      <c r="B21" s="18">
        <v>-19265868</v>
      </c>
      <c r="C21" s="18"/>
      <c r="D21" s="18"/>
      <c r="E21" s="18"/>
      <c r="F21" s="18"/>
    </row>
    <row r="22" spans="1:6" x14ac:dyDescent="0.25">
      <c r="A22" s="5" t="s">
        <v>47</v>
      </c>
      <c r="B22" s="18"/>
      <c r="C22" s="18"/>
      <c r="D22" s="18"/>
      <c r="E22" s="18"/>
      <c r="F22" s="18"/>
    </row>
    <row r="23" spans="1:6" x14ac:dyDescent="0.25">
      <c r="A23" t="s">
        <v>34</v>
      </c>
      <c r="B23" s="18">
        <v>10643696</v>
      </c>
      <c r="C23" s="18"/>
      <c r="D23" s="18"/>
      <c r="E23" s="18"/>
      <c r="F23" s="18"/>
    </row>
    <row r="24" spans="1:6" x14ac:dyDescent="0.25">
      <c r="A24" s="2"/>
      <c r="B24" s="19">
        <f t="shared" ref="B24:F24" si="1">SUM(B16:B23)</f>
        <v>-259283582</v>
      </c>
      <c r="C24" s="19">
        <f t="shared" si="1"/>
        <v>0</v>
      </c>
      <c r="D24" s="19">
        <f t="shared" si="1"/>
        <v>-93971005</v>
      </c>
      <c r="E24" s="19">
        <f t="shared" si="1"/>
        <v>-275869158</v>
      </c>
      <c r="F24" s="19">
        <f t="shared" si="1"/>
        <v>-539476110</v>
      </c>
    </row>
    <row r="25" spans="1:6" x14ac:dyDescent="0.25">
      <c r="B25" s="18"/>
      <c r="C25" s="18"/>
      <c r="D25" s="18"/>
      <c r="E25" s="18"/>
      <c r="F25" s="18"/>
    </row>
    <row r="26" spans="1:6" x14ac:dyDescent="0.25">
      <c r="A26" s="32" t="s">
        <v>86</v>
      </c>
      <c r="B26" s="18"/>
      <c r="C26" s="18"/>
      <c r="D26" s="18"/>
      <c r="E26" s="18"/>
      <c r="F26" s="18"/>
    </row>
    <row r="27" spans="1:6" x14ac:dyDescent="0.25">
      <c r="A27" s="5" t="s">
        <v>48</v>
      </c>
      <c r="B27" s="18"/>
      <c r="C27" s="18"/>
      <c r="D27" s="18"/>
      <c r="E27" s="18"/>
      <c r="F27" s="18"/>
    </row>
    <row r="28" spans="1:6" x14ac:dyDescent="0.25">
      <c r="A28" s="5" t="s">
        <v>56</v>
      </c>
      <c r="B28" s="18">
        <v>-142435221</v>
      </c>
      <c r="C28" s="18"/>
      <c r="D28" s="18">
        <v>43818922</v>
      </c>
      <c r="E28" s="18">
        <v>-191315039</v>
      </c>
      <c r="F28" s="18">
        <v>-172381158</v>
      </c>
    </row>
    <row r="29" spans="1:6" x14ac:dyDescent="0.25">
      <c r="A29" s="5" t="s">
        <v>45</v>
      </c>
      <c r="B29" s="18"/>
      <c r="C29" s="18"/>
      <c r="D29" s="18"/>
      <c r="E29" s="18"/>
      <c r="F29" s="18"/>
    </row>
    <row r="30" spans="1:6" x14ac:dyDescent="0.25">
      <c r="A30" s="5" t="s">
        <v>51</v>
      </c>
      <c r="B30" s="18">
        <v>-40237067</v>
      </c>
      <c r="C30" s="18"/>
      <c r="D30" s="18">
        <v>186020714</v>
      </c>
      <c r="E30" s="18">
        <v>-151750587</v>
      </c>
      <c r="F30" s="18">
        <v>228190108</v>
      </c>
    </row>
    <row r="31" spans="1:6" x14ac:dyDescent="0.25">
      <c r="A31" s="5" t="s">
        <v>62</v>
      </c>
      <c r="B31" s="18">
        <v>455031679</v>
      </c>
      <c r="C31" s="18"/>
      <c r="D31" s="18">
        <v>-110870506</v>
      </c>
      <c r="E31" s="18">
        <v>555626205</v>
      </c>
      <c r="F31" s="18">
        <v>534331282</v>
      </c>
    </row>
    <row r="32" spans="1:6" x14ac:dyDescent="0.25">
      <c r="A32" s="5" t="s">
        <v>106</v>
      </c>
      <c r="B32" s="18">
        <v>127990</v>
      </c>
      <c r="C32" s="18"/>
      <c r="D32" s="18"/>
      <c r="E32" s="18"/>
      <c r="F32" s="18"/>
    </row>
    <row r="33" spans="1:6" x14ac:dyDescent="0.25">
      <c r="A33" s="5" t="s">
        <v>107</v>
      </c>
      <c r="B33" s="18"/>
      <c r="C33" s="18"/>
      <c r="D33" s="18"/>
      <c r="E33" s="18">
        <v>-6000000</v>
      </c>
      <c r="F33" s="18">
        <v>3323272</v>
      </c>
    </row>
    <row r="34" spans="1:6" x14ac:dyDescent="0.25">
      <c r="A34" s="5" t="s">
        <v>55</v>
      </c>
      <c r="B34" s="18"/>
      <c r="C34" s="18"/>
      <c r="D34" s="18"/>
      <c r="E34" s="18"/>
      <c r="F34" s="18"/>
    </row>
    <row r="35" spans="1:6" x14ac:dyDescent="0.25">
      <c r="A35" s="5" t="s">
        <v>54</v>
      </c>
      <c r="B35" s="18"/>
      <c r="C35" s="18"/>
      <c r="D35" s="18"/>
      <c r="E35" s="18"/>
      <c r="F35" s="18"/>
    </row>
    <row r="36" spans="1:6" x14ac:dyDescent="0.25">
      <c r="A36" s="5" t="s">
        <v>35</v>
      </c>
      <c r="B36" s="18"/>
      <c r="C36" s="18"/>
      <c r="D36" s="18"/>
      <c r="E36" s="18"/>
      <c r="F36" s="18"/>
    </row>
    <row r="37" spans="1:6" x14ac:dyDescent="0.25">
      <c r="A37" s="5" t="s">
        <v>36</v>
      </c>
      <c r="B37" s="18"/>
      <c r="C37" s="18"/>
      <c r="D37" s="18"/>
      <c r="E37" s="18"/>
      <c r="F37" s="18"/>
    </row>
    <row r="38" spans="1:6" x14ac:dyDescent="0.25">
      <c r="A38" s="5" t="s">
        <v>108</v>
      </c>
      <c r="B38" s="18">
        <v>-226635070</v>
      </c>
      <c r="C38" s="18"/>
      <c r="D38" s="18"/>
      <c r="E38" s="18">
        <v>-78723967</v>
      </c>
      <c r="F38" s="18">
        <v>-282916381</v>
      </c>
    </row>
    <row r="39" spans="1:6" x14ac:dyDescent="0.25">
      <c r="A39" s="2"/>
      <c r="B39" s="20">
        <f t="shared" ref="B39:F39" si="2">SUM(B27:B38)</f>
        <v>45852311</v>
      </c>
      <c r="C39" s="20">
        <f t="shared" si="2"/>
        <v>0</v>
      </c>
      <c r="D39" s="20">
        <f t="shared" si="2"/>
        <v>118969130</v>
      </c>
      <c r="E39" s="20">
        <f t="shared" si="2"/>
        <v>127836612</v>
      </c>
      <c r="F39" s="20">
        <f t="shared" si="2"/>
        <v>310547123</v>
      </c>
    </row>
    <row r="40" spans="1:6" x14ac:dyDescent="0.25">
      <c r="B40" s="18"/>
      <c r="C40" s="18"/>
      <c r="D40" s="18"/>
      <c r="E40" s="18"/>
      <c r="F40" s="18"/>
    </row>
    <row r="41" spans="1:6" x14ac:dyDescent="0.25">
      <c r="A41" s="2" t="s">
        <v>87</v>
      </c>
      <c r="B41" s="21">
        <f t="shared" ref="B41:F41" si="3">SUM(B13,B24,B39)</f>
        <v>-69741680</v>
      </c>
      <c r="C41" s="21">
        <f t="shared" si="3"/>
        <v>0</v>
      </c>
      <c r="D41" s="21">
        <f t="shared" si="3"/>
        <v>73398299</v>
      </c>
      <c r="E41" s="21">
        <f t="shared" si="3"/>
        <v>6453370</v>
      </c>
      <c r="F41" s="21">
        <f t="shared" si="3"/>
        <v>75459110</v>
      </c>
    </row>
    <row r="42" spans="1:6" x14ac:dyDescent="0.25">
      <c r="A42" s="33" t="s">
        <v>88</v>
      </c>
      <c r="B42" s="18">
        <v>110368580</v>
      </c>
      <c r="C42" s="18"/>
      <c r="D42" s="18">
        <v>14618703</v>
      </c>
      <c r="E42" s="18">
        <v>14613371</v>
      </c>
      <c r="F42" s="18">
        <v>14613713</v>
      </c>
    </row>
    <row r="43" spans="1:6" x14ac:dyDescent="0.25">
      <c r="A43" s="32" t="s">
        <v>89</v>
      </c>
      <c r="B43" s="21">
        <f>SUM(B41:B42)</f>
        <v>40626900</v>
      </c>
      <c r="C43" s="21">
        <f t="shared" ref="C43:F43" si="4">SUM(C41:C42)</f>
        <v>0</v>
      </c>
      <c r="D43" s="21">
        <f t="shared" si="4"/>
        <v>88017002</v>
      </c>
      <c r="E43" s="21">
        <f t="shared" si="4"/>
        <v>21066741</v>
      </c>
      <c r="F43" s="21">
        <f t="shared" si="4"/>
        <v>90072823</v>
      </c>
    </row>
    <row r="44" spans="1:6" x14ac:dyDescent="0.25">
      <c r="B44" s="21"/>
      <c r="C44" s="21"/>
      <c r="D44" s="21"/>
      <c r="E44" s="21"/>
      <c r="F44" s="21"/>
    </row>
    <row r="46" spans="1:6" x14ac:dyDescent="0.25">
      <c r="A46" s="32" t="s">
        <v>90</v>
      </c>
      <c r="B46" s="10">
        <f>B13/('1'!B44/10)</f>
        <v>0.64350812320364204</v>
      </c>
      <c r="C46" s="10" t="e">
        <f>C13/('1'!C44/10)</f>
        <v>#DIV/0!</v>
      </c>
      <c r="D46" s="10">
        <f>D13/('1'!D44/10)</f>
        <v>0.21675825588138609</v>
      </c>
      <c r="E46" s="10">
        <f>E13/('1'!E44/10)</f>
        <v>0.6918590356802915</v>
      </c>
      <c r="F46" s="10">
        <f>F13/('1'!F44/10)</f>
        <v>1.3631899963164216</v>
      </c>
    </row>
    <row r="47" spans="1:6" x14ac:dyDescent="0.25">
      <c r="A47" s="32" t="s">
        <v>91</v>
      </c>
      <c r="B47" s="18">
        <f>'1'!B44/10</f>
        <v>223291029</v>
      </c>
      <c r="C47" s="18">
        <f>'1'!C44/10</f>
        <v>0</v>
      </c>
      <c r="D47" s="18">
        <f>'1'!D44/10</f>
        <v>223291029</v>
      </c>
      <c r="E47" s="18">
        <f>'1'!E44/10</f>
        <v>223291029</v>
      </c>
      <c r="F47" s="18">
        <f>'1'!F44/10</f>
        <v>223291029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" sqref="G1:G1048576"/>
    </sheetView>
  </sheetViews>
  <sheetFormatPr defaultRowHeight="15" x14ac:dyDescent="0.25"/>
  <cols>
    <col min="1" max="1" width="31.28515625" bestFit="1" customWidth="1"/>
    <col min="2" max="6" width="9.5703125" bestFit="1" customWidth="1"/>
  </cols>
  <sheetData>
    <row r="1" spans="1:6" ht="15.75" x14ac:dyDescent="0.25">
      <c r="A1" s="3" t="s">
        <v>22</v>
      </c>
    </row>
    <row r="2" spans="1:6" ht="15.75" x14ac:dyDescent="0.25">
      <c r="A2" s="3" t="s">
        <v>102</v>
      </c>
    </row>
    <row r="3" spans="1:6" ht="15.75" x14ac:dyDescent="0.25">
      <c r="A3" s="3" t="s">
        <v>101</v>
      </c>
      <c r="B3" s="3"/>
      <c r="C3" s="3"/>
      <c r="D3" s="3"/>
      <c r="E3" s="3"/>
      <c r="F3" s="13"/>
    </row>
    <row r="4" spans="1:6" ht="15.75" x14ac:dyDescent="0.25">
      <c r="B4" s="3" t="s">
        <v>96</v>
      </c>
      <c r="C4" s="3" t="s">
        <v>97</v>
      </c>
      <c r="D4" s="3" t="s">
        <v>98</v>
      </c>
      <c r="E4" s="3" t="s">
        <v>99</v>
      </c>
      <c r="F4" s="3" t="s">
        <v>100</v>
      </c>
    </row>
    <row r="5" spans="1:6" ht="15.75" x14ac:dyDescent="0.25">
      <c r="A5" s="3"/>
      <c r="B5" s="34">
        <v>43100</v>
      </c>
      <c r="C5" s="35">
        <v>43190</v>
      </c>
      <c r="D5" s="34">
        <v>43373</v>
      </c>
      <c r="E5" s="34">
        <v>43465</v>
      </c>
      <c r="F5" s="34">
        <v>43555</v>
      </c>
    </row>
    <row r="6" spans="1:6" x14ac:dyDescent="0.25">
      <c r="A6" s="5" t="s">
        <v>92</v>
      </c>
      <c r="B6" s="26">
        <f>'2'!B28/'1'!B23</f>
        <v>7.1352791571428842E-3</v>
      </c>
      <c r="C6" s="26" t="e">
        <f>'2'!C28/'1'!C23</f>
        <v>#DIV/0!</v>
      </c>
      <c r="D6" s="26">
        <f>'2'!D28/'1'!D23</f>
        <v>3.713062415175676E-3</v>
      </c>
      <c r="E6" s="26">
        <f>'2'!E28/'1'!E23</f>
        <v>1.4278425085222923E-2</v>
      </c>
      <c r="F6" s="26">
        <f>'2'!F28/'1'!F23</f>
        <v>7.0953776519744995E-3</v>
      </c>
    </row>
    <row r="7" spans="1:6" x14ac:dyDescent="0.25">
      <c r="A7" s="5" t="s">
        <v>93</v>
      </c>
      <c r="B7" s="26">
        <f>'2'!B28/('1'!B43-'1'!B51)</f>
        <v>1.2479174552577063E-2</v>
      </c>
      <c r="C7" s="26" t="e">
        <f>'2'!C28/('1'!C43-'1'!C51)</f>
        <v>#DIV/0!</v>
      </c>
      <c r="D7" s="26">
        <f>'2'!D28/('1'!D43-'1'!D51)</f>
        <v>6.8386104454233694E-3</v>
      </c>
      <c r="E7" s="26">
        <f>'2'!E28/('1'!E43-'1'!E51)</f>
        <v>2.6353560689595702E-2</v>
      </c>
      <c r="F7" s="26">
        <f>'2'!F28/('1'!F43-'1'!F51)</f>
        <v>1.3288989217886359E-2</v>
      </c>
    </row>
    <row r="8" spans="1:6" x14ac:dyDescent="0.25">
      <c r="A8" s="5" t="s">
        <v>58</v>
      </c>
      <c r="B8" s="27">
        <f>'1'!B28/('1'!B43-'1'!B51)</f>
        <v>0.41812130976484063</v>
      </c>
      <c r="C8" s="27" t="e">
        <f>'1'!C28/('1'!C43-'1'!C51)</f>
        <v>#DIV/0!</v>
      </c>
      <c r="D8" s="27">
        <f>'1'!D28/('1'!D43-'1'!D51)</f>
        <v>0.40667819971445213</v>
      </c>
      <c r="E8" s="27">
        <f>'1'!E28/('1'!E43-'1'!E51)</f>
        <v>0.48669209293395838</v>
      </c>
      <c r="F8" s="27">
        <f>'1'!F28/('1'!F43-'1'!F51)</f>
        <v>1.3951536625379174E-2</v>
      </c>
    </row>
    <row r="9" spans="1:6" x14ac:dyDescent="0.25">
      <c r="A9" s="5" t="s">
        <v>59</v>
      </c>
      <c r="B9" s="17">
        <f>'1'!B14/'1'!B32</f>
        <v>0.63162797050111252</v>
      </c>
      <c r="C9" s="17" t="e">
        <f>'1'!C14/'1'!C32</f>
        <v>#DIV/0!</v>
      </c>
      <c r="D9" s="17">
        <f>'1'!D14/'1'!D32</f>
        <v>0.51067045346871898</v>
      </c>
      <c r="E9" s="17">
        <f>'1'!E14/'1'!E32</f>
        <v>0.54770839188777276</v>
      </c>
      <c r="F9" s="17">
        <f>'1'!F14/'1'!F32</f>
        <v>0.48623437355045185</v>
      </c>
    </row>
    <row r="10" spans="1:6" x14ac:dyDescent="0.25">
      <c r="A10" s="5" t="s">
        <v>94</v>
      </c>
      <c r="B10" s="26">
        <f>'2'!B28/'2'!B6</f>
        <v>8.887059391120454E-2</v>
      </c>
      <c r="C10" s="26" t="e">
        <f>'2'!C28/'2'!C6</f>
        <v>#DIV/0!</v>
      </c>
      <c r="D10" s="26">
        <f>'2'!D28/'2'!D6</f>
        <v>8.5318820323193559E-2</v>
      </c>
      <c r="E10" s="26">
        <f>'2'!E28/'2'!E6</f>
        <v>0.17316093906214744</v>
      </c>
      <c r="F10" s="26">
        <f>'2'!F28/'2'!F6</f>
        <v>5.8115629495086425E-2</v>
      </c>
    </row>
    <row r="11" spans="1:6" x14ac:dyDescent="0.25">
      <c r="A11" t="s">
        <v>60</v>
      </c>
      <c r="B11" s="26">
        <f>'2'!B12/'2'!B6</f>
        <v>0.35624718878839373</v>
      </c>
      <c r="C11" s="26" t="e">
        <f>'2'!C12/'2'!C6</f>
        <v>#DIV/0!</v>
      </c>
      <c r="D11" s="26">
        <f>'2'!D12/'2'!D6</f>
        <v>0.36935064094880254</v>
      </c>
      <c r="E11" s="26">
        <f>'2'!E12/'2'!E6</f>
        <v>0.36717216432995403</v>
      </c>
      <c r="F11" s="26">
        <f>'2'!F12/'2'!F6</f>
        <v>0.35668356012319113</v>
      </c>
    </row>
    <row r="12" spans="1:6" x14ac:dyDescent="0.25">
      <c r="A12" s="5" t="s">
        <v>95</v>
      </c>
      <c r="B12" s="26">
        <f>'2'!B28/('1'!B43-'1'!B51+'1'!B28)</f>
        <v>8.7997934074105517E-3</v>
      </c>
      <c r="C12" s="26" t="e">
        <f>'2'!C28/('1'!C43-'1'!C51+'1'!C28)</f>
        <v>#DIV/0!</v>
      </c>
      <c r="D12" s="26">
        <f>'2'!D28/('1'!D43-'1'!D51+'1'!D28)</f>
        <v>4.8615315477353455E-3</v>
      </c>
      <c r="E12" s="26">
        <f>'2'!E28/('1'!E43-'1'!E51+'1'!E28)</f>
        <v>1.7726307158590891E-2</v>
      </c>
      <c r="F12" s="26">
        <f>'2'!F28/('1'!F43-'1'!F51+'1'!F28)</f>
        <v>1.3106138447321267E-2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2020-04-12T16:04:47Z</dcterms:modified>
</cp:coreProperties>
</file>