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Annual\"/>
    </mc:Choice>
  </mc:AlternateContent>
  <bookViews>
    <workbookView xWindow="0" yWindow="0" windowWidth="20490" windowHeight="753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D34" i="3"/>
  <c r="E34" i="3"/>
  <c r="F34" i="3"/>
  <c r="G34" i="3"/>
  <c r="B34" i="3"/>
  <c r="C14" i="2"/>
  <c r="D14" i="2"/>
  <c r="E14" i="2"/>
  <c r="F14" i="2"/>
  <c r="G14" i="2"/>
  <c r="B14" i="2"/>
  <c r="C9" i="2"/>
  <c r="D9" i="2"/>
  <c r="E9" i="2"/>
  <c r="F9" i="2"/>
  <c r="G9" i="2"/>
  <c r="B9" i="2"/>
  <c r="C25" i="2"/>
  <c r="D25" i="2"/>
  <c r="E25" i="2"/>
  <c r="F25" i="2"/>
  <c r="G25" i="2"/>
  <c r="B25" i="2"/>
  <c r="C61" i="1"/>
  <c r="D61" i="1"/>
  <c r="E61" i="1"/>
  <c r="F61" i="1"/>
  <c r="G61" i="1"/>
  <c r="B61" i="1"/>
  <c r="G10" i="3" l="1"/>
  <c r="G33" i="3" s="1"/>
  <c r="G16" i="3"/>
  <c r="G26" i="3"/>
  <c r="G7" i="2"/>
  <c r="G13" i="2" s="1"/>
  <c r="G34" i="1"/>
  <c r="G23" i="1"/>
  <c r="G52" i="1"/>
  <c r="G60" i="1" s="1"/>
  <c r="C10" i="1"/>
  <c r="D10" i="1"/>
  <c r="E10" i="1"/>
  <c r="F10" i="1"/>
  <c r="G10" i="1"/>
  <c r="G8" i="4" s="1"/>
  <c r="B10" i="1"/>
  <c r="C6" i="1"/>
  <c r="D6" i="1"/>
  <c r="E6" i="1"/>
  <c r="F6" i="1"/>
  <c r="F19" i="1" s="1"/>
  <c r="G6" i="1"/>
  <c r="B6" i="1"/>
  <c r="E8" i="4" l="1"/>
  <c r="D8" i="4"/>
  <c r="G17" i="2"/>
  <c r="G19" i="2" s="1"/>
  <c r="G22" i="2" s="1"/>
  <c r="G10" i="4"/>
  <c r="F8" i="4"/>
  <c r="G19" i="1"/>
  <c r="G28" i="3"/>
  <c r="G30" i="3" s="1"/>
  <c r="G24" i="2"/>
  <c r="G50" i="1"/>
  <c r="G58" i="1" s="1"/>
  <c r="F7" i="2"/>
  <c r="F34" i="1"/>
  <c r="F23" i="1"/>
  <c r="E26" i="3"/>
  <c r="D26" i="3"/>
  <c r="F26" i="3"/>
  <c r="D16" i="3"/>
  <c r="E16" i="3"/>
  <c r="F16" i="3"/>
  <c r="D10" i="3"/>
  <c r="D33" i="3" s="1"/>
  <c r="E10" i="3"/>
  <c r="E33" i="3" s="1"/>
  <c r="F10" i="3"/>
  <c r="F33" i="3" s="1"/>
  <c r="E7" i="2"/>
  <c r="D7" i="2"/>
  <c r="D23" i="1"/>
  <c r="D34" i="1"/>
  <c r="E19" i="1"/>
  <c r="E34" i="1"/>
  <c r="E23" i="1"/>
  <c r="D52" i="1"/>
  <c r="E52" i="1"/>
  <c r="E60" i="1" s="1"/>
  <c r="F52" i="1"/>
  <c r="F60" i="1" s="1"/>
  <c r="D19" i="1"/>
  <c r="B7" i="2"/>
  <c r="B26" i="3"/>
  <c r="B16" i="3"/>
  <c r="B10" i="3"/>
  <c r="B33" i="3" s="1"/>
  <c r="C26" i="3"/>
  <c r="C16" i="3"/>
  <c r="C10" i="3"/>
  <c r="C33" i="3" s="1"/>
  <c r="C7" i="2"/>
  <c r="B19" i="1"/>
  <c r="B34" i="1"/>
  <c r="B8" i="4" s="1"/>
  <c r="B23" i="1"/>
  <c r="C23" i="1"/>
  <c r="B52" i="1"/>
  <c r="B60" i="1" s="1"/>
  <c r="G6" i="4" l="1"/>
  <c r="G5" i="4"/>
  <c r="G11" i="4"/>
  <c r="G9" i="4"/>
  <c r="B28" i="3"/>
  <c r="B30" i="3" s="1"/>
  <c r="E28" i="3"/>
  <c r="E30" i="3" s="1"/>
  <c r="D28" i="3"/>
  <c r="D30" i="3" s="1"/>
  <c r="C13" i="2"/>
  <c r="D13" i="2"/>
  <c r="E13" i="2"/>
  <c r="F13" i="2"/>
  <c r="B13" i="2"/>
  <c r="F50" i="1"/>
  <c r="F58" i="1" s="1"/>
  <c r="B50" i="1"/>
  <c r="B58" i="1" s="1"/>
  <c r="C28" i="3"/>
  <c r="C30" i="3" s="1"/>
  <c r="F28" i="3"/>
  <c r="F30" i="3" s="1"/>
  <c r="E50" i="1"/>
  <c r="E58" i="1" s="1"/>
  <c r="D50" i="1"/>
  <c r="D58" i="1" s="1"/>
  <c r="D60" i="1"/>
  <c r="C52" i="1"/>
  <c r="C60" i="1" s="1"/>
  <c r="C34" i="1"/>
  <c r="C19" i="1"/>
  <c r="C17" i="2" l="1"/>
  <c r="C19" i="2" s="1"/>
  <c r="C22" i="2" s="1"/>
  <c r="C10" i="4"/>
  <c r="C50" i="1"/>
  <c r="C58" i="1" s="1"/>
  <c r="C8" i="4"/>
  <c r="E17" i="2"/>
  <c r="E19" i="2" s="1"/>
  <c r="E22" i="2" s="1"/>
  <c r="E10" i="4"/>
  <c r="D17" i="2"/>
  <c r="D19" i="2" s="1"/>
  <c r="D22" i="2" s="1"/>
  <c r="D10" i="4"/>
  <c r="B17" i="2"/>
  <c r="B19" i="2" s="1"/>
  <c r="B22" i="2" s="1"/>
  <c r="B10" i="4"/>
  <c r="F17" i="2"/>
  <c r="F19" i="2" s="1"/>
  <c r="F22" i="2" s="1"/>
  <c r="F10" i="4"/>
  <c r="D24" i="2" l="1"/>
  <c r="D9" i="4"/>
  <c r="D6" i="4"/>
  <c r="D5" i="4"/>
  <c r="D11" i="4"/>
  <c r="E24" i="2"/>
  <c r="E11" i="4"/>
  <c r="E6" i="4"/>
  <c r="E9" i="4"/>
  <c r="E5" i="4"/>
  <c r="F24" i="2"/>
  <c r="F6" i="4"/>
  <c r="F9" i="4"/>
  <c r="F11" i="4"/>
  <c r="F5" i="4"/>
  <c r="B24" i="2"/>
  <c r="B9" i="4"/>
  <c r="B6" i="4"/>
  <c r="B5" i="4"/>
  <c r="B11" i="4"/>
  <c r="C24" i="2"/>
  <c r="C5" i="4"/>
  <c r="C6" i="4"/>
  <c r="C9" i="4"/>
  <c r="C11" i="4"/>
</calcChain>
</file>

<file path=xl/sharedStrings.xml><?xml version="1.0" encoding="utf-8"?>
<sst xmlns="http://schemas.openxmlformats.org/spreadsheetml/2006/main" count="105" uniqueCount="98">
  <si>
    <t>ASSETS</t>
  </si>
  <si>
    <t>NON CURRENT ASSETS</t>
  </si>
  <si>
    <t>CURRENT ASSETS</t>
  </si>
  <si>
    <t>Cash and Cash Equivalents</t>
  </si>
  <si>
    <t>Gross Profit</t>
  </si>
  <si>
    <t>Operating Profit</t>
  </si>
  <si>
    <t>Cost of goods sold</t>
  </si>
  <si>
    <t>Inventories</t>
  </si>
  <si>
    <t xml:space="preserve">Acquisition of Fixed Assets </t>
  </si>
  <si>
    <t>Income Tax</t>
  </si>
  <si>
    <t>Advances,  Deposits and Prepayments</t>
  </si>
  <si>
    <t>Share Capital</t>
  </si>
  <si>
    <t>Property,Plant  and  Equipment</t>
  </si>
  <si>
    <t>Capital Work in Progress</t>
  </si>
  <si>
    <t>Accounts Receivables</t>
  </si>
  <si>
    <t>Other Income</t>
  </si>
  <si>
    <t>Financial Expenses</t>
  </si>
  <si>
    <t>Cash Received from Turnover and Others</t>
  </si>
  <si>
    <t>Cash paid to Suppliers, Employees and Others</t>
  </si>
  <si>
    <t>Retained Earnings</t>
  </si>
  <si>
    <t>Deferred Tax Liabilities</t>
  </si>
  <si>
    <t>Short term Borrowings</t>
  </si>
  <si>
    <t>Creditors and Accruals</t>
  </si>
  <si>
    <t>Dividend Payable</t>
  </si>
  <si>
    <t>IPO Refund Liability</t>
  </si>
  <si>
    <t>Interest Expense</t>
  </si>
  <si>
    <t>Income Tax Paid</t>
  </si>
  <si>
    <t>Sale of Demolish of Factory Building</t>
  </si>
  <si>
    <t>Issuance of Share Capital</t>
  </si>
  <si>
    <t>Received/Payment for Short Term Loan</t>
  </si>
  <si>
    <t>Dividend Paid/Received</t>
  </si>
  <si>
    <t>Received/Payment for IPO Refund Payable</t>
  </si>
  <si>
    <t>Liabiliities for Goods</t>
  </si>
  <si>
    <t>liabilities for expenses</t>
  </si>
  <si>
    <t>Liabiliites for other finance</t>
  </si>
  <si>
    <t>Provsion for leave pay &amp; gratuity</t>
  </si>
  <si>
    <t>Workers Profit participation and welfare fund</t>
  </si>
  <si>
    <t>BSFIC Current account</t>
  </si>
  <si>
    <t>Inter project &amp; other</t>
  </si>
  <si>
    <t>Provision for income tax</t>
  </si>
  <si>
    <t>Loan for BMRE</t>
  </si>
  <si>
    <t>Other loan ADP</t>
  </si>
  <si>
    <t>Ointerst on ADP loan</t>
  </si>
  <si>
    <t>Capital Reserve</t>
  </si>
  <si>
    <t>Quasi Equity Loan</t>
  </si>
  <si>
    <t>Received from BSFIC current account</t>
  </si>
  <si>
    <t>Stores in Transit</t>
  </si>
  <si>
    <t>Foreign currency loan ( Chian Credit)</t>
  </si>
  <si>
    <t>Advance Incoem Tax</t>
  </si>
  <si>
    <t>Interest Provision (China Credit)</t>
  </si>
  <si>
    <t>Bangaldesh Welfare Foundation</t>
  </si>
  <si>
    <t>Long term loan received /paid</t>
  </si>
  <si>
    <t>Inter Company laon received /paid</t>
  </si>
  <si>
    <t>Trade and Other Receivables</t>
  </si>
  <si>
    <t>Quasi Equity Loan From Govt</t>
  </si>
  <si>
    <t>ADP Local Currency Loan (BMRC)</t>
  </si>
  <si>
    <t>Interest Provision on ADP Loan (BMRC)</t>
  </si>
  <si>
    <t>Unpaid Dividend</t>
  </si>
  <si>
    <t>Miscellaneous Income</t>
  </si>
  <si>
    <t>Ratio</t>
  </si>
  <si>
    <t>As at year end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</si>
  <si>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</si>
  <si>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</si>
  <si>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</si>
  <si>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</si>
  <si>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</si>
  <si>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</si>
  <si>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</si>
  <si>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RENWICK, JAJNESWAR &amp; CO. (BD) LTD</t>
  </si>
  <si>
    <t>Balance Sheet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</si>
  <si>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</si>
  <si>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</si>
  <si>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</si>
  <si>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</si>
  <si>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</si>
  <si>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</si>
  <si>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</si>
  <si>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</si>
  <si>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</si>
  <si>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Operating Incomes/Expenses</t>
  </si>
  <si>
    <t>Non-Operating Income/(Expenses)</t>
  </si>
  <si>
    <t>Profit Before contribution to WPPF</t>
  </si>
  <si>
    <t>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</si>
  <si>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</si>
  <si>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</si>
  <si>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</si>
  <si>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</si>
  <si>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</si>
  <si>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Adminstrative Expenses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</si>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</sst>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1" fillId="0" borderId="0" xfId="0" applyNumberFormat="1" applyFont="1" applyBorder="1"/>
    <xf numFmtId="3" fontId="1" fillId="0" borderId="2" xfId="0" applyNumberFormat="1" applyFont="1" applyBorder="1"/>
    <xf numFmtId="0" fontId="1" fillId="0" borderId="0" xfId="0" applyFont="1" applyBorder="1"/>
    <xf numFmtId="2" fontId="1" fillId="0" borderId="0" xfId="0" applyNumberFormat="1" applyFont="1"/>
    <xf numFmtId="3" fontId="1" fillId="0" borderId="3" xfId="0" applyNumberFormat="1" applyFont="1" applyBorder="1"/>
    <xf numFmtId="3" fontId="0" fillId="0" borderId="0" xfId="0" applyNumberFormat="1" applyFont="1" applyBorder="1"/>
    <xf numFmtId="3" fontId="1" fillId="0" borderId="4" xfId="0" applyNumberFormat="1" applyFont="1" applyBorder="1"/>
    <xf numFmtId="3" fontId="3" fillId="0" borderId="4" xfId="0" applyNumberFormat="1" applyFont="1" applyBorder="1"/>
    <xf numFmtId="164" fontId="0" fillId="0" borderId="0" xfId="1" applyNumberFormat="1" applyFont="1"/>
    <xf numFmtId="164" fontId="1" fillId="0" borderId="0" xfId="1" applyNumberFormat="1" applyFont="1"/>
    <xf numFmtId="164" fontId="4" fillId="0" borderId="0" xfId="1" applyNumberFormat="1" applyFont="1"/>
    <xf numFmtId="43" fontId="1" fillId="0" borderId="0" xfId="0" applyNumberFormat="1" applyFont="1"/>
    <xf numFmtId="2" fontId="1" fillId="0" borderId="3" xfId="0" applyNumberFormat="1" applyFont="1" applyBorder="1"/>
    <xf numFmtId="165" fontId="0" fillId="0" borderId="0" xfId="2" applyNumberFormat="1" applyFont="1"/>
    <xf numFmtId="166" fontId="0" fillId="0" borderId="0" xfId="0" applyNumberForma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164" fontId="0" fillId="0" borderId="0" xfId="0" applyNumberFormat="1"/>
    <xf numFmtId="0" fontId="1" fillId="0" borderId="2" xfId="0" applyFont="1" applyBorder="1"/>
    <xf numFmtId="0" fontId="0" fillId="0" borderId="1" xfId="0" applyFont="1" applyBorder="1"/>
    <xf numFmtId="4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"/>
  <sheetViews>
    <sheetView workbookViewId="0">
      <pane xSplit="1" ySplit="4" topLeftCell="B47" activePane="bottomRight" state="frozen"/>
      <selection pane="topRight" activeCell="B1" sqref="B1"/>
      <selection pane="bottomLeft" activeCell="A6" sqref="A6"/>
      <selection pane="bottomRight" activeCell="H19" sqref="H19"/>
    </sheetView>
  </sheetViews>
  <sheetFormatPr defaultRowHeight="15" x14ac:dyDescent="0.25"/>
  <cols>
    <col min="1" max="1" width="42.28515625" bestFit="1" customWidth="1"/>
    <col min="2" max="2" width="12.5703125" bestFit="1" customWidth="1"/>
    <col min="3" max="3" width="15.28515625" bestFit="1" customWidth="1"/>
    <col min="4" max="6" width="13.85546875" bestFit="1" customWidth="1"/>
    <col min="7" max="7" width="12.5703125" bestFit="1" customWidth="1"/>
  </cols>
  <sheetData>
    <row r="1" spans="1:7" x14ac:dyDescent="0.25">
      <c r="A1" s="12" t="s">
        <v>68</v>
      </c>
    </row>
    <row r="2" spans="1:7" x14ac:dyDescent="0.25">
      <c r="A2" s="12" t="s">
        <v>69</v>
      </c>
    </row>
    <row r="3" spans="1:7" x14ac:dyDescent="0.25">
      <c r="A3" s="12" t="s">
        <v>60</v>
      </c>
    </row>
    <row r="4" spans="1:7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</row>
    <row r="5" spans="1:7" x14ac:dyDescent="0.25">
      <c r="A5" s="25" t="s">
        <v>0</v>
      </c>
      <c r="B5" s="18"/>
      <c r="C5" s="18"/>
      <c r="D5" s="18"/>
      <c r="E5" s="18"/>
      <c r="F5" s="18"/>
      <c r="G5" s="18"/>
    </row>
    <row r="6" spans="1:7" x14ac:dyDescent="0.25">
      <c r="A6" s="26" t="s">
        <v>1</v>
      </c>
      <c r="B6" s="19">
        <f>SUM(B7)</f>
        <v>32755350</v>
      </c>
      <c r="C6" s="19">
        <f t="shared" ref="C6:G6" si="0">SUM(C7)</f>
        <v>34748142</v>
      </c>
      <c r="D6" s="19">
        <f t="shared" si="0"/>
        <v>46700009</v>
      </c>
      <c r="E6" s="19">
        <f t="shared" si="0"/>
        <v>47109135</v>
      </c>
      <c r="F6" s="19">
        <f t="shared" si="0"/>
        <v>46365651</v>
      </c>
      <c r="G6" s="19">
        <f t="shared" si="0"/>
        <v>50014840</v>
      </c>
    </row>
    <row r="7" spans="1:7" x14ac:dyDescent="0.25">
      <c r="A7" t="s">
        <v>12</v>
      </c>
      <c r="B7" s="18">
        <v>32755350</v>
      </c>
      <c r="C7" s="18">
        <v>34748142</v>
      </c>
      <c r="D7" s="18">
        <v>46700009</v>
      </c>
      <c r="E7" s="18">
        <v>47109135</v>
      </c>
      <c r="F7" s="18">
        <v>46365651</v>
      </c>
      <c r="G7" s="18">
        <v>50014840</v>
      </c>
    </row>
    <row r="8" spans="1:7" x14ac:dyDescent="0.25">
      <c r="A8" t="s">
        <v>13</v>
      </c>
      <c r="B8" s="18"/>
      <c r="C8" s="18">
        <v>0</v>
      </c>
      <c r="D8" s="18"/>
      <c r="E8" s="18"/>
      <c r="F8" s="18"/>
      <c r="G8" s="18"/>
    </row>
    <row r="9" spans="1:7" x14ac:dyDescent="0.25">
      <c r="B9" s="18"/>
      <c r="C9" s="18"/>
      <c r="D9" s="18"/>
      <c r="E9" s="18"/>
      <c r="F9" s="18"/>
      <c r="G9" s="18"/>
    </row>
    <row r="10" spans="1:7" x14ac:dyDescent="0.25">
      <c r="A10" s="26" t="s">
        <v>2</v>
      </c>
      <c r="B10" s="19">
        <f>SUM(B11:B17)</f>
        <v>403391205</v>
      </c>
      <c r="C10" s="19">
        <f t="shared" ref="C10:G10" si="1">SUM(C11:C17)</f>
        <v>451068064</v>
      </c>
      <c r="D10" s="19">
        <f t="shared" si="1"/>
        <v>446013823</v>
      </c>
      <c r="E10" s="19">
        <f t="shared" si="1"/>
        <v>495079315</v>
      </c>
      <c r="F10" s="19">
        <f t="shared" si="1"/>
        <v>509838047</v>
      </c>
      <c r="G10" s="19">
        <f t="shared" si="1"/>
        <v>574433180</v>
      </c>
    </row>
    <row r="11" spans="1:7" x14ac:dyDescent="0.25">
      <c r="A11" s="7" t="s">
        <v>7</v>
      </c>
      <c r="B11" s="18">
        <v>122531766</v>
      </c>
      <c r="C11" s="18">
        <v>141249395</v>
      </c>
      <c r="D11" s="18">
        <v>141873895</v>
      </c>
      <c r="E11" s="18">
        <v>134199851</v>
      </c>
      <c r="F11" s="18">
        <v>138198518</v>
      </c>
      <c r="G11" s="18">
        <v>113843113</v>
      </c>
    </row>
    <row r="12" spans="1:7" x14ac:dyDescent="0.25">
      <c r="A12" s="7" t="s">
        <v>53</v>
      </c>
      <c r="B12" s="18"/>
      <c r="C12" s="18"/>
      <c r="D12" s="18"/>
      <c r="E12" s="18"/>
      <c r="F12" s="18"/>
      <c r="G12" s="18">
        <v>433347099</v>
      </c>
    </row>
    <row r="13" spans="1:7" x14ac:dyDescent="0.25">
      <c r="A13" s="7" t="s">
        <v>14</v>
      </c>
      <c r="B13" s="18">
        <v>248337868</v>
      </c>
      <c r="C13" s="18">
        <v>287517317</v>
      </c>
      <c r="D13" s="18">
        <v>286340756</v>
      </c>
      <c r="E13" s="18">
        <v>312412149</v>
      </c>
      <c r="F13" s="18">
        <v>355153341</v>
      </c>
      <c r="G13" s="18"/>
    </row>
    <row r="14" spans="1:7" x14ac:dyDescent="0.25">
      <c r="A14" s="7" t="s">
        <v>10</v>
      </c>
      <c r="B14" s="18">
        <v>27403679</v>
      </c>
      <c r="C14" s="18">
        <v>18451149</v>
      </c>
      <c r="D14" s="18">
        <v>13815871</v>
      </c>
      <c r="E14" s="18">
        <v>22128094</v>
      </c>
      <c r="F14" s="18">
        <v>6930973</v>
      </c>
      <c r="G14" s="18">
        <v>12061198</v>
      </c>
    </row>
    <row r="15" spans="1:7" x14ac:dyDescent="0.25">
      <c r="A15" s="7" t="s">
        <v>48</v>
      </c>
      <c r="B15" s="18"/>
      <c r="C15" s="18"/>
      <c r="D15" s="18"/>
      <c r="E15" s="18"/>
      <c r="F15" s="18">
        <v>5975351</v>
      </c>
      <c r="G15" s="18">
        <v>6896413</v>
      </c>
    </row>
    <row r="16" spans="1:7" x14ac:dyDescent="0.25">
      <c r="A16" s="7" t="s">
        <v>46</v>
      </c>
      <c r="B16" s="18"/>
      <c r="C16" s="18"/>
      <c r="D16" s="18">
        <v>0</v>
      </c>
      <c r="E16" s="18">
        <v>237380</v>
      </c>
      <c r="F16" s="18">
        <v>0</v>
      </c>
      <c r="G16" s="18"/>
    </row>
    <row r="17" spans="1:7" x14ac:dyDescent="0.25">
      <c r="A17" t="s">
        <v>3</v>
      </c>
      <c r="B17" s="18">
        <v>5117892</v>
      </c>
      <c r="C17" s="18">
        <v>3850203</v>
      </c>
      <c r="D17" s="18">
        <v>3983301</v>
      </c>
      <c r="E17" s="18">
        <v>26101841</v>
      </c>
      <c r="F17" s="18">
        <v>3579864</v>
      </c>
      <c r="G17" s="18">
        <v>8285357</v>
      </c>
    </row>
    <row r="18" spans="1:7" x14ac:dyDescent="0.25">
      <c r="B18" s="18"/>
      <c r="C18" s="18"/>
      <c r="D18" s="18"/>
      <c r="E18" s="18"/>
      <c r="F18" s="18"/>
      <c r="G18" s="18"/>
    </row>
    <row r="19" spans="1:7" x14ac:dyDescent="0.25">
      <c r="A19" s="2"/>
      <c r="B19" s="19">
        <f>B6+B10+1</f>
        <v>436146556</v>
      </c>
      <c r="C19" s="19">
        <f>C6+C10</f>
        <v>485816206</v>
      </c>
      <c r="D19" s="19">
        <f t="shared" ref="D19" si="2">D6+D10</f>
        <v>492713832</v>
      </c>
      <c r="E19" s="19">
        <f>E6+E10+3</f>
        <v>542188453</v>
      </c>
      <c r="F19" s="19">
        <f>F6+F10-1</f>
        <v>556203697</v>
      </c>
      <c r="G19" s="19">
        <f>G6+G10-2</f>
        <v>624448018</v>
      </c>
    </row>
    <row r="20" spans="1:7" x14ac:dyDescent="0.25">
      <c r="B20" s="18"/>
      <c r="C20" s="18"/>
      <c r="D20" s="18"/>
      <c r="E20" s="18"/>
      <c r="F20" s="18"/>
      <c r="G20" s="18"/>
    </row>
    <row r="21" spans="1:7" ht="15.75" x14ac:dyDescent="0.25">
      <c r="A21" s="27" t="s">
        <v>70</v>
      </c>
      <c r="B21" s="18"/>
      <c r="C21" s="18"/>
      <c r="D21" s="18"/>
      <c r="E21" s="18"/>
      <c r="F21" s="18"/>
      <c r="G21" s="18"/>
    </row>
    <row r="22" spans="1:7" ht="15.75" x14ac:dyDescent="0.25">
      <c r="A22" s="28" t="s">
        <v>71</v>
      </c>
      <c r="B22" s="18"/>
      <c r="C22" s="18"/>
      <c r="D22" s="18"/>
      <c r="E22" s="18"/>
      <c r="F22" s="18"/>
      <c r="G22" s="18"/>
    </row>
    <row r="23" spans="1:7" x14ac:dyDescent="0.25">
      <c r="A23" s="26" t="s">
        <v>72</v>
      </c>
      <c r="B23" s="19">
        <f>SUM(B24:B32)</f>
        <v>166902238</v>
      </c>
      <c r="C23" s="19">
        <f>SUM(C24:C32)+3</f>
        <v>168283208</v>
      </c>
      <c r="D23" s="19">
        <f>SUM(D24:D32)</f>
        <v>169664172</v>
      </c>
      <c r="E23" s="19">
        <f>SUM(E24:E32)</f>
        <v>171212322</v>
      </c>
      <c r="F23" s="19">
        <f>SUM(F24:F32)</f>
        <v>172846026</v>
      </c>
      <c r="G23" s="19">
        <f t="shared" ref="G23" si="3">SUM(G24:G32)</f>
        <v>73966054</v>
      </c>
    </row>
    <row r="24" spans="1:7" x14ac:dyDescent="0.25">
      <c r="A24" t="s">
        <v>20</v>
      </c>
      <c r="B24" s="18">
        <v>0</v>
      </c>
      <c r="C24" s="18">
        <v>0</v>
      </c>
      <c r="D24" s="18"/>
      <c r="E24" s="18"/>
      <c r="F24" s="18">
        <v>487293</v>
      </c>
      <c r="G24" s="18">
        <v>1058906</v>
      </c>
    </row>
    <row r="25" spans="1:7" x14ac:dyDescent="0.25">
      <c r="A25" t="s">
        <v>47</v>
      </c>
      <c r="B25" s="18"/>
      <c r="C25" s="18"/>
      <c r="D25" s="18">
        <v>5023620</v>
      </c>
      <c r="E25" s="18">
        <v>5023620</v>
      </c>
      <c r="F25" s="18">
        <v>5023620</v>
      </c>
      <c r="G25" s="18">
        <v>5023620</v>
      </c>
    </row>
    <row r="26" spans="1:7" x14ac:dyDescent="0.25">
      <c r="A26" t="s">
        <v>55</v>
      </c>
      <c r="B26" s="18"/>
      <c r="C26" s="18"/>
      <c r="D26" s="18"/>
      <c r="E26" s="18"/>
      <c r="F26" s="18"/>
      <c r="G26" s="18">
        <v>16900000</v>
      </c>
    </row>
    <row r="27" spans="1:7" x14ac:dyDescent="0.25">
      <c r="A27" t="s">
        <v>49</v>
      </c>
      <c r="B27" s="18"/>
      <c r="C27" s="18"/>
      <c r="D27" s="18"/>
      <c r="E27" s="18"/>
      <c r="F27" s="18">
        <v>5986011</v>
      </c>
      <c r="G27" s="18">
        <v>6287428</v>
      </c>
    </row>
    <row r="28" spans="1:7" x14ac:dyDescent="0.25">
      <c r="A28" t="s">
        <v>56</v>
      </c>
      <c r="B28" s="18"/>
      <c r="C28" s="18"/>
      <c r="D28" s="18"/>
      <c r="E28" s="18"/>
      <c r="F28" s="18"/>
      <c r="G28" s="18">
        <v>44696100</v>
      </c>
    </row>
    <row r="29" spans="1:7" x14ac:dyDescent="0.25">
      <c r="A29" t="s">
        <v>44</v>
      </c>
      <c r="B29" s="18">
        <v>100598002</v>
      </c>
      <c r="C29" s="18">
        <v>100598002</v>
      </c>
      <c r="D29" s="18">
        <v>100598002</v>
      </c>
      <c r="E29" s="18">
        <v>100598002</v>
      </c>
      <c r="F29" s="18">
        <v>100598002</v>
      </c>
      <c r="G29" s="18"/>
    </row>
    <row r="30" spans="1:7" x14ac:dyDescent="0.25">
      <c r="A30" t="s">
        <v>40</v>
      </c>
      <c r="B30" s="18">
        <v>21923620</v>
      </c>
      <c r="C30" s="18">
        <v>21923620</v>
      </c>
      <c r="D30" s="18">
        <v>16900000</v>
      </c>
      <c r="E30" s="18">
        <v>16900000</v>
      </c>
      <c r="F30" s="18">
        <v>16900000</v>
      </c>
      <c r="G30" s="18"/>
    </row>
    <row r="31" spans="1:7" x14ac:dyDescent="0.25">
      <c r="A31" t="s">
        <v>41</v>
      </c>
      <c r="B31" s="18">
        <v>4691000</v>
      </c>
      <c r="C31" s="18">
        <v>4691000</v>
      </c>
      <c r="D31" s="18">
        <v>4691000</v>
      </c>
      <c r="E31" s="18">
        <v>5684600</v>
      </c>
      <c r="F31" s="18">
        <v>43851100</v>
      </c>
      <c r="G31" s="18"/>
    </row>
    <row r="32" spans="1:7" x14ac:dyDescent="0.25">
      <c r="A32" t="s">
        <v>42</v>
      </c>
      <c r="B32" s="18">
        <v>39689616</v>
      </c>
      <c r="C32" s="18">
        <v>41070583</v>
      </c>
      <c r="D32" s="18">
        <v>42451550</v>
      </c>
      <c r="E32" s="18">
        <v>43006100</v>
      </c>
      <c r="F32" s="18"/>
      <c r="G32" s="18"/>
    </row>
    <row r="33" spans="1:7" x14ac:dyDescent="0.25">
      <c r="B33" s="18"/>
      <c r="C33" s="18"/>
      <c r="D33" s="18"/>
      <c r="E33" s="18"/>
      <c r="F33" s="18"/>
      <c r="G33" s="18"/>
    </row>
    <row r="34" spans="1:7" x14ac:dyDescent="0.25">
      <c r="A34" s="26" t="s">
        <v>73</v>
      </c>
      <c r="B34" s="19">
        <f>SUM(B35:B48)</f>
        <v>331499029</v>
      </c>
      <c r="C34" s="19">
        <f>SUM(C35:C48)</f>
        <v>380544505</v>
      </c>
      <c r="D34" s="19">
        <f t="shared" ref="D34:G34" si="4">SUM(D35:D48)</f>
        <v>384277237</v>
      </c>
      <c r="E34" s="19">
        <f t="shared" si="4"/>
        <v>442327673</v>
      </c>
      <c r="F34" s="19">
        <f t="shared" si="4"/>
        <v>448482774</v>
      </c>
      <c r="G34" s="19">
        <f t="shared" si="4"/>
        <v>495015185</v>
      </c>
    </row>
    <row r="35" spans="1:7" x14ac:dyDescent="0.25">
      <c r="A35" s="7" t="s">
        <v>21</v>
      </c>
      <c r="B35" s="18">
        <v>0</v>
      </c>
      <c r="C35" s="18">
        <v>0</v>
      </c>
      <c r="D35" s="18">
        <v>0</v>
      </c>
      <c r="E35" s="18">
        <v>0</v>
      </c>
      <c r="F35" s="18"/>
      <c r="G35" s="18"/>
    </row>
    <row r="36" spans="1:7" x14ac:dyDescent="0.25">
      <c r="A36" s="7" t="s">
        <v>57</v>
      </c>
      <c r="B36" s="18"/>
      <c r="C36" s="18"/>
      <c r="D36" s="18"/>
      <c r="E36" s="18"/>
      <c r="F36" s="18"/>
      <c r="G36" s="18">
        <v>3269829</v>
      </c>
    </row>
    <row r="37" spans="1:7" x14ac:dyDescent="0.25">
      <c r="A37" t="s">
        <v>22</v>
      </c>
      <c r="B37" s="18">
        <v>0</v>
      </c>
      <c r="C37" s="18">
        <v>0</v>
      </c>
      <c r="D37" s="18">
        <v>0</v>
      </c>
      <c r="E37" s="18">
        <v>0</v>
      </c>
      <c r="F37" s="18"/>
      <c r="G37" s="18"/>
    </row>
    <row r="38" spans="1:7" x14ac:dyDescent="0.25">
      <c r="A38" t="s">
        <v>23</v>
      </c>
      <c r="B38" s="18">
        <v>686658</v>
      </c>
      <c r="C38" s="18">
        <v>1363026</v>
      </c>
      <c r="D38" s="18">
        <v>1872823</v>
      </c>
      <c r="E38" s="18">
        <v>2197682</v>
      </c>
      <c r="F38" s="18">
        <v>2736750</v>
      </c>
      <c r="G38" s="18"/>
    </row>
    <row r="39" spans="1:7" x14ac:dyDescent="0.25">
      <c r="A39" t="s">
        <v>24</v>
      </c>
      <c r="B39" s="18">
        <v>0</v>
      </c>
      <c r="C39" s="18">
        <v>0</v>
      </c>
      <c r="D39" s="18">
        <v>0</v>
      </c>
      <c r="E39" s="18">
        <v>0</v>
      </c>
      <c r="F39" s="18"/>
      <c r="G39" s="18"/>
    </row>
    <row r="40" spans="1:7" x14ac:dyDescent="0.25">
      <c r="A40" s="7" t="s">
        <v>32</v>
      </c>
      <c r="B40" s="20">
        <v>46584004</v>
      </c>
      <c r="C40" s="18">
        <v>43590763</v>
      </c>
      <c r="D40" s="20">
        <v>41439875</v>
      </c>
      <c r="E40" s="20">
        <v>30173440</v>
      </c>
      <c r="F40" s="18">
        <v>25648576</v>
      </c>
      <c r="G40" s="18">
        <v>38536433</v>
      </c>
    </row>
    <row r="41" spans="1:7" x14ac:dyDescent="0.25">
      <c r="A41" s="7" t="s">
        <v>33</v>
      </c>
      <c r="B41" s="20">
        <v>6291285</v>
      </c>
      <c r="C41" s="20">
        <v>11067140</v>
      </c>
      <c r="D41" s="20">
        <v>8913773</v>
      </c>
      <c r="E41" s="20">
        <v>9471217</v>
      </c>
      <c r="F41" s="18">
        <v>15620833</v>
      </c>
      <c r="G41" s="18">
        <v>21805945</v>
      </c>
    </row>
    <row r="42" spans="1:7" x14ac:dyDescent="0.25">
      <c r="A42" s="7" t="s">
        <v>34</v>
      </c>
      <c r="B42" s="20">
        <v>23810315</v>
      </c>
      <c r="C42" s="20">
        <v>29430214</v>
      </c>
      <c r="D42" s="20">
        <v>28577907</v>
      </c>
      <c r="E42" s="20">
        <v>47809872</v>
      </c>
      <c r="F42" s="18">
        <v>41529365</v>
      </c>
      <c r="G42" s="18">
        <v>54386765</v>
      </c>
    </row>
    <row r="43" spans="1:7" x14ac:dyDescent="0.25">
      <c r="A43" s="7" t="s">
        <v>50</v>
      </c>
      <c r="B43" s="20"/>
      <c r="C43" s="20"/>
      <c r="D43" s="20"/>
      <c r="E43" s="20"/>
      <c r="F43" s="18">
        <v>55586</v>
      </c>
      <c r="G43" s="18">
        <v>126331</v>
      </c>
    </row>
    <row r="44" spans="1:7" x14ac:dyDescent="0.25">
      <c r="A44" s="7" t="s">
        <v>35</v>
      </c>
      <c r="B44" s="20">
        <v>72110025</v>
      </c>
      <c r="C44" s="20">
        <v>80215047</v>
      </c>
      <c r="D44" s="20">
        <v>77343347</v>
      </c>
      <c r="E44" s="20">
        <v>89336734</v>
      </c>
      <c r="F44" s="18">
        <v>81941659</v>
      </c>
      <c r="G44" s="18">
        <v>76229802</v>
      </c>
    </row>
    <row r="45" spans="1:7" x14ac:dyDescent="0.25">
      <c r="A45" s="7" t="s">
        <v>36</v>
      </c>
      <c r="B45" s="20">
        <v>591245</v>
      </c>
      <c r="C45" s="20">
        <v>567495</v>
      </c>
      <c r="D45" s="20">
        <v>429062</v>
      </c>
      <c r="E45" s="20">
        <v>422929</v>
      </c>
      <c r="F45" s="18">
        <v>450367</v>
      </c>
      <c r="G45" s="18">
        <v>569478</v>
      </c>
    </row>
    <row r="46" spans="1:7" x14ac:dyDescent="0.25">
      <c r="A46" s="7" t="s">
        <v>37</v>
      </c>
      <c r="B46" s="20">
        <v>122452355</v>
      </c>
      <c r="C46" s="20">
        <v>151138579</v>
      </c>
      <c r="D46" s="20">
        <v>161425095</v>
      </c>
      <c r="E46" s="20">
        <v>182050210</v>
      </c>
      <c r="F46" s="18">
        <v>147505333</v>
      </c>
      <c r="G46" s="18">
        <v>208721216</v>
      </c>
    </row>
    <row r="47" spans="1:7" x14ac:dyDescent="0.25">
      <c r="A47" s="7" t="s">
        <v>38</v>
      </c>
      <c r="B47" s="20">
        <v>11136597</v>
      </c>
      <c r="C47" s="20">
        <v>18753651</v>
      </c>
      <c r="D47" s="20">
        <v>20238158</v>
      </c>
      <c r="E47" s="20">
        <v>41538158</v>
      </c>
      <c r="F47" s="18">
        <v>98488282</v>
      </c>
      <c r="G47" s="18">
        <v>70023908</v>
      </c>
    </row>
    <row r="48" spans="1:7" x14ac:dyDescent="0.25">
      <c r="A48" s="7" t="s">
        <v>39</v>
      </c>
      <c r="B48" s="20">
        <v>47836545</v>
      </c>
      <c r="C48" s="20">
        <v>44418590</v>
      </c>
      <c r="D48" s="20">
        <v>44037197</v>
      </c>
      <c r="E48" s="20">
        <v>39327431</v>
      </c>
      <c r="F48" s="18">
        <v>34506023</v>
      </c>
      <c r="G48" s="18">
        <v>21345478</v>
      </c>
    </row>
    <row r="49" spans="1:7" x14ac:dyDescent="0.25">
      <c r="A49" s="7"/>
      <c r="B49" s="20"/>
      <c r="C49" s="20"/>
      <c r="D49" s="20"/>
      <c r="E49" s="20"/>
      <c r="F49" s="18"/>
      <c r="G49" s="18"/>
    </row>
    <row r="50" spans="1:7" x14ac:dyDescent="0.25">
      <c r="A50" s="2"/>
      <c r="B50" s="19">
        <f>B23+B34</f>
        <v>498401267</v>
      </c>
      <c r="C50" s="19">
        <f>C23+C34</f>
        <v>548827713</v>
      </c>
      <c r="D50" s="19">
        <f t="shared" ref="D50:F50" si="5">D23+D34</f>
        <v>553941409</v>
      </c>
      <c r="E50" s="19">
        <f t="shared" si="5"/>
        <v>613539995</v>
      </c>
      <c r="F50" s="19">
        <f t="shared" si="5"/>
        <v>621328800</v>
      </c>
      <c r="G50" s="19">
        <f t="shared" ref="G50" si="6">G23+G34</f>
        <v>568981239</v>
      </c>
    </row>
    <row r="51" spans="1:7" x14ac:dyDescent="0.25">
      <c r="A51" s="2"/>
      <c r="B51" s="19"/>
      <c r="C51" s="19"/>
      <c r="D51" s="19"/>
      <c r="E51" s="19"/>
      <c r="F51" s="18"/>
      <c r="G51" s="18"/>
    </row>
    <row r="52" spans="1:7" x14ac:dyDescent="0.25">
      <c r="A52" s="26" t="s">
        <v>74</v>
      </c>
      <c r="B52" s="19">
        <f>SUM(B53:B56)</f>
        <v>-62254711</v>
      </c>
      <c r="C52" s="19">
        <f>SUM(C53:C56)</f>
        <v>-63011503</v>
      </c>
      <c r="D52" s="19">
        <f t="shared" ref="D52:F52" si="7">SUM(D53:D56)</f>
        <v>-61227576</v>
      </c>
      <c r="E52" s="19">
        <f t="shared" si="7"/>
        <v>-71351545</v>
      </c>
      <c r="F52" s="19">
        <f t="shared" si="7"/>
        <v>-65125102</v>
      </c>
      <c r="G52" s="19">
        <f t="shared" ref="G52" si="8">SUM(G53:G56)</f>
        <v>55466779</v>
      </c>
    </row>
    <row r="53" spans="1:7" x14ac:dyDescent="0.25">
      <c r="A53" t="s">
        <v>11</v>
      </c>
      <c r="B53" s="18">
        <v>20000000</v>
      </c>
      <c r="C53" s="18">
        <v>20000000</v>
      </c>
      <c r="D53" s="18">
        <v>20000000</v>
      </c>
      <c r="E53" s="18">
        <v>20000000</v>
      </c>
      <c r="F53" s="18">
        <v>20000000</v>
      </c>
      <c r="G53" s="18">
        <v>20000000</v>
      </c>
    </row>
    <row r="54" spans="1:7" x14ac:dyDescent="0.25">
      <c r="A54" t="s">
        <v>19</v>
      </c>
      <c r="B54" s="18">
        <v>-82518303</v>
      </c>
      <c r="C54" s="18">
        <v>-83275095</v>
      </c>
      <c r="D54" s="18">
        <v>-81491168</v>
      </c>
      <c r="E54" s="18">
        <v>-91615137</v>
      </c>
      <c r="F54" s="18">
        <v>-85388694</v>
      </c>
      <c r="G54" s="18">
        <v>-65394815</v>
      </c>
    </row>
    <row r="55" spans="1:7" x14ac:dyDescent="0.25">
      <c r="A55" t="s">
        <v>54</v>
      </c>
      <c r="B55" s="18"/>
      <c r="C55" s="18"/>
      <c r="D55" s="18"/>
      <c r="E55" s="18"/>
      <c r="F55" s="18"/>
      <c r="G55" s="18">
        <v>100598002</v>
      </c>
    </row>
    <row r="56" spans="1:7" x14ac:dyDescent="0.25">
      <c r="A56" t="s">
        <v>43</v>
      </c>
      <c r="B56" s="18">
        <v>263592</v>
      </c>
      <c r="C56" s="18">
        <v>263592</v>
      </c>
      <c r="D56" s="18">
        <v>263592</v>
      </c>
      <c r="E56" s="18">
        <v>263592</v>
      </c>
      <c r="F56" s="18">
        <v>263592</v>
      </c>
      <c r="G56" s="18">
        <v>263592</v>
      </c>
    </row>
    <row r="57" spans="1:7" x14ac:dyDescent="0.25">
      <c r="B57" s="18"/>
      <c r="C57" s="18"/>
      <c r="D57" s="18"/>
      <c r="E57" s="18"/>
      <c r="F57" s="18"/>
      <c r="G57" s="18"/>
    </row>
    <row r="58" spans="1:7" x14ac:dyDescent="0.25">
      <c r="A58" s="2"/>
      <c r="B58" s="19">
        <f>(B52+B50)</f>
        <v>436146556</v>
      </c>
      <c r="C58" s="19">
        <f>(C52+C50)-2</f>
        <v>485816208</v>
      </c>
      <c r="D58" s="19">
        <f>(D52+D50)+2</f>
        <v>492713835</v>
      </c>
      <c r="E58" s="19">
        <f>(E52+E50)+3</f>
        <v>542188453</v>
      </c>
      <c r="F58" s="19">
        <f>(F52+F50)-1</f>
        <v>556203697</v>
      </c>
      <c r="G58" s="19">
        <f>(G52+G50)</f>
        <v>624448018</v>
      </c>
    </row>
    <row r="60" spans="1:7" x14ac:dyDescent="0.25">
      <c r="A60" s="29" t="s">
        <v>75</v>
      </c>
      <c r="B60" s="21">
        <f t="shared" ref="B60:G60" si="9">B52/(B53/10)</f>
        <v>-31.1273555</v>
      </c>
      <c r="C60" s="21">
        <f t="shared" si="9"/>
        <v>-31.505751499999999</v>
      </c>
      <c r="D60" s="21">
        <f t="shared" si="9"/>
        <v>-30.613788</v>
      </c>
      <c r="E60" s="21">
        <f t="shared" si="9"/>
        <v>-35.675772500000001</v>
      </c>
      <c r="F60" s="21">
        <f t="shared" si="9"/>
        <v>-32.562550999999999</v>
      </c>
      <c r="G60" s="21">
        <f t="shared" si="9"/>
        <v>27.733389500000001</v>
      </c>
    </row>
    <row r="61" spans="1:7" x14ac:dyDescent="0.25">
      <c r="A61" s="29" t="s">
        <v>76</v>
      </c>
      <c r="B61" s="30">
        <f>B53/10</f>
        <v>2000000</v>
      </c>
      <c r="C61" s="30">
        <f t="shared" ref="C61:G61" si="10">C53/10</f>
        <v>2000000</v>
      </c>
      <c r="D61" s="30">
        <f t="shared" si="10"/>
        <v>2000000</v>
      </c>
      <c r="E61" s="30">
        <f t="shared" si="10"/>
        <v>2000000</v>
      </c>
      <c r="F61" s="30">
        <f t="shared" si="10"/>
        <v>2000000</v>
      </c>
      <c r="G61" s="30">
        <f t="shared" si="10"/>
        <v>2000000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7"/>
  <sheetViews>
    <sheetView workbookViewId="0">
      <pane xSplit="1" ySplit="4" topLeftCell="B14" activePane="bottomRight" state="frozen"/>
      <selection pane="topRight" activeCell="B1" sqref="B1"/>
      <selection pane="bottomLeft" activeCell="A6" sqref="A6"/>
      <selection pane="bottomRight" activeCell="B24" sqref="B24:G24"/>
    </sheetView>
  </sheetViews>
  <sheetFormatPr defaultRowHeight="15" x14ac:dyDescent="0.25"/>
  <cols>
    <col min="1" max="1" width="31.7109375" bestFit="1" customWidth="1"/>
    <col min="2" max="3" width="14.5703125" bestFit="1" customWidth="1"/>
    <col min="4" max="4" width="15.42578125" bestFit="1" customWidth="1"/>
    <col min="5" max="6" width="14.5703125" bestFit="1" customWidth="1"/>
    <col min="7" max="7" width="12.7109375" bestFit="1" customWidth="1"/>
  </cols>
  <sheetData>
    <row r="1" spans="1:7" x14ac:dyDescent="0.25">
      <c r="A1" s="12" t="s">
        <v>68</v>
      </c>
    </row>
    <row r="2" spans="1:7" x14ac:dyDescent="0.25">
      <c r="A2" s="12" t="s">
        <v>77</v>
      </c>
    </row>
    <row r="3" spans="1:7" x14ac:dyDescent="0.25">
      <c r="A3" s="12" t="s">
        <v>60</v>
      </c>
    </row>
    <row r="4" spans="1:7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</row>
    <row r="5" spans="1:7" x14ac:dyDescent="0.25">
      <c r="A5" s="29" t="s">
        <v>78</v>
      </c>
      <c r="B5" s="1">
        <v>99573972</v>
      </c>
      <c r="C5" s="1">
        <v>120141565</v>
      </c>
      <c r="D5" s="1">
        <v>138917797</v>
      </c>
      <c r="E5" s="1">
        <v>144458682</v>
      </c>
      <c r="F5" s="1">
        <v>150647782</v>
      </c>
      <c r="G5" s="1">
        <v>181993757</v>
      </c>
    </row>
    <row r="6" spans="1:7" x14ac:dyDescent="0.25">
      <c r="A6" t="s">
        <v>6</v>
      </c>
      <c r="B6" s="5">
        <v>50766492</v>
      </c>
      <c r="C6" s="5">
        <v>75142449</v>
      </c>
      <c r="D6" s="5">
        <v>105849071</v>
      </c>
      <c r="E6" s="5">
        <v>104771104</v>
      </c>
      <c r="F6" s="1">
        <v>109574159</v>
      </c>
      <c r="G6" s="1">
        <v>134922999</v>
      </c>
    </row>
    <row r="7" spans="1:7" x14ac:dyDescent="0.25">
      <c r="A7" s="29" t="s">
        <v>4</v>
      </c>
      <c r="B7" s="4">
        <f>B5-B6</f>
        <v>48807480</v>
      </c>
      <c r="C7" s="4">
        <f>C5-C6</f>
        <v>44999116</v>
      </c>
      <c r="D7" s="4">
        <f>D5-D6</f>
        <v>33068726</v>
      </c>
      <c r="E7" s="4">
        <f>E5-E6</f>
        <v>39687578</v>
      </c>
      <c r="F7" s="4">
        <f>F5-F6</f>
        <v>41073623</v>
      </c>
      <c r="G7" s="4">
        <f t="shared" ref="G7" si="0">G5-G6</f>
        <v>47070758</v>
      </c>
    </row>
    <row r="8" spans="1:7" x14ac:dyDescent="0.25">
      <c r="A8" s="2"/>
      <c r="B8" s="4"/>
      <c r="C8" s="4"/>
      <c r="D8" s="4"/>
      <c r="E8" s="4"/>
    </row>
    <row r="9" spans="1:7" x14ac:dyDescent="0.25">
      <c r="A9" s="29" t="s">
        <v>79</v>
      </c>
      <c r="B9" s="33">
        <f>-SUM(B10)+B11</f>
        <v>-30683125</v>
      </c>
      <c r="C9" s="33">
        <f t="shared" ref="C9:G9" si="1">-SUM(C10)+C11</f>
        <v>-30687614</v>
      </c>
      <c r="D9" s="33">
        <f t="shared" si="1"/>
        <v>-22948587</v>
      </c>
      <c r="E9" s="33">
        <f t="shared" si="1"/>
        <v>-29445035</v>
      </c>
      <c r="F9" s="33">
        <f t="shared" si="1"/>
        <v>-28147217</v>
      </c>
      <c r="G9" s="33">
        <f t="shared" si="1"/>
        <v>-32481655</v>
      </c>
    </row>
    <row r="10" spans="1:7" x14ac:dyDescent="0.25">
      <c r="A10" s="32" t="s">
        <v>88</v>
      </c>
      <c r="B10" s="4">
        <v>31210432</v>
      </c>
      <c r="C10" s="4">
        <v>31325983</v>
      </c>
      <c r="D10" s="4">
        <v>23667838</v>
      </c>
      <c r="E10" s="4">
        <v>29892162</v>
      </c>
      <c r="F10" s="4">
        <v>30092199</v>
      </c>
      <c r="G10" s="4">
        <v>32481655</v>
      </c>
    </row>
    <row r="11" spans="1:7" x14ac:dyDescent="0.25">
      <c r="A11" s="7" t="s">
        <v>15</v>
      </c>
      <c r="B11" s="8">
        <v>527307</v>
      </c>
      <c r="C11" s="8">
        <v>638369</v>
      </c>
      <c r="D11" s="15">
        <v>719251</v>
      </c>
      <c r="E11" s="15">
        <v>447127</v>
      </c>
      <c r="F11" s="1">
        <v>1944982</v>
      </c>
      <c r="G11" s="1"/>
    </row>
    <row r="12" spans="1:7" x14ac:dyDescent="0.25">
      <c r="A12" s="29"/>
      <c r="B12" s="4"/>
      <c r="C12" s="4"/>
      <c r="D12" s="4"/>
      <c r="E12" s="4"/>
      <c r="F12" s="4"/>
      <c r="G12" s="4"/>
    </row>
    <row r="13" spans="1:7" x14ac:dyDescent="0.25">
      <c r="A13" s="29" t="s">
        <v>5</v>
      </c>
      <c r="B13" s="4">
        <f>B7+B9</f>
        <v>18124355</v>
      </c>
      <c r="C13" s="4">
        <f t="shared" ref="C13:G13" si="2">C7+C9</f>
        <v>14311502</v>
      </c>
      <c r="D13" s="4">
        <f t="shared" si="2"/>
        <v>10120139</v>
      </c>
      <c r="E13" s="4">
        <f t="shared" si="2"/>
        <v>10242543</v>
      </c>
      <c r="F13" s="4">
        <f t="shared" si="2"/>
        <v>12926406</v>
      </c>
      <c r="G13" s="4">
        <f t="shared" si="2"/>
        <v>14589103</v>
      </c>
    </row>
    <row r="14" spans="1:7" x14ac:dyDescent="0.25">
      <c r="A14" s="31" t="s">
        <v>80</v>
      </c>
      <c r="B14" s="4">
        <f>-SUM(B15)+B16</f>
        <v>-1423609</v>
      </c>
      <c r="C14" s="4">
        <f t="shared" ref="C14:G14" si="3">-SUM(C15)+C16</f>
        <v>-1401102</v>
      </c>
      <c r="D14" s="4">
        <f t="shared" si="3"/>
        <v>-1485379</v>
      </c>
      <c r="E14" s="4">
        <f t="shared" si="3"/>
        <v>-1600982</v>
      </c>
      <c r="F14" s="4">
        <f t="shared" si="3"/>
        <v>-1253373</v>
      </c>
      <c r="G14" s="4">
        <f t="shared" si="3"/>
        <v>267375</v>
      </c>
    </row>
    <row r="15" spans="1:7" x14ac:dyDescent="0.25">
      <c r="A15" s="7" t="s">
        <v>16</v>
      </c>
      <c r="B15" s="8">
        <v>1423609</v>
      </c>
      <c r="C15" s="8">
        <v>1401102</v>
      </c>
      <c r="D15" s="15">
        <v>1485379</v>
      </c>
      <c r="E15" s="15">
        <v>1600982</v>
      </c>
      <c r="F15" s="1">
        <v>1253373</v>
      </c>
      <c r="G15" s="1">
        <v>1251446</v>
      </c>
    </row>
    <row r="16" spans="1:7" x14ac:dyDescent="0.25">
      <c r="A16" s="7" t="s">
        <v>58</v>
      </c>
      <c r="B16" s="8"/>
      <c r="C16" s="8"/>
      <c r="D16" s="15"/>
      <c r="E16" s="15"/>
      <c r="F16" s="1"/>
      <c r="G16" s="1">
        <v>1518821</v>
      </c>
    </row>
    <row r="17" spans="1:7" x14ac:dyDescent="0.25">
      <c r="A17" s="29" t="s">
        <v>81</v>
      </c>
      <c r="B17" s="4">
        <f>B13+B14</f>
        <v>16700746</v>
      </c>
      <c r="C17" s="4">
        <f t="shared" ref="C17:G17" si="4">C13+C14</f>
        <v>12910400</v>
      </c>
      <c r="D17" s="4">
        <f t="shared" si="4"/>
        <v>8634760</v>
      </c>
      <c r="E17" s="4">
        <f t="shared" si="4"/>
        <v>8641561</v>
      </c>
      <c r="F17" s="4">
        <f t="shared" si="4"/>
        <v>11673033</v>
      </c>
      <c r="G17" s="4">
        <f t="shared" si="4"/>
        <v>14856478</v>
      </c>
    </row>
    <row r="18" spans="1:7" s="7" customFormat="1" x14ac:dyDescent="0.25">
      <c r="A18" s="7" t="s">
        <v>82</v>
      </c>
      <c r="B18" s="15">
        <v>576573</v>
      </c>
      <c r="C18" s="15">
        <v>557560</v>
      </c>
      <c r="D18" s="15">
        <v>411179</v>
      </c>
      <c r="E18" s="8">
        <v>411502</v>
      </c>
      <c r="F18" s="8">
        <v>555859</v>
      </c>
      <c r="G18" s="8">
        <v>707451</v>
      </c>
    </row>
    <row r="19" spans="1:7" x14ac:dyDescent="0.25">
      <c r="A19" s="29" t="s">
        <v>83</v>
      </c>
      <c r="B19" s="10">
        <f>B17-B18</f>
        <v>16124173</v>
      </c>
      <c r="C19" s="10">
        <f t="shared" ref="C19:G19" si="5">C17-C18</f>
        <v>12352840</v>
      </c>
      <c r="D19" s="10">
        <f t="shared" si="5"/>
        <v>8223581</v>
      </c>
      <c r="E19" s="10">
        <f t="shared" si="5"/>
        <v>8230059</v>
      </c>
      <c r="F19" s="10">
        <f t="shared" si="5"/>
        <v>11117174</v>
      </c>
      <c r="G19" s="10">
        <f t="shared" si="5"/>
        <v>14149027</v>
      </c>
    </row>
    <row r="20" spans="1:7" x14ac:dyDescent="0.25">
      <c r="A20" s="26" t="s">
        <v>84</v>
      </c>
      <c r="B20" s="12"/>
      <c r="C20" s="10"/>
      <c r="D20" s="10"/>
      <c r="E20" s="4"/>
      <c r="F20" s="4"/>
      <c r="G20" s="4"/>
    </row>
    <row r="21" spans="1:7" x14ac:dyDescent="0.25">
      <c r="A21" s="7" t="s">
        <v>9</v>
      </c>
      <c r="B21" s="10">
        <v>4592705</v>
      </c>
      <c r="C21" s="10">
        <v>1197445</v>
      </c>
      <c r="D21" s="10">
        <v>2055895</v>
      </c>
      <c r="E21" s="10">
        <v>2057514</v>
      </c>
      <c r="F21" s="4">
        <v>2779294</v>
      </c>
      <c r="G21" s="4">
        <v>3537257</v>
      </c>
    </row>
    <row r="22" spans="1:7" x14ac:dyDescent="0.25">
      <c r="A22" s="29" t="s">
        <v>85</v>
      </c>
      <c r="B22" s="11">
        <f>B19-B21</f>
        <v>11531468</v>
      </c>
      <c r="C22" s="11">
        <f t="shared" ref="C22:G22" si="6">C19-C21</f>
        <v>11155395</v>
      </c>
      <c r="D22" s="11">
        <f t="shared" si="6"/>
        <v>6167686</v>
      </c>
      <c r="E22" s="11">
        <f t="shared" si="6"/>
        <v>6172545</v>
      </c>
      <c r="F22" s="11">
        <f t="shared" si="6"/>
        <v>8337880</v>
      </c>
      <c r="G22" s="11">
        <f t="shared" si="6"/>
        <v>10611770</v>
      </c>
    </row>
    <row r="23" spans="1:7" x14ac:dyDescent="0.25">
      <c r="A23" s="2"/>
      <c r="B23" s="12"/>
      <c r="C23" s="10"/>
      <c r="D23" s="10"/>
      <c r="E23" s="10"/>
      <c r="F23" s="10"/>
      <c r="G23" s="10"/>
    </row>
    <row r="24" spans="1:7" x14ac:dyDescent="0.25">
      <c r="A24" s="29" t="s">
        <v>86</v>
      </c>
      <c r="B24" s="22">
        <f>B22/('1'!B53/10)</f>
        <v>5.7657340000000001</v>
      </c>
      <c r="C24" s="22">
        <f>C22/('1'!C53/10)</f>
        <v>5.5776975000000002</v>
      </c>
      <c r="D24" s="22">
        <f>D22/('1'!D53/10)</f>
        <v>3.0838429999999999</v>
      </c>
      <c r="E24" s="22">
        <f>E22/('1'!E53/10)</f>
        <v>3.0862725000000002</v>
      </c>
      <c r="F24" s="22">
        <f>F22/('1'!F53/10)</f>
        <v>4.1689400000000001</v>
      </c>
      <c r="G24" s="22">
        <f>G22/('1'!G53/10)</f>
        <v>5.305885</v>
      </c>
    </row>
    <row r="25" spans="1:7" x14ac:dyDescent="0.25">
      <c r="A25" s="31" t="s">
        <v>87</v>
      </c>
      <c r="B25" s="8">
        <f>'1'!B53/10</f>
        <v>2000000</v>
      </c>
      <c r="C25" s="8">
        <f>'1'!C53/10</f>
        <v>2000000</v>
      </c>
      <c r="D25" s="8">
        <f>'1'!D53/10</f>
        <v>2000000</v>
      </c>
      <c r="E25" s="8">
        <f>'1'!E53/10</f>
        <v>2000000</v>
      </c>
      <c r="F25" s="8">
        <f>'1'!F53/10</f>
        <v>2000000</v>
      </c>
      <c r="G25" s="8">
        <f>'1'!G53/10</f>
        <v>2000000</v>
      </c>
    </row>
    <row r="47" spans="1:1" x14ac:dyDescent="0.25">
      <c r="A4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4"/>
  <sheetViews>
    <sheetView tabSelected="1"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K33" sqref="K33"/>
    </sheetView>
  </sheetViews>
  <sheetFormatPr defaultRowHeight="15" x14ac:dyDescent="0.25"/>
  <cols>
    <col min="1" max="1" width="42.42578125" bestFit="1" customWidth="1"/>
    <col min="2" max="6" width="14.5703125" bestFit="1" customWidth="1"/>
    <col min="7" max="7" width="11.140625" bestFit="1" customWidth="1"/>
  </cols>
  <sheetData>
    <row r="1" spans="1:7" x14ac:dyDescent="0.25">
      <c r="A1" s="12" t="s">
        <v>68</v>
      </c>
    </row>
    <row r="2" spans="1:7" x14ac:dyDescent="0.25">
      <c r="A2" s="12" t="s">
        <v>89</v>
      </c>
    </row>
    <row r="3" spans="1:7" x14ac:dyDescent="0.25">
      <c r="A3" s="12" t="s">
        <v>60</v>
      </c>
    </row>
    <row r="4" spans="1:7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</row>
    <row r="5" spans="1:7" x14ac:dyDescent="0.25">
      <c r="A5" s="29" t="s">
        <v>90</v>
      </c>
    </row>
    <row r="6" spans="1:7" x14ac:dyDescent="0.25">
      <c r="A6" t="s">
        <v>17</v>
      </c>
      <c r="B6" s="1">
        <v>142235017</v>
      </c>
      <c r="C6" s="1">
        <v>81600484</v>
      </c>
      <c r="D6" s="1">
        <v>174988816</v>
      </c>
      <c r="E6" s="1">
        <v>216223622</v>
      </c>
      <c r="F6" s="1">
        <v>109644313</v>
      </c>
      <c r="G6" s="1">
        <v>105318820</v>
      </c>
    </row>
    <row r="7" spans="1:7" x14ac:dyDescent="0.25">
      <c r="A7" s="7" t="s">
        <v>18</v>
      </c>
      <c r="B7" s="1">
        <v>-124314460</v>
      </c>
      <c r="C7" s="1">
        <v>-105073765</v>
      </c>
      <c r="D7" s="1">
        <v>-168985271</v>
      </c>
      <c r="E7" s="1">
        <v>-192631017</v>
      </c>
      <c r="F7" s="1">
        <v>-173798024</v>
      </c>
      <c r="G7" s="1">
        <v>-47581790</v>
      </c>
    </row>
    <row r="8" spans="1:7" x14ac:dyDescent="0.25">
      <c r="A8" s="7" t="s">
        <v>25</v>
      </c>
      <c r="B8" s="1">
        <v>0</v>
      </c>
      <c r="C8" s="1">
        <v>0</v>
      </c>
      <c r="D8" s="1">
        <v>0</v>
      </c>
      <c r="E8" s="1">
        <v>0</v>
      </c>
      <c r="F8" s="1">
        <v>-11863410</v>
      </c>
      <c r="G8" s="1">
        <v>-1251446</v>
      </c>
    </row>
    <row r="9" spans="1:7" x14ac:dyDescent="0.25">
      <c r="A9" s="7" t="s">
        <v>26</v>
      </c>
      <c r="B9" s="1">
        <v>0</v>
      </c>
      <c r="C9" s="1">
        <v>0</v>
      </c>
      <c r="D9" s="1">
        <v>0</v>
      </c>
      <c r="E9" s="1">
        <v>0</v>
      </c>
      <c r="F9" s="1">
        <v>-1253373</v>
      </c>
      <c r="G9" s="1">
        <v>-17047250</v>
      </c>
    </row>
    <row r="10" spans="1:7" ht="15.75" x14ac:dyDescent="0.25">
      <c r="A10" s="3"/>
      <c r="B10" s="16">
        <f>SUM(B6:B9)</f>
        <v>17920557</v>
      </c>
      <c r="C10" s="16">
        <f>SUM(C6:C9)</f>
        <v>-23473281</v>
      </c>
      <c r="D10" s="16">
        <f t="shared" ref="D10:F10" si="0">SUM(D6:D9)</f>
        <v>6003545</v>
      </c>
      <c r="E10" s="16">
        <f t="shared" si="0"/>
        <v>23592605</v>
      </c>
      <c r="F10" s="16">
        <f t="shared" si="0"/>
        <v>-77270494</v>
      </c>
      <c r="G10" s="16">
        <f t="shared" ref="G10" si="1">SUM(G6:G9)</f>
        <v>39438334</v>
      </c>
    </row>
    <row r="11" spans="1:7" ht="15.75" x14ac:dyDescent="0.25">
      <c r="A11" s="3"/>
    </row>
    <row r="12" spans="1:7" x14ac:dyDescent="0.25">
      <c r="A12" s="29" t="s">
        <v>91</v>
      </c>
    </row>
    <row r="13" spans="1:7" x14ac:dyDescent="0.25">
      <c r="A13" s="6" t="s">
        <v>8</v>
      </c>
      <c r="B13" s="1">
        <v>70000</v>
      </c>
      <c r="C13" s="1">
        <v>-2965000</v>
      </c>
      <c r="D13" s="1">
        <v>-12932975</v>
      </c>
      <c r="E13" s="1">
        <v>-1820315</v>
      </c>
      <c r="F13" s="1">
        <v>-948018</v>
      </c>
      <c r="G13" s="1">
        <v>-5547964</v>
      </c>
    </row>
    <row r="14" spans="1:7" x14ac:dyDescent="0.25">
      <c r="A14" s="6" t="s">
        <v>13</v>
      </c>
      <c r="B14" s="1">
        <v>0</v>
      </c>
      <c r="C14" s="1">
        <v>208000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6" t="s">
        <v>27</v>
      </c>
      <c r="B15" s="1"/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2"/>
      <c r="B16" s="16">
        <f>SUM(B13:B15)</f>
        <v>70000</v>
      </c>
      <c r="C16" s="16">
        <f>SUM(C13:C15)</f>
        <v>-2757000</v>
      </c>
      <c r="D16" s="16">
        <f t="shared" ref="D16:F16" si="2">SUM(D13:D15)</f>
        <v>-12932975</v>
      </c>
      <c r="E16" s="16">
        <f t="shared" si="2"/>
        <v>-1820315</v>
      </c>
      <c r="F16" s="16">
        <f t="shared" si="2"/>
        <v>-948018</v>
      </c>
      <c r="G16" s="16">
        <f t="shared" ref="G16" si="3">SUM(G13:G15)</f>
        <v>-5547964</v>
      </c>
    </row>
    <row r="18" spans="1:7" x14ac:dyDescent="0.25">
      <c r="A18" s="29" t="s">
        <v>92</v>
      </c>
    </row>
    <row r="19" spans="1:7" x14ac:dyDescent="0.25">
      <c r="A19" s="7" t="s">
        <v>28</v>
      </c>
      <c r="B19" s="8"/>
      <c r="C19" s="8"/>
      <c r="D19" s="8"/>
      <c r="E19" s="8"/>
      <c r="F19" s="8"/>
      <c r="G19" s="8"/>
    </row>
    <row r="20" spans="1:7" x14ac:dyDescent="0.25">
      <c r="A20" s="7" t="s">
        <v>51</v>
      </c>
      <c r="B20" s="8"/>
      <c r="C20" s="8"/>
      <c r="D20" s="8"/>
      <c r="E20" s="8"/>
      <c r="F20" s="8">
        <v>1146411</v>
      </c>
      <c r="G20" s="8">
        <v>1146417</v>
      </c>
    </row>
    <row r="21" spans="1:7" x14ac:dyDescent="0.25">
      <c r="A21" s="7" t="s">
        <v>45</v>
      </c>
      <c r="B21" s="8">
        <v>-10870943</v>
      </c>
      <c r="C21" s="8">
        <v>28686223</v>
      </c>
      <c r="D21" s="8">
        <v>10286516</v>
      </c>
      <c r="E21" s="8">
        <v>2000000</v>
      </c>
      <c r="F21" s="8">
        <v>0</v>
      </c>
      <c r="G21" s="8"/>
    </row>
    <row r="22" spans="1:7" x14ac:dyDescent="0.25">
      <c r="A22" s="7" t="s">
        <v>29</v>
      </c>
      <c r="B22" s="8">
        <v>0</v>
      </c>
      <c r="C22" s="8">
        <v>0</v>
      </c>
      <c r="D22" s="1"/>
      <c r="E22" s="8">
        <v>0</v>
      </c>
      <c r="F22" s="8">
        <v>0</v>
      </c>
      <c r="G22" s="8"/>
    </row>
    <row r="23" spans="1:7" x14ac:dyDescent="0.25">
      <c r="A23" s="7" t="s">
        <v>30</v>
      </c>
      <c r="B23" s="7">
        <v>-2316322</v>
      </c>
      <c r="C23" s="8">
        <v>-3723632</v>
      </c>
      <c r="D23" s="8">
        <v>-3223988</v>
      </c>
      <c r="E23" s="8">
        <v>-1653748</v>
      </c>
      <c r="F23" s="8">
        <v>-2400000</v>
      </c>
      <c r="G23" s="8">
        <v>-1866921</v>
      </c>
    </row>
    <row r="24" spans="1:7" x14ac:dyDescent="0.25">
      <c r="A24" s="7" t="s">
        <v>52</v>
      </c>
      <c r="B24" s="7"/>
      <c r="C24" s="8"/>
      <c r="D24" s="8"/>
      <c r="E24" s="8"/>
      <c r="F24" s="8">
        <v>56950124</v>
      </c>
      <c r="G24" s="8">
        <v>-28464374</v>
      </c>
    </row>
    <row r="25" spans="1:7" x14ac:dyDescent="0.25">
      <c r="A25" s="7" t="s">
        <v>31</v>
      </c>
      <c r="B25" s="7"/>
      <c r="C25" s="7"/>
      <c r="D25" s="8"/>
      <c r="E25" s="8"/>
      <c r="F25" s="8"/>
      <c r="G25" s="8"/>
    </row>
    <row r="26" spans="1:7" x14ac:dyDescent="0.25">
      <c r="A26" s="2"/>
      <c r="B26" s="17">
        <f>SUM(B19:B25)</f>
        <v>-13187265</v>
      </c>
      <c r="C26" s="17">
        <f>SUM(C19:C25)</f>
        <v>24962591</v>
      </c>
      <c r="D26" s="17">
        <f>SUM(D19:D25)</f>
        <v>7062528</v>
      </c>
      <c r="E26" s="17">
        <f>SUM(E19:E25)-1</f>
        <v>346251</v>
      </c>
      <c r="F26" s="17">
        <f>SUM(F19:F25)</f>
        <v>55696535</v>
      </c>
      <c r="G26" s="17">
        <f t="shared" ref="G26" si="4">SUM(G19:G25)</f>
        <v>-29184878</v>
      </c>
    </row>
    <row r="28" spans="1:7" x14ac:dyDescent="0.25">
      <c r="A28" s="2" t="s">
        <v>93</v>
      </c>
      <c r="B28" s="4">
        <f>B16+B10+B26</f>
        <v>4803292</v>
      </c>
      <c r="C28" s="4">
        <f>C16+C10+C26</f>
        <v>-1267690</v>
      </c>
      <c r="D28" s="4">
        <f t="shared" ref="D28:F28" si="5">D16+D10+D26</f>
        <v>133098</v>
      </c>
      <c r="E28" s="4">
        <f t="shared" si="5"/>
        <v>22118541</v>
      </c>
      <c r="F28" s="4">
        <f t="shared" si="5"/>
        <v>-22521977</v>
      </c>
      <c r="G28" s="4">
        <f t="shared" ref="G28" si="6">G16+G10+G26</f>
        <v>4705492</v>
      </c>
    </row>
    <row r="29" spans="1:7" x14ac:dyDescent="0.25">
      <c r="A29" s="31" t="s">
        <v>94</v>
      </c>
      <c r="B29" s="1">
        <v>314600</v>
      </c>
      <c r="C29" s="1">
        <v>5117892</v>
      </c>
      <c r="D29" s="8">
        <v>3850203</v>
      </c>
      <c r="E29" s="1">
        <v>3983300</v>
      </c>
      <c r="F29" s="1">
        <v>26101842</v>
      </c>
      <c r="G29" s="1">
        <v>3579864</v>
      </c>
    </row>
    <row r="30" spans="1:7" x14ac:dyDescent="0.25">
      <c r="A30" s="29" t="s">
        <v>95</v>
      </c>
      <c r="B30" s="4">
        <f>SUM(B28:B29)</f>
        <v>5117892</v>
      </c>
      <c r="C30" s="4">
        <f>SUM(C28:C29)+1</f>
        <v>3850203</v>
      </c>
      <c r="D30" s="4">
        <f>SUM(D28:D29)-1</f>
        <v>3983300</v>
      </c>
      <c r="E30" s="4">
        <f>SUM(E28:E29)</f>
        <v>26101841</v>
      </c>
      <c r="F30" s="4">
        <f>SUM(F28:F29)-1</f>
        <v>3579864</v>
      </c>
      <c r="G30" s="4">
        <f>SUM(G28:G29)</f>
        <v>8285356</v>
      </c>
    </row>
    <row r="31" spans="1:7" x14ac:dyDescent="0.25">
      <c r="B31" s="2"/>
      <c r="C31" s="2"/>
      <c r="D31" s="2"/>
      <c r="E31" s="2"/>
      <c r="F31" s="2"/>
      <c r="G31" s="2"/>
    </row>
    <row r="33" spans="1:7" x14ac:dyDescent="0.25">
      <c r="A33" s="29" t="s">
        <v>96</v>
      </c>
      <c r="B33" s="13">
        <f>B10/('1'!B53/10)</f>
        <v>8.9602784999999994</v>
      </c>
      <c r="C33" s="13">
        <f>C10/('1'!C53/10)</f>
        <v>-11.7366405</v>
      </c>
      <c r="D33" s="13">
        <f>D10/('1'!D53/10)</f>
        <v>3.0017725</v>
      </c>
      <c r="E33" s="13">
        <f>E10/('1'!E53/10)</f>
        <v>11.796302499999999</v>
      </c>
      <c r="F33" s="13">
        <f>F10/('1'!F53/10)</f>
        <v>-38.635247</v>
      </c>
      <c r="G33" s="13">
        <f>G10/('1'!G53/10)</f>
        <v>19.719166999999999</v>
      </c>
    </row>
    <row r="34" spans="1:7" x14ac:dyDescent="0.25">
      <c r="A34" s="29" t="s">
        <v>97</v>
      </c>
      <c r="B34" s="14">
        <f>'1'!B53/10</f>
        <v>2000000</v>
      </c>
      <c r="C34" s="14">
        <f>'1'!C53/10</f>
        <v>2000000</v>
      </c>
      <c r="D34" s="14">
        <f>'1'!D53/10</f>
        <v>2000000</v>
      </c>
      <c r="E34" s="14">
        <f>'1'!E53/10</f>
        <v>2000000</v>
      </c>
      <c r="F34" s="14">
        <f>'1'!F53/10</f>
        <v>2000000</v>
      </c>
      <c r="G34" s="14">
        <f>'1'!G53/10</f>
        <v>2000000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width="35.28515625" bestFit="1" customWidth="1"/>
  </cols>
  <sheetData>
    <row r="1" spans="1:7" x14ac:dyDescent="0.25">
      <c r="A1" s="12" t="s">
        <v>68</v>
      </c>
    </row>
    <row r="2" spans="1:7" x14ac:dyDescent="0.25">
      <c r="A2" s="12" t="s">
        <v>59</v>
      </c>
    </row>
    <row r="3" spans="1:7" x14ac:dyDescent="0.25">
      <c r="A3" s="12" t="s">
        <v>60</v>
      </c>
    </row>
    <row r="4" spans="1:7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</row>
    <row r="5" spans="1:7" x14ac:dyDescent="0.25">
      <c r="A5" t="s">
        <v>61</v>
      </c>
      <c r="B5" s="23">
        <f>'2'!B22/'1'!B19</f>
        <v>2.6439433812702168E-2</v>
      </c>
      <c r="C5" s="23">
        <f>'2'!C22/'1'!C19</f>
        <v>2.2962171418382037E-2</v>
      </c>
      <c r="D5" s="23">
        <f>'2'!D22/'1'!D19</f>
        <v>1.2517785374452407E-2</v>
      </c>
      <c r="E5" s="23">
        <f>'2'!E22/'1'!E19</f>
        <v>1.1384501026988857E-2</v>
      </c>
      <c r="F5" s="23">
        <f>'2'!F22/'1'!F19</f>
        <v>1.4990695036678263E-2</v>
      </c>
      <c r="G5" s="23">
        <f>'2'!G22/'1'!G19</f>
        <v>1.6993840470480925E-2</v>
      </c>
    </row>
    <row r="6" spans="1:7" x14ac:dyDescent="0.25">
      <c r="A6" t="s">
        <v>62</v>
      </c>
      <c r="B6" s="23">
        <f>'2'!B22/'1'!B52</f>
        <v>-0.18523044786120685</v>
      </c>
      <c r="C6" s="23">
        <f>'2'!C22/'1'!C52</f>
        <v>-0.17703743711683881</v>
      </c>
      <c r="D6" s="23">
        <f>'2'!D22/'1'!D52</f>
        <v>-0.10073379354426835</v>
      </c>
      <c r="E6" s="23">
        <f>'2'!E22/'1'!E52</f>
        <v>-8.6508918622575023E-2</v>
      </c>
      <c r="F6" s="23">
        <f>'2'!F22/'1'!F52</f>
        <v>-0.1280286670414735</v>
      </c>
      <c r="G6" s="23">
        <f>'2'!G22/'1'!G52</f>
        <v>0.19131758128590809</v>
      </c>
    </row>
    <row r="7" spans="1:7" x14ac:dyDescent="0.25">
      <c r="A7" t="s">
        <v>63</v>
      </c>
      <c r="B7" s="23"/>
      <c r="C7" s="23"/>
      <c r="D7" s="23"/>
      <c r="E7" s="23"/>
      <c r="F7" s="23"/>
      <c r="G7" s="23"/>
    </row>
    <row r="8" spans="1:7" x14ac:dyDescent="0.25">
      <c r="A8" t="s">
        <v>64</v>
      </c>
      <c r="B8" s="24">
        <f>'1'!B10/'1'!B34</f>
        <v>1.2168699444365492</v>
      </c>
      <c r="C8" s="24">
        <f>'1'!C10/'1'!C34</f>
        <v>1.1853227627081357</v>
      </c>
      <c r="D8" s="24">
        <f>'1'!D10/'1'!D34</f>
        <v>1.1606563700779393</v>
      </c>
      <c r="E8" s="24">
        <f>'1'!E10/'1'!E34</f>
        <v>1.1192591945293009</v>
      </c>
      <c r="F8" s="24">
        <f>'1'!F10/'1'!F34</f>
        <v>1.1368063090869127</v>
      </c>
      <c r="G8" s="24">
        <f>'1'!G10/'1'!G34</f>
        <v>1.1604354722976831</v>
      </c>
    </row>
    <row r="9" spans="1:7" x14ac:dyDescent="0.25">
      <c r="A9" t="s">
        <v>65</v>
      </c>
      <c r="B9" s="23">
        <f>'2'!B22/'2'!B5</f>
        <v>0.11580805473944536</v>
      </c>
      <c r="C9" s="23">
        <f>'2'!C22/'2'!C5</f>
        <v>9.2852086619647417E-2</v>
      </c>
      <c r="D9" s="23">
        <f>'2'!D22/'2'!D5</f>
        <v>4.4398098250867019E-2</v>
      </c>
      <c r="E9" s="23">
        <f>'2'!E22/'2'!E5</f>
        <v>4.2728792167714781E-2</v>
      </c>
      <c r="F9" s="23">
        <f>'2'!F22/'2'!F5</f>
        <v>5.5346848717626657E-2</v>
      </c>
      <c r="G9" s="23">
        <f>'2'!G22/'2'!G5</f>
        <v>5.830842867868264E-2</v>
      </c>
    </row>
    <row r="10" spans="1:7" x14ac:dyDescent="0.25">
      <c r="A10" t="s">
        <v>66</v>
      </c>
      <c r="B10" s="23">
        <f>'2'!B13/'2'!B5</f>
        <v>0.18201900191347192</v>
      </c>
      <c r="C10" s="23">
        <f>'2'!C13/'2'!C5</f>
        <v>0.11912198746537055</v>
      </c>
      <c r="D10" s="23">
        <f>'2'!D13/'2'!D5</f>
        <v>7.2849837951288562E-2</v>
      </c>
      <c r="E10" s="23">
        <f>'2'!E13/'2'!E5</f>
        <v>7.0902924339293086E-2</v>
      </c>
      <c r="F10" s="23">
        <f>'2'!F13/'2'!F5</f>
        <v>8.580548500873382E-2</v>
      </c>
      <c r="G10" s="23">
        <f>'2'!G13/'2'!G5</f>
        <v>8.0162656348701011E-2</v>
      </c>
    </row>
    <row r="11" spans="1:7" x14ac:dyDescent="0.25">
      <c r="A11" t="s">
        <v>67</v>
      </c>
      <c r="B11" s="23">
        <f>'2'!B22/'1'!B52</f>
        <v>-0.18523044786120685</v>
      </c>
      <c r="C11" s="23">
        <f>'2'!C22/'1'!C52</f>
        <v>-0.17703743711683881</v>
      </c>
      <c r="D11" s="23">
        <f>'2'!D22/'1'!D52</f>
        <v>-0.10073379354426835</v>
      </c>
      <c r="E11" s="23">
        <f>'2'!E22/'1'!E52</f>
        <v>-8.6508918622575023E-2</v>
      </c>
      <c r="F11" s="23">
        <f>'2'!F22/'1'!F52</f>
        <v>-0.1280286670414735</v>
      </c>
      <c r="G11" s="23">
        <f>'2'!G22/'1'!G52</f>
        <v>0.19131758128590809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2020-04-11T14:43:57Z</dcterms:modified>
</cp:coreProperties>
</file>