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ood and Allied\Annual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3" l="1"/>
  <c r="F11" i="3"/>
  <c r="G16" i="1"/>
  <c r="D5" i="2" l="1"/>
  <c r="C5" i="2"/>
  <c r="B69" i="1"/>
  <c r="F43" i="1" l="1"/>
  <c r="F47" i="1"/>
  <c r="B74" i="1"/>
  <c r="C74" i="1"/>
  <c r="D74" i="1"/>
  <c r="E74" i="1"/>
  <c r="G74" i="1"/>
  <c r="G47" i="1"/>
  <c r="F62" i="1"/>
  <c r="G62" i="1"/>
  <c r="G26" i="1"/>
  <c r="G52" i="1"/>
  <c r="G72" i="1" s="1"/>
  <c r="G43" i="1"/>
  <c r="G69" i="1"/>
  <c r="G35" i="1"/>
  <c r="G67" i="2"/>
  <c r="G59" i="2"/>
  <c r="G21" i="2"/>
  <c r="G20" i="2" s="1"/>
  <c r="G29" i="2"/>
  <c r="G25" i="2"/>
  <c r="G50" i="2"/>
  <c r="F62" i="2"/>
  <c r="F65" i="2"/>
  <c r="G24" i="2"/>
  <c r="G5" i="2"/>
  <c r="F5" i="2"/>
  <c r="F20" i="2"/>
  <c r="E19" i="2"/>
  <c r="G63" i="1" l="1"/>
  <c r="G19" i="2"/>
  <c r="G65" i="2" l="1"/>
  <c r="G36" i="1" l="1"/>
  <c r="G9" i="1"/>
  <c r="G31" i="3"/>
  <c r="G29" i="3"/>
  <c r="G27" i="3"/>
  <c r="G25" i="3"/>
  <c r="G23" i="3"/>
  <c r="G18" i="3"/>
  <c r="G11" i="3"/>
  <c r="G38" i="1" l="1"/>
  <c r="E5" i="2"/>
  <c r="E62" i="2" s="1"/>
  <c r="D62" i="2"/>
  <c r="D19" i="2"/>
  <c r="C62" i="2"/>
  <c r="B62" i="2"/>
  <c r="B67" i="2"/>
  <c r="B5" i="2"/>
  <c r="B62" i="1" l="1"/>
  <c r="F23" i="3" l="1"/>
  <c r="F31" i="3"/>
  <c r="F25" i="2"/>
  <c r="F26" i="2"/>
  <c r="F32" i="1"/>
  <c r="F24" i="2" l="1"/>
  <c r="B9" i="3"/>
  <c r="C9" i="3"/>
  <c r="B65" i="2"/>
  <c r="B25" i="2"/>
  <c r="C25" i="2"/>
  <c r="B26" i="2"/>
  <c r="C26" i="2"/>
  <c r="B31" i="1"/>
  <c r="B30" i="1"/>
  <c r="C30" i="1"/>
  <c r="B32" i="1"/>
  <c r="C32" i="1"/>
  <c r="C24" i="2" l="1"/>
  <c r="C65" i="2"/>
  <c r="D65" i="2"/>
  <c r="E65" i="2"/>
  <c r="E67" i="2" s="1"/>
  <c r="D24" i="2"/>
  <c r="E24" i="2"/>
  <c r="D62" i="1"/>
  <c r="C62" i="1"/>
  <c r="F69" i="1"/>
  <c r="C69" i="1"/>
  <c r="D69" i="1"/>
  <c r="C36" i="1"/>
  <c r="D36" i="1"/>
  <c r="E36" i="1"/>
  <c r="F36" i="1"/>
  <c r="F8" i="4" s="1"/>
  <c r="B36" i="1"/>
  <c r="B26" i="1"/>
  <c r="C26" i="1"/>
  <c r="E26" i="1"/>
  <c r="F26" i="1"/>
  <c r="D26" i="1"/>
  <c r="B16" i="1"/>
  <c r="C9" i="1"/>
  <c r="D9" i="1"/>
  <c r="E9" i="1"/>
  <c r="F9" i="1"/>
  <c r="B9" i="1"/>
  <c r="B52" i="1"/>
  <c r="B63" i="1" s="1"/>
  <c r="C52" i="1"/>
  <c r="C63" i="1" s="1"/>
  <c r="E52" i="1"/>
  <c r="D52" i="1"/>
  <c r="F74" i="1" l="1"/>
  <c r="D8" i="4"/>
  <c r="B72" i="1"/>
  <c r="D63" i="1"/>
  <c r="F10" i="4"/>
  <c r="F9" i="4"/>
  <c r="D9" i="4"/>
  <c r="F6" i="4"/>
  <c r="C7" i="4"/>
  <c r="E9" i="4"/>
  <c r="D7" i="4"/>
  <c r="B11" i="4"/>
  <c r="D11" i="4"/>
  <c r="E10" i="4"/>
  <c r="B8" i="4"/>
  <c r="C8" i="4"/>
  <c r="C6" i="4"/>
  <c r="C11" i="4"/>
  <c r="B6" i="4"/>
  <c r="D67" i="2"/>
  <c r="B9" i="4"/>
  <c r="C9" i="4"/>
  <c r="D10" i="4"/>
  <c r="D6" i="4"/>
  <c r="C67" i="2"/>
  <c r="B10" i="4"/>
  <c r="C10" i="4"/>
  <c r="F67" i="2"/>
  <c r="B7" i="4"/>
  <c r="D72" i="1"/>
  <c r="B38" i="1"/>
  <c r="B5" i="4" s="1"/>
  <c r="C72" i="1"/>
  <c r="E20" i="2"/>
  <c r="D20" i="2"/>
  <c r="E62" i="1"/>
  <c r="E8" i="4" s="1"/>
  <c r="E16" i="1"/>
  <c r="E38" i="1" s="1"/>
  <c r="E5" i="4" s="1"/>
  <c r="E69" i="1"/>
  <c r="E63" i="1" l="1"/>
  <c r="E7" i="4"/>
  <c r="E6" i="4"/>
  <c r="E11" i="4"/>
  <c r="E72" i="1"/>
  <c r="D11" i="3"/>
  <c r="D31" i="3" s="1"/>
  <c r="C11" i="3"/>
  <c r="C31" i="3" s="1"/>
  <c r="D18" i="3"/>
  <c r="E18" i="3"/>
  <c r="F18" i="3"/>
  <c r="F25" i="3"/>
  <c r="E11" i="3"/>
  <c r="E31" i="3" s="1"/>
  <c r="C16" i="1" l="1"/>
  <c r="C38" i="1" s="1"/>
  <c r="D16" i="1"/>
  <c r="F16" i="1"/>
  <c r="F38" i="1" l="1"/>
  <c r="C5" i="4"/>
  <c r="D38" i="1"/>
  <c r="D5" i="4" s="1"/>
  <c r="F5" i="4" l="1"/>
  <c r="B11" i="3"/>
  <c r="B31" i="3" s="1"/>
  <c r="F7" i="4" l="1"/>
  <c r="F11" i="4"/>
  <c r="F52" i="1"/>
  <c r="F72" i="1" s="1"/>
  <c r="E25" i="3"/>
  <c r="D25" i="3"/>
  <c r="C25" i="3"/>
  <c r="C18" i="3"/>
  <c r="B18" i="3"/>
  <c r="B25" i="3"/>
  <c r="F19" i="2"/>
  <c r="F63" i="1" l="1"/>
  <c r="C19" i="2"/>
  <c r="B24" i="2"/>
  <c r="B19" i="2" s="1"/>
  <c r="B27" i="3"/>
  <c r="B29" i="3" s="1"/>
  <c r="F27" i="3" l="1"/>
  <c r="F29" i="3" s="1"/>
  <c r="C27" i="3" l="1"/>
  <c r="C29" i="3" s="1"/>
  <c r="E27" i="3"/>
  <c r="E29" i="3" s="1"/>
  <c r="D27" i="3"/>
  <c r="D29" i="3" s="1"/>
</calcChain>
</file>

<file path=xl/sharedStrings.xml><?xml version="1.0" encoding="utf-8"?>
<sst xmlns="http://schemas.openxmlformats.org/spreadsheetml/2006/main" count="146" uniqueCount="137">
  <si>
    <t>-</t>
  </si>
  <si>
    <t>Income Tax Paid</t>
  </si>
  <si>
    <t xml:space="preserve">Receipts from customers </t>
  </si>
  <si>
    <t>Payment to suppliers, employees &amp; others</t>
  </si>
  <si>
    <t xml:space="preserve">Acquisition of Property, Plant &amp; Equipment </t>
  </si>
  <si>
    <t>Acquisition of Intangible Assets</t>
  </si>
  <si>
    <t xml:space="preserve">Proceeds from short term loan </t>
  </si>
  <si>
    <t>Share Application Money refund</t>
  </si>
  <si>
    <t xml:space="preserve">Construction WIP </t>
  </si>
  <si>
    <t xml:space="preserve">Shares Held by Government </t>
  </si>
  <si>
    <t xml:space="preserve">Private Shares Vested to Government </t>
  </si>
  <si>
    <t xml:space="preserve">Equity </t>
  </si>
  <si>
    <t xml:space="preserve"> Quasi Equity Loan </t>
  </si>
  <si>
    <t xml:space="preserve"> Loan Fund </t>
  </si>
  <si>
    <t xml:space="preserve"> Foreign Credit(Dev) </t>
  </si>
  <si>
    <t xml:space="preserve"> Foreign Grants </t>
  </si>
  <si>
    <t xml:space="preserve"> Option Fund for 2003 </t>
  </si>
  <si>
    <t xml:space="preserve"> Private Fund Vested to Government </t>
  </si>
  <si>
    <t xml:space="preserve"> Fund from Govt. for PF and Gratuity</t>
  </si>
  <si>
    <t xml:space="preserve"> Govt. Long term loan</t>
  </si>
  <si>
    <t xml:space="preserve"> Loan from Bank </t>
  </si>
  <si>
    <t xml:space="preserve">Work in Progress-76 Motijheel </t>
  </si>
  <si>
    <t>i) Investment in shares and equity (Contra)</t>
  </si>
  <si>
    <t>Shares Held by Government</t>
  </si>
  <si>
    <t>ii) Investment in complete projects</t>
  </si>
  <si>
    <t xml:space="preserve"> BIDC</t>
  </si>
  <si>
    <t xml:space="preserve">Corporation </t>
  </si>
  <si>
    <t xml:space="preserve"> Foreign Credit (non Dev.)</t>
  </si>
  <si>
    <t xml:space="preserve"> Private Fund Vested to Govt.</t>
  </si>
  <si>
    <t xml:space="preserve">Govt. Quasi Equity Loan Held </t>
  </si>
  <si>
    <t xml:space="preserve">Option Fund 2003 </t>
  </si>
  <si>
    <t>iii) Investment in ICB shares</t>
  </si>
  <si>
    <t>iv) Investment in underway and other projects</t>
  </si>
  <si>
    <t>Current Account with Enterprises</t>
  </si>
  <si>
    <t>Current Account with Disinvestment Enterprises</t>
  </si>
  <si>
    <t xml:space="preserve">Bangladesh Cold Storage ( Take over unit ) </t>
  </si>
  <si>
    <t>Stationery and Other Stock</t>
  </si>
  <si>
    <t xml:space="preserve">Loans, Advances, Deposits and Pre-payments </t>
  </si>
  <si>
    <t xml:space="preserve">Cash and Bank Balance </t>
  </si>
  <si>
    <t xml:space="preserve">Bank Overdraft </t>
  </si>
  <si>
    <t>For Expenses</t>
  </si>
  <si>
    <t xml:space="preserve">For Other Finance </t>
  </si>
  <si>
    <t xml:space="preserve">Current Account with Disinvestment Enterprises </t>
  </si>
  <si>
    <t xml:space="preserve">Fund Received Against Disinvested Enterprise </t>
  </si>
  <si>
    <t xml:space="preserve">Bank LTR A/C </t>
  </si>
  <si>
    <t xml:space="preserve">Current Account with Enterprises </t>
  </si>
  <si>
    <t>Salary- Officers</t>
  </si>
  <si>
    <t xml:space="preserve">Salary-Staff </t>
  </si>
  <si>
    <t>Overtime</t>
  </si>
  <si>
    <t>Entertainment Expenses</t>
  </si>
  <si>
    <t>Telephone and Trunk Call</t>
  </si>
  <si>
    <t>Repair &amp; Maintenance (Vehicle)</t>
  </si>
  <si>
    <t>Repair &amp; Maintenance (Other)</t>
  </si>
  <si>
    <t>Tax on Interest Charges</t>
  </si>
  <si>
    <t xml:space="preserve">Training Expenses </t>
  </si>
  <si>
    <t xml:space="preserve">Postage and Telegram </t>
  </si>
  <si>
    <t>News Paper &amp; Periodicals</t>
  </si>
  <si>
    <t xml:space="preserve">Printing &amp; Stationery </t>
  </si>
  <si>
    <t>Rent, Rates and Taxes</t>
  </si>
  <si>
    <t xml:space="preserve">Electricity </t>
  </si>
  <si>
    <t xml:space="preserve">WASA Bill </t>
  </si>
  <si>
    <t xml:space="preserve">Office Rent </t>
  </si>
  <si>
    <t xml:space="preserve">Uniform and Liveries </t>
  </si>
  <si>
    <t xml:space="preserve"> Bank Charges </t>
  </si>
  <si>
    <t>Bank Interest Expenses -</t>
  </si>
  <si>
    <t>Audit Fees</t>
  </si>
  <si>
    <t xml:space="preserve">Sundries and Locker Rent Expenses </t>
  </si>
  <si>
    <t>Depreciation</t>
  </si>
  <si>
    <t xml:space="preserve">Insurance Premium </t>
  </si>
  <si>
    <t>Group Insurance Premium</t>
  </si>
  <si>
    <t>Exhibition/Internet Expenses</t>
  </si>
  <si>
    <t xml:space="preserve">Repair &amp; Maintenance of Chinishilpa Bhaban </t>
  </si>
  <si>
    <t xml:space="preserve">Repair &amp; Maintenance (Banani) </t>
  </si>
  <si>
    <t xml:space="preserve">Honorioum </t>
  </si>
  <si>
    <t>Staff Bus Rent</t>
  </si>
  <si>
    <t>Petrol &amp; Diesel-Vehicles</t>
  </si>
  <si>
    <t>Scholarship of Staff Children</t>
  </si>
  <si>
    <t>Bank Interest</t>
  </si>
  <si>
    <t>Sale of Tender Forms</t>
  </si>
  <si>
    <t xml:space="preserve">H.O Overhead Charges </t>
  </si>
  <si>
    <t>Enlishment/Application Fee</t>
  </si>
  <si>
    <t>Sundry Receipts</t>
  </si>
  <si>
    <t>Unclaimed Liabilities Written Back</t>
  </si>
  <si>
    <t>Office Rent Received</t>
  </si>
  <si>
    <t>Transport Hire Charge</t>
  </si>
  <si>
    <t>Sugar dealership renewal fee</t>
  </si>
  <si>
    <t>Deduction/Forfeiture of Security Money</t>
  </si>
  <si>
    <t>Sports &amp; Games</t>
  </si>
  <si>
    <t xml:space="preserve">Advertisement &amp; Publicity </t>
  </si>
  <si>
    <t xml:space="preserve">Legal Expenses </t>
  </si>
  <si>
    <t xml:space="preserve">Subscription &amp; Donation </t>
  </si>
  <si>
    <t>Current Ratio</t>
  </si>
  <si>
    <t>Debt to Equity</t>
  </si>
  <si>
    <t>Operating Margin</t>
  </si>
  <si>
    <t>Current Liabilities</t>
  </si>
  <si>
    <t>Non Current Liabilities</t>
  </si>
  <si>
    <t>Net Margin</t>
  </si>
  <si>
    <t>Salaries &amp; Wages</t>
  </si>
  <si>
    <t>Diposal of Fixed Assets</t>
  </si>
  <si>
    <t>Cash received from other liabilities</t>
  </si>
  <si>
    <t>Non operating income/expenses</t>
  </si>
  <si>
    <t>Consolidated Cash FLow Statement</t>
  </si>
  <si>
    <t>As at year end</t>
  </si>
  <si>
    <t>Shyampur Sugar Mills Ltd.</t>
  </si>
  <si>
    <t>Return on Asset (ROA)</t>
  </si>
  <si>
    <t>Return on Equity (ROE)</t>
  </si>
  <si>
    <t>Return on Invested Capital (ROIC)</t>
  </si>
  <si>
    <t>ASSETS</t>
  </si>
  <si>
    <t>NON CURRENT ASSETS</t>
  </si>
  <si>
    <t>Investment</t>
  </si>
  <si>
    <t>CURRENT ASSETS</t>
  </si>
  <si>
    <t>Liabilities and Capital</t>
  </si>
  <si>
    <t>Liabilities</t>
  </si>
  <si>
    <t>Shareholders’ Equity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</si>
  <si>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</si>
  <si>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</si>
  <si>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</si>
  <si>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</si>
  <si>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</si>
  <si>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</si>
  <si>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</si>
  <si>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</si>
  <si>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Consolidated Balance Sheet</t>
  </si>
  <si>
    <t>Consolidated Income Statement</t>
  </si>
  <si>
    <t>Income</t>
  </si>
  <si>
    <t>Expenses</t>
  </si>
  <si>
    <t>Net assets value per share</t>
  </si>
  <si>
    <t>Shares to calculate NAVPS</t>
  </si>
  <si>
    <t>Net Profit</t>
  </si>
  <si>
    <t>Earnings per share (par value Taka 10)</t>
  </si>
  <si>
    <t>Shares to Calculate EPS</t>
  </si>
  <si>
    <t>Direct Expenses</t>
  </si>
  <si>
    <t>Indirect Expenses</t>
  </si>
  <si>
    <t>Inventory Adjustment</t>
  </si>
  <si>
    <t>Sale of suger &amp; molasses</t>
  </si>
  <si>
    <t>Other OH</t>
  </si>
  <si>
    <t>Sales of share of mill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</si>
</sst>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_(* #,##0_);_(* \(#,##0\);_(* &quot;-&quot;??_);_(@_)"/>
    <numFmt numFmtId="166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Border="1"/>
    <xf numFmtId="0" fontId="3" fillId="0" borderId="0" xfId="0" applyFont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1" fontId="2" fillId="0" borderId="0" xfId="0" applyNumberFormat="1" applyFont="1" applyAlignment="1">
      <alignment horizontal="right"/>
    </xf>
    <xf numFmtId="41" fontId="0" fillId="0" borderId="0" xfId="0" applyNumberFormat="1" applyAlignment="1">
      <alignment horizontal="right"/>
    </xf>
    <xf numFmtId="41" fontId="0" fillId="0" borderId="0" xfId="0" applyNumberFormat="1"/>
    <xf numFmtId="41" fontId="0" fillId="0" borderId="0" xfId="0" applyNumberFormat="1" applyFont="1"/>
    <xf numFmtId="41" fontId="1" fillId="0" borderId="0" xfId="0" applyNumberFormat="1" applyFont="1" applyBorder="1"/>
    <xf numFmtId="41" fontId="1" fillId="0" borderId="0" xfId="0" applyNumberFormat="1" applyFont="1"/>
    <xf numFmtId="41" fontId="0" fillId="0" borderId="0" xfId="0" applyNumberFormat="1" applyBorder="1"/>
    <xf numFmtId="164" fontId="1" fillId="0" borderId="0" xfId="0" applyNumberFormat="1" applyFont="1" applyBorder="1" applyAlignment="1">
      <alignment horizontal="right"/>
    </xf>
    <xf numFmtId="41" fontId="0" fillId="0" borderId="0" xfId="0" applyNumberFormat="1" applyFont="1" applyBorder="1"/>
    <xf numFmtId="41" fontId="0" fillId="0" borderId="0" xfId="0" applyNumberForma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Fill="1"/>
    <xf numFmtId="164" fontId="1" fillId="0" borderId="0" xfId="0" applyNumberFormat="1" applyFont="1" applyFill="1" applyBorder="1"/>
    <xf numFmtId="164" fontId="0" fillId="0" borderId="0" xfId="0" applyNumberFormat="1" applyAlignment="1">
      <alignment horizontal="right"/>
    </xf>
    <xf numFmtId="164" fontId="1" fillId="0" borderId="0" xfId="0" applyNumberFormat="1" applyFont="1" applyFill="1" applyAlignment="1">
      <alignment horizontal="right"/>
    </xf>
    <xf numFmtId="164" fontId="1" fillId="0" borderId="0" xfId="0" applyNumberFormat="1" applyFont="1" applyAlignment="1">
      <alignment horizontal="right"/>
    </xf>
    <xf numFmtId="164" fontId="0" fillId="0" borderId="0" xfId="0" applyNumberFormat="1" applyBorder="1" applyAlignment="1">
      <alignment horizontal="right"/>
    </xf>
    <xf numFmtId="15" fontId="2" fillId="0" borderId="0" xfId="0" applyNumberFormat="1" applyFont="1" applyFill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41" fontId="0" fillId="0" borderId="0" xfId="0" applyNumberFormat="1" applyFont="1" applyFill="1"/>
    <xf numFmtId="41" fontId="1" fillId="0" borderId="0" xfId="0" applyNumberFormat="1" applyFont="1" applyFill="1"/>
    <xf numFmtId="2" fontId="0" fillId="0" borderId="0" xfId="0" applyNumberFormat="1"/>
    <xf numFmtId="0" fontId="0" fillId="0" borderId="0" xfId="0" applyFont="1" applyAlignment="1">
      <alignment horizontal="left" indent="1"/>
    </xf>
    <xf numFmtId="41" fontId="0" fillId="0" borderId="1" xfId="0" applyNumberFormat="1" applyFill="1" applyBorder="1"/>
    <xf numFmtId="41" fontId="0" fillId="0" borderId="0" xfId="0" applyNumberFormat="1" applyFont="1" applyFill="1" applyBorder="1"/>
    <xf numFmtId="41" fontId="1" fillId="0" borderId="0" xfId="0" applyNumberFormat="1" applyFont="1" applyFill="1" applyBorder="1"/>
    <xf numFmtId="0" fontId="7" fillId="0" borderId="0" xfId="0" applyFont="1"/>
    <xf numFmtId="0" fontId="8" fillId="0" borderId="0" xfId="0" applyFont="1"/>
    <xf numFmtId="0" fontId="7" fillId="0" borderId="0" xfId="0" applyFont="1" applyFill="1"/>
    <xf numFmtId="0" fontId="8" fillId="0" borderId="0" xfId="0" applyFont="1" applyFill="1"/>
    <xf numFmtId="165" fontId="8" fillId="0" borderId="0" xfId="1" applyNumberFormat="1" applyFont="1" applyAlignment="1"/>
    <xf numFmtId="0" fontId="8" fillId="0" borderId="0" xfId="0" applyFont="1" applyAlignment="1">
      <alignment vertical="center"/>
    </xf>
    <xf numFmtId="165" fontId="7" fillId="0" borderId="0" xfId="1" quotePrefix="1" applyNumberFormat="1" applyFont="1" applyAlignment="1"/>
    <xf numFmtId="165" fontId="8" fillId="0" borderId="0" xfId="1" applyNumberFormat="1" applyFont="1" applyFill="1" applyBorder="1"/>
    <xf numFmtId="165" fontId="7" fillId="0" borderId="0" xfId="1" applyNumberFormat="1" applyFont="1" applyFill="1"/>
    <xf numFmtId="165" fontId="0" fillId="0" borderId="0" xfId="1" applyNumberFormat="1" applyFont="1" applyBorder="1"/>
    <xf numFmtId="165" fontId="8" fillId="0" borderId="0" xfId="1" applyNumberFormat="1" applyFont="1" applyBorder="1" applyAlignment="1"/>
    <xf numFmtId="0" fontId="0" fillId="0" borderId="0" xfId="0" applyAlignment="1">
      <alignment horizontal="left" indent="1"/>
    </xf>
    <xf numFmtId="0" fontId="8" fillId="0" borderId="0" xfId="0" applyFont="1" applyAlignment="1">
      <alignment horizontal="left" indent="1"/>
    </xf>
    <xf numFmtId="41" fontId="1" fillId="0" borderId="3" xfId="0" applyNumberFormat="1" applyFont="1" applyFill="1" applyBorder="1"/>
    <xf numFmtId="3" fontId="0" fillId="0" borderId="0" xfId="0" applyNumberFormat="1"/>
    <xf numFmtId="0" fontId="1" fillId="0" borderId="0" xfId="0" applyFont="1" applyBorder="1"/>
    <xf numFmtId="3" fontId="1" fillId="0" borderId="0" xfId="0" applyNumberFormat="1" applyFont="1"/>
    <xf numFmtId="0" fontId="0" fillId="0" borderId="0" xfId="0" applyFont="1" applyBorder="1"/>
    <xf numFmtId="0" fontId="0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3" fontId="0" fillId="0" borderId="0" xfId="0" applyNumberFormat="1" applyFont="1"/>
    <xf numFmtId="165" fontId="8" fillId="0" borderId="0" xfId="0" applyNumberFormat="1" applyFont="1" applyBorder="1" applyAlignment="1">
      <alignment horizontal="center"/>
    </xf>
    <xf numFmtId="165" fontId="0" fillId="0" borderId="0" xfId="1" applyNumberFormat="1" applyFont="1"/>
    <xf numFmtId="165" fontId="0" fillId="0" borderId="0" xfId="1" applyNumberFormat="1" applyFont="1" applyFill="1"/>
    <xf numFmtId="165" fontId="1" fillId="0" borderId="0" xfId="1" applyNumberFormat="1" applyFont="1"/>
    <xf numFmtId="165" fontId="1" fillId="0" borderId="0" xfId="1" applyNumberFormat="1" applyFont="1" applyFill="1"/>
    <xf numFmtId="165" fontId="0" fillId="0" borderId="2" xfId="1" applyNumberFormat="1" applyFont="1" applyBorder="1"/>
    <xf numFmtId="165" fontId="0" fillId="0" borderId="0" xfId="1" applyNumberFormat="1" applyFont="1" applyFill="1" applyBorder="1"/>
    <xf numFmtId="165" fontId="0" fillId="0" borderId="2" xfId="1" applyNumberFormat="1" applyFont="1" applyFill="1" applyBorder="1"/>
    <xf numFmtId="165" fontId="1" fillId="0" borderId="2" xfId="1" applyNumberFormat="1" applyFont="1" applyBorder="1"/>
    <xf numFmtId="165" fontId="2" fillId="0" borderId="0" xfId="1" applyNumberFormat="1" applyFont="1" applyAlignment="1">
      <alignment horizontal="right"/>
    </xf>
    <xf numFmtId="165" fontId="0" fillId="0" borderId="0" xfId="1" applyNumberFormat="1" applyFont="1" applyFill="1" applyAlignment="1">
      <alignment horizontal="right"/>
    </xf>
    <xf numFmtId="165" fontId="0" fillId="0" borderId="0" xfId="1" applyNumberFormat="1" applyFont="1" applyAlignment="1">
      <alignment horizontal="right"/>
    </xf>
    <xf numFmtId="165" fontId="1" fillId="0" borderId="0" xfId="1" applyNumberFormat="1" applyFont="1" applyFill="1" applyAlignment="1">
      <alignment horizontal="right"/>
    </xf>
    <xf numFmtId="165" fontId="1" fillId="0" borderId="0" xfId="1" applyNumberFormat="1" applyFont="1" applyAlignment="1">
      <alignment horizontal="right"/>
    </xf>
    <xf numFmtId="165" fontId="4" fillId="0" borderId="3" xfId="1" applyNumberFormat="1" applyFont="1" applyFill="1" applyBorder="1" applyAlignment="1">
      <alignment horizontal="right"/>
    </xf>
    <xf numFmtId="165" fontId="1" fillId="0" borderId="0" xfId="1" applyNumberFormat="1" applyFont="1" applyBorder="1"/>
    <xf numFmtId="10" fontId="0" fillId="0" borderId="0" xfId="2" applyNumberFormat="1" applyFont="1"/>
    <xf numFmtId="165" fontId="0" fillId="0" borderId="0" xfId="0" applyNumberFormat="1"/>
    <xf numFmtId="165" fontId="6" fillId="0" borderId="0" xfId="1" applyNumberFormat="1" applyFont="1"/>
    <xf numFmtId="166" fontId="0" fillId="0" borderId="0" xfId="0" applyNumberFormat="1"/>
    <xf numFmtId="166" fontId="0" fillId="0" borderId="0" xfId="2" applyNumberFormat="1" applyFont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0" fontId="5" fillId="0" borderId="0" xfId="0" applyFont="1" applyBorder="1"/>
    <xf numFmtId="41" fontId="0" fillId="0" borderId="0" xfId="0" applyNumberFormat="1" applyBorder="1" applyAlignment="1">
      <alignment horizontal="right"/>
    </xf>
    <xf numFmtId="41" fontId="0" fillId="0" borderId="0" xfId="0" applyNumberFormat="1" applyFill="1" applyBorder="1"/>
    <xf numFmtId="43" fontId="0" fillId="0" borderId="0" xfId="0" applyNumberFormat="1"/>
    <xf numFmtId="41" fontId="0" fillId="0" borderId="1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78"/>
  <sheetViews>
    <sheetView zoomScaleNormal="10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H6" sqref="H6"/>
    </sheetView>
  </sheetViews>
  <sheetFormatPr defaultRowHeight="15" x14ac:dyDescent="0.25"/>
  <cols>
    <col min="1" max="1" width="45.85546875" customWidth="1"/>
    <col min="2" max="2" width="17" bestFit="1" customWidth="1"/>
    <col min="3" max="3" width="14.42578125" bestFit="1" customWidth="1"/>
    <col min="4" max="4" width="18" style="18" bestFit="1" customWidth="1"/>
    <col min="5" max="5" width="17.85546875" customWidth="1"/>
    <col min="6" max="6" width="15" bestFit="1" customWidth="1"/>
    <col min="7" max="7" width="14.7109375" customWidth="1"/>
    <col min="8" max="12" width="19" bestFit="1" customWidth="1"/>
  </cols>
  <sheetData>
    <row r="1" spans="1:12" ht="15.75" x14ac:dyDescent="0.25">
      <c r="A1" s="1" t="s">
        <v>103</v>
      </c>
      <c r="B1" s="8"/>
      <c r="C1" s="8"/>
      <c r="D1" s="8"/>
      <c r="E1" s="8"/>
      <c r="F1" s="8"/>
    </row>
    <row r="2" spans="1:12" ht="15.75" x14ac:dyDescent="0.25">
      <c r="A2" s="1" t="s">
        <v>122</v>
      </c>
      <c r="B2" s="2"/>
      <c r="C2" s="2"/>
      <c r="D2" s="2"/>
      <c r="E2" s="2"/>
      <c r="F2" s="2"/>
    </row>
    <row r="3" spans="1:12" ht="15.75" x14ac:dyDescent="0.25">
      <c r="A3" s="1" t="s">
        <v>102</v>
      </c>
      <c r="B3" s="2"/>
      <c r="C3" s="2"/>
      <c r="D3" s="2"/>
      <c r="E3" s="2"/>
      <c r="F3" s="2"/>
    </row>
    <row r="4" spans="1:12" x14ac:dyDescent="0.25">
      <c r="A4" s="1"/>
      <c r="B4" s="1">
        <v>2013</v>
      </c>
      <c r="C4" s="1">
        <v>2014</v>
      </c>
      <c r="D4" s="1">
        <v>2015</v>
      </c>
      <c r="E4" s="1">
        <v>2016</v>
      </c>
      <c r="F4" s="1">
        <v>2017</v>
      </c>
      <c r="G4" s="1">
        <v>2018</v>
      </c>
    </row>
    <row r="5" spans="1:12" ht="15.75" x14ac:dyDescent="0.25">
      <c r="B5" s="28"/>
      <c r="C5" s="27"/>
      <c r="D5" s="28"/>
      <c r="E5" s="27"/>
      <c r="F5" s="28"/>
    </row>
    <row r="6" spans="1:12" x14ac:dyDescent="0.25">
      <c r="A6" s="78" t="s">
        <v>107</v>
      </c>
      <c r="B6" s="58"/>
      <c r="C6" s="58"/>
      <c r="D6" s="59"/>
      <c r="E6" s="58"/>
      <c r="F6" s="58"/>
      <c r="G6" s="10"/>
      <c r="H6" s="10"/>
      <c r="I6" s="10"/>
      <c r="J6" s="10"/>
      <c r="K6" s="10"/>
      <c r="L6" s="10"/>
    </row>
    <row r="7" spans="1:12" x14ac:dyDescent="0.25">
      <c r="A7" s="79" t="s">
        <v>108</v>
      </c>
      <c r="B7" s="58">
        <v>68202595</v>
      </c>
      <c r="C7" s="58">
        <v>72857844</v>
      </c>
      <c r="D7" s="58">
        <v>160058563</v>
      </c>
      <c r="E7" s="58">
        <v>155150363</v>
      </c>
      <c r="F7" s="58">
        <v>89548488</v>
      </c>
      <c r="G7" s="58">
        <v>85712791</v>
      </c>
    </row>
    <row r="8" spans="1:12" x14ac:dyDescent="0.25">
      <c r="A8" t="s">
        <v>21</v>
      </c>
      <c r="B8" s="45">
        <v>2542225</v>
      </c>
      <c r="C8" s="45">
        <v>2390549</v>
      </c>
      <c r="D8" s="63">
        <v>594312</v>
      </c>
      <c r="E8" s="58">
        <v>32500039</v>
      </c>
      <c r="F8" s="45"/>
    </row>
    <row r="9" spans="1:12" x14ac:dyDescent="0.25">
      <c r="A9" s="36"/>
      <c r="B9" s="65">
        <f>SUM(B7:B8)</f>
        <v>70744820</v>
      </c>
      <c r="C9" s="65">
        <f t="shared" ref="C9:G9" si="0">SUM(C7:C8)</f>
        <v>75248393</v>
      </c>
      <c r="D9" s="65">
        <f t="shared" si="0"/>
        <v>160652875</v>
      </c>
      <c r="E9" s="65">
        <f t="shared" si="0"/>
        <v>187650402</v>
      </c>
      <c r="F9" s="65">
        <f t="shared" si="0"/>
        <v>89548488</v>
      </c>
      <c r="G9" s="65">
        <f t="shared" si="0"/>
        <v>85712791</v>
      </c>
    </row>
    <row r="10" spans="1:12" x14ac:dyDescent="0.25">
      <c r="A10" s="36"/>
      <c r="B10" s="60"/>
      <c r="C10" s="60"/>
      <c r="D10" s="61"/>
      <c r="E10" s="61"/>
      <c r="F10" s="60"/>
    </row>
    <row r="11" spans="1:12" x14ac:dyDescent="0.25">
      <c r="A11" s="79" t="s">
        <v>109</v>
      </c>
      <c r="B11" s="60"/>
      <c r="C11" s="60"/>
      <c r="D11" s="61"/>
      <c r="E11" s="61"/>
      <c r="F11" s="60"/>
    </row>
    <row r="12" spans="1:12" x14ac:dyDescent="0.25">
      <c r="A12" s="48" t="s">
        <v>22</v>
      </c>
      <c r="B12" s="58"/>
      <c r="C12" s="58"/>
      <c r="D12" s="58"/>
      <c r="E12" s="45"/>
      <c r="F12" s="58"/>
    </row>
    <row r="13" spans="1:12" x14ac:dyDescent="0.25">
      <c r="A13" s="48" t="s">
        <v>23</v>
      </c>
      <c r="B13" s="58"/>
      <c r="C13" s="58"/>
      <c r="D13" s="58">
        <v>612125760</v>
      </c>
      <c r="E13" s="45">
        <v>629571335</v>
      </c>
      <c r="F13" s="58"/>
    </row>
    <row r="14" spans="1:12" x14ac:dyDescent="0.25">
      <c r="A14" s="48" t="s">
        <v>10</v>
      </c>
      <c r="B14" s="58"/>
      <c r="C14" s="58"/>
      <c r="D14" s="58">
        <v>19949753</v>
      </c>
      <c r="E14" s="45">
        <v>2504178</v>
      </c>
      <c r="F14" s="58"/>
    </row>
    <row r="15" spans="1:12" x14ac:dyDescent="0.25">
      <c r="A15" s="48" t="s">
        <v>11</v>
      </c>
      <c r="B15" s="58"/>
      <c r="C15" s="58"/>
      <c r="D15" s="58">
        <v>149552303</v>
      </c>
      <c r="E15" s="45">
        <v>149552303</v>
      </c>
      <c r="F15" s="58"/>
    </row>
    <row r="16" spans="1:12" x14ac:dyDescent="0.25">
      <c r="B16" s="62">
        <f>SUM(B12:B15)</f>
        <v>0</v>
      </c>
      <c r="C16" s="62">
        <f t="shared" ref="C16" si="1">SUM(C12:C15)</f>
        <v>0</v>
      </c>
      <c r="D16" s="62">
        <f t="shared" ref="D16:E16" si="2">SUM(D12:D15)</f>
        <v>781627816</v>
      </c>
      <c r="E16" s="62">
        <f t="shared" si="2"/>
        <v>781627816</v>
      </c>
      <c r="F16" s="62">
        <f t="shared" ref="F16:G16" si="3">SUM(F12:F15)</f>
        <v>0</v>
      </c>
      <c r="G16" s="62">
        <f t="shared" si="3"/>
        <v>0</v>
      </c>
      <c r="H16" s="10"/>
      <c r="I16" s="10"/>
      <c r="J16" s="10"/>
      <c r="K16" s="10"/>
      <c r="L16" s="10"/>
    </row>
    <row r="17" spans="1:12" x14ac:dyDescent="0.25">
      <c r="A17" t="s">
        <v>24</v>
      </c>
      <c r="B17" s="45"/>
      <c r="C17" s="45"/>
      <c r="D17" s="45"/>
      <c r="E17" s="45"/>
      <c r="F17" s="45"/>
      <c r="G17" s="10"/>
      <c r="H17" s="10"/>
      <c r="I17" s="10"/>
      <c r="J17" s="10"/>
      <c r="K17" s="10"/>
      <c r="L17" s="10"/>
    </row>
    <row r="18" spans="1:12" x14ac:dyDescent="0.25">
      <c r="A18" t="s">
        <v>25</v>
      </c>
      <c r="B18" s="45"/>
      <c r="C18" s="45"/>
      <c r="D18" s="45">
        <v>229324186</v>
      </c>
      <c r="E18" s="45">
        <v>229324186</v>
      </c>
      <c r="F18" s="45"/>
      <c r="G18" s="10"/>
      <c r="H18" s="10"/>
      <c r="I18" s="10"/>
      <c r="J18" s="10"/>
      <c r="K18" s="10"/>
      <c r="L18" s="10"/>
    </row>
    <row r="19" spans="1:12" x14ac:dyDescent="0.25">
      <c r="A19" t="s">
        <v>26</v>
      </c>
      <c r="B19" s="45"/>
      <c r="C19" s="45"/>
      <c r="D19" s="45">
        <v>917496919</v>
      </c>
      <c r="E19" s="45">
        <v>917496919</v>
      </c>
      <c r="F19" s="45"/>
      <c r="G19" s="10"/>
      <c r="H19" s="10"/>
      <c r="I19" s="10"/>
      <c r="J19" s="10"/>
      <c r="K19" s="10"/>
      <c r="L19" s="10"/>
    </row>
    <row r="20" spans="1:12" x14ac:dyDescent="0.25">
      <c r="A20" t="s">
        <v>27</v>
      </c>
      <c r="B20" s="45"/>
      <c r="C20" s="45"/>
      <c r="D20" s="45">
        <v>6768419</v>
      </c>
      <c r="E20" s="45">
        <v>6768419</v>
      </c>
      <c r="F20" s="45"/>
      <c r="G20" s="10"/>
      <c r="H20" s="10"/>
      <c r="I20" s="10"/>
      <c r="J20" s="10"/>
      <c r="K20" s="10"/>
      <c r="L20" s="10"/>
    </row>
    <row r="21" spans="1:12" x14ac:dyDescent="0.25">
      <c r="A21" t="s">
        <v>28</v>
      </c>
      <c r="B21" s="45"/>
      <c r="C21" s="45"/>
      <c r="D21" s="45">
        <v>3451969</v>
      </c>
      <c r="E21" s="45">
        <v>3451969</v>
      </c>
      <c r="F21" s="45"/>
      <c r="G21" s="10"/>
      <c r="H21" s="10"/>
      <c r="I21" s="10"/>
      <c r="J21" s="10"/>
      <c r="K21" s="10"/>
      <c r="L21" s="10"/>
    </row>
    <row r="22" spans="1:12" x14ac:dyDescent="0.25">
      <c r="A22" t="s">
        <v>29</v>
      </c>
      <c r="B22" s="45"/>
      <c r="C22" s="45"/>
      <c r="D22" s="45">
        <v>245367570</v>
      </c>
      <c r="E22" s="45">
        <v>245367570</v>
      </c>
      <c r="F22" s="45"/>
      <c r="G22" s="10"/>
      <c r="H22" s="10"/>
      <c r="I22" s="10"/>
      <c r="J22" s="10"/>
      <c r="K22" s="10"/>
      <c r="L22" s="10"/>
    </row>
    <row r="23" spans="1:12" x14ac:dyDescent="0.25">
      <c r="A23" t="s">
        <v>30</v>
      </c>
      <c r="B23" s="45"/>
      <c r="C23" s="45"/>
      <c r="D23" s="45">
        <v>621640992</v>
      </c>
      <c r="E23" s="45">
        <v>621640992</v>
      </c>
      <c r="F23" s="45"/>
      <c r="G23" s="10"/>
      <c r="H23" s="10"/>
      <c r="I23" s="10"/>
      <c r="J23" s="10"/>
      <c r="K23" s="10"/>
      <c r="L23" s="10"/>
    </row>
    <row r="24" spans="1:12" x14ac:dyDescent="0.25">
      <c r="A24" t="s">
        <v>31</v>
      </c>
      <c r="B24" s="45"/>
      <c r="C24" s="45"/>
      <c r="D24" s="45">
        <v>260000</v>
      </c>
      <c r="E24" s="45">
        <v>260000</v>
      </c>
      <c r="F24" s="45"/>
      <c r="G24" s="10"/>
      <c r="H24" s="10"/>
      <c r="I24" s="10"/>
      <c r="J24" s="10"/>
      <c r="K24" s="10"/>
      <c r="L24" s="10"/>
    </row>
    <row r="25" spans="1:12" x14ac:dyDescent="0.25">
      <c r="A25" t="s">
        <v>32</v>
      </c>
      <c r="B25" s="45"/>
      <c r="C25" s="45"/>
      <c r="D25" s="45">
        <v>21893599</v>
      </c>
      <c r="E25" s="45">
        <v>21893599</v>
      </c>
      <c r="F25" s="45"/>
      <c r="G25" s="10"/>
      <c r="H25" s="10"/>
      <c r="I25" s="10"/>
      <c r="J25" s="10"/>
      <c r="K25" s="10"/>
      <c r="L25" s="10"/>
    </row>
    <row r="26" spans="1:12" s="1" customFormat="1" x14ac:dyDescent="0.25">
      <c r="B26" s="62">
        <f t="shared" ref="B26:C26" si="4">SUM(B18:B25)</f>
        <v>0</v>
      </c>
      <c r="C26" s="62">
        <f t="shared" si="4"/>
        <v>0</v>
      </c>
      <c r="D26" s="62">
        <f>SUM(D18:D25)</f>
        <v>2046203654</v>
      </c>
      <c r="E26" s="62">
        <f t="shared" ref="E26:G26" si="5">SUM(E18:E25)</f>
        <v>2046203654</v>
      </c>
      <c r="F26" s="62">
        <f t="shared" si="5"/>
        <v>0</v>
      </c>
      <c r="G26" s="62">
        <f t="shared" si="5"/>
        <v>0</v>
      </c>
      <c r="H26" s="13"/>
      <c r="I26" s="13"/>
      <c r="J26" s="13"/>
      <c r="K26" s="13"/>
      <c r="L26" s="13"/>
    </row>
    <row r="27" spans="1:12" x14ac:dyDescent="0.25">
      <c r="A27" s="7"/>
      <c r="B27" s="58"/>
      <c r="C27" s="58"/>
      <c r="D27" s="59"/>
      <c r="E27" s="58"/>
      <c r="F27" s="58"/>
      <c r="G27" s="10"/>
      <c r="H27" s="10"/>
      <c r="I27" s="10"/>
      <c r="J27" s="10"/>
      <c r="K27" s="10"/>
      <c r="L27" s="10"/>
    </row>
    <row r="28" spans="1:12" x14ac:dyDescent="0.25">
      <c r="A28" s="79" t="s">
        <v>110</v>
      </c>
      <c r="B28" s="60"/>
      <c r="C28" s="60"/>
      <c r="D28" s="61"/>
      <c r="E28" s="60"/>
      <c r="F28" s="60"/>
      <c r="G28" s="10"/>
      <c r="H28" s="10"/>
      <c r="I28" s="10"/>
      <c r="J28" s="10"/>
      <c r="K28" s="10"/>
      <c r="L28" s="10"/>
    </row>
    <row r="29" spans="1:12" x14ac:dyDescent="0.25">
      <c r="A29" s="48" t="s">
        <v>33</v>
      </c>
      <c r="B29" s="58">
        <v>82447065</v>
      </c>
      <c r="C29" s="58">
        <v>64627420</v>
      </c>
      <c r="D29" s="58">
        <v>15746160794</v>
      </c>
      <c r="E29" s="58">
        <v>17695460673</v>
      </c>
      <c r="F29" s="58"/>
    </row>
    <row r="30" spans="1:12" x14ac:dyDescent="0.25">
      <c r="A30" s="47" t="s">
        <v>34</v>
      </c>
      <c r="B30" s="58">
        <f>30165301+114860+2503064+8930212</f>
        <v>41713437</v>
      </c>
      <c r="C30" s="58">
        <f>1537658+35009+1034821+6428573</f>
        <v>9036061</v>
      </c>
      <c r="D30" s="58">
        <v>496550612</v>
      </c>
      <c r="E30" s="58">
        <v>496550612</v>
      </c>
      <c r="F30" s="58"/>
    </row>
    <row r="31" spans="1:12" x14ac:dyDescent="0.25">
      <c r="A31" s="47" t="s">
        <v>35</v>
      </c>
      <c r="B31" s="58">
        <f>12035435+609593</f>
        <v>12645028</v>
      </c>
      <c r="C31" s="46">
        <v>228279</v>
      </c>
      <c r="D31" s="46">
        <v>2746947</v>
      </c>
      <c r="E31" s="46">
        <v>2746947</v>
      </c>
      <c r="F31" s="46"/>
    </row>
    <row r="32" spans="1:12" s="3" customFormat="1" x14ac:dyDescent="0.25">
      <c r="A32" s="32" t="s">
        <v>36</v>
      </c>
      <c r="B32" s="58">
        <f>185968560+21728151+1218065</f>
        <v>208914776</v>
      </c>
      <c r="C32" s="58">
        <f>219111900+19804013+3489533</f>
        <v>242405446</v>
      </c>
      <c r="D32" s="58">
        <v>426674</v>
      </c>
      <c r="E32" s="58">
        <v>479007</v>
      </c>
      <c r="F32" s="58">
        <f>19103+156234302</f>
        <v>156253405</v>
      </c>
      <c r="G32" s="58">
        <v>205305788</v>
      </c>
    </row>
    <row r="33" spans="1:12" s="3" customFormat="1" x14ac:dyDescent="0.25">
      <c r="A33" s="32" t="s">
        <v>37</v>
      </c>
      <c r="B33" s="58">
        <v>2020420955</v>
      </c>
      <c r="C33" s="46">
        <v>2361081201</v>
      </c>
      <c r="D33" s="58">
        <v>5006347705</v>
      </c>
      <c r="E33" s="58">
        <v>5106449676</v>
      </c>
      <c r="F33" s="58">
        <v>70367736</v>
      </c>
      <c r="G33" s="58">
        <v>62455570</v>
      </c>
    </row>
    <row r="34" spans="1:12" s="3" customFormat="1" x14ac:dyDescent="0.25">
      <c r="A34" s="32" t="s">
        <v>133</v>
      </c>
      <c r="B34" s="58"/>
      <c r="C34" s="46"/>
      <c r="D34" s="58"/>
      <c r="E34" s="58"/>
      <c r="F34" s="58"/>
      <c r="G34" s="58">
        <v>19103</v>
      </c>
    </row>
    <row r="35" spans="1:12" s="3" customFormat="1" x14ac:dyDescent="0.25">
      <c r="A35" s="32" t="s">
        <v>38</v>
      </c>
      <c r="B35" s="58">
        <v>10214914</v>
      </c>
      <c r="C35" s="58">
        <v>5499778</v>
      </c>
      <c r="D35" s="58">
        <v>533668341</v>
      </c>
      <c r="E35" s="58">
        <v>610475103</v>
      </c>
      <c r="F35" s="58">
        <v>3598928</v>
      </c>
      <c r="G35" s="58">
        <f>2098967+184125</f>
        <v>2283092</v>
      </c>
    </row>
    <row r="36" spans="1:12" x14ac:dyDescent="0.25">
      <c r="A36" s="1"/>
      <c r="B36" s="62">
        <f>SUM(B29:B35)</f>
        <v>2376356175</v>
      </c>
      <c r="C36" s="62">
        <f t="shared" ref="C36:G36" si="6">SUM(C29:C35)</f>
        <v>2682878185</v>
      </c>
      <c r="D36" s="62">
        <f t="shared" si="6"/>
        <v>21785901073</v>
      </c>
      <c r="E36" s="62">
        <f t="shared" si="6"/>
        <v>23912162018</v>
      </c>
      <c r="F36" s="65">
        <f t="shared" si="6"/>
        <v>230220069</v>
      </c>
      <c r="G36" s="65">
        <f t="shared" si="6"/>
        <v>270063553</v>
      </c>
      <c r="H36" s="10"/>
      <c r="I36" s="10"/>
      <c r="J36" s="10"/>
      <c r="K36" s="10"/>
      <c r="L36" s="10"/>
    </row>
    <row r="37" spans="1:12" x14ac:dyDescent="0.25">
      <c r="A37" s="1"/>
      <c r="B37" s="45"/>
      <c r="C37" s="45"/>
      <c r="D37" s="45"/>
      <c r="E37" s="45"/>
      <c r="F37" s="45"/>
      <c r="G37" s="10"/>
      <c r="H37" s="10"/>
      <c r="I37" s="10"/>
      <c r="J37" s="10"/>
      <c r="K37" s="10"/>
      <c r="L37" s="10"/>
    </row>
    <row r="38" spans="1:12" x14ac:dyDescent="0.25">
      <c r="A38" s="1"/>
      <c r="B38" s="72">
        <f t="shared" ref="B38:G38" si="7">B36+B26+B16+B9</f>
        <v>2447100995</v>
      </c>
      <c r="C38" s="72">
        <f t="shared" si="7"/>
        <v>2758126578</v>
      </c>
      <c r="D38" s="72">
        <f t="shared" si="7"/>
        <v>24774385418</v>
      </c>
      <c r="E38" s="72">
        <f t="shared" si="7"/>
        <v>26927643890</v>
      </c>
      <c r="F38" s="72">
        <f t="shared" si="7"/>
        <v>319768557</v>
      </c>
      <c r="G38" s="72">
        <f t="shared" si="7"/>
        <v>355776344</v>
      </c>
      <c r="H38" s="10"/>
      <c r="I38" s="10"/>
      <c r="J38" s="10"/>
      <c r="K38" s="10"/>
      <c r="L38" s="10"/>
    </row>
    <row r="39" spans="1:12" ht="15.75" x14ac:dyDescent="0.25">
      <c r="A39" s="80" t="s">
        <v>111</v>
      </c>
      <c r="B39" s="45"/>
      <c r="C39" s="45"/>
      <c r="D39" s="45"/>
      <c r="E39" s="45"/>
      <c r="F39" s="45"/>
      <c r="G39" s="10"/>
      <c r="H39" s="10"/>
      <c r="I39" s="10"/>
      <c r="J39" s="10"/>
      <c r="K39" s="10"/>
      <c r="L39" s="10"/>
    </row>
    <row r="40" spans="1:12" ht="15.75" x14ac:dyDescent="0.25">
      <c r="A40" s="81" t="s">
        <v>112</v>
      </c>
      <c r="B40" s="45"/>
      <c r="C40" s="45"/>
      <c r="D40" s="63"/>
      <c r="E40" s="63"/>
      <c r="F40" s="45"/>
      <c r="G40" s="10"/>
      <c r="H40" s="10"/>
      <c r="I40" s="10"/>
      <c r="J40" s="10"/>
      <c r="K40" s="10"/>
      <c r="L40" s="10"/>
    </row>
    <row r="41" spans="1:12" x14ac:dyDescent="0.25">
      <c r="A41" s="79" t="s">
        <v>95</v>
      </c>
      <c r="B41" s="45"/>
      <c r="C41" s="45"/>
      <c r="D41" s="63"/>
      <c r="E41" s="63"/>
      <c r="F41" s="45"/>
      <c r="G41" s="10"/>
      <c r="H41" s="10"/>
      <c r="I41" s="10"/>
      <c r="J41" s="10"/>
      <c r="K41" s="10"/>
      <c r="L41" s="10"/>
    </row>
    <row r="42" spans="1:12" x14ac:dyDescent="0.25">
      <c r="A42" s="3" t="s">
        <v>12</v>
      </c>
      <c r="B42" s="45">
        <v>54841930</v>
      </c>
      <c r="C42" s="45">
        <v>54841930</v>
      </c>
      <c r="D42" s="63">
        <v>245367570</v>
      </c>
      <c r="E42" s="63">
        <v>245367570</v>
      </c>
      <c r="F42" s="75">
        <v>54841931</v>
      </c>
      <c r="G42" s="10">
        <v>54841931</v>
      </c>
      <c r="H42" s="10"/>
      <c r="I42" s="10"/>
      <c r="J42" s="10"/>
      <c r="K42" s="10"/>
      <c r="L42" s="10"/>
    </row>
    <row r="43" spans="1:12" x14ac:dyDescent="0.25">
      <c r="A43" s="3" t="s">
        <v>13</v>
      </c>
      <c r="B43" s="45">
        <v>3392569</v>
      </c>
      <c r="C43" s="45">
        <v>3392569</v>
      </c>
      <c r="D43" s="63">
        <v>540216818</v>
      </c>
      <c r="E43" s="63">
        <v>540216818</v>
      </c>
      <c r="F43" s="10">
        <f>3392570+78950000+1877000</f>
        <v>84219570</v>
      </c>
      <c r="G43" s="10">
        <f>3392570+78950000+1877000</f>
        <v>84219570</v>
      </c>
      <c r="H43" s="10"/>
      <c r="I43" s="10"/>
      <c r="J43" s="10"/>
      <c r="K43" s="10"/>
      <c r="L43" s="10"/>
    </row>
    <row r="44" spans="1:12" x14ac:dyDescent="0.25">
      <c r="A44" s="3" t="s">
        <v>14</v>
      </c>
      <c r="B44" s="45">
        <v>78950000</v>
      </c>
      <c r="C44" s="45">
        <v>78950000</v>
      </c>
      <c r="D44" s="63">
        <v>516716000</v>
      </c>
      <c r="E44" s="63">
        <v>516716000</v>
      </c>
      <c r="F44" s="59"/>
      <c r="G44" s="10"/>
      <c r="H44" s="10"/>
      <c r="I44" s="10"/>
      <c r="J44" s="10"/>
      <c r="K44" s="10"/>
      <c r="L44" s="10"/>
    </row>
    <row r="45" spans="1:12" x14ac:dyDescent="0.25">
      <c r="A45" s="3" t="s">
        <v>15</v>
      </c>
      <c r="B45" s="45">
        <v>1877000</v>
      </c>
      <c r="C45" s="45">
        <v>1877000</v>
      </c>
      <c r="D45" s="63">
        <v>198941378</v>
      </c>
      <c r="E45" s="63">
        <v>198941378</v>
      </c>
      <c r="F45" s="45">
        <v>1150268</v>
      </c>
      <c r="G45" s="10">
        <v>1061062</v>
      </c>
      <c r="H45" s="10"/>
      <c r="I45" s="10"/>
      <c r="J45" s="10"/>
      <c r="K45" s="10"/>
      <c r="L45" s="10"/>
    </row>
    <row r="46" spans="1:12" x14ac:dyDescent="0.25">
      <c r="A46" s="3" t="s">
        <v>16</v>
      </c>
      <c r="B46" s="45">
        <v>2377632</v>
      </c>
      <c r="C46" s="45">
        <v>2377632</v>
      </c>
      <c r="D46" s="63">
        <v>622973000</v>
      </c>
      <c r="E46" s="63">
        <v>622973000</v>
      </c>
      <c r="F46" s="45"/>
      <c r="G46" s="10"/>
      <c r="H46" s="10"/>
      <c r="I46" s="10"/>
      <c r="J46" s="10"/>
      <c r="K46" s="10"/>
      <c r="L46" s="10"/>
    </row>
    <row r="47" spans="1:12" x14ac:dyDescent="0.25">
      <c r="A47" s="3" t="s">
        <v>17</v>
      </c>
      <c r="B47" s="45"/>
      <c r="C47" s="45"/>
      <c r="D47" s="63">
        <v>3451969</v>
      </c>
      <c r="E47" s="63">
        <v>3451969</v>
      </c>
      <c r="F47" s="10">
        <f>2377633+2664467</f>
        <v>5042100</v>
      </c>
      <c r="G47" s="10">
        <f>2377633+2664467</f>
        <v>5042100</v>
      </c>
      <c r="H47" s="10"/>
      <c r="I47" s="10"/>
      <c r="J47" s="10"/>
      <c r="K47" s="10"/>
      <c r="L47" s="10"/>
    </row>
    <row r="48" spans="1:12" x14ac:dyDescent="0.25">
      <c r="A48" s="3" t="s">
        <v>18</v>
      </c>
      <c r="B48" s="45">
        <v>1733000</v>
      </c>
      <c r="C48" s="45">
        <v>1733000</v>
      </c>
      <c r="D48" s="63">
        <v>943200000</v>
      </c>
      <c r="E48" s="63">
        <v>943200000</v>
      </c>
      <c r="F48" s="10">
        <v>25896974</v>
      </c>
      <c r="G48" s="10">
        <v>25896974</v>
      </c>
      <c r="H48" s="10"/>
      <c r="I48" s="10"/>
      <c r="J48" s="10"/>
      <c r="K48" s="10"/>
      <c r="L48" s="10"/>
    </row>
    <row r="49" spans="1:12" x14ac:dyDescent="0.25">
      <c r="A49" s="3" t="s">
        <v>19</v>
      </c>
      <c r="B49" s="45">
        <v>25896973</v>
      </c>
      <c r="C49" s="45">
        <v>25896973</v>
      </c>
      <c r="D49" s="63">
        <v>2075000000</v>
      </c>
      <c r="E49" s="63">
        <v>2075000000</v>
      </c>
      <c r="F49" s="45"/>
      <c r="G49" s="10"/>
      <c r="H49" s="10"/>
      <c r="I49" s="10"/>
      <c r="J49" s="10"/>
      <c r="K49" s="10"/>
      <c r="L49" s="10"/>
    </row>
    <row r="50" spans="1:12" x14ac:dyDescent="0.25">
      <c r="A50" s="3" t="s">
        <v>136</v>
      </c>
      <c r="B50" s="45"/>
      <c r="C50" s="45"/>
      <c r="D50" s="63"/>
      <c r="E50" s="63"/>
      <c r="F50" s="10">
        <v>1733000</v>
      </c>
      <c r="G50" s="10">
        <v>1733000</v>
      </c>
      <c r="H50" s="10"/>
      <c r="I50" s="10"/>
      <c r="J50" s="10"/>
      <c r="K50" s="10"/>
      <c r="L50" s="10"/>
    </row>
    <row r="51" spans="1:12" x14ac:dyDescent="0.25">
      <c r="A51" s="3" t="s">
        <v>20</v>
      </c>
      <c r="B51" s="45"/>
      <c r="C51" s="45"/>
      <c r="D51" s="63">
        <v>5667085611</v>
      </c>
      <c r="E51" s="63">
        <v>7444643973</v>
      </c>
      <c r="F51" s="45"/>
      <c r="G51" s="10"/>
      <c r="H51" s="10"/>
      <c r="I51" s="10"/>
      <c r="J51" s="10"/>
      <c r="K51" s="10"/>
      <c r="L51" s="10"/>
    </row>
    <row r="52" spans="1:12" x14ac:dyDescent="0.25">
      <c r="A52" s="6"/>
      <c r="B52" s="61">
        <f t="shared" ref="B52:C52" si="8">SUM(B42:B51)</f>
        <v>169069104</v>
      </c>
      <c r="C52" s="61">
        <f t="shared" si="8"/>
        <v>169069104</v>
      </c>
      <c r="D52" s="61">
        <f>SUM(D42:D51)</f>
        <v>10812952346</v>
      </c>
      <c r="E52" s="61">
        <f t="shared" ref="E52:F52" si="9">SUM(E42:E51)</f>
        <v>12590510708</v>
      </c>
      <c r="F52" s="61">
        <f t="shared" si="9"/>
        <v>172883843</v>
      </c>
      <c r="G52" s="61">
        <f>SUM(G42:G51)</f>
        <v>172794637</v>
      </c>
    </row>
    <row r="53" spans="1:12" x14ac:dyDescent="0.25">
      <c r="A53" s="36"/>
      <c r="B53" s="58"/>
      <c r="C53" s="58"/>
      <c r="D53" s="59"/>
      <c r="E53" s="59"/>
      <c r="F53" s="58"/>
    </row>
    <row r="54" spans="1:12" x14ac:dyDescent="0.25">
      <c r="A54" s="79" t="s">
        <v>94</v>
      </c>
      <c r="B54" s="58"/>
      <c r="C54" s="58"/>
      <c r="D54" s="59"/>
      <c r="E54" s="60"/>
      <c r="F54" s="60"/>
      <c r="G54" s="10"/>
      <c r="H54" s="10"/>
      <c r="I54" s="10"/>
      <c r="J54" s="10"/>
      <c r="K54" s="10"/>
      <c r="L54" s="10"/>
    </row>
    <row r="55" spans="1:12" x14ac:dyDescent="0.25">
      <c r="A55" s="39" t="s">
        <v>39</v>
      </c>
      <c r="B55" s="58">
        <v>851927316</v>
      </c>
      <c r="C55" s="58">
        <v>941188627</v>
      </c>
      <c r="D55" s="59">
        <v>1466555371</v>
      </c>
      <c r="E55" s="58">
        <v>1646774550</v>
      </c>
      <c r="F55" s="75">
        <v>1278098171</v>
      </c>
      <c r="G55" s="10">
        <v>1414423283</v>
      </c>
      <c r="H55" s="10"/>
      <c r="I55" s="10"/>
      <c r="J55" s="10"/>
      <c r="K55" s="10"/>
      <c r="L55" s="10"/>
    </row>
    <row r="56" spans="1:12" x14ac:dyDescent="0.25">
      <c r="A56" s="39" t="s">
        <v>40</v>
      </c>
      <c r="B56" s="58"/>
      <c r="C56" s="58"/>
      <c r="D56" s="59">
        <v>55231168</v>
      </c>
      <c r="E56" s="58">
        <v>62318111</v>
      </c>
      <c r="F56" s="75">
        <v>49670054</v>
      </c>
      <c r="G56" s="10">
        <v>22501177</v>
      </c>
      <c r="H56" s="10"/>
      <c r="I56" s="10"/>
      <c r="J56" s="10"/>
      <c r="K56" s="10"/>
      <c r="L56" s="10"/>
    </row>
    <row r="57" spans="1:12" x14ac:dyDescent="0.25">
      <c r="A57" s="39" t="s">
        <v>41</v>
      </c>
      <c r="B57" s="58">
        <v>112566966</v>
      </c>
      <c r="C57" s="58">
        <v>127171506</v>
      </c>
      <c r="D57" s="59">
        <v>2374079845</v>
      </c>
      <c r="E57" s="58">
        <v>813651006</v>
      </c>
      <c r="F57" s="75">
        <v>1958082532</v>
      </c>
      <c r="G57" s="10">
        <v>2316558141</v>
      </c>
      <c r="H57" s="10"/>
      <c r="I57" s="10"/>
      <c r="J57" s="10"/>
      <c r="K57" s="10"/>
      <c r="L57" s="10"/>
    </row>
    <row r="58" spans="1:12" x14ac:dyDescent="0.25">
      <c r="A58" s="39" t="s">
        <v>45</v>
      </c>
      <c r="B58" s="58">
        <v>1165894507</v>
      </c>
      <c r="C58" s="58">
        <v>1390703169</v>
      </c>
      <c r="D58" s="59">
        <v>1226017668</v>
      </c>
      <c r="E58" s="58">
        <v>2005495306</v>
      </c>
      <c r="F58" s="75"/>
      <c r="G58" s="10"/>
      <c r="H58" s="10"/>
      <c r="I58" s="10"/>
      <c r="J58" s="10"/>
      <c r="K58" s="10"/>
      <c r="L58" s="10"/>
    </row>
    <row r="59" spans="1:12" x14ac:dyDescent="0.25">
      <c r="A59" s="39" t="s">
        <v>42</v>
      </c>
      <c r="B59" s="58"/>
      <c r="C59" s="58"/>
      <c r="D59" s="59">
        <v>9832858</v>
      </c>
      <c r="E59" s="58">
        <v>9832858</v>
      </c>
      <c r="F59" s="75">
        <v>158806546</v>
      </c>
      <c r="G59" s="10">
        <v>196366078</v>
      </c>
      <c r="H59" s="10"/>
      <c r="I59" s="10"/>
      <c r="J59" s="10"/>
      <c r="K59" s="10"/>
      <c r="L59" s="10"/>
    </row>
    <row r="60" spans="1:12" x14ac:dyDescent="0.25">
      <c r="A60" s="39" t="s">
        <v>43</v>
      </c>
      <c r="B60" s="58"/>
      <c r="C60" s="58"/>
      <c r="D60" s="59">
        <v>18120070</v>
      </c>
      <c r="E60" s="58">
        <v>18120071</v>
      </c>
      <c r="F60" s="60"/>
      <c r="G60" s="10"/>
      <c r="H60" s="10"/>
      <c r="I60" s="10"/>
      <c r="J60" s="10"/>
      <c r="K60" s="10"/>
      <c r="L60" s="10"/>
    </row>
    <row r="61" spans="1:12" x14ac:dyDescent="0.25">
      <c r="A61" s="39" t="s">
        <v>44</v>
      </c>
      <c r="B61" s="58">
        <v>93471541</v>
      </c>
      <c r="C61" s="58">
        <v>75911817</v>
      </c>
      <c r="D61" s="59">
        <v>8029968276</v>
      </c>
      <c r="E61" s="58">
        <v>8999313464</v>
      </c>
      <c r="F61" s="60"/>
      <c r="G61" s="10"/>
      <c r="H61" s="10"/>
      <c r="I61" s="10"/>
      <c r="J61" s="10"/>
      <c r="K61" s="10"/>
      <c r="L61" s="10"/>
    </row>
    <row r="62" spans="1:12" s="1" customFormat="1" x14ac:dyDescent="0.25">
      <c r="A62" s="38"/>
      <c r="B62" s="61">
        <f>SUM(B55:B61)</f>
        <v>2223860330</v>
      </c>
      <c r="C62" s="61">
        <f t="shared" ref="C62" si="10">SUM(C55:C61)</f>
        <v>2534975119</v>
      </c>
      <c r="D62" s="61">
        <f>SUM(D55:D61)</f>
        <v>13179805256</v>
      </c>
      <c r="E62" s="61">
        <f>SUM(E55:E61)</f>
        <v>13555505366</v>
      </c>
      <c r="F62" s="61">
        <f t="shared" ref="F62:G62" si="11">SUM(F55:F61)</f>
        <v>3444657303</v>
      </c>
      <c r="G62" s="61">
        <f t="shared" si="11"/>
        <v>3949848679</v>
      </c>
      <c r="H62" s="13"/>
      <c r="I62" s="13"/>
      <c r="J62" s="13"/>
      <c r="K62" s="13"/>
      <c r="L62" s="13"/>
    </row>
    <row r="63" spans="1:12" s="1" customFormat="1" x14ac:dyDescent="0.25">
      <c r="A63" s="38"/>
      <c r="B63" s="61">
        <f>B52+B62</f>
        <v>2392929434</v>
      </c>
      <c r="C63" s="61">
        <f t="shared" ref="C63:F63" si="12">C52+C62</f>
        <v>2704044223</v>
      </c>
      <c r="D63" s="61">
        <f t="shared" si="12"/>
        <v>23992757602</v>
      </c>
      <c r="E63" s="61">
        <f t="shared" si="12"/>
        <v>26146016074</v>
      </c>
      <c r="F63" s="61">
        <f t="shared" si="12"/>
        <v>3617541146</v>
      </c>
      <c r="G63" s="61">
        <f>G52+G62</f>
        <v>4122643316</v>
      </c>
      <c r="H63" s="13"/>
      <c r="I63" s="13"/>
      <c r="J63" s="13"/>
      <c r="K63" s="13"/>
      <c r="L63" s="13"/>
    </row>
    <row r="64" spans="1:12" x14ac:dyDescent="0.25">
      <c r="A64" s="1"/>
      <c r="B64" s="45"/>
      <c r="C64" s="45"/>
      <c r="D64" s="45"/>
      <c r="E64" s="45"/>
      <c r="F64" s="45"/>
      <c r="G64" s="10"/>
      <c r="H64" s="10"/>
      <c r="I64" s="10"/>
      <c r="J64" s="10"/>
      <c r="K64" s="10"/>
      <c r="L64" s="10"/>
    </row>
    <row r="65" spans="1:12" x14ac:dyDescent="0.25">
      <c r="A65" s="79" t="s">
        <v>113</v>
      </c>
      <c r="B65" s="45"/>
      <c r="C65" s="45"/>
      <c r="D65" s="45"/>
      <c r="E65" s="45"/>
      <c r="F65" s="45"/>
      <c r="G65" s="10"/>
      <c r="H65" s="10"/>
      <c r="I65" s="10"/>
      <c r="J65" s="10"/>
      <c r="K65" s="10"/>
      <c r="L65" s="10"/>
    </row>
    <row r="66" spans="1:12" x14ac:dyDescent="0.25">
      <c r="A66" s="3" t="s">
        <v>9</v>
      </c>
      <c r="B66" s="45">
        <v>2664467</v>
      </c>
      <c r="C66" s="45">
        <v>2664467</v>
      </c>
      <c r="D66" s="45">
        <v>629571335</v>
      </c>
      <c r="E66" s="45">
        <v>629571335</v>
      </c>
      <c r="F66" s="45"/>
      <c r="G66" s="10"/>
      <c r="H66" s="10"/>
      <c r="I66" s="10"/>
      <c r="J66" s="10"/>
      <c r="K66" s="10"/>
      <c r="L66" s="10"/>
    </row>
    <row r="67" spans="1:12" x14ac:dyDescent="0.25">
      <c r="A67" s="3" t="s">
        <v>10</v>
      </c>
      <c r="B67" s="45">
        <v>1507094</v>
      </c>
      <c r="C67" s="45">
        <v>1417888</v>
      </c>
      <c r="D67" s="45">
        <v>2504178</v>
      </c>
      <c r="E67" s="45">
        <v>2504178</v>
      </c>
      <c r="F67" s="45"/>
      <c r="G67" s="10"/>
      <c r="H67" s="10"/>
      <c r="I67" s="10"/>
      <c r="J67" s="10"/>
      <c r="K67" s="10"/>
      <c r="L67" s="10"/>
    </row>
    <row r="68" spans="1:12" x14ac:dyDescent="0.25">
      <c r="A68" s="3" t="s">
        <v>11</v>
      </c>
      <c r="B68" s="45">
        <v>50000000</v>
      </c>
      <c r="C68" s="45">
        <v>50000000</v>
      </c>
      <c r="D68" s="63">
        <v>149552303</v>
      </c>
      <c r="E68" s="45">
        <v>149552303</v>
      </c>
      <c r="F68" s="45">
        <v>-3297772589</v>
      </c>
      <c r="G68" s="10">
        <v>-3766866972</v>
      </c>
      <c r="H68" s="10"/>
      <c r="I68" s="10"/>
      <c r="J68" s="10"/>
      <c r="K68" s="10"/>
      <c r="L68" s="10"/>
    </row>
    <row r="69" spans="1:12" x14ac:dyDescent="0.25">
      <c r="A69" s="1"/>
      <c r="B69" s="64">
        <f>SUM(B66:B68)</f>
        <v>54171561</v>
      </c>
      <c r="C69" s="64">
        <f t="shared" ref="C69" si="13">SUM(C66:C68)</f>
        <v>54082355</v>
      </c>
      <c r="D69" s="64">
        <f>SUM(D66:D68)</f>
        <v>781627816</v>
      </c>
      <c r="E69" s="64">
        <f>SUM(E66:E68)</f>
        <v>781627816</v>
      </c>
      <c r="F69" s="64">
        <f>SUM(F66:F68)</f>
        <v>-3297772589</v>
      </c>
      <c r="G69" s="64">
        <f>SUM(G66:G68)</f>
        <v>-3766866972</v>
      </c>
      <c r="H69" s="10"/>
      <c r="I69" s="10"/>
      <c r="J69" s="10"/>
      <c r="K69" s="10"/>
      <c r="L69" s="10"/>
    </row>
    <row r="70" spans="1:12" x14ac:dyDescent="0.25">
      <c r="A70" s="3"/>
      <c r="B70" s="45"/>
      <c r="C70" s="45"/>
      <c r="D70" s="63"/>
      <c r="E70" s="45"/>
      <c r="F70" s="45"/>
      <c r="G70" s="10"/>
      <c r="H70" s="10"/>
      <c r="I70" s="10"/>
      <c r="J70" s="10"/>
      <c r="K70" s="10"/>
      <c r="L70" s="10"/>
    </row>
    <row r="71" spans="1:12" x14ac:dyDescent="0.25">
      <c r="A71" s="39"/>
      <c r="B71" s="59"/>
      <c r="C71" s="59"/>
      <c r="D71" s="59"/>
      <c r="E71" s="59"/>
      <c r="F71" s="59"/>
      <c r="G71" s="10"/>
      <c r="H71" s="10"/>
      <c r="I71" s="10"/>
      <c r="J71" s="10"/>
      <c r="K71" s="10"/>
      <c r="L71" s="10"/>
    </row>
    <row r="72" spans="1:12" x14ac:dyDescent="0.25">
      <c r="A72" s="38"/>
      <c r="B72" s="61">
        <f>B63+B69</f>
        <v>2447100995</v>
      </c>
      <c r="C72" s="61">
        <f>C62+C69+C52</f>
        <v>2758126578</v>
      </c>
      <c r="D72" s="61">
        <f>D62+D69+D52</f>
        <v>24774385418</v>
      </c>
      <c r="E72" s="61">
        <f>E62+E69+E52</f>
        <v>26927643890</v>
      </c>
      <c r="F72" s="61">
        <f>F62+F69+F52</f>
        <v>319768557</v>
      </c>
      <c r="G72" s="61">
        <f>G62+G69+G52</f>
        <v>355776344</v>
      </c>
      <c r="H72" s="10"/>
      <c r="I72" s="10"/>
      <c r="J72" s="10"/>
      <c r="K72" s="10"/>
      <c r="L72" s="10"/>
    </row>
    <row r="73" spans="1:12" x14ac:dyDescent="0.25">
      <c r="A73" s="36"/>
      <c r="B73" s="11"/>
      <c r="C73" s="13"/>
      <c r="D73" s="30"/>
      <c r="E73" s="13"/>
      <c r="F73" s="13"/>
      <c r="G73" s="10"/>
      <c r="H73" s="10"/>
      <c r="I73" s="10"/>
      <c r="J73" s="10"/>
      <c r="K73" s="10"/>
      <c r="L73" s="10"/>
    </row>
    <row r="74" spans="1:12" s="1" customFormat="1" x14ac:dyDescent="0.25">
      <c r="A74" s="82" t="s">
        <v>126</v>
      </c>
      <c r="B74" s="20">
        <f t="shared" ref="B74:E74" si="14">B69/B75</f>
        <v>10.834312199999999</v>
      </c>
      <c r="C74" s="20">
        <f t="shared" si="14"/>
        <v>10.816471</v>
      </c>
      <c r="D74" s="20">
        <f t="shared" si="14"/>
        <v>156.3255632</v>
      </c>
      <c r="E74" s="20">
        <f t="shared" si="14"/>
        <v>156.3255632</v>
      </c>
      <c r="F74" s="20">
        <f>F69/F75</f>
        <v>-659.55451779999999</v>
      </c>
      <c r="G74" s="20">
        <f>G69/G75</f>
        <v>-753.37339440000005</v>
      </c>
      <c r="H74" s="10"/>
      <c r="I74" s="10"/>
      <c r="J74" s="10"/>
      <c r="K74" s="10"/>
      <c r="L74" s="10"/>
    </row>
    <row r="75" spans="1:12" x14ac:dyDescent="0.25">
      <c r="A75" s="82" t="s">
        <v>127</v>
      </c>
      <c r="B75" s="10">
        <v>5000000</v>
      </c>
      <c r="C75" s="10">
        <v>5000000</v>
      </c>
      <c r="D75" s="10">
        <v>5000000</v>
      </c>
      <c r="E75" s="10">
        <v>5000000</v>
      </c>
      <c r="F75" s="10">
        <v>5000000</v>
      </c>
      <c r="G75" s="10">
        <v>5000000</v>
      </c>
    </row>
    <row r="76" spans="1:12" x14ac:dyDescent="0.25">
      <c r="B76" s="19"/>
      <c r="C76" s="19"/>
      <c r="D76" s="21"/>
      <c r="E76" s="19"/>
      <c r="F76" s="19"/>
    </row>
    <row r="77" spans="1:12" x14ac:dyDescent="0.25">
      <c r="B77" s="74"/>
      <c r="C77" s="74"/>
      <c r="D77" s="74"/>
      <c r="E77" s="74"/>
    </row>
    <row r="78" spans="1:12" x14ac:dyDescent="0.25">
      <c r="F78" s="74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71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J22" sqref="J22"/>
    </sheetView>
  </sheetViews>
  <sheetFormatPr defaultRowHeight="15" x14ac:dyDescent="0.25"/>
  <cols>
    <col min="1" max="1" width="41.5703125" bestFit="1" customWidth="1"/>
    <col min="2" max="5" width="16.85546875" bestFit="1" customWidth="1"/>
    <col min="6" max="6" width="18" bestFit="1" customWidth="1"/>
    <col min="7" max="7" width="15.28515625" style="4" bestFit="1" customWidth="1"/>
    <col min="10" max="10" width="12.5703125" bestFit="1" customWidth="1"/>
  </cols>
  <sheetData>
    <row r="1" spans="1:12" ht="15.75" x14ac:dyDescent="0.25">
      <c r="A1" s="1" t="s">
        <v>103</v>
      </c>
      <c r="B1" s="8"/>
      <c r="C1" s="8"/>
      <c r="D1" s="8"/>
      <c r="E1" s="8"/>
      <c r="F1" s="8"/>
    </row>
    <row r="2" spans="1:12" ht="15.75" x14ac:dyDescent="0.25">
      <c r="A2" s="1" t="s">
        <v>123</v>
      </c>
      <c r="B2" s="2"/>
      <c r="C2" s="2"/>
      <c r="D2" s="2"/>
      <c r="E2" s="2"/>
      <c r="F2" s="2"/>
    </row>
    <row r="3" spans="1:12" ht="15.75" x14ac:dyDescent="0.25">
      <c r="A3" s="1" t="s">
        <v>102</v>
      </c>
      <c r="B3" s="2"/>
      <c r="C3" s="2"/>
      <c r="D3" s="2"/>
      <c r="E3" s="2"/>
      <c r="F3" s="2"/>
    </row>
    <row r="4" spans="1:12" x14ac:dyDescent="0.25">
      <c r="A4" s="1"/>
      <c r="B4" s="1">
        <v>2013</v>
      </c>
      <c r="C4" s="1">
        <v>2014</v>
      </c>
      <c r="D4" s="1">
        <v>2015</v>
      </c>
      <c r="E4" s="1">
        <v>2016</v>
      </c>
      <c r="F4" s="1">
        <v>2017</v>
      </c>
      <c r="G4" s="51">
        <v>2018</v>
      </c>
    </row>
    <row r="5" spans="1:12" x14ac:dyDescent="0.25">
      <c r="A5" s="82" t="s">
        <v>124</v>
      </c>
      <c r="B5" s="52">
        <f>113312791+816900+244032</f>
        <v>114373723</v>
      </c>
      <c r="C5" s="52">
        <f>177432934+1004488+173498</f>
        <v>178610920</v>
      </c>
      <c r="D5" s="52">
        <f>SUM(D6:D16)</f>
        <v>977908385</v>
      </c>
      <c r="E5" s="52">
        <f>SUM(E6:E16)</f>
        <v>276783064</v>
      </c>
      <c r="F5" s="52">
        <f>SUM(F6:F16)</f>
        <v>238376575</v>
      </c>
      <c r="G5" s="52">
        <f>SUM(G6:G16)</f>
        <v>144395851</v>
      </c>
      <c r="H5" s="14"/>
      <c r="I5" s="14"/>
      <c r="J5" s="14"/>
      <c r="K5" s="14"/>
      <c r="L5" s="14"/>
    </row>
    <row r="6" spans="1:12" x14ac:dyDescent="0.25">
      <c r="A6" s="3" t="s">
        <v>77</v>
      </c>
      <c r="D6" s="50">
        <v>55519761</v>
      </c>
      <c r="E6" s="50">
        <v>44205152</v>
      </c>
      <c r="F6" s="50">
        <v>4160091</v>
      </c>
      <c r="G6" s="14">
        <v>398481</v>
      </c>
      <c r="H6" s="14"/>
      <c r="I6" s="14"/>
      <c r="J6" s="14"/>
      <c r="K6" s="14"/>
      <c r="L6" s="14"/>
    </row>
    <row r="7" spans="1:12" x14ac:dyDescent="0.25">
      <c r="A7" s="3" t="s">
        <v>78</v>
      </c>
      <c r="D7" s="50">
        <v>888610</v>
      </c>
      <c r="E7" s="50">
        <v>1200011</v>
      </c>
      <c r="F7" s="50">
        <v>141466</v>
      </c>
      <c r="G7" s="14">
        <v>229767</v>
      </c>
      <c r="H7" s="14"/>
      <c r="I7" s="14"/>
      <c r="J7" s="14"/>
      <c r="K7" s="14"/>
      <c r="L7" s="14"/>
    </row>
    <row r="8" spans="1:12" x14ac:dyDescent="0.25">
      <c r="A8" s="3" t="s">
        <v>79</v>
      </c>
      <c r="D8" s="50"/>
      <c r="E8" s="50"/>
      <c r="F8" s="50"/>
      <c r="G8" s="14"/>
      <c r="H8" s="14"/>
      <c r="I8" s="14"/>
      <c r="J8" s="14"/>
      <c r="K8" s="14"/>
      <c r="L8" s="14"/>
    </row>
    <row r="9" spans="1:12" x14ac:dyDescent="0.25">
      <c r="A9" s="3" t="s">
        <v>80</v>
      </c>
      <c r="D9" s="50">
        <v>40800</v>
      </c>
      <c r="E9" s="50">
        <v>0</v>
      </c>
    </row>
    <row r="10" spans="1:12" x14ac:dyDescent="0.25">
      <c r="A10" s="53" t="s">
        <v>134</v>
      </c>
      <c r="D10" s="50">
        <v>896438642</v>
      </c>
      <c r="E10" s="50">
        <v>220957298</v>
      </c>
      <c r="F10" s="50">
        <v>234075018</v>
      </c>
      <c r="G10" s="86">
        <v>143767603</v>
      </c>
    </row>
    <row r="11" spans="1:12" x14ac:dyDescent="0.25">
      <c r="A11" s="3" t="s">
        <v>81</v>
      </c>
      <c r="D11" s="50">
        <v>5695091</v>
      </c>
      <c r="E11" s="50">
        <v>1150004</v>
      </c>
    </row>
    <row r="12" spans="1:12" x14ac:dyDescent="0.25">
      <c r="A12" s="3" t="s">
        <v>86</v>
      </c>
      <c r="D12" s="50">
        <v>349797</v>
      </c>
      <c r="E12" s="50">
        <v>0</v>
      </c>
    </row>
    <row r="13" spans="1:12" x14ac:dyDescent="0.25">
      <c r="A13" s="3" t="s">
        <v>82</v>
      </c>
      <c r="D13" s="50">
        <v>0</v>
      </c>
      <c r="E13" s="50">
        <v>0</v>
      </c>
    </row>
    <row r="14" spans="1:12" x14ac:dyDescent="0.25">
      <c r="A14" s="3" t="s">
        <v>83</v>
      </c>
      <c r="D14" s="50">
        <v>18969684</v>
      </c>
      <c r="E14" s="50">
        <v>9270599</v>
      </c>
    </row>
    <row r="15" spans="1:12" x14ac:dyDescent="0.25">
      <c r="A15" s="3" t="s">
        <v>84</v>
      </c>
      <c r="D15" s="50">
        <v>0</v>
      </c>
      <c r="E15" s="50">
        <v>0</v>
      </c>
    </row>
    <row r="16" spans="1:12" x14ac:dyDescent="0.25">
      <c r="A16" s="3" t="s">
        <v>85</v>
      </c>
      <c r="D16" s="50">
        <v>6000</v>
      </c>
      <c r="E16" s="50">
        <v>0</v>
      </c>
    </row>
    <row r="17" spans="1:12" s="1" customFormat="1" x14ac:dyDescent="0.25">
      <c r="G17" s="51"/>
    </row>
    <row r="18" spans="1:12" x14ac:dyDescent="0.25">
      <c r="A18" s="1"/>
      <c r="B18" s="1"/>
      <c r="C18" s="1"/>
      <c r="D18" s="1"/>
      <c r="E18" s="1"/>
      <c r="F18" s="1"/>
    </row>
    <row r="19" spans="1:12" x14ac:dyDescent="0.25">
      <c r="A19" s="82" t="s">
        <v>125</v>
      </c>
      <c r="B19" s="13">
        <f t="shared" ref="B19:G19" si="0">B20+B24</f>
        <v>343257247</v>
      </c>
      <c r="C19" s="13">
        <f t="shared" si="0"/>
        <v>517645227</v>
      </c>
      <c r="D19" s="13">
        <f t="shared" si="0"/>
        <v>977908385</v>
      </c>
      <c r="E19" s="13">
        <f t="shared" si="0"/>
        <v>276783064</v>
      </c>
      <c r="F19" s="13">
        <f t="shared" si="0"/>
        <v>559506705.92000008</v>
      </c>
      <c r="G19" s="13">
        <f t="shared" si="0"/>
        <v>613490234</v>
      </c>
      <c r="J19" s="10"/>
    </row>
    <row r="20" spans="1:12" x14ac:dyDescent="0.25">
      <c r="A20" s="84" t="s">
        <v>131</v>
      </c>
      <c r="B20" s="30">
        <v>197087093</v>
      </c>
      <c r="C20" s="49">
        <v>346200890</v>
      </c>
      <c r="D20" s="30">
        <f>SUM(D21:D22)</f>
        <v>176685759</v>
      </c>
      <c r="E20" s="30">
        <f>SUM(E21:E22)</f>
        <v>224134790</v>
      </c>
      <c r="F20" s="30">
        <f>F21-F22</f>
        <v>323566857</v>
      </c>
      <c r="G20" s="30">
        <f>G21-G22</f>
        <v>119085262</v>
      </c>
    </row>
    <row r="21" spans="1:12" x14ac:dyDescent="0.25">
      <c r="A21" s="37" t="s">
        <v>46</v>
      </c>
      <c r="B21" s="40"/>
      <c r="C21" s="17"/>
      <c r="D21" s="17">
        <v>140951709</v>
      </c>
      <c r="E21" s="17">
        <v>183702003</v>
      </c>
      <c r="F21" s="17">
        <v>323566857</v>
      </c>
      <c r="G21" s="14">
        <f>118843612+241650</f>
        <v>119085262</v>
      </c>
      <c r="H21" s="14"/>
      <c r="I21" s="14"/>
      <c r="J21" s="14"/>
      <c r="K21" s="14"/>
      <c r="L21" s="14"/>
    </row>
    <row r="22" spans="1:12" x14ac:dyDescent="0.25">
      <c r="A22" s="37" t="s">
        <v>47</v>
      </c>
      <c r="B22" s="33"/>
      <c r="C22" s="42"/>
      <c r="D22" s="33">
        <v>35734050</v>
      </c>
      <c r="E22" s="33">
        <v>40432787</v>
      </c>
      <c r="F22" s="33"/>
      <c r="G22" s="88"/>
      <c r="H22" s="14"/>
      <c r="I22" s="14"/>
      <c r="J22" s="14"/>
      <c r="K22" s="14"/>
      <c r="L22" s="14"/>
    </row>
    <row r="23" spans="1:12" s="1" customFormat="1" x14ac:dyDescent="0.25">
      <c r="A23" s="3"/>
      <c r="G23" s="12"/>
      <c r="H23" s="12"/>
      <c r="I23" s="12"/>
      <c r="J23" s="12"/>
      <c r="K23" s="12"/>
      <c r="L23" s="12"/>
    </row>
    <row r="24" spans="1:12" s="1" customFormat="1" x14ac:dyDescent="0.25">
      <c r="A24" s="84" t="s">
        <v>132</v>
      </c>
      <c r="B24" s="13">
        <f t="shared" ref="B24:G24" si="1">SUM(B25:B59)</f>
        <v>146170154</v>
      </c>
      <c r="C24" s="13">
        <f t="shared" si="1"/>
        <v>171444337</v>
      </c>
      <c r="D24" s="13">
        <f t="shared" si="1"/>
        <v>801222626</v>
      </c>
      <c r="E24" s="13">
        <f t="shared" si="1"/>
        <v>52648274</v>
      </c>
      <c r="F24" s="13">
        <f t="shared" si="1"/>
        <v>235939848.92000002</v>
      </c>
      <c r="G24" s="13">
        <f t="shared" si="1"/>
        <v>494404972</v>
      </c>
      <c r="H24" s="12"/>
      <c r="I24" s="12"/>
      <c r="J24" s="12"/>
      <c r="K24" s="12"/>
      <c r="L24" s="12"/>
    </row>
    <row r="25" spans="1:12" s="1" customFormat="1" x14ac:dyDescent="0.25">
      <c r="A25" s="3" t="s">
        <v>48</v>
      </c>
      <c r="B25" s="29">
        <f>172029+107547</f>
        <v>279576</v>
      </c>
      <c r="C25" s="29">
        <f>260146+71815</f>
        <v>331961</v>
      </c>
      <c r="D25" s="29">
        <v>3764796</v>
      </c>
      <c r="E25" s="29">
        <v>3545065</v>
      </c>
      <c r="F25" s="29">
        <f>111290+10125</f>
        <v>121415</v>
      </c>
      <c r="G25" s="16">
        <f>2077592+446700+204107+5852</f>
        <v>2734251</v>
      </c>
      <c r="H25" s="12"/>
      <c r="I25" s="12"/>
      <c r="J25" s="12"/>
      <c r="K25" s="12"/>
      <c r="L25" s="12"/>
    </row>
    <row r="26" spans="1:12" s="3" customFormat="1" x14ac:dyDescent="0.25">
      <c r="A26" s="55" t="s">
        <v>97</v>
      </c>
      <c r="B26" s="29">
        <f>21082207+4206832</f>
        <v>25289039</v>
      </c>
      <c r="C26" s="29">
        <f>24377520+5824150</f>
        <v>30201670</v>
      </c>
      <c r="D26" s="29">
        <v>1064834</v>
      </c>
      <c r="E26" s="29">
        <v>1344220</v>
      </c>
      <c r="F26" s="29">
        <f>6191.92+42402772</f>
        <v>42408963.920000002</v>
      </c>
      <c r="G26" s="16">
        <v>42112412</v>
      </c>
      <c r="H26" s="16"/>
      <c r="I26" s="16"/>
      <c r="J26" s="16"/>
      <c r="K26" s="16"/>
      <c r="L26" s="16"/>
    </row>
    <row r="27" spans="1:12" s="3" customFormat="1" x14ac:dyDescent="0.25">
      <c r="A27" s="54" t="s">
        <v>49</v>
      </c>
      <c r="B27" s="29"/>
      <c r="C27" s="29"/>
      <c r="D27" s="29">
        <v>1106814</v>
      </c>
      <c r="E27" s="29">
        <v>1271751</v>
      </c>
      <c r="F27" s="29">
        <v>7888105</v>
      </c>
      <c r="G27" s="16"/>
      <c r="H27" s="16"/>
      <c r="I27" s="16"/>
      <c r="J27" s="16"/>
      <c r="K27" s="16"/>
      <c r="L27" s="16"/>
    </row>
    <row r="28" spans="1:12" s="1" customFormat="1" x14ac:dyDescent="0.25">
      <c r="A28" s="37" t="s">
        <v>50</v>
      </c>
      <c r="B28" s="29"/>
      <c r="C28" s="29"/>
      <c r="D28" s="29">
        <v>0</v>
      </c>
      <c r="E28" s="29">
        <v>660408</v>
      </c>
      <c r="F28" s="30"/>
      <c r="G28" s="12"/>
      <c r="H28" s="12"/>
      <c r="I28" s="12"/>
      <c r="J28" s="12"/>
      <c r="K28" s="12"/>
      <c r="L28" s="12"/>
    </row>
    <row r="29" spans="1:12" s="3" customFormat="1" ht="15.75" customHeight="1" x14ac:dyDescent="0.25">
      <c r="A29" s="37" t="s">
        <v>51</v>
      </c>
      <c r="B29" s="29">
        <v>260195</v>
      </c>
      <c r="C29" s="29">
        <v>581836</v>
      </c>
      <c r="D29" s="29">
        <v>2879386</v>
      </c>
      <c r="E29" s="29">
        <v>2592514</v>
      </c>
      <c r="F29" s="29">
        <v>670430</v>
      </c>
      <c r="G29" s="16">
        <f>18350637+1172934</f>
        <v>19523571</v>
      </c>
      <c r="H29" s="16"/>
      <c r="I29" s="16"/>
      <c r="J29" s="16"/>
      <c r="K29" s="16"/>
      <c r="L29" s="16"/>
    </row>
    <row r="30" spans="1:12" s="3" customFormat="1" x14ac:dyDescent="0.25">
      <c r="A30" s="37" t="s">
        <v>52</v>
      </c>
      <c r="B30" s="29"/>
      <c r="C30" s="29"/>
      <c r="D30" s="29">
        <v>1338020</v>
      </c>
      <c r="E30" s="29">
        <v>339653</v>
      </c>
      <c r="F30" s="29"/>
      <c r="G30" s="16"/>
      <c r="H30" s="16"/>
      <c r="I30" s="16"/>
      <c r="J30" s="16"/>
      <c r="K30" s="16"/>
      <c r="L30" s="16"/>
    </row>
    <row r="31" spans="1:12" s="3" customFormat="1" x14ac:dyDescent="0.25">
      <c r="A31" s="3" t="s">
        <v>53</v>
      </c>
      <c r="B31" s="29"/>
      <c r="C31" s="29"/>
      <c r="D31" s="29">
        <v>5353722</v>
      </c>
      <c r="E31" s="29">
        <v>4464294</v>
      </c>
      <c r="F31" s="29"/>
      <c r="G31" s="16">
        <v>866375</v>
      </c>
      <c r="H31" s="16"/>
      <c r="I31" s="16"/>
      <c r="J31" s="16"/>
      <c r="K31" s="16"/>
      <c r="L31" s="16"/>
    </row>
    <row r="32" spans="1:12" s="3" customFormat="1" x14ac:dyDescent="0.25">
      <c r="A32" s="3" t="s">
        <v>54</v>
      </c>
      <c r="B32" s="29"/>
      <c r="C32" s="29"/>
      <c r="D32" s="29">
        <v>37500</v>
      </c>
      <c r="E32" s="29">
        <v>125538</v>
      </c>
      <c r="F32" s="29"/>
      <c r="G32" s="16"/>
      <c r="H32" s="16"/>
      <c r="I32" s="16"/>
      <c r="J32" s="16"/>
      <c r="K32" s="16"/>
      <c r="L32" s="16"/>
    </row>
    <row r="33" spans="1:12" s="3" customFormat="1" x14ac:dyDescent="0.25">
      <c r="A33" s="37" t="s">
        <v>55</v>
      </c>
      <c r="B33" s="29"/>
      <c r="C33" s="29"/>
      <c r="D33" s="29">
        <v>1024515</v>
      </c>
      <c r="E33" s="29">
        <v>197515</v>
      </c>
      <c r="F33" s="29"/>
      <c r="G33" s="16"/>
      <c r="H33" s="16"/>
      <c r="I33" s="16"/>
      <c r="J33" s="16"/>
      <c r="K33" s="16"/>
      <c r="L33" s="16"/>
    </row>
    <row r="34" spans="1:12" x14ac:dyDescent="0.25">
      <c r="A34" s="3" t="s">
        <v>56</v>
      </c>
      <c r="B34" s="29"/>
      <c r="C34" s="29"/>
      <c r="D34" s="29">
        <v>159020</v>
      </c>
      <c r="E34" s="29">
        <v>140135</v>
      </c>
      <c r="F34" s="29"/>
      <c r="G34" s="14"/>
      <c r="H34" s="14"/>
      <c r="I34" s="14"/>
      <c r="J34" s="14"/>
      <c r="K34" s="14"/>
      <c r="L34" s="14"/>
    </row>
    <row r="35" spans="1:12" x14ac:dyDescent="0.25">
      <c r="A35" s="3" t="s">
        <v>57</v>
      </c>
      <c r="B35" s="29"/>
      <c r="C35" s="29"/>
      <c r="D35" s="29">
        <v>1636540</v>
      </c>
      <c r="E35" s="29">
        <v>1388124</v>
      </c>
      <c r="F35" s="29"/>
      <c r="G35" s="14"/>
      <c r="H35" s="14"/>
      <c r="I35" s="14"/>
      <c r="J35" s="14"/>
      <c r="K35" s="14"/>
      <c r="L35" s="14"/>
    </row>
    <row r="36" spans="1:12" x14ac:dyDescent="0.25">
      <c r="A36" s="3" t="s">
        <v>88</v>
      </c>
      <c r="B36" s="29">
        <v>1570710</v>
      </c>
      <c r="C36" s="29">
        <v>2145993</v>
      </c>
      <c r="D36" s="29">
        <v>651691</v>
      </c>
      <c r="E36" s="29">
        <v>1426797</v>
      </c>
      <c r="F36" s="29">
        <v>2740331</v>
      </c>
      <c r="G36" s="14"/>
      <c r="H36" s="14"/>
      <c r="I36" s="14"/>
      <c r="J36" s="14"/>
      <c r="K36" s="14"/>
      <c r="L36" s="14"/>
    </row>
    <row r="37" spans="1:12" x14ac:dyDescent="0.25">
      <c r="A37" s="3" t="s">
        <v>58</v>
      </c>
      <c r="B37" s="29"/>
      <c r="C37" s="29"/>
      <c r="D37" s="29">
        <v>1060169</v>
      </c>
      <c r="E37" s="29">
        <v>1486251</v>
      </c>
      <c r="F37" s="29"/>
      <c r="G37" s="14"/>
      <c r="H37" s="14"/>
      <c r="I37" s="14"/>
      <c r="J37" s="14"/>
      <c r="K37" s="14"/>
      <c r="L37" s="14"/>
    </row>
    <row r="38" spans="1:12" x14ac:dyDescent="0.25">
      <c r="A38" s="3" t="s">
        <v>59</v>
      </c>
      <c r="B38" s="35"/>
      <c r="C38" s="35"/>
      <c r="D38" s="34">
        <v>4089130</v>
      </c>
      <c r="E38" s="34">
        <v>3708200</v>
      </c>
      <c r="F38" s="35"/>
      <c r="G38" s="14">
        <v>11521692</v>
      </c>
      <c r="H38" s="14"/>
      <c r="I38" s="14"/>
      <c r="J38" s="14"/>
      <c r="K38" s="14"/>
      <c r="L38" s="14"/>
    </row>
    <row r="39" spans="1:12" s="3" customFormat="1" x14ac:dyDescent="0.25">
      <c r="A39" s="54" t="s">
        <v>60</v>
      </c>
      <c r="B39" s="34"/>
      <c r="C39" s="34"/>
      <c r="D39" s="57">
        <v>0</v>
      </c>
      <c r="E39" s="34">
        <v>1288188</v>
      </c>
      <c r="F39" s="34"/>
      <c r="G39" s="16"/>
      <c r="H39" s="16"/>
      <c r="I39" s="16"/>
      <c r="J39" s="16"/>
      <c r="K39" s="16"/>
      <c r="L39" s="16"/>
    </row>
    <row r="40" spans="1:12" s="3" customFormat="1" x14ac:dyDescent="0.25">
      <c r="A40" s="54" t="s">
        <v>61</v>
      </c>
      <c r="B40" s="34"/>
      <c r="C40" s="34"/>
      <c r="D40" s="57">
        <v>1509926</v>
      </c>
      <c r="E40" s="34">
        <v>1250098</v>
      </c>
      <c r="F40" s="34"/>
      <c r="G40" s="16"/>
      <c r="H40" s="16"/>
      <c r="I40" s="16"/>
      <c r="J40" s="16"/>
      <c r="K40" s="16"/>
      <c r="L40" s="16"/>
    </row>
    <row r="41" spans="1:12" x14ac:dyDescent="0.25">
      <c r="A41" s="3" t="s">
        <v>62</v>
      </c>
      <c r="B41" s="35"/>
      <c r="C41" s="35"/>
      <c r="D41" s="34">
        <v>509278</v>
      </c>
      <c r="E41" s="34">
        <v>414513</v>
      </c>
      <c r="F41" s="35"/>
      <c r="G41" s="22"/>
      <c r="H41" s="14"/>
      <c r="I41" s="14"/>
      <c r="J41" s="14"/>
      <c r="K41" s="14"/>
      <c r="L41" s="14"/>
    </row>
    <row r="42" spans="1:12" x14ac:dyDescent="0.25">
      <c r="A42" s="3" t="s">
        <v>63</v>
      </c>
      <c r="B42" s="12"/>
      <c r="C42" s="12"/>
      <c r="D42" s="16">
        <v>642161</v>
      </c>
      <c r="E42" s="16">
        <v>681426</v>
      </c>
      <c r="F42" s="12"/>
      <c r="G42" s="14"/>
      <c r="H42" s="14"/>
      <c r="I42" s="14"/>
      <c r="J42" s="14"/>
      <c r="K42" s="14"/>
      <c r="L42" s="14"/>
    </row>
    <row r="43" spans="1:12" x14ac:dyDescent="0.25">
      <c r="A43" s="3" t="s">
        <v>64</v>
      </c>
      <c r="B43" s="16">
        <v>102172713</v>
      </c>
      <c r="C43" s="16">
        <v>124901966</v>
      </c>
      <c r="D43" s="16">
        <v>748442804</v>
      </c>
      <c r="E43" s="16">
        <v>0</v>
      </c>
      <c r="F43" s="16">
        <v>177682353</v>
      </c>
      <c r="G43" s="14">
        <v>244357119</v>
      </c>
      <c r="H43" s="14"/>
      <c r="I43" s="14"/>
      <c r="J43" s="14"/>
      <c r="K43" s="14"/>
      <c r="L43" s="14"/>
    </row>
    <row r="44" spans="1:12" x14ac:dyDescent="0.25">
      <c r="A44" s="3" t="s">
        <v>65</v>
      </c>
      <c r="B44" s="17">
        <v>145000</v>
      </c>
      <c r="C44" s="17">
        <v>85000</v>
      </c>
      <c r="D44" s="29">
        <v>67500</v>
      </c>
      <c r="E44" s="29">
        <v>67000</v>
      </c>
      <c r="F44" s="17">
        <v>85000</v>
      </c>
      <c r="G44" s="14">
        <v>160000</v>
      </c>
      <c r="H44" s="14"/>
      <c r="I44" s="14"/>
      <c r="J44" s="14"/>
      <c r="K44" s="14"/>
      <c r="L44" s="14"/>
    </row>
    <row r="45" spans="1:12" x14ac:dyDescent="0.25">
      <c r="A45" s="3" t="s">
        <v>89</v>
      </c>
      <c r="D45" s="56">
        <v>461990</v>
      </c>
      <c r="E45" s="56">
        <v>631780</v>
      </c>
      <c r="G45" s="14"/>
      <c r="H45" s="14"/>
      <c r="I45" s="14"/>
      <c r="J45" s="14"/>
      <c r="K45" s="14"/>
      <c r="L45" s="14"/>
    </row>
    <row r="46" spans="1:12" x14ac:dyDescent="0.25">
      <c r="A46" s="3" t="s">
        <v>90</v>
      </c>
      <c r="D46" s="56">
        <v>23300</v>
      </c>
      <c r="E46" s="56">
        <v>78300</v>
      </c>
      <c r="G46" s="14"/>
      <c r="H46" s="14"/>
      <c r="I46" s="14"/>
      <c r="J46" s="14"/>
      <c r="K46" s="14"/>
      <c r="L46" s="14"/>
    </row>
    <row r="47" spans="1:12" x14ac:dyDescent="0.25">
      <c r="A47" s="3" t="s">
        <v>87</v>
      </c>
      <c r="D47" s="56">
        <v>415000</v>
      </c>
      <c r="E47" s="56">
        <v>437680</v>
      </c>
      <c r="G47" s="14"/>
      <c r="H47" s="14"/>
      <c r="I47" s="14"/>
      <c r="J47" s="14"/>
      <c r="K47" s="14"/>
      <c r="L47" s="14"/>
    </row>
    <row r="48" spans="1:12" x14ac:dyDescent="0.25">
      <c r="A48" s="3" t="s">
        <v>66</v>
      </c>
      <c r="D48" s="56">
        <v>282427</v>
      </c>
      <c r="E48" s="56">
        <v>116067</v>
      </c>
      <c r="G48" s="14"/>
      <c r="H48" s="14"/>
      <c r="I48" s="14"/>
      <c r="J48" s="14"/>
      <c r="K48" s="14"/>
      <c r="L48" s="14"/>
    </row>
    <row r="49" spans="1:12" x14ac:dyDescent="0.25">
      <c r="A49" s="3" t="s">
        <v>67</v>
      </c>
      <c r="B49">
        <v>1340476</v>
      </c>
      <c r="C49">
        <v>1340498</v>
      </c>
      <c r="D49" s="56">
        <v>7222425</v>
      </c>
      <c r="E49" s="56">
        <v>6685508</v>
      </c>
      <c r="F49" s="50">
        <v>480251</v>
      </c>
      <c r="G49" s="14">
        <v>7244529</v>
      </c>
      <c r="H49" s="14"/>
      <c r="I49" s="14"/>
      <c r="J49" s="14"/>
      <c r="K49" s="14"/>
      <c r="L49" s="14"/>
    </row>
    <row r="50" spans="1:12" x14ac:dyDescent="0.25">
      <c r="A50" s="3" t="s">
        <v>68</v>
      </c>
      <c r="D50" s="56">
        <v>428331</v>
      </c>
      <c r="E50" s="56">
        <v>407174</v>
      </c>
      <c r="G50" s="14">
        <f>588448+346790</f>
        <v>935238</v>
      </c>
      <c r="H50" s="14"/>
      <c r="I50" s="14"/>
      <c r="J50" s="14"/>
      <c r="K50" s="14"/>
      <c r="L50" s="14"/>
    </row>
    <row r="51" spans="1:12" x14ac:dyDescent="0.25">
      <c r="A51" s="3" t="s">
        <v>69</v>
      </c>
      <c r="D51" s="56">
        <v>1409778</v>
      </c>
      <c r="E51" s="56">
        <v>1881786</v>
      </c>
      <c r="G51" s="14"/>
      <c r="H51" s="14"/>
      <c r="I51" s="14"/>
      <c r="J51" s="14"/>
      <c r="K51" s="14"/>
      <c r="L51" s="14"/>
    </row>
    <row r="52" spans="1:12" x14ac:dyDescent="0.25">
      <c r="A52" s="3" t="s">
        <v>70</v>
      </c>
      <c r="D52" s="56">
        <v>0</v>
      </c>
      <c r="E52" s="56">
        <v>150239</v>
      </c>
      <c r="G52" s="14"/>
      <c r="H52" s="14"/>
      <c r="I52" s="14"/>
      <c r="J52" s="14"/>
      <c r="K52" s="14"/>
      <c r="L52" s="14"/>
    </row>
    <row r="53" spans="1:12" x14ac:dyDescent="0.25">
      <c r="A53" s="3" t="s">
        <v>71</v>
      </c>
      <c r="D53" s="56">
        <v>2020244</v>
      </c>
      <c r="E53" s="56">
        <v>2333228</v>
      </c>
      <c r="F53" s="50">
        <v>3583000</v>
      </c>
      <c r="G53" s="14"/>
      <c r="H53" s="14"/>
      <c r="I53" s="14"/>
      <c r="J53" s="14"/>
      <c r="K53" s="14"/>
      <c r="L53" s="14"/>
    </row>
    <row r="54" spans="1:12" x14ac:dyDescent="0.25">
      <c r="A54" s="3" t="s">
        <v>72</v>
      </c>
      <c r="D54" s="56">
        <v>1659576</v>
      </c>
      <c r="E54" s="56">
        <v>964513</v>
      </c>
      <c r="G54" s="14"/>
      <c r="H54" s="14"/>
      <c r="I54" s="14"/>
      <c r="J54" s="14"/>
      <c r="K54" s="14"/>
      <c r="L54" s="14"/>
    </row>
    <row r="55" spans="1:12" x14ac:dyDescent="0.25">
      <c r="A55" s="3" t="s">
        <v>73</v>
      </c>
      <c r="B55">
        <v>195000</v>
      </c>
      <c r="C55">
        <v>174200</v>
      </c>
      <c r="D55" s="56">
        <v>309700</v>
      </c>
      <c r="E55" s="56">
        <v>481865</v>
      </c>
      <c r="F55" s="50">
        <v>280000</v>
      </c>
      <c r="G55" s="14"/>
      <c r="H55" s="14"/>
      <c r="I55" s="14"/>
      <c r="J55" s="14"/>
      <c r="K55" s="14"/>
      <c r="L55" s="14"/>
    </row>
    <row r="56" spans="1:12" x14ac:dyDescent="0.25">
      <c r="A56" s="3" t="s">
        <v>74</v>
      </c>
      <c r="B56">
        <v>6341885</v>
      </c>
      <c r="C56">
        <v>6464470</v>
      </c>
      <c r="D56" s="56">
        <v>7093148</v>
      </c>
      <c r="E56" s="56">
        <v>7557193</v>
      </c>
      <c r="G56" s="14"/>
      <c r="H56" s="14"/>
      <c r="I56" s="14"/>
      <c r="J56" s="14"/>
      <c r="K56" s="14"/>
      <c r="L56" s="14"/>
    </row>
    <row r="57" spans="1:12" x14ac:dyDescent="0.25">
      <c r="A57" s="3" t="s">
        <v>75</v>
      </c>
      <c r="B57">
        <v>8575560</v>
      </c>
      <c r="C57">
        <v>5216743</v>
      </c>
      <c r="D57" s="56">
        <v>3974276</v>
      </c>
      <c r="E57" s="56">
        <v>4411901</v>
      </c>
      <c r="G57" s="14"/>
      <c r="H57" s="14"/>
      <c r="I57" s="14"/>
      <c r="J57" s="14"/>
      <c r="K57" s="14"/>
      <c r="L57" s="14"/>
    </row>
    <row r="58" spans="1:12" x14ac:dyDescent="0.25">
      <c r="A58" s="3" t="s">
        <v>76</v>
      </c>
      <c r="D58" s="56">
        <v>99400</v>
      </c>
      <c r="E58" s="56">
        <v>99650</v>
      </c>
      <c r="G58" s="14"/>
      <c r="H58" s="14"/>
      <c r="I58" s="14"/>
      <c r="J58" s="14"/>
      <c r="K58" s="14"/>
      <c r="L58" s="14"/>
    </row>
    <row r="59" spans="1:12" x14ac:dyDescent="0.25">
      <c r="A59" s="3" t="s">
        <v>135</v>
      </c>
      <c r="D59" s="56">
        <v>485225</v>
      </c>
      <c r="E59" s="56">
        <v>19700</v>
      </c>
      <c r="G59" s="14">
        <f>145687889+10129240+6639357+2493299</f>
        <v>164949785</v>
      </c>
      <c r="H59" s="14"/>
      <c r="I59" s="14"/>
      <c r="J59" s="14"/>
      <c r="K59" s="14"/>
      <c r="L59" s="14"/>
    </row>
    <row r="60" spans="1:12" x14ac:dyDescent="0.25">
      <c r="A60" s="3"/>
      <c r="G60" s="14"/>
      <c r="H60" s="14"/>
      <c r="I60" s="14"/>
      <c r="J60" s="14"/>
      <c r="K60" s="14"/>
      <c r="L60" s="14"/>
    </row>
    <row r="61" spans="1:12" x14ac:dyDescent="0.25">
      <c r="A61" s="1"/>
      <c r="G61" s="14"/>
      <c r="H61" s="14"/>
      <c r="I61" s="14"/>
      <c r="J61" s="14"/>
      <c r="K61" s="14"/>
      <c r="L61" s="14"/>
    </row>
    <row r="62" spans="1:12" x14ac:dyDescent="0.25">
      <c r="A62" s="3"/>
      <c r="B62" s="10">
        <f>B5-B19</f>
        <v>-228883524</v>
      </c>
      <c r="C62" s="10">
        <f t="shared" ref="C62:E62" si="2">C5-C19</f>
        <v>-339034307</v>
      </c>
      <c r="D62" s="10">
        <f t="shared" si="2"/>
        <v>0</v>
      </c>
      <c r="E62" s="10">
        <f t="shared" si="2"/>
        <v>0</v>
      </c>
      <c r="F62" s="87">
        <f>F5-F19</f>
        <v>-321130130.92000008</v>
      </c>
      <c r="G62" s="14"/>
      <c r="H62" s="14"/>
      <c r="I62" s="14"/>
      <c r="J62" s="14"/>
      <c r="K62" s="14"/>
      <c r="L62" s="14"/>
    </row>
    <row r="64" spans="1:12" x14ac:dyDescent="0.25">
      <c r="D64" s="50"/>
      <c r="E64" s="50"/>
    </row>
    <row r="65" spans="1:7" x14ac:dyDescent="0.25">
      <c r="A65" s="82" t="s">
        <v>128</v>
      </c>
      <c r="B65" s="13">
        <f>-339.03*1000000</f>
        <v>-339030000</v>
      </c>
      <c r="C65" s="13">
        <f>-339.03*1000000</f>
        <v>-339030000</v>
      </c>
      <c r="D65" s="13">
        <f>-337.6*1000000</f>
        <v>-337600000</v>
      </c>
      <c r="E65" s="13">
        <f>-348.82*1000000</f>
        <v>-348820000</v>
      </c>
      <c r="F65" s="13">
        <f>-328.75*1000000</f>
        <v>-328750000</v>
      </c>
      <c r="G65" s="13">
        <f>G5-G19</f>
        <v>-469094383</v>
      </c>
    </row>
    <row r="66" spans="1:7" x14ac:dyDescent="0.25">
      <c r="D66" s="50"/>
      <c r="E66" s="50"/>
    </row>
    <row r="67" spans="1:7" x14ac:dyDescent="0.25">
      <c r="A67" s="82" t="s">
        <v>129</v>
      </c>
      <c r="B67" s="20">
        <f>B65/5000000</f>
        <v>-67.805999999999997</v>
      </c>
      <c r="C67" s="20">
        <f t="shared" ref="C67:G67" si="3">C65/5000000</f>
        <v>-67.805999999999997</v>
      </c>
      <c r="D67" s="20">
        <f t="shared" si="3"/>
        <v>-67.52</v>
      </c>
      <c r="E67" s="20">
        <f t="shared" si="3"/>
        <v>-69.763999999999996</v>
      </c>
      <c r="F67" s="20">
        <f t="shared" si="3"/>
        <v>-65.75</v>
      </c>
      <c r="G67" s="20">
        <f t="shared" si="3"/>
        <v>-93.818876599999996</v>
      </c>
    </row>
    <row r="68" spans="1:7" x14ac:dyDescent="0.25">
      <c r="A68" s="83" t="s">
        <v>130</v>
      </c>
      <c r="B68">
        <v>5000000</v>
      </c>
      <c r="C68">
        <v>5000000</v>
      </c>
      <c r="D68" s="50">
        <v>5000000</v>
      </c>
      <c r="E68" s="50">
        <v>5000000</v>
      </c>
      <c r="F68" s="58">
        <v>5000000</v>
      </c>
      <c r="G68" s="58">
        <v>5000000</v>
      </c>
    </row>
    <row r="69" spans="1:7" x14ac:dyDescent="0.25">
      <c r="D69" s="50"/>
      <c r="E69" s="50"/>
    </row>
    <row r="71" spans="1:7" x14ac:dyDescent="0.25">
      <c r="C71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tabSelected="1" workbookViewId="0">
      <pane xSplit="1" ySplit="4" topLeftCell="B14" activePane="bottomRight" state="frozen"/>
      <selection pane="topRight" activeCell="B1" sqref="B1"/>
      <selection pane="bottomLeft" activeCell="A6" sqref="A6"/>
      <selection pane="bottomRight" activeCell="I26" sqref="I26"/>
    </sheetView>
  </sheetViews>
  <sheetFormatPr defaultRowHeight="15" x14ac:dyDescent="0.25"/>
  <cols>
    <col min="1" max="1" width="47.5703125" customWidth="1"/>
    <col min="2" max="3" width="17.7109375" style="9" bestFit="1" customWidth="1"/>
    <col min="4" max="4" width="18" style="9" bestFit="1" customWidth="1"/>
    <col min="5" max="6" width="17.7109375" style="9" bestFit="1" customWidth="1"/>
    <col min="7" max="7" width="13.42578125" style="10" bestFit="1" customWidth="1"/>
    <col min="8" max="8" width="15.28515625" style="10" bestFit="1" customWidth="1"/>
    <col min="9" max="9" width="13.42578125" bestFit="1" customWidth="1"/>
  </cols>
  <sheetData>
    <row r="1" spans="1:13" ht="15.75" x14ac:dyDescent="0.25">
      <c r="A1" s="1" t="s">
        <v>103</v>
      </c>
      <c r="B1" s="8"/>
      <c r="C1" s="8"/>
      <c r="D1" s="8"/>
      <c r="E1" s="8"/>
      <c r="F1" s="8"/>
      <c r="G1" s="9"/>
    </row>
    <row r="2" spans="1:13" ht="15.75" x14ac:dyDescent="0.25">
      <c r="A2" s="1" t="s">
        <v>101</v>
      </c>
      <c r="B2" s="2"/>
      <c r="C2" s="2"/>
      <c r="D2" s="2"/>
      <c r="E2" s="2"/>
      <c r="F2" s="2"/>
      <c r="G2"/>
      <c r="H2"/>
    </row>
    <row r="3" spans="1:13" ht="15.75" x14ac:dyDescent="0.25">
      <c r="A3" s="1" t="s">
        <v>102</v>
      </c>
      <c r="B3" s="2"/>
      <c r="C3" s="2"/>
      <c r="D3" s="2"/>
      <c r="E3" s="2"/>
      <c r="F3" s="2"/>
      <c r="G3"/>
      <c r="H3"/>
    </row>
    <row r="4" spans="1:13" x14ac:dyDescent="0.25">
      <c r="A4" s="1"/>
      <c r="B4" s="1">
        <v>2013</v>
      </c>
      <c r="C4" s="1">
        <v>2014</v>
      </c>
      <c r="D4" s="1">
        <v>2015</v>
      </c>
      <c r="E4" s="1">
        <v>2016</v>
      </c>
      <c r="F4" s="1">
        <v>2017</v>
      </c>
      <c r="G4" s="1">
        <v>2018</v>
      </c>
    </row>
    <row r="5" spans="1:13" ht="15.75" x14ac:dyDescent="0.25">
      <c r="A5" s="2"/>
      <c r="B5" s="66"/>
      <c r="C5" s="66"/>
      <c r="D5" s="66"/>
      <c r="E5" s="66"/>
      <c r="F5" s="66"/>
    </row>
    <row r="6" spans="1:13" x14ac:dyDescent="0.25">
      <c r="A6" s="82" t="s">
        <v>114</v>
      </c>
      <c r="B6" s="68"/>
      <c r="C6" s="68"/>
      <c r="D6" s="68"/>
      <c r="E6" s="68"/>
      <c r="F6" s="68"/>
    </row>
    <row r="7" spans="1:13" x14ac:dyDescent="0.25">
      <c r="A7" t="s">
        <v>2</v>
      </c>
      <c r="B7" s="68">
        <v>111101180</v>
      </c>
      <c r="C7" s="68">
        <v>207318414</v>
      </c>
      <c r="D7" s="58">
        <v>460592155</v>
      </c>
      <c r="E7" s="68">
        <v>69258594</v>
      </c>
      <c r="F7" s="68">
        <v>240646575</v>
      </c>
      <c r="G7" s="9">
        <v>125638373</v>
      </c>
      <c r="I7" s="10"/>
      <c r="J7" s="10"/>
      <c r="K7" s="10"/>
      <c r="L7" s="10"/>
      <c r="M7" s="10"/>
    </row>
    <row r="8" spans="1:13" ht="15.75" x14ac:dyDescent="0.25">
      <c r="A8" s="5" t="s">
        <v>100</v>
      </c>
      <c r="B8" s="68"/>
      <c r="C8" s="68"/>
      <c r="D8" s="58">
        <v>1088209</v>
      </c>
      <c r="E8" s="68">
        <f>55500000-152789307</f>
        <v>-97289307</v>
      </c>
      <c r="F8" s="68">
        <v>-172544224</v>
      </c>
      <c r="G8" s="9">
        <v>-239218989</v>
      </c>
      <c r="I8" s="10"/>
      <c r="J8" s="10"/>
      <c r="K8" s="10"/>
      <c r="L8" s="10"/>
      <c r="M8" s="10"/>
    </row>
    <row r="9" spans="1:13" ht="15.75" x14ac:dyDescent="0.25">
      <c r="A9" s="5" t="s">
        <v>3</v>
      </c>
      <c r="B9" s="68">
        <f>-258147037-71515234-97034584-12263285</f>
        <v>-438960140</v>
      </c>
      <c r="C9" s="68">
        <f>-177534533-215606071-119763837-1625939</f>
        <v>-514530380</v>
      </c>
      <c r="D9" s="58">
        <v>-391013305</v>
      </c>
      <c r="E9" s="68">
        <v>-323824077</v>
      </c>
      <c r="F9" s="68">
        <v>-424084078</v>
      </c>
      <c r="G9" s="9">
        <v>-373247902</v>
      </c>
      <c r="I9" s="10"/>
      <c r="J9" s="10"/>
      <c r="K9" s="10"/>
      <c r="L9" s="10"/>
      <c r="M9" s="10"/>
    </row>
    <row r="10" spans="1:13" ht="15.75" x14ac:dyDescent="0.25">
      <c r="A10" s="5" t="s">
        <v>1</v>
      </c>
      <c r="B10" s="68"/>
      <c r="C10" s="68"/>
      <c r="D10" s="58">
        <v>-2716307</v>
      </c>
      <c r="E10" s="68"/>
      <c r="F10" s="68"/>
      <c r="G10" s="9">
        <v>-400000</v>
      </c>
      <c r="I10" s="10"/>
      <c r="J10" s="10"/>
      <c r="K10" s="10"/>
      <c r="L10" s="10"/>
      <c r="M10" s="10"/>
    </row>
    <row r="11" spans="1:13" ht="15.75" x14ac:dyDescent="0.25">
      <c r="A11" s="2"/>
      <c r="B11" s="69">
        <f t="shared" ref="B11" si="0">B7+B8</f>
        <v>111101180</v>
      </c>
      <c r="C11" s="69">
        <f>SUM(C7:C10)</f>
        <v>-307211966</v>
      </c>
      <c r="D11" s="69">
        <f>SUM(D7:D10)</f>
        <v>67950752</v>
      </c>
      <c r="E11" s="69">
        <f>SUM(E7:E10)</f>
        <v>-351854790</v>
      </c>
      <c r="F11" s="69">
        <f>SUM(F7:F10)</f>
        <v>-355981727</v>
      </c>
      <c r="G11" s="69">
        <f>SUM(G7:G10)</f>
        <v>-487228518</v>
      </c>
      <c r="I11" s="10"/>
      <c r="J11" s="10"/>
      <c r="K11" s="10"/>
      <c r="L11" s="10"/>
      <c r="M11" s="10"/>
    </row>
    <row r="12" spans="1:13" ht="15.75" x14ac:dyDescent="0.25">
      <c r="A12" s="2"/>
      <c r="B12" s="70"/>
      <c r="C12" s="70"/>
      <c r="D12" s="70"/>
      <c r="E12" s="70"/>
      <c r="F12" s="70"/>
      <c r="I12" s="10"/>
      <c r="J12" s="10"/>
      <c r="K12" s="10"/>
      <c r="L12" s="10"/>
      <c r="M12" s="10"/>
    </row>
    <row r="13" spans="1:13" x14ac:dyDescent="0.25">
      <c r="A13" s="82" t="s">
        <v>115</v>
      </c>
      <c r="B13" s="68"/>
      <c r="C13" s="68"/>
      <c r="D13" s="68"/>
      <c r="E13" s="68"/>
      <c r="F13" s="68"/>
      <c r="I13" s="10"/>
      <c r="J13" s="10"/>
      <c r="K13" s="10"/>
      <c r="L13" s="10"/>
      <c r="M13" s="10"/>
    </row>
    <row r="14" spans="1:13" x14ac:dyDescent="0.25">
      <c r="A14" s="3" t="s">
        <v>4</v>
      </c>
      <c r="B14" s="68">
        <v>-12062906</v>
      </c>
      <c r="C14" s="68">
        <v>-11573142</v>
      </c>
      <c r="D14" s="68">
        <v>-89491997</v>
      </c>
      <c r="E14" s="68">
        <v>-7081816</v>
      </c>
      <c r="F14" s="68">
        <v>-23157090</v>
      </c>
      <c r="G14" s="10">
        <v>-3844828</v>
      </c>
      <c r="I14" s="10"/>
      <c r="J14" s="10"/>
      <c r="K14" s="10"/>
      <c r="L14" s="10"/>
      <c r="M14" s="10"/>
    </row>
    <row r="15" spans="1:13" x14ac:dyDescent="0.25">
      <c r="A15" s="3" t="s">
        <v>8</v>
      </c>
      <c r="B15" s="68"/>
      <c r="C15" s="68"/>
      <c r="D15" s="68"/>
      <c r="E15" s="68"/>
      <c r="F15" s="68"/>
      <c r="I15" s="10"/>
      <c r="J15" s="10"/>
      <c r="K15" s="10"/>
      <c r="L15" s="10"/>
      <c r="M15" s="10"/>
    </row>
    <row r="16" spans="1:13" x14ac:dyDescent="0.25">
      <c r="A16" s="3" t="s">
        <v>98</v>
      </c>
      <c r="B16" s="68">
        <v>3939349</v>
      </c>
      <c r="C16" s="68"/>
      <c r="D16" s="68"/>
      <c r="E16" s="68"/>
      <c r="F16" s="68"/>
      <c r="I16" s="10"/>
      <c r="J16" s="10"/>
      <c r="K16" s="10"/>
      <c r="L16" s="10"/>
      <c r="M16" s="10"/>
    </row>
    <row r="17" spans="1:13" x14ac:dyDescent="0.25">
      <c r="A17" s="3" t="s">
        <v>5</v>
      </c>
      <c r="B17" s="68"/>
      <c r="C17" s="68"/>
      <c r="D17" s="68">
        <v>-667267</v>
      </c>
      <c r="E17" s="68"/>
      <c r="F17" s="68"/>
      <c r="I17" s="10"/>
      <c r="J17" s="10"/>
      <c r="K17" s="10"/>
      <c r="L17" s="10"/>
      <c r="M17" s="10"/>
    </row>
    <row r="18" spans="1:13" x14ac:dyDescent="0.25">
      <c r="A18" s="1"/>
      <c r="B18" s="69">
        <f>SUM(B14:B14)</f>
        <v>-12062906</v>
      </c>
      <c r="C18" s="69">
        <f>SUM(C14:C14)</f>
        <v>-11573142</v>
      </c>
      <c r="D18" s="69">
        <f>SUM(D14:D17)</f>
        <v>-90159264</v>
      </c>
      <c r="E18" s="69">
        <f>SUM(E14:E17)</f>
        <v>-7081816</v>
      </c>
      <c r="F18" s="69">
        <f>SUM(F14:F17)</f>
        <v>-23157090</v>
      </c>
      <c r="G18" s="69">
        <f>SUM(G14:G17)</f>
        <v>-3844828</v>
      </c>
      <c r="I18" s="10"/>
      <c r="J18" s="10"/>
      <c r="K18" s="10"/>
      <c r="L18" s="10"/>
      <c r="M18" s="10"/>
    </row>
    <row r="19" spans="1:13" x14ac:dyDescent="0.25">
      <c r="B19" s="68"/>
      <c r="C19" s="68"/>
      <c r="D19" s="68"/>
      <c r="E19" s="68"/>
      <c r="F19" s="68"/>
      <c r="I19" s="10"/>
      <c r="J19" s="10"/>
      <c r="K19" s="10"/>
      <c r="L19" s="10"/>
      <c r="M19" s="10"/>
    </row>
    <row r="20" spans="1:13" x14ac:dyDescent="0.25">
      <c r="A20" s="82" t="s">
        <v>116</v>
      </c>
      <c r="B20" s="68"/>
      <c r="C20" s="67"/>
      <c r="D20" s="67"/>
      <c r="E20" s="68"/>
      <c r="F20" s="68"/>
      <c r="I20" s="10"/>
      <c r="J20" s="10"/>
      <c r="K20" s="10"/>
      <c r="L20" s="10"/>
      <c r="M20" s="10"/>
    </row>
    <row r="21" spans="1:13" x14ac:dyDescent="0.25">
      <c r="A21" s="39" t="s">
        <v>7</v>
      </c>
      <c r="B21" s="68"/>
      <c r="C21" s="67"/>
      <c r="D21" s="67">
        <v>-14400</v>
      </c>
      <c r="E21" s="68">
        <v>-89208</v>
      </c>
      <c r="F21" s="68"/>
      <c r="I21" s="10"/>
      <c r="J21" s="10"/>
      <c r="K21" s="10"/>
      <c r="L21" s="10"/>
      <c r="M21" s="10"/>
    </row>
    <row r="22" spans="1:13" x14ac:dyDescent="0.25">
      <c r="A22" s="39" t="s">
        <v>99</v>
      </c>
      <c r="B22" s="68">
        <v>189445857</v>
      </c>
      <c r="C22" s="67">
        <v>224808662</v>
      </c>
      <c r="D22" s="67" t="s">
        <v>0</v>
      </c>
      <c r="E22" s="68">
        <v>226410826</v>
      </c>
      <c r="F22" s="68">
        <v>253254247</v>
      </c>
      <c r="G22" s="10">
        <v>136325112</v>
      </c>
      <c r="I22" s="10"/>
      <c r="J22" s="10"/>
      <c r="K22" s="10"/>
      <c r="L22" s="10"/>
      <c r="M22" s="10"/>
    </row>
    <row r="23" spans="1:13" x14ac:dyDescent="0.25">
      <c r="A23" s="39" t="s">
        <v>6</v>
      </c>
      <c r="B23" s="68">
        <v>152133188</v>
      </c>
      <c r="C23" s="43">
        <v>89261311</v>
      </c>
      <c r="D23" s="67">
        <v>26646144</v>
      </c>
      <c r="E23" s="68">
        <v>135975498</v>
      </c>
      <c r="F23" s="68">
        <f>123086561-89206</f>
        <v>122997355</v>
      </c>
      <c r="G23" s="10">
        <f>353337479-89206</f>
        <v>353248273</v>
      </c>
      <c r="I23" s="10"/>
      <c r="J23" s="10"/>
      <c r="K23" s="10"/>
      <c r="L23" s="10"/>
      <c r="M23" s="10"/>
    </row>
    <row r="24" spans="1:13" x14ac:dyDescent="0.25">
      <c r="A24" s="41"/>
      <c r="B24" s="68">
        <v>0</v>
      </c>
      <c r="C24" s="67"/>
      <c r="D24" s="67"/>
      <c r="E24" s="68"/>
      <c r="F24" s="68"/>
      <c r="I24" s="10"/>
      <c r="J24" s="10"/>
      <c r="K24" s="10"/>
      <c r="L24" s="10"/>
      <c r="M24" s="10"/>
    </row>
    <row r="25" spans="1:13" x14ac:dyDescent="0.25">
      <c r="A25" s="1"/>
      <c r="B25" s="71">
        <f t="shared" ref="B25:G25" si="1">SUM(B21:B24)</f>
        <v>341579045</v>
      </c>
      <c r="C25" s="71">
        <f t="shared" si="1"/>
        <v>314069973</v>
      </c>
      <c r="D25" s="71">
        <f t="shared" si="1"/>
        <v>26631744</v>
      </c>
      <c r="E25" s="71">
        <f t="shared" si="1"/>
        <v>362297116</v>
      </c>
      <c r="F25" s="71">
        <f t="shared" si="1"/>
        <v>376251602</v>
      </c>
      <c r="G25" s="71">
        <f t="shared" si="1"/>
        <v>489573385</v>
      </c>
      <c r="I25" s="10"/>
      <c r="J25" s="10"/>
      <c r="K25" s="10"/>
      <c r="L25" s="10"/>
      <c r="M25" s="10"/>
    </row>
    <row r="26" spans="1:13" x14ac:dyDescent="0.25">
      <c r="B26" s="68"/>
      <c r="C26" s="67"/>
      <c r="D26" s="67"/>
      <c r="E26" s="68"/>
      <c r="F26" s="68"/>
      <c r="I26" s="10"/>
      <c r="J26" s="10"/>
      <c r="K26" s="10"/>
      <c r="L26" s="10"/>
      <c r="M26" s="10"/>
    </row>
    <row r="27" spans="1:13" x14ac:dyDescent="0.25">
      <c r="A27" s="1" t="s">
        <v>117</v>
      </c>
      <c r="B27" s="69">
        <f t="shared" ref="B27:G27" si="2">SUM(B11,B18,B25)</f>
        <v>440617319</v>
      </c>
      <c r="C27" s="70">
        <f t="shared" si="2"/>
        <v>-4715135</v>
      </c>
      <c r="D27" s="70">
        <f t="shared" si="2"/>
        <v>4423232</v>
      </c>
      <c r="E27" s="70">
        <f t="shared" si="2"/>
        <v>3360510</v>
      </c>
      <c r="F27" s="70">
        <f t="shared" si="2"/>
        <v>-2887215</v>
      </c>
      <c r="G27" s="70">
        <f t="shared" si="2"/>
        <v>-1499961</v>
      </c>
      <c r="I27" s="10"/>
      <c r="J27" s="10"/>
      <c r="K27" s="10"/>
      <c r="L27" s="10"/>
      <c r="M27" s="10"/>
    </row>
    <row r="28" spans="1:13" x14ac:dyDescent="0.25">
      <c r="A28" s="83" t="s">
        <v>118</v>
      </c>
      <c r="B28" s="68">
        <v>4618386</v>
      </c>
      <c r="C28" s="44">
        <v>10214914</v>
      </c>
      <c r="D28" s="67">
        <v>8831373</v>
      </c>
      <c r="E28" s="67">
        <v>3125632</v>
      </c>
      <c r="F28" s="68">
        <v>6486142</v>
      </c>
      <c r="G28" s="10">
        <v>3598928</v>
      </c>
      <c r="I28" s="10"/>
      <c r="J28" s="10"/>
      <c r="K28" s="10"/>
      <c r="L28" s="10"/>
      <c r="M28" s="10"/>
    </row>
    <row r="29" spans="1:13" x14ac:dyDescent="0.25">
      <c r="A29" s="82" t="s">
        <v>119</v>
      </c>
      <c r="B29" s="70">
        <f>SUM(B27:B28)</f>
        <v>445235705</v>
      </c>
      <c r="C29" s="70">
        <f t="shared" ref="C29:G29" si="3">SUM(C27:C28)</f>
        <v>5499779</v>
      </c>
      <c r="D29" s="70">
        <f t="shared" si="3"/>
        <v>13254605</v>
      </c>
      <c r="E29" s="70">
        <f t="shared" si="3"/>
        <v>6486142</v>
      </c>
      <c r="F29" s="70">
        <f>SUM(F27:F28)</f>
        <v>3598927</v>
      </c>
      <c r="G29" s="70">
        <f t="shared" si="3"/>
        <v>2098967</v>
      </c>
      <c r="I29" s="10"/>
      <c r="J29" s="10"/>
      <c r="K29" s="10"/>
      <c r="L29" s="10"/>
      <c r="M29" s="10"/>
    </row>
    <row r="30" spans="1:13" x14ac:dyDescent="0.25">
      <c r="B30" s="25"/>
      <c r="C30" s="24"/>
      <c r="D30" s="24"/>
      <c r="E30" s="25"/>
      <c r="F30" s="25"/>
      <c r="I30" s="10"/>
      <c r="J30" s="10"/>
      <c r="K30" s="10"/>
      <c r="L30" s="10"/>
      <c r="M30" s="10"/>
    </row>
    <row r="31" spans="1:13" x14ac:dyDescent="0.25">
      <c r="A31" s="82" t="s">
        <v>120</v>
      </c>
      <c r="B31" s="15">
        <f>B11/5000000</f>
        <v>22.220236</v>
      </c>
      <c r="C31" s="15">
        <f t="shared" ref="C31:G31" si="4">C11/5000000</f>
        <v>-61.442393199999998</v>
      </c>
      <c r="D31" s="15">
        <f t="shared" si="4"/>
        <v>13.590150400000001</v>
      </c>
      <c r="E31" s="15">
        <f t="shared" si="4"/>
        <v>-70.370958000000002</v>
      </c>
      <c r="F31" s="15">
        <f t="shared" si="4"/>
        <v>-71.196345399999998</v>
      </c>
      <c r="G31" s="15">
        <f t="shared" si="4"/>
        <v>-97.445703600000002</v>
      </c>
      <c r="I31" s="10"/>
      <c r="J31" s="10"/>
      <c r="K31" s="10"/>
      <c r="L31" s="10"/>
      <c r="M31" s="10"/>
    </row>
    <row r="32" spans="1:13" x14ac:dyDescent="0.25">
      <c r="A32" s="82" t="s">
        <v>121</v>
      </c>
      <c r="B32" s="85">
        <v>5000000</v>
      </c>
      <c r="C32" s="85">
        <v>5000000</v>
      </c>
      <c r="D32" s="85">
        <v>5000000</v>
      </c>
      <c r="E32" s="85">
        <v>5000000</v>
      </c>
      <c r="F32" s="85">
        <v>5000000</v>
      </c>
      <c r="G32" s="85">
        <v>5000000</v>
      </c>
      <c r="I32" s="10"/>
      <c r="J32" s="10"/>
      <c r="K32" s="10"/>
      <c r="L32" s="10"/>
      <c r="M32" s="10"/>
    </row>
    <row r="33" spans="1:13" ht="15.75" x14ac:dyDescent="0.25">
      <c r="A33" s="2"/>
      <c r="B33" s="23"/>
      <c r="C33" s="23"/>
      <c r="D33" s="23"/>
      <c r="E33" s="23"/>
      <c r="F33" s="23"/>
      <c r="G33" s="14"/>
      <c r="I33" s="10"/>
      <c r="J33" s="10"/>
      <c r="K33" s="10"/>
      <c r="L33" s="10"/>
      <c r="M33" s="10"/>
    </row>
    <row r="34" spans="1:13" x14ac:dyDescent="0.25">
      <c r="B34" s="26"/>
      <c r="C34" s="26"/>
      <c r="D34" s="26"/>
      <c r="E34" s="26"/>
      <c r="F34" s="26"/>
      <c r="G34" s="14"/>
      <c r="I34" s="10"/>
      <c r="J34" s="10"/>
      <c r="K34" s="10"/>
      <c r="L34" s="10"/>
      <c r="M34" s="10"/>
    </row>
    <row r="35" spans="1:13" x14ac:dyDescent="0.25">
      <c r="B35" s="26"/>
      <c r="C35" s="26"/>
      <c r="D35" s="26"/>
      <c r="E35" s="26"/>
      <c r="F35" s="26"/>
      <c r="G35" s="14"/>
      <c r="I35" s="10"/>
      <c r="J35" s="10"/>
      <c r="K35" s="10"/>
      <c r="L35" s="10"/>
      <c r="M35" s="10"/>
    </row>
    <row r="36" spans="1:13" x14ac:dyDescent="0.25">
      <c r="B36" s="26"/>
      <c r="C36" s="26"/>
      <c r="D36" s="26"/>
      <c r="E36" s="26"/>
      <c r="F36" s="26"/>
      <c r="G36" s="14"/>
      <c r="I36" s="10"/>
      <c r="J36" s="10"/>
      <c r="K36" s="10"/>
      <c r="L36" s="10"/>
      <c r="M36" s="10"/>
    </row>
    <row r="37" spans="1:13" x14ac:dyDescent="0.25">
      <c r="B37" s="26"/>
      <c r="C37" s="26"/>
      <c r="D37" s="26"/>
      <c r="E37" s="26"/>
      <c r="F37" s="26"/>
      <c r="G37" s="14"/>
      <c r="I37" s="10"/>
      <c r="J37" s="10"/>
      <c r="K37" s="10"/>
      <c r="L37" s="10"/>
      <c r="M37" s="1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11" sqref="G11"/>
    </sheetView>
  </sheetViews>
  <sheetFormatPr defaultRowHeight="15" x14ac:dyDescent="0.25"/>
  <cols>
    <col min="1" max="1" width="32.7109375" bestFit="1" customWidth="1"/>
    <col min="2" max="5" width="10.28515625" bestFit="1" customWidth="1"/>
  </cols>
  <sheetData>
    <row r="1" spans="1:7" s="1" customFormat="1" ht="15.75" x14ac:dyDescent="0.25">
      <c r="A1" s="1" t="s">
        <v>103</v>
      </c>
      <c r="B1" s="8"/>
      <c r="C1" s="8"/>
      <c r="D1" s="8"/>
      <c r="E1" s="8"/>
      <c r="F1" s="8"/>
    </row>
    <row r="2" spans="1:7" ht="15.75" x14ac:dyDescent="0.25">
      <c r="A2" s="1" t="s">
        <v>101</v>
      </c>
      <c r="B2" s="2"/>
      <c r="C2" s="2"/>
      <c r="D2" s="2"/>
      <c r="E2" s="2"/>
      <c r="F2" s="2"/>
    </row>
    <row r="3" spans="1:7" ht="15.75" x14ac:dyDescent="0.25">
      <c r="A3" s="1" t="s">
        <v>102</v>
      </c>
      <c r="B3" s="2"/>
      <c r="C3" s="2"/>
      <c r="D3" s="2"/>
      <c r="E3" s="2"/>
      <c r="F3" s="2"/>
    </row>
    <row r="4" spans="1:7" x14ac:dyDescent="0.25">
      <c r="A4" s="1"/>
      <c r="B4" s="1">
        <v>2013</v>
      </c>
      <c r="C4" s="1">
        <v>2014</v>
      </c>
      <c r="D4" s="1">
        <v>2015</v>
      </c>
      <c r="E4" s="1">
        <v>2016</v>
      </c>
      <c r="F4" s="1">
        <v>2017</v>
      </c>
    </row>
    <row r="5" spans="1:7" x14ac:dyDescent="0.25">
      <c r="A5" t="s">
        <v>104</v>
      </c>
      <c r="B5" s="73">
        <f>'2'!B5/'1'!B38</f>
        <v>4.6738456334124455E-2</v>
      </c>
      <c r="C5" s="73">
        <f>'2'!C5/'1'!C38</f>
        <v>6.4758057670259689E-2</v>
      </c>
      <c r="D5" s="73">
        <f>'2'!D5/'1'!D38</f>
        <v>3.9472558794112163E-2</v>
      </c>
      <c r="E5" s="73">
        <f>'2'!E5/'1'!E38</f>
        <v>1.0278770215866814E-2</v>
      </c>
      <c r="F5" s="73">
        <f>'2'!F5/'1'!F38</f>
        <v>0.74546596212084726</v>
      </c>
      <c r="G5" s="73"/>
    </row>
    <row r="6" spans="1:7" x14ac:dyDescent="0.25">
      <c r="A6" t="s">
        <v>105</v>
      </c>
      <c r="B6" s="73">
        <f>'2'!B5/'1'!B69</f>
        <v>2.1113241134033407</v>
      </c>
      <c r="C6" s="73">
        <f>'2'!C5/'1'!C69</f>
        <v>3.3025729001630939</v>
      </c>
      <c r="D6" s="73">
        <f>'2'!D5/'1'!D69</f>
        <v>1.2511176866817135</v>
      </c>
      <c r="E6" s="73">
        <f>'2'!E5/'1'!E69</f>
        <v>0.35411107221905724</v>
      </c>
      <c r="F6" s="73">
        <f>'2'!F5/'1'!F69</f>
        <v>-7.2284115586115694E-2</v>
      </c>
      <c r="G6" s="73"/>
    </row>
    <row r="7" spans="1:7" x14ac:dyDescent="0.25">
      <c r="A7" t="s">
        <v>92</v>
      </c>
      <c r="B7" s="31">
        <f>(SUM('1'!B42:B47,'1'!B49:B51))/'1'!B69</f>
        <v>3.0890028072109645</v>
      </c>
      <c r="C7" s="31">
        <f>(SUM('1'!C42:C47,'1'!C49:C51))/'1'!C69</f>
        <v>3.0940979548690142</v>
      </c>
      <c r="D7" s="31">
        <f>(SUM('1'!D42:D47,'1'!D49:D51))/'1'!D69</f>
        <v>12.627176443782037</v>
      </c>
      <c r="E7" s="31">
        <f>(SUM('1'!E42:E47,'1'!E49:E51))/'1'!E69</f>
        <v>14.901351345971035</v>
      </c>
      <c r="F7" s="31">
        <f>(SUM('1'!F42:F47,'1'!F49:F51))/'1'!F69</f>
        <v>-4.4571560055501447E-2</v>
      </c>
      <c r="G7" s="31"/>
    </row>
    <row r="8" spans="1:7" x14ac:dyDescent="0.25">
      <c r="A8" t="s">
        <v>91</v>
      </c>
      <c r="B8" s="76">
        <f>'1'!B36/'1'!B62</f>
        <v>1.0685725820739831</v>
      </c>
      <c r="C8" s="76">
        <f>'1'!C36/'1'!C62</f>
        <v>1.0583449773891056</v>
      </c>
      <c r="D8" s="76">
        <f>'1'!D36/'1'!D62</f>
        <v>1.6529759469004404</v>
      </c>
      <c r="E8" s="76">
        <f>'1'!E36/'1'!E62</f>
        <v>1.7640184834404351</v>
      </c>
      <c r="F8" s="76">
        <f>'1'!F36/'1'!F62</f>
        <v>6.6833954367390369E-2</v>
      </c>
      <c r="G8" s="76"/>
    </row>
    <row r="9" spans="1:7" x14ac:dyDescent="0.25">
      <c r="A9" t="s">
        <v>96</v>
      </c>
      <c r="B9" s="77">
        <f>'2'!B65/'2'!B5</f>
        <v>-2.9642298170183725</v>
      </c>
      <c r="C9" s="77">
        <f>'2'!C65/'2'!C5</f>
        <v>-1.8981482207246902</v>
      </c>
      <c r="D9" s="77">
        <f>'2'!D65/'2'!D5</f>
        <v>-0.34522661343168665</v>
      </c>
      <c r="E9" s="77">
        <f>'2'!E65/'2'!E5</f>
        <v>-1.2602649705474753</v>
      </c>
      <c r="F9" s="77">
        <f>'2'!F65/'2'!F5</f>
        <v>-1.3791204106359864</v>
      </c>
      <c r="G9" s="77"/>
    </row>
    <row r="10" spans="1:7" x14ac:dyDescent="0.25">
      <c r="A10" t="s">
        <v>93</v>
      </c>
      <c r="B10" s="77">
        <f>('2'!B65+'2'!B31+'2'!B37)/'2'!B5</f>
        <v>-2.9642298170183725</v>
      </c>
      <c r="C10" s="77">
        <f>('2'!C65+'2'!C31+'2'!C37)/'2'!C5</f>
        <v>-1.8981482207246902</v>
      </c>
      <c r="D10" s="77">
        <f>('2'!D65+'2'!D31+'2'!D37)/'2'!D5</f>
        <v>-0.33866782827514053</v>
      </c>
      <c r="E10" s="77">
        <f>('2'!E65+'2'!E31+'2'!E37)/'2'!E5</f>
        <v>-1.238766021464377</v>
      </c>
      <c r="F10" s="77">
        <f>('2'!F65+'2'!F31+'2'!F37)/'2'!F5</f>
        <v>-1.3791204106359864</v>
      </c>
      <c r="G10" s="77"/>
    </row>
    <row r="11" spans="1:7" x14ac:dyDescent="0.25">
      <c r="A11" t="s">
        <v>106</v>
      </c>
      <c r="B11" s="77">
        <f>'2'!B65/('1'!B69+'1'!B42+'1'!B43+'1'!B44+'1'!B45+'1'!B46+'1'!B47+'1'!B49+'1'!B51)</f>
        <v>-1.5305565159562311</v>
      </c>
      <c r="C11" s="77">
        <f>'2'!C65/('1'!C69+'1'!C42+'1'!C43+'1'!C44+'1'!C45+'1'!C46+'1'!C47+'1'!C49+'1'!C51)</f>
        <v>-1.5311731530025687</v>
      </c>
      <c r="D11" s="77">
        <f>'2'!D65/('1'!D69+'1'!D42+'1'!D43+'1'!D44+'1'!D45+'1'!D46+'1'!D47+'1'!D49+'1'!D51)</f>
        <v>-3.1695423021743802E-2</v>
      </c>
      <c r="E11" s="77">
        <f>'2'!E65/('1'!E69+'1'!E42+'1'!E43+'1'!E44+'1'!E45+'1'!E46+'1'!E47+'1'!E49+'1'!E51)</f>
        <v>-2.8065148067667762E-2</v>
      </c>
      <c r="F11" s="77">
        <f>'2'!F65/('1'!F69+'1'!F42+'1'!F43+'1'!F44+'1'!F45+'1'!F46+'1'!F47+'1'!F49+'1'!F51)</f>
        <v>0.10428169638275772</v>
      </c>
      <c r="G11" s="7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Hossen</dc:creator>
  <cp:lastModifiedBy>Anik</cp:lastModifiedBy>
  <dcterms:created xsi:type="dcterms:W3CDTF">2017-04-17T04:07:28Z</dcterms:created>
  <dcterms:modified xsi:type="dcterms:W3CDTF">2020-04-11T14:59:25Z</dcterms:modified>
</cp:coreProperties>
</file>