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54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3" l="1"/>
  <c r="I30" i="3"/>
  <c r="I23" i="3"/>
  <c r="I15" i="3"/>
  <c r="I10" i="3"/>
  <c r="I29" i="3" s="1"/>
  <c r="I27" i="2"/>
  <c r="I21" i="2"/>
  <c r="I9" i="2"/>
  <c r="I7" i="2"/>
  <c r="H5" i="2"/>
  <c r="H6" i="2"/>
  <c r="H10" i="2"/>
  <c r="I46" i="1"/>
  <c r="I38" i="1"/>
  <c r="I45" i="1" s="1"/>
  <c r="I25" i="1"/>
  <c r="I21" i="1"/>
  <c r="I10" i="1"/>
  <c r="I6" i="1"/>
  <c r="H7" i="2" l="1"/>
  <c r="I25" i="3"/>
  <c r="I27" i="3" s="1"/>
  <c r="I13" i="2"/>
  <c r="I18" i="2" s="1"/>
  <c r="I20" i="2" s="1"/>
  <c r="I24" i="2" s="1"/>
  <c r="I26" i="2" s="1"/>
  <c r="I36" i="1"/>
  <c r="I43" i="1" s="1"/>
  <c r="I17" i="1"/>
  <c r="C46" i="1"/>
  <c r="D46" i="1"/>
  <c r="E46" i="1"/>
  <c r="F46" i="1"/>
  <c r="G46" i="1"/>
  <c r="B46" i="1"/>
  <c r="C27" i="2"/>
  <c r="D27" i="2"/>
  <c r="E27" i="2"/>
  <c r="F27" i="2"/>
  <c r="G27" i="2"/>
  <c r="B27" i="2"/>
  <c r="C30" i="3"/>
  <c r="D30" i="3"/>
  <c r="E30" i="3"/>
  <c r="F30" i="3"/>
  <c r="G30" i="3"/>
  <c r="B30" i="3"/>
  <c r="H26" i="3" l="1"/>
  <c r="H22" i="3"/>
  <c r="H21" i="3"/>
  <c r="H19" i="3"/>
  <c r="H18" i="3"/>
  <c r="H13" i="3"/>
  <c r="H7" i="3"/>
  <c r="H6" i="3"/>
  <c r="H23" i="2"/>
  <c r="H22" i="2"/>
  <c r="H16" i="2"/>
  <c r="H15" i="2"/>
  <c r="H11" i="2"/>
  <c r="H9" i="2" s="1"/>
  <c r="H33" i="1"/>
  <c r="H32" i="1"/>
  <c r="H29" i="1"/>
  <c r="H28" i="1"/>
  <c r="H27" i="1"/>
  <c r="H26" i="1"/>
  <c r="H23" i="1"/>
  <c r="H22" i="1"/>
  <c r="H41" i="1"/>
  <c r="H39" i="1"/>
  <c r="H46" i="1" s="1"/>
  <c r="H15" i="1"/>
  <c r="H14" i="1"/>
  <c r="H13" i="1"/>
  <c r="H12" i="1"/>
  <c r="H11" i="1"/>
  <c r="H8" i="1"/>
  <c r="H7" i="1"/>
  <c r="H30" i="3" l="1"/>
  <c r="H27" i="2"/>
  <c r="H10" i="3"/>
  <c r="H29" i="3" s="1"/>
  <c r="H13" i="2"/>
  <c r="H10" i="4" s="1"/>
  <c r="F23" i="3"/>
  <c r="F5" i="2"/>
  <c r="F22" i="2"/>
  <c r="F19" i="2"/>
  <c r="F15" i="2"/>
  <c r="F11" i="2"/>
  <c r="F10" i="2"/>
  <c r="F6" i="2"/>
  <c r="Q6" i="2"/>
  <c r="C7" i="2"/>
  <c r="D7" i="2"/>
  <c r="E7" i="2"/>
  <c r="G7" i="2"/>
  <c r="B7" i="2"/>
  <c r="F12" i="1"/>
  <c r="F8" i="1"/>
  <c r="F7" i="1"/>
  <c r="H21" i="2"/>
  <c r="H23" i="3"/>
  <c r="H15" i="3"/>
  <c r="H25" i="1"/>
  <c r="H21" i="1"/>
  <c r="H38" i="1"/>
  <c r="H10" i="1"/>
  <c r="H6" i="1"/>
  <c r="H7" i="4" l="1"/>
  <c r="H8" i="4"/>
  <c r="H18" i="2"/>
  <c r="H20" i="2" s="1"/>
  <c r="H24" i="2" s="1"/>
  <c r="H36" i="1"/>
  <c r="H43" i="1" s="1"/>
  <c r="H25" i="3"/>
  <c r="H27" i="3" s="1"/>
  <c r="H45" i="1"/>
  <c r="H17" i="1"/>
  <c r="F7" i="2"/>
  <c r="C21" i="1"/>
  <c r="D21" i="1"/>
  <c r="E21" i="1"/>
  <c r="F21" i="1"/>
  <c r="G21" i="1"/>
  <c r="B21" i="1"/>
  <c r="C15" i="3"/>
  <c r="D15" i="3"/>
  <c r="E15" i="3"/>
  <c r="F15" i="3"/>
  <c r="G15" i="3"/>
  <c r="B15" i="3"/>
  <c r="C6" i="1"/>
  <c r="D6" i="1"/>
  <c r="E6" i="1"/>
  <c r="F6" i="1"/>
  <c r="G6" i="1"/>
  <c r="B6" i="1"/>
  <c r="C9" i="2"/>
  <c r="C13" i="2" s="1"/>
  <c r="C10" i="4" s="1"/>
  <c r="D9" i="2"/>
  <c r="D13" i="2" s="1"/>
  <c r="D10" i="4" s="1"/>
  <c r="E9" i="2"/>
  <c r="E13" i="2" s="1"/>
  <c r="E10" i="4" s="1"/>
  <c r="F9" i="2"/>
  <c r="G9" i="2"/>
  <c r="G13" i="2" s="1"/>
  <c r="G10" i="4" s="1"/>
  <c r="B9" i="2"/>
  <c r="B13" i="2" s="1"/>
  <c r="F13" i="2" l="1"/>
  <c r="F10" i="4" s="1"/>
  <c r="H9" i="4"/>
  <c r="H6" i="4"/>
  <c r="H11" i="4"/>
  <c r="H5" i="4"/>
  <c r="B18" i="2"/>
  <c r="B20" i="2" s="1"/>
  <c r="B10" i="4"/>
  <c r="G18" i="2"/>
  <c r="G20" i="2" s="1"/>
  <c r="C18" i="2"/>
  <c r="C20" i="2" s="1"/>
  <c r="E18" i="2"/>
  <c r="E20" i="2" s="1"/>
  <c r="H26" i="2"/>
  <c r="D18" i="2"/>
  <c r="D20" i="2" s="1"/>
  <c r="F18" i="2"/>
  <c r="F20" i="2" s="1"/>
  <c r="C21" i="2"/>
  <c r="D21" i="2"/>
  <c r="E21" i="2"/>
  <c r="F21" i="2"/>
  <c r="G21" i="2"/>
  <c r="B21" i="2"/>
  <c r="C38" i="1"/>
  <c r="D38" i="1"/>
  <c r="E38" i="1"/>
  <c r="F38" i="1"/>
  <c r="G38" i="1"/>
  <c r="B38" i="1"/>
  <c r="B7" i="4" s="1"/>
  <c r="D7" i="4" l="1"/>
  <c r="G7" i="4"/>
  <c r="C7" i="4"/>
  <c r="F7" i="4"/>
  <c r="E7" i="4"/>
  <c r="B45" i="1"/>
  <c r="E45" i="1"/>
  <c r="D45" i="1"/>
  <c r="G45" i="1"/>
  <c r="C45" i="1"/>
  <c r="F45" i="1"/>
  <c r="B24" i="2"/>
  <c r="E24" i="2"/>
  <c r="E9" i="4" s="1"/>
  <c r="C24" i="2"/>
  <c r="C9" i="4" s="1"/>
  <c r="G24" i="2"/>
  <c r="G9" i="4" s="1"/>
  <c r="F24" i="2"/>
  <c r="F9" i="4" s="1"/>
  <c r="D24" i="2"/>
  <c r="D9" i="4" s="1"/>
  <c r="C6" i="4" l="1"/>
  <c r="G6" i="4"/>
  <c r="F11" i="4"/>
  <c r="E6" i="4"/>
  <c r="C11" i="4"/>
  <c r="D11" i="4"/>
  <c r="D6" i="4"/>
  <c r="E11" i="4"/>
  <c r="F6" i="4"/>
  <c r="G11" i="4"/>
  <c r="G26" i="2"/>
  <c r="C26" i="2"/>
  <c r="E26" i="2"/>
  <c r="D26" i="2"/>
  <c r="F26" i="2"/>
  <c r="B26" i="2"/>
  <c r="B9" i="4"/>
  <c r="B11" i="4"/>
  <c r="B6" i="4"/>
  <c r="E23" i="3"/>
  <c r="E10" i="3"/>
  <c r="E29" i="3" s="1"/>
  <c r="C10" i="1"/>
  <c r="D10" i="1"/>
  <c r="E10" i="1"/>
  <c r="F10" i="1"/>
  <c r="G10" i="1"/>
  <c r="E25" i="3" l="1"/>
  <c r="E27" i="3" s="1"/>
  <c r="F17" i="1"/>
  <c r="F5" i="4" s="1"/>
  <c r="D17" i="1"/>
  <c r="D5" i="4" s="1"/>
  <c r="C17" i="1"/>
  <c r="C5" i="4" s="1"/>
  <c r="E17" i="1"/>
  <c r="E5" i="4" s="1"/>
  <c r="G17" i="1"/>
  <c r="G5" i="4" s="1"/>
  <c r="C25" i="1"/>
  <c r="D25" i="1"/>
  <c r="E25" i="1"/>
  <c r="E8" i="4" s="1"/>
  <c r="F25" i="1"/>
  <c r="G25" i="1"/>
  <c r="B23" i="3"/>
  <c r="F8" i="4" l="1"/>
  <c r="G8" i="4"/>
  <c r="C8" i="4"/>
  <c r="D8" i="4"/>
  <c r="D36" i="1"/>
  <c r="D43" i="1" s="1"/>
  <c r="G36" i="1"/>
  <c r="G43" i="1" s="1"/>
  <c r="F36" i="1"/>
  <c r="F43" i="1" s="1"/>
  <c r="C36" i="1"/>
  <c r="C43" i="1" s="1"/>
  <c r="E36" i="1"/>
  <c r="E43" i="1" s="1"/>
  <c r="F10" i="3"/>
  <c r="F29" i="3" s="1"/>
  <c r="D23" i="3"/>
  <c r="G23" i="3"/>
  <c r="C23" i="3"/>
  <c r="F25" i="3" l="1"/>
  <c r="F27" i="3" s="1"/>
  <c r="C10" i="3" l="1"/>
  <c r="C29" i="3" s="1"/>
  <c r="D10" i="3"/>
  <c r="D29" i="3" s="1"/>
  <c r="G10" i="3"/>
  <c r="G29" i="3" s="1"/>
  <c r="B10" i="3"/>
  <c r="B29" i="3" s="1"/>
  <c r="B10" i="1"/>
  <c r="B25" i="1" l="1"/>
  <c r="B8" i="4" l="1"/>
  <c r="C25" i="3"/>
  <c r="C27" i="3" s="1"/>
  <c r="B17" i="1"/>
  <c r="B5" i="4" s="1"/>
  <c r="B25" i="3"/>
  <c r="B27" i="3" s="1"/>
  <c r="D25" i="3"/>
  <c r="D27" i="3" s="1"/>
  <c r="B36" i="1"/>
  <c r="B43" i="1" s="1"/>
  <c r="G25" i="3"/>
  <c r="G27" i="3" s="1"/>
</calcChain>
</file>

<file path=xl/sharedStrings.xml><?xml version="1.0" encoding="utf-8"?>
<sst xmlns="http://schemas.openxmlformats.org/spreadsheetml/2006/main" count="89" uniqueCount="82">
  <si>
    <t>ASSETS</t>
  </si>
  <si>
    <t>NON CURRENT ASSETS</t>
  </si>
  <si>
    <t>CURRENT ASSETS</t>
  </si>
  <si>
    <t>Gross Profit</t>
  </si>
  <si>
    <t>Operating Profit</t>
  </si>
  <si>
    <t>Financial Expenses</t>
  </si>
  <si>
    <t>Advance, deposits &amp; prepayments</t>
  </si>
  <si>
    <t>Cash &amp; Cash equivalent</t>
  </si>
  <si>
    <t>Share capital</t>
  </si>
  <si>
    <t>Deferred tax liability</t>
  </si>
  <si>
    <t>Current</t>
  </si>
  <si>
    <t>Deferred</t>
  </si>
  <si>
    <t>Income tax paid</t>
  </si>
  <si>
    <t>Non operating income</t>
  </si>
  <si>
    <t>Contribution to WPPF</t>
  </si>
  <si>
    <t>Short term loan</t>
  </si>
  <si>
    <t>STYLECRAFT LIMITED</t>
  </si>
  <si>
    <t>Property,Plant  and  Equipment, net of accumulated depreciation</t>
  </si>
  <si>
    <t>Stocks &amp; stores</t>
  </si>
  <si>
    <t>Export Bills receivables</t>
  </si>
  <si>
    <t>Tax holiday reserve</t>
  </si>
  <si>
    <t>Reatined earnings</t>
  </si>
  <si>
    <t>Long term loans - secured</t>
  </si>
  <si>
    <t>Import bill payable</t>
  </si>
  <si>
    <t>Trade creditors</t>
  </si>
  <si>
    <t>Creditors for expenses</t>
  </si>
  <si>
    <t>Dividend payable</t>
  </si>
  <si>
    <t>Income tax payable</t>
  </si>
  <si>
    <t>Workers participation/welfare funds</t>
  </si>
  <si>
    <t>Administrative expesnes</t>
  </si>
  <si>
    <t>Selling expenses</t>
  </si>
  <si>
    <t>Collection from turnover</t>
  </si>
  <si>
    <t>Paid for costs &amp; expenses</t>
  </si>
  <si>
    <t>Bank interest</t>
  </si>
  <si>
    <t>Acquisition of fixed asset</t>
  </si>
  <si>
    <t>Repayment of long term loan</t>
  </si>
  <si>
    <t>Long term loan received</t>
  </si>
  <si>
    <t>Dividend paid</t>
  </si>
  <si>
    <t>Investment in shares - long term</t>
  </si>
  <si>
    <t>Dividend received</t>
  </si>
  <si>
    <t>Advance income tax</t>
  </si>
  <si>
    <t>Long term loan current portion</t>
  </si>
  <si>
    <t>Received/repayment of long term loan current portion</t>
  </si>
  <si>
    <t>Other Income</t>
  </si>
  <si>
    <t>Liabilities for tax</t>
  </si>
  <si>
    <t>Ratio</t>
  </si>
  <si>
    <t>Debt to Equity</t>
  </si>
  <si>
    <t>Current Ratio</t>
  </si>
  <si>
    <t>Operating Margin</t>
  </si>
  <si>
    <t>Net Margin</t>
  </si>
  <si>
    <t>As at year end</t>
  </si>
  <si>
    <t>Return on Asset (ROA)</t>
  </si>
  <si>
    <t>Return on Equity (ROE)</t>
  </si>
  <si>
    <t>Return on Invested Capital (ROIC)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</si>
  <si>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</si>
  <si>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</si>
  <si>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</si>
  <si>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</si>
  <si>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</si>
  <si>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</si>
  <si>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</si>
  <si>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</si>
  <si>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</si>
  <si>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</si>
  <si>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</si>
  <si>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</si>
  <si>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</si>
  <si>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</si>
  <si>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</si>
  <si>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</si>
  <si>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</si>
  <si>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</si>
  <si>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</si>
  <si>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</si>
  <si>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</si>
  <si>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</si>
  <si>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</si>
  <si>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</si>
  <si>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</si>
  <si>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</si>
  <si>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Balance Sheet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</si>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</sst>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4" fontId="1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Border="1"/>
    <xf numFmtId="2" fontId="0" fillId="0" borderId="0" xfId="0" applyNumberFormat="1"/>
    <xf numFmtId="41" fontId="0" fillId="0" borderId="0" xfId="0" applyNumberFormat="1"/>
    <xf numFmtId="41" fontId="0" fillId="0" borderId="0" xfId="0" applyNumberFormat="1" applyFont="1"/>
    <xf numFmtId="41" fontId="1" fillId="0" borderId="3" xfId="0" applyNumberFormat="1" applyFont="1" applyBorder="1"/>
    <xf numFmtId="41" fontId="3" fillId="0" borderId="3" xfId="0" applyNumberFormat="1" applyFont="1" applyBorder="1"/>
    <xf numFmtId="41" fontId="1" fillId="0" borderId="0" xfId="0" applyNumberFormat="1" applyFont="1"/>
    <xf numFmtId="41" fontId="0" fillId="0" borderId="0" xfId="1" applyNumberFormat="1" applyFont="1"/>
    <xf numFmtId="41" fontId="0" fillId="0" borderId="1" xfId="1" applyNumberFormat="1" applyFont="1" applyBorder="1"/>
    <xf numFmtId="41" fontId="1" fillId="0" borderId="0" xfId="1" applyNumberFormat="1" applyFont="1"/>
    <xf numFmtId="41" fontId="1" fillId="0" borderId="0" xfId="1" applyNumberFormat="1" applyFont="1" applyBorder="1"/>
    <xf numFmtId="41" fontId="1" fillId="0" borderId="0" xfId="1" applyNumberFormat="1" applyFont="1" applyFill="1"/>
    <xf numFmtId="41" fontId="0" fillId="0" borderId="0" xfId="1" applyNumberFormat="1" applyFont="1" applyFill="1"/>
    <xf numFmtId="41" fontId="1" fillId="0" borderId="3" xfId="1" applyNumberFormat="1" applyFont="1" applyBorder="1"/>
    <xf numFmtId="41" fontId="0" fillId="0" borderId="0" xfId="1" applyNumberFormat="1" applyFont="1" applyBorder="1"/>
    <xf numFmtId="41" fontId="1" fillId="0" borderId="2" xfId="1" applyNumberFormat="1" applyFont="1" applyBorder="1"/>
    <xf numFmtId="41" fontId="0" fillId="0" borderId="0" xfId="0" applyNumberFormat="1" applyFill="1"/>
    <xf numFmtId="164" fontId="0" fillId="0" borderId="0" xfId="2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5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8"/>
  <sheetViews>
    <sheetView workbookViewId="0">
      <pane xSplit="1" ySplit="4" topLeftCell="G35" activePane="bottomRight" state="frozen"/>
      <selection pane="topRight" activeCell="B1" sqref="B1"/>
      <selection pane="bottomLeft" activeCell="A6" sqref="A6"/>
      <selection pane="bottomRight" activeCell="I45" sqref="I45"/>
    </sheetView>
  </sheetViews>
  <sheetFormatPr defaultRowHeight="15" x14ac:dyDescent="0.25"/>
  <cols>
    <col min="1" max="1" width="37.140625" customWidth="1"/>
    <col min="2" max="4" width="12.5703125" bestFit="1" customWidth="1"/>
    <col min="5" max="8" width="14.28515625" bestFit="1" customWidth="1"/>
    <col min="9" max="9" width="18.85546875" customWidth="1"/>
  </cols>
  <sheetData>
    <row r="1" spans="1:9" x14ac:dyDescent="0.25">
      <c r="A1" s="2" t="s">
        <v>16</v>
      </c>
    </row>
    <row r="2" spans="1:9" x14ac:dyDescent="0.25">
      <c r="A2" s="29" t="s">
        <v>80</v>
      </c>
      <c r="B2" s="2"/>
    </row>
    <row r="3" spans="1:9" x14ac:dyDescent="0.25">
      <c r="A3" t="s">
        <v>50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31" t="s">
        <v>0</v>
      </c>
      <c r="B5" s="11"/>
      <c r="C5" s="11"/>
      <c r="D5" s="11"/>
      <c r="E5" s="11"/>
      <c r="F5" s="11"/>
      <c r="G5" s="11"/>
      <c r="H5" s="11"/>
    </row>
    <row r="6" spans="1:9" x14ac:dyDescent="0.25">
      <c r="A6" s="30" t="s">
        <v>1</v>
      </c>
      <c r="B6" s="15">
        <f>SUM(B7:B8)</f>
        <v>273743906</v>
      </c>
      <c r="C6" s="15">
        <f t="shared" ref="C6:I6" si="0">SUM(C7:C8)</f>
        <v>350366754</v>
      </c>
      <c r="D6" s="15">
        <f t="shared" si="0"/>
        <v>508499193</v>
      </c>
      <c r="E6" s="15">
        <f t="shared" si="0"/>
        <v>580635567</v>
      </c>
      <c r="F6" s="15">
        <f t="shared" si="0"/>
        <v>561007874</v>
      </c>
      <c r="G6" s="15">
        <f t="shared" si="0"/>
        <v>615738190</v>
      </c>
      <c r="H6" s="15">
        <f t="shared" si="0"/>
        <v>704415332</v>
      </c>
      <c r="I6" s="15">
        <f t="shared" si="0"/>
        <v>676355751</v>
      </c>
    </row>
    <row r="7" spans="1:9" x14ac:dyDescent="0.25">
      <c r="A7" t="s">
        <v>17</v>
      </c>
      <c r="B7" s="11">
        <v>273743906</v>
      </c>
      <c r="C7" s="11">
        <v>350366754</v>
      </c>
      <c r="D7" s="12">
        <v>503360303</v>
      </c>
      <c r="E7" s="11">
        <v>575496677</v>
      </c>
      <c r="F7" s="11">
        <f>555868984</f>
        <v>555868984</v>
      </c>
      <c r="G7" s="11">
        <v>610599300</v>
      </c>
      <c r="H7" s="12">
        <f>699276442</f>
        <v>699276442</v>
      </c>
      <c r="I7" s="12">
        <v>671216861</v>
      </c>
    </row>
    <row r="8" spans="1:9" x14ac:dyDescent="0.25">
      <c r="A8" t="s">
        <v>38</v>
      </c>
      <c r="B8" s="11">
        <v>0</v>
      </c>
      <c r="C8" s="11">
        <v>0</v>
      </c>
      <c r="D8" s="12">
        <v>5138890</v>
      </c>
      <c r="E8" s="11">
        <v>5138890</v>
      </c>
      <c r="F8" s="11">
        <f>5138890</f>
        <v>5138890</v>
      </c>
      <c r="G8" s="11">
        <v>5138890</v>
      </c>
      <c r="H8" s="12">
        <f>5138890</f>
        <v>5138890</v>
      </c>
      <c r="I8" s="12">
        <v>5138890</v>
      </c>
    </row>
    <row r="9" spans="1:9" x14ac:dyDescent="0.25">
      <c r="B9" s="11"/>
      <c r="C9" s="11"/>
      <c r="D9" s="12"/>
      <c r="E9" s="11"/>
      <c r="F9" s="11"/>
      <c r="G9" s="12"/>
      <c r="H9" s="11"/>
    </row>
    <row r="10" spans="1:9" x14ac:dyDescent="0.25">
      <c r="A10" s="30" t="s">
        <v>2</v>
      </c>
      <c r="B10" s="15">
        <f t="shared" ref="B10:I10" si="1">SUM(B11:B15)</f>
        <v>459746948</v>
      </c>
      <c r="C10" s="15">
        <f t="shared" si="1"/>
        <v>447434223</v>
      </c>
      <c r="D10" s="15">
        <f t="shared" si="1"/>
        <v>438367485</v>
      </c>
      <c r="E10" s="15">
        <f t="shared" si="1"/>
        <v>433488783</v>
      </c>
      <c r="F10" s="15">
        <f t="shared" si="1"/>
        <v>578326975</v>
      </c>
      <c r="G10" s="15">
        <f t="shared" si="1"/>
        <v>540833312</v>
      </c>
      <c r="H10" s="15">
        <f t="shared" si="1"/>
        <v>600775890</v>
      </c>
      <c r="I10" s="15">
        <f t="shared" si="1"/>
        <v>703548507</v>
      </c>
    </row>
    <row r="11" spans="1:9" x14ac:dyDescent="0.25">
      <c r="A11" s="4" t="s">
        <v>18</v>
      </c>
      <c r="B11" s="11">
        <v>171930954</v>
      </c>
      <c r="C11" s="12">
        <v>120800575</v>
      </c>
      <c r="D11" s="12">
        <v>136864014</v>
      </c>
      <c r="E11" s="12">
        <v>169397528</v>
      </c>
      <c r="F11" s="12">
        <v>161314734</v>
      </c>
      <c r="G11" s="12">
        <v>111785193</v>
      </c>
      <c r="H11" s="12">
        <f>260933037</f>
        <v>260933037</v>
      </c>
      <c r="I11" s="12">
        <v>354649749</v>
      </c>
    </row>
    <row r="12" spans="1:9" x14ac:dyDescent="0.25">
      <c r="A12" s="4" t="s">
        <v>19</v>
      </c>
      <c r="B12" s="11">
        <v>225588702</v>
      </c>
      <c r="C12" s="12">
        <v>209166535</v>
      </c>
      <c r="D12" s="12">
        <v>179425114</v>
      </c>
      <c r="E12" s="12">
        <v>194464675</v>
      </c>
      <c r="F12" s="12">
        <f>270332121</f>
        <v>270332121</v>
      </c>
      <c r="G12" s="12">
        <v>217378568</v>
      </c>
      <c r="H12" s="12">
        <f>219765865</f>
        <v>219765865</v>
      </c>
      <c r="I12" s="12">
        <v>218532123</v>
      </c>
    </row>
    <row r="13" spans="1:9" x14ac:dyDescent="0.25">
      <c r="A13" s="4" t="s">
        <v>6</v>
      </c>
      <c r="B13" s="11">
        <v>40793499</v>
      </c>
      <c r="C13" s="12">
        <v>75178795</v>
      </c>
      <c r="D13" s="12">
        <v>104547983</v>
      </c>
      <c r="E13" s="12">
        <v>12848918</v>
      </c>
      <c r="F13" s="12">
        <v>100024888</v>
      </c>
      <c r="G13" s="12">
        <v>155525950</v>
      </c>
      <c r="H13" s="12">
        <f>46711076</f>
        <v>46711076</v>
      </c>
      <c r="I13" s="12">
        <v>64956202</v>
      </c>
    </row>
    <row r="14" spans="1:9" x14ac:dyDescent="0.25">
      <c r="A14" s="4" t="s">
        <v>40</v>
      </c>
      <c r="B14" s="11">
        <v>0</v>
      </c>
      <c r="C14" s="12">
        <v>0</v>
      </c>
      <c r="D14" s="12">
        <v>0</v>
      </c>
      <c r="E14" s="12">
        <v>0</v>
      </c>
      <c r="F14" s="12">
        <v>21019927</v>
      </c>
      <c r="G14" s="12">
        <v>37084873</v>
      </c>
      <c r="H14" s="12">
        <f>56727624</f>
        <v>56727624</v>
      </c>
      <c r="I14" s="12">
        <v>52635754</v>
      </c>
    </row>
    <row r="15" spans="1:9" x14ac:dyDescent="0.25">
      <c r="A15" s="4" t="s">
        <v>7</v>
      </c>
      <c r="B15" s="11">
        <v>21433793</v>
      </c>
      <c r="C15" s="12">
        <v>42288318</v>
      </c>
      <c r="D15" s="12">
        <v>17530374</v>
      </c>
      <c r="E15" s="12">
        <v>56777662</v>
      </c>
      <c r="F15" s="12">
        <v>25635305</v>
      </c>
      <c r="G15" s="12">
        <v>19058728</v>
      </c>
      <c r="H15" s="12">
        <f>16638288</f>
        <v>16638288</v>
      </c>
      <c r="I15" s="12">
        <v>12774679</v>
      </c>
    </row>
    <row r="16" spans="1:9" x14ac:dyDescent="0.25">
      <c r="B16" s="11"/>
      <c r="C16" s="11"/>
      <c r="D16" s="11"/>
      <c r="E16" s="11"/>
      <c r="F16" s="11"/>
      <c r="G16" s="11"/>
      <c r="H16" s="11"/>
    </row>
    <row r="17" spans="1:9" x14ac:dyDescent="0.25">
      <c r="A17" s="2"/>
      <c r="B17" s="15">
        <f t="shared" ref="B17:I17" si="2">SUM(B6,B10)</f>
        <v>733490854</v>
      </c>
      <c r="C17" s="15">
        <f t="shared" si="2"/>
        <v>797800977</v>
      </c>
      <c r="D17" s="15">
        <f t="shared" si="2"/>
        <v>946866678</v>
      </c>
      <c r="E17" s="15">
        <f t="shared" si="2"/>
        <v>1014124350</v>
      </c>
      <c r="F17" s="15">
        <f t="shared" si="2"/>
        <v>1139334849</v>
      </c>
      <c r="G17" s="15">
        <f t="shared" si="2"/>
        <v>1156571502</v>
      </c>
      <c r="H17" s="15">
        <f t="shared" si="2"/>
        <v>1305191222</v>
      </c>
      <c r="I17" s="15">
        <f t="shared" si="2"/>
        <v>1379904258</v>
      </c>
    </row>
    <row r="18" spans="1:9" x14ac:dyDescent="0.25">
      <c r="B18" s="11"/>
      <c r="C18" s="11"/>
      <c r="D18" s="11"/>
      <c r="E18" s="11"/>
      <c r="F18" s="11"/>
      <c r="G18" s="11"/>
      <c r="H18" s="11"/>
    </row>
    <row r="19" spans="1:9" ht="15.75" x14ac:dyDescent="0.25">
      <c r="A19" s="32" t="s">
        <v>73</v>
      </c>
      <c r="B19" s="11"/>
      <c r="C19" s="15"/>
      <c r="D19" s="15"/>
      <c r="E19" s="15"/>
      <c r="F19" s="15"/>
      <c r="G19" s="15"/>
      <c r="H19" s="11"/>
    </row>
    <row r="20" spans="1:9" ht="15.75" x14ac:dyDescent="0.25">
      <c r="A20" s="33" t="s">
        <v>74</v>
      </c>
      <c r="B20" s="11"/>
      <c r="C20" s="15"/>
      <c r="D20" s="15"/>
      <c r="E20" s="15"/>
      <c r="F20" s="15"/>
      <c r="G20" s="15"/>
      <c r="H20" s="11"/>
    </row>
    <row r="21" spans="1:9" x14ac:dyDescent="0.25">
      <c r="A21" s="30" t="s">
        <v>76</v>
      </c>
      <c r="B21" s="15">
        <f>SUM(B22:B23)</f>
        <v>135690625</v>
      </c>
      <c r="C21" s="15">
        <f t="shared" ref="C21:I21" si="3">SUM(C22:C23)</f>
        <v>209394763</v>
      </c>
      <c r="D21" s="15">
        <f t="shared" si="3"/>
        <v>325150458</v>
      </c>
      <c r="E21" s="15">
        <f t="shared" si="3"/>
        <v>354713039</v>
      </c>
      <c r="F21" s="15">
        <f t="shared" si="3"/>
        <v>276334282</v>
      </c>
      <c r="G21" s="15">
        <f t="shared" si="3"/>
        <v>116845080</v>
      </c>
      <c r="H21" s="15">
        <f t="shared" si="3"/>
        <v>198815414</v>
      </c>
      <c r="I21" s="15">
        <f t="shared" si="3"/>
        <v>231661528</v>
      </c>
    </row>
    <row r="22" spans="1:9" x14ac:dyDescent="0.25">
      <c r="A22" s="4" t="s">
        <v>22</v>
      </c>
      <c r="B22" s="12">
        <v>135690625</v>
      </c>
      <c r="C22" s="12">
        <v>209394763</v>
      </c>
      <c r="D22" s="12">
        <v>325150458</v>
      </c>
      <c r="E22" s="12">
        <v>354713039</v>
      </c>
      <c r="F22" s="12">
        <v>276334282</v>
      </c>
      <c r="G22" s="12">
        <v>113430282</v>
      </c>
      <c r="H22" s="12">
        <f>192414334</f>
        <v>192414334</v>
      </c>
      <c r="I22" s="12">
        <v>221565690</v>
      </c>
    </row>
    <row r="23" spans="1:9" x14ac:dyDescent="0.25">
      <c r="A23" s="4" t="s">
        <v>9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3414798</v>
      </c>
      <c r="H23" s="12">
        <f>6401080</f>
        <v>6401080</v>
      </c>
      <c r="I23" s="12">
        <v>10095838</v>
      </c>
    </row>
    <row r="24" spans="1:9" x14ac:dyDescent="0.25">
      <c r="B24" s="11"/>
      <c r="C24" s="11"/>
      <c r="D24" s="11"/>
      <c r="E24" s="11"/>
      <c r="F24" s="11"/>
      <c r="G24" s="11"/>
      <c r="H24" s="11"/>
    </row>
    <row r="25" spans="1:9" x14ac:dyDescent="0.25">
      <c r="A25" s="30" t="s">
        <v>77</v>
      </c>
      <c r="B25" s="15">
        <f t="shared" ref="B25:I25" si="4">SUM(B26:B34)</f>
        <v>448179046</v>
      </c>
      <c r="C25" s="15">
        <f t="shared" si="4"/>
        <v>430374397</v>
      </c>
      <c r="D25" s="15">
        <f t="shared" si="4"/>
        <v>448487950</v>
      </c>
      <c r="E25" s="15">
        <f t="shared" si="4"/>
        <v>454449071</v>
      </c>
      <c r="F25" s="15">
        <f t="shared" si="4"/>
        <v>619092693</v>
      </c>
      <c r="G25" s="15">
        <f t="shared" si="4"/>
        <v>760301984</v>
      </c>
      <c r="H25" s="15">
        <f t="shared" si="4"/>
        <v>791622984</v>
      </c>
      <c r="I25" s="15">
        <f t="shared" si="4"/>
        <v>814650129</v>
      </c>
    </row>
    <row r="26" spans="1:9" x14ac:dyDescent="0.25">
      <c r="A26" t="s">
        <v>23</v>
      </c>
      <c r="B26" s="12">
        <v>409489464</v>
      </c>
      <c r="C26" s="12">
        <v>361582505</v>
      </c>
      <c r="D26" s="12">
        <v>371419511</v>
      </c>
      <c r="E26" s="12">
        <v>382244373</v>
      </c>
      <c r="F26" s="12">
        <v>496183758</v>
      </c>
      <c r="G26" s="12">
        <v>458864723</v>
      </c>
      <c r="H26" s="12">
        <f>438373898</f>
        <v>438373898</v>
      </c>
      <c r="I26" s="12">
        <v>436507867</v>
      </c>
    </row>
    <row r="27" spans="1:9" x14ac:dyDescent="0.25">
      <c r="A27" t="s">
        <v>24</v>
      </c>
      <c r="B27" s="12">
        <v>2872920</v>
      </c>
      <c r="C27" s="12">
        <v>3229682</v>
      </c>
      <c r="D27" s="12">
        <v>5316912</v>
      </c>
      <c r="E27" s="12">
        <v>3512604</v>
      </c>
      <c r="F27" s="12">
        <v>7065347</v>
      </c>
      <c r="G27" s="12">
        <v>5840082</v>
      </c>
      <c r="H27" s="12">
        <f>7182001</f>
        <v>7182001</v>
      </c>
      <c r="I27" s="12">
        <v>9490311</v>
      </c>
    </row>
    <row r="28" spans="1:9" x14ac:dyDescent="0.25">
      <c r="A28" t="s">
        <v>25</v>
      </c>
      <c r="B28" s="12">
        <v>19523875</v>
      </c>
      <c r="C28" s="12">
        <v>27505620</v>
      </c>
      <c r="D28" s="12">
        <v>34804363</v>
      </c>
      <c r="E28" s="12">
        <v>49351221</v>
      </c>
      <c r="F28" s="12">
        <v>62876226</v>
      </c>
      <c r="G28" s="12">
        <v>52185731</v>
      </c>
      <c r="H28" s="12">
        <f>72864688</f>
        <v>72864688</v>
      </c>
      <c r="I28" s="12">
        <v>70499269</v>
      </c>
    </row>
    <row r="29" spans="1:9" x14ac:dyDescent="0.25">
      <c r="A29" t="s">
        <v>44</v>
      </c>
      <c r="B29" s="12"/>
      <c r="C29" s="12"/>
      <c r="D29" s="12"/>
      <c r="E29" s="12"/>
      <c r="F29" s="12"/>
      <c r="G29" s="12"/>
      <c r="H29" s="12">
        <f>5548342</f>
        <v>5548342</v>
      </c>
      <c r="I29" s="12">
        <v>19630290</v>
      </c>
    </row>
    <row r="30" spans="1:9" x14ac:dyDescent="0.25">
      <c r="A30" t="s">
        <v>26</v>
      </c>
      <c r="B30" s="12">
        <v>3135379</v>
      </c>
      <c r="C30" s="12">
        <v>2930829</v>
      </c>
      <c r="D30" s="12">
        <v>0</v>
      </c>
      <c r="E30" s="12">
        <v>0</v>
      </c>
      <c r="F30" s="12">
        <v>0</v>
      </c>
      <c r="G30" s="12">
        <v>0</v>
      </c>
      <c r="H30" s="12"/>
    </row>
    <row r="31" spans="1:9" x14ac:dyDescent="0.25">
      <c r="A31" t="s">
        <v>27</v>
      </c>
      <c r="B31" s="12">
        <v>1689374</v>
      </c>
      <c r="C31" s="12">
        <v>1592747</v>
      </c>
      <c r="D31" s="12">
        <v>748028</v>
      </c>
      <c r="E31" s="12">
        <v>832351</v>
      </c>
      <c r="F31" s="12">
        <v>11274200</v>
      </c>
      <c r="G31" s="12">
        <v>4660447</v>
      </c>
      <c r="H31" s="12"/>
    </row>
    <row r="32" spans="1:9" x14ac:dyDescent="0.25">
      <c r="A32" t="s">
        <v>41</v>
      </c>
      <c r="B32" s="12">
        <v>0</v>
      </c>
      <c r="C32" s="12">
        <v>0</v>
      </c>
      <c r="D32" s="12">
        <v>0</v>
      </c>
      <c r="E32" s="12">
        <v>0</v>
      </c>
      <c r="F32" s="12">
        <v>35131516</v>
      </c>
      <c r="G32" s="12">
        <v>112904000</v>
      </c>
      <c r="H32" s="12">
        <f>114148000</f>
        <v>114148000</v>
      </c>
      <c r="I32" s="12">
        <v>117982827</v>
      </c>
    </row>
    <row r="33" spans="1:9" x14ac:dyDescent="0.25">
      <c r="A33" t="s">
        <v>15</v>
      </c>
      <c r="B33" s="12">
        <v>9628933</v>
      </c>
      <c r="C33" s="12">
        <v>31811050</v>
      </c>
      <c r="D33" s="12">
        <v>34060542</v>
      </c>
      <c r="E33" s="12">
        <v>16154531</v>
      </c>
      <c r="F33" s="12">
        <v>3951184</v>
      </c>
      <c r="G33" s="12">
        <v>125847001</v>
      </c>
      <c r="H33" s="12">
        <f>153506055</f>
        <v>153506055</v>
      </c>
      <c r="I33" s="12">
        <v>160539565</v>
      </c>
    </row>
    <row r="34" spans="1:9" x14ac:dyDescent="0.25">
      <c r="A34" t="s">
        <v>28</v>
      </c>
      <c r="B34" s="12">
        <v>1839101</v>
      </c>
      <c r="C34" s="12">
        <v>1721964</v>
      </c>
      <c r="D34" s="12">
        <v>2138594</v>
      </c>
      <c r="E34" s="12">
        <v>2353991</v>
      </c>
      <c r="F34" s="11">
        <v>2610462</v>
      </c>
      <c r="G34" s="12">
        <v>0</v>
      </c>
      <c r="H34" s="11"/>
    </row>
    <row r="35" spans="1:9" x14ac:dyDescent="0.25">
      <c r="B35" s="11"/>
      <c r="C35" s="11"/>
      <c r="D35" s="11"/>
      <c r="E35" s="11"/>
      <c r="F35" s="11"/>
      <c r="G35" s="11"/>
      <c r="H35" s="11"/>
    </row>
    <row r="36" spans="1:9" x14ac:dyDescent="0.25">
      <c r="A36" s="2"/>
      <c r="B36" s="15">
        <f t="shared" ref="B36:G36" si="5">SUM(B21,B25)</f>
        <v>583869671</v>
      </c>
      <c r="C36" s="15">
        <f t="shared" si="5"/>
        <v>639769160</v>
      </c>
      <c r="D36" s="15">
        <f t="shared" si="5"/>
        <v>773638408</v>
      </c>
      <c r="E36" s="15">
        <f t="shared" si="5"/>
        <v>809162110</v>
      </c>
      <c r="F36" s="15">
        <f t="shared" si="5"/>
        <v>895426975</v>
      </c>
      <c r="G36" s="15">
        <f t="shared" si="5"/>
        <v>877147064</v>
      </c>
      <c r="H36" s="15">
        <f>SUM(H21,H25)</f>
        <v>990438398</v>
      </c>
      <c r="I36" s="15">
        <f>SUM(I21,I25)</f>
        <v>1046311657</v>
      </c>
    </row>
    <row r="37" spans="1:9" x14ac:dyDescent="0.25">
      <c r="A37" s="2"/>
      <c r="B37" s="11"/>
      <c r="C37" s="11"/>
      <c r="D37" s="25"/>
      <c r="E37" s="11"/>
      <c r="F37" s="11"/>
      <c r="G37" s="11"/>
      <c r="H37" s="11"/>
    </row>
    <row r="38" spans="1:9" x14ac:dyDescent="0.25">
      <c r="A38" s="30" t="s">
        <v>75</v>
      </c>
      <c r="B38" s="15">
        <f t="shared" ref="B38:I38" si="6">SUM(B39:B41)</f>
        <v>149621183</v>
      </c>
      <c r="C38" s="15">
        <f t="shared" si="6"/>
        <v>158031817</v>
      </c>
      <c r="D38" s="15">
        <f t="shared" si="6"/>
        <v>173228270</v>
      </c>
      <c r="E38" s="15">
        <f t="shared" si="6"/>
        <v>204962240</v>
      </c>
      <c r="F38" s="15">
        <f t="shared" si="6"/>
        <v>243907874</v>
      </c>
      <c r="G38" s="15">
        <f t="shared" si="6"/>
        <v>279424438</v>
      </c>
      <c r="H38" s="15">
        <f t="shared" si="6"/>
        <v>314752824</v>
      </c>
      <c r="I38" s="15">
        <f t="shared" si="6"/>
        <v>333592601</v>
      </c>
    </row>
    <row r="39" spans="1:9" x14ac:dyDescent="0.25">
      <c r="A39" t="s">
        <v>8</v>
      </c>
      <c r="B39" s="11">
        <v>5500000</v>
      </c>
      <c r="C39" s="11">
        <v>5500000</v>
      </c>
      <c r="D39" s="11">
        <v>5500000</v>
      </c>
      <c r="E39" s="11">
        <v>5500000</v>
      </c>
      <c r="F39" s="11">
        <v>5500000</v>
      </c>
      <c r="G39" s="11">
        <v>5500000</v>
      </c>
      <c r="H39" s="12">
        <f>9900000</f>
        <v>9900000</v>
      </c>
      <c r="I39" s="12">
        <v>50490000</v>
      </c>
    </row>
    <row r="40" spans="1:9" x14ac:dyDescent="0.25">
      <c r="A40" t="s">
        <v>20</v>
      </c>
      <c r="B40" s="11">
        <v>701125</v>
      </c>
      <c r="C40" s="11">
        <v>701125</v>
      </c>
      <c r="D40" s="11">
        <v>0</v>
      </c>
      <c r="E40" s="11">
        <v>0</v>
      </c>
      <c r="F40" s="11">
        <v>0</v>
      </c>
      <c r="G40" s="11">
        <v>0</v>
      </c>
      <c r="H40" s="12"/>
    </row>
    <row r="41" spans="1:9" x14ac:dyDescent="0.25">
      <c r="A41" t="s">
        <v>21</v>
      </c>
      <c r="B41" s="11">
        <v>143420058</v>
      </c>
      <c r="C41" s="11">
        <v>151830692</v>
      </c>
      <c r="D41" s="11">
        <v>167728270</v>
      </c>
      <c r="E41" s="11">
        <v>199462240</v>
      </c>
      <c r="F41" s="11">
        <v>238407874</v>
      </c>
      <c r="G41" s="11">
        <v>273924438</v>
      </c>
      <c r="H41" s="12">
        <f>304852824</f>
        <v>304852824</v>
      </c>
      <c r="I41" s="12">
        <v>283102601</v>
      </c>
    </row>
    <row r="42" spans="1:9" x14ac:dyDescent="0.25">
      <c r="B42" s="11"/>
      <c r="C42" s="11"/>
      <c r="D42" s="11"/>
      <c r="E42" s="11"/>
      <c r="F42" s="11"/>
      <c r="G42" s="11"/>
      <c r="H42" s="11"/>
    </row>
    <row r="43" spans="1:9" x14ac:dyDescent="0.25">
      <c r="A43" s="2"/>
      <c r="B43" s="15">
        <f t="shared" ref="B43:I43" si="7">SUM(B38,B36)</f>
        <v>733490854</v>
      </c>
      <c r="C43" s="15">
        <f t="shared" si="7"/>
        <v>797800977</v>
      </c>
      <c r="D43" s="15">
        <f t="shared" si="7"/>
        <v>946866678</v>
      </c>
      <c r="E43" s="15">
        <f t="shared" si="7"/>
        <v>1014124350</v>
      </c>
      <c r="F43" s="15">
        <f t="shared" si="7"/>
        <v>1139334849</v>
      </c>
      <c r="G43" s="15">
        <f t="shared" si="7"/>
        <v>1156571502</v>
      </c>
      <c r="H43" s="15">
        <f t="shared" si="7"/>
        <v>1305191222</v>
      </c>
      <c r="I43" s="15">
        <f t="shared" si="7"/>
        <v>1379904258</v>
      </c>
    </row>
    <row r="44" spans="1:9" x14ac:dyDescent="0.25">
      <c r="B44" s="11"/>
      <c r="C44" s="11"/>
      <c r="D44" s="25"/>
      <c r="E44" s="11"/>
      <c r="F44" s="11"/>
      <c r="G44" s="11"/>
      <c r="H44" s="11"/>
    </row>
    <row r="45" spans="1:9" x14ac:dyDescent="0.25">
      <c r="A45" s="27" t="s">
        <v>78</v>
      </c>
      <c r="B45" s="7">
        <f t="shared" ref="B45:I45" si="8">B38/(B39/10)</f>
        <v>272.03851454545452</v>
      </c>
      <c r="C45" s="7">
        <f t="shared" si="8"/>
        <v>287.33057636363634</v>
      </c>
      <c r="D45" s="7">
        <f t="shared" si="8"/>
        <v>314.96049090909094</v>
      </c>
      <c r="E45" s="7">
        <f t="shared" si="8"/>
        <v>372.65861818181816</v>
      </c>
      <c r="F45" s="7">
        <f t="shared" si="8"/>
        <v>443.46886181818184</v>
      </c>
      <c r="G45" s="7">
        <f t="shared" si="8"/>
        <v>508.04443272727275</v>
      </c>
      <c r="H45" s="7">
        <f t="shared" si="8"/>
        <v>317.93214545454543</v>
      </c>
      <c r="I45" s="7">
        <f t="shared" si="8"/>
        <v>66.071024163200633</v>
      </c>
    </row>
    <row r="46" spans="1:9" x14ac:dyDescent="0.25">
      <c r="A46" s="27" t="s">
        <v>79</v>
      </c>
      <c r="B46" s="3">
        <f>B39/10</f>
        <v>550000</v>
      </c>
      <c r="C46" s="3">
        <f t="shared" ref="C46:I46" si="9">C39/10</f>
        <v>550000</v>
      </c>
      <c r="D46" s="3">
        <f t="shared" si="9"/>
        <v>550000</v>
      </c>
      <c r="E46" s="3">
        <f t="shared" si="9"/>
        <v>550000</v>
      </c>
      <c r="F46" s="3">
        <f t="shared" si="9"/>
        <v>550000</v>
      </c>
      <c r="G46" s="3">
        <f t="shared" si="9"/>
        <v>550000</v>
      </c>
      <c r="H46" s="3">
        <f>H39/10</f>
        <v>990000</v>
      </c>
      <c r="I46" s="3">
        <f t="shared" si="9"/>
        <v>5049000</v>
      </c>
    </row>
    <row r="48" spans="1:9" x14ac:dyDescent="0.25">
      <c r="I48" s="1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9"/>
  <sheetViews>
    <sheetView workbookViewId="0">
      <pane xSplit="1" ySplit="4" topLeftCell="E17" activePane="bottomRight" state="frozen"/>
      <selection pane="topRight" activeCell="B1" sqref="B1"/>
      <selection pane="bottomLeft" activeCell="A6" sqref="A6"/>
      <selection pane="bottomRight" activeCell="I24" sqref="I24"/>
    </sheetView>
  </sheetViews>
  <sheetFormatPr defaultRowHeight="15" x14ac:dyDescent="0.25"/>
  <cols>
    <col min="1" max="1" width="31.85546875" customWidth="1"/>
    <col min="2" max="8" width="14.28515625" bestFit="1" customWidth="1"/>
    <col min="9" max="9" width="19.5703125" customWidth="1"/>
    <col min="10" max="10" width="13.5703125" bestFit="1" customWidth="1"/>
  </cols>
  <sheetData>
    <row r="1" spans="1:17" x14ac:dyDescent="0.25">
      <c r="A1" s="2" t="s">
        <v>16</v>
      </c>
    </row>
    <row r="2" spans="1:17" x14ac:dyDescent="0.25">
      <c r="A2" s="29" t="s">
        <v>62</v>
      </c>
      <c r="B2" s="2"/>
    </row>
    <row r="3" spans="1:17" x14ac:dyDescent="0.25">
      <c r="A3" t="s">
        <v>50</v>
      </c>
    </row>
    <row r="4" spans="1:17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17" x14ac:dyDescent="0.25">
      <c r="A5" s="27" t="s">
        <v>63</v>
      </c>
      <c r="B5" s="16">
        <v>3010082759</v>
      </c>
      <c r="C5" s="16">
        <v>2944206574</v>
      </c>
      <c r="D5" s="16">
        <v>3548064511</v>
      </c>
      <c r="E5" s="16">
        <v>3940429027</v>
      </c>
      <c r="F5" s="16">
        <f>3631730674+1129725919</f>
        <v>4761456593</v>
      </c>
      <c r="G5" s="23">
        <v>3090336551</v>
      </c>
      <c r="H5" s="23">
        <f>3256769223</f>
        <v>3256769223</v>
      </c>
      <c r="I5" s="23">
        <v>3519775685</v>
      </c>
      <c r="J5" s="1"/>
    </row>
    <row r="6" spans="1:17" x14ac:dyDescent="0.25">
      <c r="A6" t="s">
        <v>64</v>
      </c>
      <c r="B6" s="17">
        <v>2864090352</v>
      </c>
      <c r="C6" s="17">
        <v>2776917403</v>
      </c>
      <c r="D6" s="17">
        <v>3311747185</v>
      </c>
      <c r="E6" s="17">
        <v>3689775096</v>
      </c>
      <c r="F6" s="17">
        <f>3422506207+1063139383</f>
        <v>4485645590</v>
      </c>
      <c r="G6" s="17">
        <v>2921499056</v>
      </c>
      <c r="H6" s="17">
        <f>3063696891</f>
        <v>3063696891</v>
      </c>
      <c r="I6" s="17">
        <v>3296658688</v>
      </c>
      <c r="J6" s="1"/>
      <c r="K6" s="1"/>
      <c r="L6" s="1"/>
      <c r="M6" s="1"/>
      <c r="N6" s="1"/>
      <c r="O6" s="1"/>
      <c r="P6" s="1"/>
      <c r="Q6" s="1">
        <f>-I6</f>
        <v>-3296658688</v>
      </c>
    </row>
    <row r="7" spans="1:17" x14ac:dyDescent="0.25">
      <c r="A7" s="27" t="s">
        <v>3</v>
      </c>
      <c r="B7" s="18">
        <f t="shared" ref="B7:G7" si="0">B5-B6</f>
        <v>145992407</v>
      </c>
      <c r="C7" s="18">
        <f t="shared" si="0"/>
        <v>167289171</v>
      </c>
      <c r="D7" s="18">
        <f t="shared" si="0"/>
        <v>236317326</v>
      </c>
      <c r="E7" s="18">
        <f t="shared" si="0"/>
        <v>250653931</v>
      </c>
      <c r="F7" s="18">
        <f t="shared" si="0"/>
        <v>275811003</v>
      </c>
      <c r="G7" s="18">
        <f t="shared" si="0"/>
        <v>168837495</v>
      </c>
      <c r="H7" s="18">
        <f t="shared" ref="H7:I7" si="1">H5-H6</f>
        <v>193072332</v>
      </c>
      <c r="I7" s="18">
        <f t="shared" si="1"/>
        <v>223116997</v>
      </c>
      <c r="J7" s="3"/>
      <c r="K7" s="3"/>
      <c r="L7" s="3"/>
      <c r="M7" s="3"/>
    </row>
    <row r="8" spans="1:17" x14ac:dyDescent="0.25">
      <c r="A8" s="29"/>
      <c r="B8" s="18"/>
      <c r="C8" s="18"/>
      <c r="D8" s="18"/>
      <c r="E8" s="18"/>
      <c r="F8" s="18"/>
      <c r="G8" s="19"/>
      <c r="H8" s="19"/>
      <c r="I8" s="19"/>
      <c r="J8" s="3"/>
    </row>
    <row r="9" spans="1:17" x14ac:dyDescent="0.25">
      <c r="A9" s="27" t="s">
        <v>65</v>
      </c>
      <c r="B9" s="20">
        <f t="shared" ref="B9:I9" si="2">SUM(B10:B11)</f>
        <v>89036288</v>
      </c>
      <c r="C9" s="20">
        <f t="shared" si="2"/>
        <v>101786875</v>
      </c>
      <c r="D9" s="20">
        <f t="shared" si="2"/>
        <v>143447662</v>
      </c>
      <c r="E9" s="20">
        <f t="shared" si="2"/>
        <v>149971253</v>
      </c>
      <c r="F9" s="20">
        <f t="shared" si="2"/>
        <v>158526287</v>
      </c>
      <c r="G9" s="20">
        <f t="shared" si="2"/>
        <v>101622375</v>
      </c>
      <c r="H9" s="20">
        <f t="shared" si="2"/>
        <v>104768295</v>
      </c>
      <c r="I9" s="20">
        <f t="shared" si="2"/>
        <v>110858087</v>
      </c>
      <c r="J9" s="1"/>
    </row>
    <row r="10" spans="1:17" x14ac:dyDescent="0.25">
      <c r="A10" s="4" t="s">
        <v>29</v>
      </c>
      <c r="B10" s="21">
        <v>65281472</v>
      </c>
      <c r="C10" s="21">
        <v>79209043</v>
      </c>
      <c r="D10" s="21">
        <v>95723128</v>
      </c>
      <c r="E10" s="21">
        <v>107051271</v>
      </c>
      <c r="F10" s="21">
        <f>81837675+38175986</f>
        <v>120013661</v>
      </c>
      <c r="G10" s="21">
        <v>66103231</v>
      </c>
      <c r="H10" s="21">
        <f>69744393</f>
        <v>69744393</v>
      </c>
      <c r="I10" s="21">
        <v>72988886</v>
      </c>
      <c r="J10" s="1"/>
      <c r="K10" s="1"/>
      <c r="L10" s="1"/>
      <c r="M10" s="1"/>
      <c r="N10" s="1"/>
      <c r="O10" s="1"/>
    </row>
    <row r="11" spans="1:17" x14ac:dyDescent="0.25">
      <c r="A11" s="4" t="s">
        <v>30</v>
      </c>
      <c r="B11" s="21">
        <v>23754816</v>
      </c>
      <c r="C11" s="21">
        <v>22577832</v>
      </c>
      <c r="D11" s="21">
        <v>47724534</v>
      </c>
      <c r="E11" s="21">
        <v>42919982</v>
      </c>
      <c r="F11" s="21">
        <f>32671996+5840630</f>
        <v>38512626</v>
      </c>
      <c r="G11" s="21">
        <v>35519144</v>
      </c>
      <c r="H11" s="21">
        <f>35023902</f>
        <v>35023902</v>
      </c>
      <c r="I11" s="21">
        <v>37869201</v>
      </c>
      <c r="J11" s="1"/>
      <c r="K11" s="1"/>
      <c r="L11" s="1"/>
      <c r="M11" s="1"/>
      <c r="N11" s="1"/>
      <c r="O11" s="1"/>
    </row>
    <row r="12" spans="1:17" x14ac:dyDescent="0.25">
      <c r="A12" s="2"/>
      <c r="B12" s="20"/>
      <c r="C12" s="20"/>
      <c r="D12" s="20"/>
      <c r="E12" s="20"/>
      <c r="F12" s="20"/>
      <c r="G12" s="20"/>
      <c r="H12" s="20"/>
      <c r="I12" s="20"/>
      <c r="J12" s="9"/>
    </row>
    <row r="13" spans="1:17" x14ac:dyDescent="0.25">
      <c r="A13" s="27" t="s">
        <v>4</v>
      </c>
      <c r="B13" s="22">
        <f t="shared" ref="B13:I13" si="3">B7-B9</f>
        <v>56956119</v>
      </c>
      <c r="C13" s="22">
        <f t="shared" si="3"/>
        <v>65502296</v>
      </c>
      <c r="D13" s="22">
        <f t="shared" si="3"/>
        <v>92869664</v>
      </c>
      <c r="E13" s="22">
        <f t="shared" si="3"/>
        <v>100682678</v>
      </c>
      <c r="F13" s="22">
        <f t="shared" si="3"/>
        <v>117284716</v>
      </c>
      <c r="G13" s="22">
        <f t="shared" si="3"/>
        <v>67215120</v>
      </c>
      <c r="H13" s="22">
        <f t="shared" si="3"/>
        <v>88304037</v>
      </c>
      <c r="I13" s="22">
        <f t="shared" si="3"/>
        <v>112258910</v>
      </c>
      <c r="J13" s="6"/>
    </row>
    <row r="14" spans="1:17" x14ac:dyDescent="0.25">
      <c r="A14" s="28" t="s">
        <v>66</v>
      </c>
      <c r="B14" s="19"/>
      <c r="C14" s="19"/>
      <c r="D14" s="19"/>
      <c r="E14" s="19"/>
      <c r="F14" s="19"/>
      <c r="G14" s="19"/>
      <c r="H14" s="19"/>
      <c r="I14" s="19"/>
      <c r="J14" s="6"/>
    </row>
    <row r="15" spans="1:17" x14ac:dyDescent="0.25">
      <c r="A15" s="4" t="s">
        <v>5</v>
      </c>
      <c r="B15" s="23">
        <v>19066119</v>
      </c>
      <c r="C15" s="23">
        <v>32082711</v>
      </c>
      <c r="D15" s="23">
        <v>50243903</v>
      </c>
      <c r="E15" s="23">
        <v>53533593</v>
      </c>
      <c r="F15" s="23">
        <f>42750989+8506855</f>
        <v>51257844</v>
      </c>
      <c r="G15" s="23">
        <v>33137891</v>
      </c>
      <c r="H15" s="23">
        <f>46827687</f>
        <v>46827687</v>
      </c>
      <c r="I15" s="23">
        <v>52836829</v>
      </c>
      <c r="J15" s="1"/>
      <c r="K15" s="1"/>
      <c r="L15" s="1"/>
      <c r="M15" s="1"/>
      <c r="N15" s="1"/>
      <c r="O15" s="1"/>
    </row>
    <row r="16" spans="1:17" x14ac:dyDescent="0.25">
      <c r="A16" s="4" t="s">
        <v>43</v>
      </c>
      <c r="B16" s="23"/>
      <c r="C16" s="23"/>
      <c r="D16" s="23"/>
      <c r="E16" s="23"/>
      <c r="F16" s="23">
        <v>2855902</v>
      </c>
      <c r="G16" s="23"/>
      <c r="H16" s="23">
        <f>2855902</f>
        <v>2855902</v>
      </c>
      <c r="I16" s="23">
        <v>4054148</v>
      </c>
      <c r="J16" s="1"/>
      <c r="K16" s="1"/>
      <c r="L16" s="1"/>
      <c r="M16" s="1"/>
      <c r="N16" s="1"/>
      <c r="O16" s="1"/>
    </row>
    <row r="17" spans="1:15" x14ac:dyDescent="0.25">
      <c r="A17" s="4" t="s">
        <v>13</v>
      </c>
      <c r="B17" s="23">
        <v>731111</v>
      </c>
      <c r="C17" s="23">
        <v>2741666</v>
      </c>
      <c r="D17" s="23">
        <v>2284722</v>
      </c>
      <c r="E17" s="23">
        <v>2284722</v>
      </c>
      <c r="F17" s="23">
        <v>0</v>
      </c>
      <c r="G17" s="23">
        <v>2855902</v>
      </c>
      <c r="H17" s="23"/>
      <c r="I17" s="23"/>
      <c r="J17" s="1"/>
    </row>
    <row r="18" spans="1:15" x14ac:dyDescent="0.25">
      <c r="A18" s="27" t="s">
        <v>67</v>
      </c>
      <c r="B18" s="22">
        <f>B13-B15+B17</f>
        <v>38621111</v>
      </c>
      <c r="C18" s="22">
        <f>C13-C15+C17</f>
        <v>36161251</v>
      </c>
      <c r="D18" s="22">
        <f>D13-D15+D17</f>
        <v>44910483</v>
      </c>
      <c r="E18" s="22">
        <f>E13-E15+E17</f>
        <v>49433807</v>
      </c>
      <c r="F18" s="22">
        <f>F13-F15+F16+F17</f>
        <v>68882774</v>
      </c>
      <c r="G18" s="22">
        <f t="shared" ref="G18:I18" si="4">G13-G15+G16+G17</f>
        <v>36933131</v>
      </c>
      <c r="H18" s="22">
        <f t="shared" si="4"/>
        <v>44332252</v>
      </c>
      <c r="I18" s="22">
        <f t="shared" si="4"/>
        <v>63476229</v>
      </c>
      <c r="J18" s="6"/>
    </row>
    <row r="19" spans="1:15" x14ac:dyDescent="0.25">
      <c r="A19" t="s">
        <v>14</v>
      </c>
      <c r="B19" s="23">
        <v>1839101</v>
      </c>
      <c r="C19" s="23">
        <v>1721964</v>
      </c>
      <c r="D19" s="23">
        <v>2138594</v>
      </c>
      <c r="E19" s="23">
        <v>2353991</v>
      </c>
      <c r="F19" s="23">
        <f>2610462+669670</f>
        <v>3280132</v>
      </c>
      <c r="G19" s="23">
        <v>0</v>
      </c>
      <c r="H19" s="23"/>
      <c r="I19" s="23">
        <v>1051359</v>
      </c>
      <c r="J19" s="6"/>
      <c r="K19" s="6"/>
      <c r="L19" s="6"/>
      <c r="M19" s="6"/>
      <c r="N19" s="6"/>
      <c r="O19" s="6"/>
    </row>
    <row r="20" spans="1:15" x14ac:dyDescent="0.25">
      <c r="A20" s="27" t="s">
        <v>68</v>
      </c>
      <c r="B20" s="19">
        <f t="shared" ref="B20:F20" si="5">B18-B19</f>
        <v>36782010</v>
      </c>
      <c r="C20" s="19">
        <f t="shared" si="5"/>
        <v>34439287</v>
      </c>
      <c r="D20" s="19">
        <f t="shared" si="5"/>
        <v>42771889</v>
      </c>
      <c r="E20" s="19">
        <f t="shared" si="5"/>
        <v>47079816</v>
      </c>
      <c r="F20" s="19">
        <f t="shared" si="5"/>
        <v>65602642</v>
      </c>
      <c r="G20" s="19">
        <f t="shared" ref="G20" si="6">G18-G19</f>
        <v>36933131</v>
      </c>
      <c r="H20" s="19">
        <f t="shared" ref="H20:I20" si="7">H18-H19</f>
        <v>44332252</v>
      </c>
      <c r="I20" s="19">
        <f t="shared" si="7"/>
        <v>62424870</v>
      </c>
      <c r="J20" s="6"/>
    </row>
    <row r="21" spans="1:15" x14ac:dyDescent="0.25">
      <c r="A21" s="30" t="s">
        <v>69</v>
      </c>
      <c r="B21" s="19">
        <f t="shared" ref="B21:I21" si="8">SUM(B22:B23)</f>
        <v>-18060496</v>
      </c>
      <c r="C21" s="19">
        <f t="shared" si="8"/>
        <v>-23553653</v>
      </c>
      <c r="D21" s="19">
        <f t="shared" si="8"/>
        <v>-28384516</v>
      </c>
      <c r="E21" s="19">
        <f t="shared" si="8"/>
        <v>-12664141</v>
      </c>
      <c r="F21" s="19">
        <f t="shared" si="8"/>
        <v>-13120528</v>
      </c>
      <c r="G21" s="19">
        <f t="shared" si="8"/>
        <v>-8075245</v>
      </c>
      <c r="H21" s="19">
        <f t="shared" si="8"/>
        <v>-8534624</v>
      </c>
      <c r="I21" s="19">
        <f t="shared" si="8"/>
        <v>-23325048</v>
      </c>
      <c r="J21" s="6"/>
    </row>
    <row r="22" spans="1:15" x14ac:dyDescent="0.25">
      <c r="A22" s="8" t="s">
        <v>10</v>
      </c>
      <c r="B22" s="23">
        <v>-18060496</v>
      </c>
      <c r="C22" s="23">
        <v>-23553653</v>
      </c>
      <c r="D22" s="23">
        <v>-28384516</v>
      </c>
      <c r="E22" s="23">
        <v>-12664141</v>
      </c>
      <c r="F22" s="23">
        <f>-10441849-2678679</f>
        <v>-13120528</v>
      </c>
      <c r="G22" s="23">
        <v>-4660447</v>
      </c>
      <c r="H22" s="23">
        <f>-5548342</f>
        <v>-5548342</v>
      </c>
      <c r="I22" s="23">
        <v>-19630290</v>
      </c>
    </row>
    <row r="23" spans="1:15" x14ac:dyDescent="0.25">
      <c r="A23" s="8" t="s">
        <v>11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-3414798</v>
      </c>
      <c r="H23" s="23">
        <f>-2986282</f>
        <v>-2986282</v>
      </c>
      <c r="I23" s="23">
        <v>-3694758</v>
      </c>
    </row>
    <row r="24" spans="1:15" x14ac:dyDescent="0.25">
      <c r="A24" s="27" t="s">
        <v>70</v>
      </c>
      <c r="B24" s="24">
        <f t="shared" ref="B24:G24" si="9">SUM(B20:B21)</f>
        <v>18721514</v>
      </c>
      <c r="C24" s="24">
        <f t="shared" si="9"/>
        <v>10885634</v>
      </c>
      <c r="D24" s="24">
        <f t="shared" si="9"/>
        <v>14387373</v>
      </c>
      <c r="E24" s="24">
        <f t="shared" si="9"/>
        <v>34415675</v>
      </c>
      <c r="F24" s="24">
        <f t="shared" si="9"/>
        <v>52482114</v>
      </c>
      <c r="G24" s="24">
        <f t="shared" si="9"/>
        <v>28857886</v>
      </c>
      <c r="H24" s="24">
        <f>SUM(H20:H21)</f>
        <v>35797628</v>
      </c>
      <c r="I24" s="24">
        <f>SUM(I20:I21)</f>
        <v>39099822</v>
      </c>
      <c r="J24" s="6"/>
    </row>
    <row r="25" spans="1:15" x14ac:dyDescent="0.25">
      <c r="A25" s="2"/>
      <c r="B25" s="19"/>
      <c r="C25" s="19"/>
      <c r="D25" s="19"/>
      <c r="E25" s="19"/>
      <c r="F25" s="19"/>
      <c r="G25" s="19"/>
      <c r="H25" s="19"/>
      <c r="I25" s="19"/>
    </row>
    <row r="26" spans="1:15" x14ac:dyDescent="0.25">
      <c r="A26" s="27" t="s">
        <v>71</v>
      </c>
      <c r="B26" s="10">
        <f>B24/('1'!B39/10)</f>
        <v>34.039116363636367</v>
      </c>
      <c r="C26" s="10">
        <f>C24/('1'!C39/10)</f>
        <v>19.792061818181818</v>
      </c>
      <c r="D26" s="10">
        <f>D24/('1'!D39/10)</f>
        <v>26.158860000000001</v>
      </c>
      <c r="E26" s="10">
        <f>E24/('1'!E39/10)</f>
        <v>62.573954545454548</v>
      </c>
      <c r="F26" s="10">
        <f>F24/('1'!F39/10)</f>
        <v>95.422025454545448</v>
      </c>
      <c r="G26" s="10">
        <f>G24/('1'!G39/10)</f>
        <v>52.468883636363636</v>
      </c>
      <c r="H26" s="10">
        <f>H24/('1'!H39/10)</f>
        <v>36.159220202020201</v>
      </c>
      <c r="I26" s="10">
        <f>I24/('1'!I39/10)</f>
        <v>7.7440724896019013</v>
      </c>
      <c r="J26" s="2"/>
    </row>
    <row r="27" spans="1:15" x14ac:dyDescent="0.25">
      <c r="A27" s="28" t="s">
        <v>72</v>
      </c>
      <c r="B27" s="11">
        <f>'1'!B39/10</f>
        <v>550000</v>
      </c>
      <c r="C27" s="11">
        <f>'1'!C39/10</f>
        <v>550000</v>
      </c>
      <c r="D27" s="11">
        <f>'1'!D39/10</f>
        <v>550000</v>
      </c>
      <c r="E27" s="11">
        <f>'1'!E39/10</f>
        <v>550000</v>
      </c>
      <c r="F27" s="11">
        <f>'1'!F39/10</f>
        <v>550000</v>
      </c>
      <c r="G27" s="11">
        <f>'1'!G39/10</f>
        <v>550000</v>
      </c>
      <c r="H27" s="11">
        <f>'1'!H39/10</f>
        <v>990000</v>
      </c>
      <c r="I27" s="11">
        <f>'1'!I39/10</f>
        <v>5049000</v>
      </c>
    </row>
    <row r="30" spans="1:15" x14ac:dyDescent="0.25">
      <c r="F30" s="1"/>
      <c r="G30" s="1"/>
    </row>
    <row r="31" spans="1:15" x14ac:dyDescent="0.25">
      <c r="F31" s="1"/>
    </row>
    <row r="47" spans="2:2" x14ac:dyDescent="0.25">
      <c r="B47" s="5"/>
    </row>
    <row r="49" spans="1:1" x14ac:dyDescent="0.25">
      <c r="A4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0"/>
  <sheetViews>
    <sheetView tabSelected="1" workbookViewId="0">
      <pane xSplit="1" ySplit="4" topLeftCell="G5" activePane="bottomRight" state="frozen"/>
      <selection pane="topRight" activeCell="B1" sqref="B1"/>
      <selection pane="bottomLeft" activeCell="A6" sqref="A6"/>
      <selection pane="bottomRight" activeCell="O19" sqref="O19"/>
    </sheetView>
  </sheetViews>
  <sheetFormatPr defaultRowHeight="15" x14ac:dyDescent="0.25"/>
  <cols>
    <col min="1" max="1" width="39.28515625" customWidth="1"/>
    <col min="2" max="8" width="15" bestFit="1" customWidth="1"/>
    <col min="9" max="9" width="19" customWidth="1"/>
    <col min="10" max="10" width="9.28515625" bestFit="1" customWidth="1"/>
  </cols>
  <sheetData>
    <row r="1" spans="1:10" x14ac:dyDescent="0.25">
      <c r="A1" s="2" t="s">
        <v>16</v>
      </c>
    </row>
    <row r="2" spans="1:10" x14ac:dyDescent="0.25">
      <c r="A2" s="29" t="s">
        <v>81</v>
      </c>
      <c r="B2" s="2"/>
    </row>
    <row r="3" spans="1:10" x14ac:dyDescent="0.25">
      <c r="A3" t="s">
        <v>50</v>
      </c>
    </row>
    <row r="4" spans="1:10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10" x14ac:dyDescent="0.25">
      <c r="A5" s="27" t="s">
        <v>54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5">
      <c r="A6" t="s">
        <v>31</v>
      </c>
      <c r="B6" s="11">
        <v>2962087452</v>
      </c>
      <c r="C6" s="11">
        <v>2960628741</v>
      </c>
      <c r="D6" s="11">
        <v>3577805932</v>
      </c>
      <c r="E6" s="11">
        <v>3925389466</v>
      </c>
      <c r="F6" s="11">
        <v>3634586576</v>
      </c>
      <c r="G6" s="11">
        <v>3093192453</v>
      </c>
      <c r="H6" s="11">
        <f>3259625125</f>
        <v>3259625125</v>
      </c>
      <c r="I6" s="11">
        <v>3523829833</v>
      </c>
      <c r="J6" s="11"/>
    </row>
    <row r="7" spans="1:10" x14ac:dyDescent="0.25">
      <c r="A7" s="4" t="s">
        <v>32</v>
      </c>
      <c r="B7" s="12">
        <v>-2852802469</v>
      </c>
      <c r="C7" s="12">
        <v>-2820292838</v>
      </c>
      <c r="D7" s="12">
        <v>-3399803152</v>
      </c>
      <c r="E7" s="12">
        <v>-3680771662</v>
      </c>
      <c r="F7" s="12">
        <v>-3532255337</v>
      </c>
      <c r="G7" s="12">
        <v>-3010865204</v>
      </c>
      <c r="H7" s="11">
        <f>-3176864330</f>
        <v>-3176864330</v>
      </c>
      <c r="I7" s="11">
        <v>-3506270349</v>
      </c>
      <c r="J7" s="11"/>
    </row>
    <row r="8" spans="1:10" x14ac:dyDescent="0.25">
      <c r="A8" t="s">
        <v>33</v>
      </c>
      <c r="B8" s="12">
        <v>-19066119</v>
      </c>
      <c r="C8" s="12">
        <v>-32082711</v>
      </c>
      <c r="D8" s="12">
        <v>-50243903</v>
      </c>
      <c r="E8" s="12">
        <v>-53533593</v>
      </c>
      <c r="F8" s="12">
        <v>-42750989</v>
      </c>
      <c r="G8" s="12">
        <v>-33137891</v>
      </c>
      <c r="H8" s="11"/>
      <c r="I8" s="11"/>
      <c r="J8" s="11"/>
    </row>
    <row r="9" spans="1:10" x14ac:dyDescent="0.25">
      <c r="A9" s="4" t="s">
        <v>12</v>
      </c>
      <c r="B9" s="12">
        <v>-16844992</v>
      </c>
      <c r="C9" s="12">
        <v>-23650280</v>
      </c>
      <c r="D9" s="12">
        <v>-29229235</v>
      </c>
      <c r="E9" s="12">
        <v>-12579818</v>
      </c>
      <c r="F9" s="12">
        <v>0</v>
      </c>
      <c r="G9" s="12">
        <v>0</v>
      </c>
      <c r="H9" s="11"/>
      <c r="I9" s="11"/>
      <c r="J9" s="11"/>
    </row>
    <row r="10" spans="1:10" x14ac:dyDescent="0.25">
      <c r="A10" s="2"/>
      <c r="B10" s="13">
        <f t="shared" ref="B10:G10" si="0">SUM(B6:B9)</f>
        <v>73373872</v>
      </c>
      <c r="C10" s="13">
        <f t="shared" si="0"/>
        <v>84602912</v>
      </c>
      <c r="D10" s="13">
        <f t="shared" si="0"/>
        <v>98529642</v>
      </c>
      <c r="E10" s="13">
        <f t="shared" si="0"/>
        <v>178504393</v>
      </c>
      <c r="F10" s="13">
        <f t="shared" si="0"/>
        <v>59580250</v>
      </c>
      <c r="G10" s="13">
        <f t="shared" si="0"/>
        <v>49189358</v>
      </c>
      <c r="H10" s="13">
        <f>SUM(H6:H9)</f>
        <v>82760795</v>
      </c>
      <c r="I10" s="13">
        <f>SUM(I6:I9)</f>
        <v>17559484</v>
      </c>
      <c r="J10" s="13"/>
    </row>
    <row r="11" spans="1:10" x14ac:dyDescent="0.25"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5">
      <c r="A12" s="27" t="s">
        <v>55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x14ac:dyDescent="0.25">
      <c r="A13" s="4" t="s">
        <v>34</v>
      </c>
      <c r="B13" s="12">
        <v>-60038087</v>
      </c>
      <c r="C13" s="12">
        <v>-107371152</v>
      </c>
      <c r="D13" s="12">
        <v>-193392373</v>
      </c>
      <c r="E13" s="12">
        <v>-119121841</v>
      </c>
      <c r="F13" s="12">
        <v>-32450255</v>
      </c>
      <c r="G13" s="12">
        <v>-43026621</v>
      </c>
      <c r="H13" s="11">
        <f>-145771412</f>
        <v>-145771412</v>
      </c>
      <c r="I13" s="11">
        <v>-8605957</v>
      </c>
      <c r="J13" s="11"/>
    </row>
    <row r="14" spans="1:10" x14ac:dyDescent="0.25">
      <c r="A14" s="4" t="s">
        <v>39</v>
      </c>
      <c r="B14" s="12">
        <v>0</v>
      </c>
      <c r="C14" s="12">
        <v>0</v>
      </c>
      <c r="D14" s="12">
        <v>2284722</v>
      </c>
      <c r="E14" s="12">
        <v>2284722</v>
      </c>
      <c r="F14" s="12">
        <v>0</v>
      </c>
      <c r="G14" s="12">
        <v>0</v>
      </c>
      <c r="H14" s="11"/>
      <c r="I14" s="11"/>
      <c r="J14" s="11"/>
    </row>
    <row r="15" spans="1:10" x14ac:dyDescent="0.25">
      <c r="A15" s="2"/>
      <c r="B15" s="13">
        <f>SUM(B13:B14)</f>
        <v>-60038087</v>
      </c>
      <c r="C15" s="13">
        <f t="shared" ref="C15:I15" si="1">SUM(C13:C14)</f>
        <v>-107371152</v>
      </c>
      <c r="D15" s="13">
        <f t="shared" si="1"/>
        <v>-191107651</v>
      </c>
      <c r="E15" s="13">
        <f t="shared" si="1"/>
        <v>-116837119</v>
      </c>
      <c r="F15" s="13">
        <f t="shared" si="1"/>
        <v>-32450255</v>
      </c>
      <c r="G15" s="13">
        <f t="shared" si="1"/>
        <v>-43026621</v>
      </c>
      <c r="H15" s="13">
        <f t="shared" si="1"/>
        <v>-145771412</v>
      </c>
      <c r="I15" s="13">
        <f t="shared" si="1"/>
        <v>-8605957</v>
      </c>
      <c r="J15" s="13"/>
    </row>
    <row r="16" spans="1:10" x14ac:dyDescent="0.25">
      <c r="B16" s="11"/>
      <c r="C16" s="11"/>
      <c r="D16" s="11"/>
      <c r="E16" s="11"/>
      <c r="F16" s="11"/>
      <c r="G16" s="11"/>
      <c r="H16" s="11"/>
      <c r="I16" s="11"/>
      <c r="J16" s="11"/>
    </row>
    <row r="17" spans="1:10" x14ac:dyDescent="0.25">
      <c r="A17" s="27" t="s">
        <v>56</v>
      </c>
      <c r="B17" s="11"/>
      <c r="C17" s="11"/>
      <c r="D17" s="11"/>
      <c r="E17" s="11"/>
      <c r="F17" s="11"/>
      <c r="G17" s="11"/>
      <c r="H17" s="11"/>
      <c r="I17" s="11"/>
      <c r="J17" s="11"/>
    </row>
    <row r="18" spans="1:10" x14ac:dyDescent="0.25">
      <c r="A18" s="4" t="s">
        <v>35</v>
      </c>
      <c r="B18" s="12">
        <v>-50856000</v>
      </c>
      <c r="C18" s="12">
        <v>-57279992</v>
      </c>
      <c r="D18" s="12">
        <v>-94875000</v>
      </c>
      <c r="E18" s="12">
        <v>-111445000</v>
      </c>
      <c r="F18" s="12">
        <v>-43247241</v>
      </c>
      <c r="G18" s="12">
        <v>-163794700</v>
      </c>
      <c r="H18" s="11">
        <f>78984052</f>
        <v>78984052</v>
      </c>
      <c r="I18" s="11">
        <v>29151356</v>
      </c>
      <c r="J18" s="11"/>
    </row>
    <row r="19" spans="1:10" x14ac:dyDescent="0.25">
      <c r="A19" s="4" t="s">
        <v>42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95783592</v>
      </c>
      <c r="H19" s="11">
        <f>1244000</f>
        <v>1244000</v>
      </c>
      <c r="I19" s="11">
        <v>3834827</v>
      </c>
      <c r="J19" s="11"/>
    </row>
    <row r="20" spans="1:10" x14ac:dyDescent="0.25">
      <c r="A20" t="s">
        <v>33</v>
      </c>
      <c r="B20" s="12"/>
      <c r="C20" s="12"/>
      <c r="D20" s="12"/>
      <c r="E20" s="12"/>
      <c r="F20" s="12"/>
      <c r="G20" s="12"/>
      <c r="H20" s="11">
        <f>-46827687</f>
        <v>-46827687</v>
      </c>
      <c r="I20" s="11">
        <v>-52836829</v>
      </c>
      <c r="J20" s="11"/>
    </row>
    <row r="21" spans="1:10" x14ac:dyDescent="0.25">
      <c r="A21" s="4" t="s">
        <v>36</v>
      </c>
      <c r="B21" s="12">
        <v>54500000</v>
      </c>
      <c r="C21" s="12">
        <v>103582307</v>
      </c>
      <c r="D21" s="12">
        <v>164816814</v>
      </c>
      <c r="E21" s="12">
        <v>91706719</v>
      </c>
      <c r="F21" s="12">
        <v>-12203347</v>
      </c>
      <c r="G21" s="12">
        <v>24318722</v>
      </c>
      <c r="H21" s="11">
        <f>27659054</f>
        <v>27659054</v>
      </c>
      <c r="I21" s="11">
        <v>7033510</v>
      </c>
      <c r="J21" s="11"/>
    </row>
    <row r="22" spans="1:10" x14ac:dyDescent="0.25">
      <c r="A22" s="4" t="s">
        <v>37</v>
      </c>
      <c r="B22" s="12">
        <v>-2677471</v>
      </c>
      <c r="C22" s="12">
        <v>-2679550</v>
      </c>
      <c r="D22" s="12">
        <v>-2121749</v>
      </c>
      <c r="E22" s="12">
        <v>-2681705</v>
      </c>
      <c r="F22" s="12">
        <v>-2821764</v>
      </c>
      <c r="G22" s="12">
        <v>-4056038</v>
      </c>
      <c r="H22" s="11">
        <f>-469242</f>
        <v>-469242</v>
      </c>
      <c r="I22" s="11"/>
      <c r="J22" s="11"/>
    </row>
    <row r="23" spans="1:10" x14ac:dyDescent="0.25">
      <c r="A23" s="2"/>
      <c r="B23" s="14">
        <f t="shared" ref="B23:G23" si="2">SUM(B18:B22)</f>
        <v>966529</v>
      </c>
      <c r="C23" s="14">
        <f t="shared" si="2"/>
        <v>43622765</v>
      </c>
      <c r="D23" s="14">
        <f t="shared" si="2"/>
        <v>67820065</v>
      </c>
      <c r="E23" s="14">
        <f t="shared" si="2"/>
        <v>-22419986</v>
      </c>
      <c r="F23" s="14">
        <f>SUM(F18:F22)</f>
        <v>-58272352</v>
      </c>
      <c r="G23" s="14">
        <f t="shared" si="2"/>
        <v>-47748424</v>
      </c>
      <c r="H23" s="14">
        <f>SUM(H18:H22)</f>
        <v>60590177</v>
      </c>
      <c r="I23" s="14">
        <f>SUM(I18:I22)</f>
        <v>-12817136</v>
      </c>
      <c r="J23" s="14"/>
    </row>
    <row r="24" spans="1:10" x14ac:dyDescent="0.25">
      <c r="B24" s="11"/>
      <c r="C24" s="11"/>
      <c r="D24" s="11"/>
      <c r="E24" s="11"/>
      <c r="F24" s="11"/>
      <c r="G24" s="11"/>
      <c r="H24" s="11"/>
      <c r="I24" s="11"/>
      <c r="J24" s="11"/>
    </row>
    <row r="25" spans="1:10" x14ac:dyDescent="0.25">
      <c r="A25" s="2" t="s">
        <v>57</v>
      </c>
      <c r="B25" s="15">
        <f t="shared" ref="B25:G25" si="3">SUM(B10,B15,B23)</f>
        <v>14302314</v>
      </c>
      <c r="C25" s="15">
        <f t="shared" si="3"/>
        <v>20854525</v>
      </c>
      <c r="D25" s="15">
        <f t="shared" si="3"/>
        <v>-24757944</v>
      </c>
      <c r="E25" s="15">
        <f t="shared" si="3"/>
        <v>39247288</v>
      </c>
      <c r="F25" s="15">
        <f t="shared" si="3"/>
        <v>-31142357</v>
      </c>
      <c r="G25" s="15">
        <f t="shared" si="3"/>
        <v>-41585687</v>
      </c>
      <c r="H25" s="15">
        <f>SUM(H10,H15,H23)</f>
        <v>-2420440</v>
      </c>
      <c r="I25" s="15">
        <f>SUM(I10,I15,I23)</f>
        <v>-3863609</v>
      </c>
      <c r="J25" s="15"/>
    </row>
    <row r="26" spans="1:10" x14ac:dyDescent="0.25">
      <c r="A26" s="28" t="s">
        <v>58</v>
      </c>
      <c r="B26" s="11">
        <v>7131479</v>
      </c>
      <c r="C26" s="11">
        <v>21433793</v>
      </c>
      <c r="D26" s="11">
        <v>42288318</v>
      </c>
      <c r="E26" s="12">
        <v>17530374</v>
      </c>
      <c r="F26" s="12">
        <v>56777662</v>
      </c>
      <c r="G26" s="11">
        <v>60644415</v>
      </c>
      <c r="H26" s="11">
        <f>19058728</f>
        <v>19058728</v>
      </c>
      <c r="I26" s="11">
        <v>16638288</v>
      </c>
      <c r="J26" s="11"/>
    </row>
    <row r="27" spans="1:10" x14ac:dyDescent="0.25">
      <c r="A27" s="27" t="s">
        <v>59</v>
      </c>
      <c r="B27" s="15">
        <f t="shared" ref="B27:G27" si="4">SUM(B25:B26)</f>
        <v>21433793</v>
      </c>
      <c r="C27" s="15">
        <f t="shared" si="4"/>
        <v>42288318</v>
      </c>
      <c r="D27" s="15">
        <f t="shared" si="4"/>
        <v>17530374</v>
      </c>
      <c r="E27" s="15">
        <f t="shared" si="4"/>
        <v>56777662</v>
      </c>
      <c r="F27" s="15">
        <f t="shared" si="4"/>
        <v>25635305</v>
      </c>
      <c r="G27" s="15">
        <f t="shared" si="4"/>
        <v>19058728</v>
      </c>
      <c r="H27" s="15">
        <f>SUM(H25:H26)</f>
        <v>16638288</v>
      </c>
      <c r="I27" s="15">
        <f>SUM(I25:I26)</f>
        <v>12774679</v>
      </c>
      <c r="J27" s="15"/>
    </row>
    <row r="28" spans="1:10" x14ac:dyDescent="0.25">
      <c r="B28" s="15"/>
      <c r="C28" s="15"/>
      <c r="D28" s="15"/>
      <c r="E28" s="15"/>
      <c r="F28" s="15"/>
      <c r="G28" s="15"/>
      <c r="H28" s="11"/>
      <c r="I28" s="11"/>
      <c r="J28" s="11"/>
    </row>
    <row r="29" spans="1:10" x14ac:dyDescent="0.25">
      <c r="A29" s="27" t="s">
        <v>60</v>
      </c>
      <c r="B29" s="10">
        <f>B10/('1'!B39/10)</f>
        <v>133.40703999999999</v>
      </c>
      <c r="C29" s="10">
        <f>C10/('1'!C39/10)</f>
        <v>153.82347636363636</v>
      </c>
      <c r="D29" s="10">
        <f>D10/('1'!D39/10)</f>
        <v>179.14480363636363</v>
      </c>
      <c r="E29" s="10">
        <f>E10/('1'!E39/10)</f>
        <v>324.5534418181818</v>
      </c>
      <c r="F29" s="10">
        <f>F10/('1'!F39/10)</f>
        <v>108.32772727272727</v>
      </c>
      <c r="G29" s="10">
        <f>G10/('1'!G39/10)</f>
        <v>89.435196363636365</v>
      </c>
      <c r="H29" s="10">
        <f>H10/('1'!H39/10)</f>
        <v>83.596762626262631</v>
      </c>
      <c r="I29" s="10">
        <f>I10/('1'!I39/10)</f>
        <v>3.4778142206377503</v>
      </c>
      <c r="J29" s="10"/>
    </row>
    <row r="30" spans="1:10" x14ac:dyDescent="0.25">
      <c r="A30" s="27" t="s">
        <v>61</v>
      </c>
      <c r="B30" s="11">
        <f>'1'!B39/10</f>
        <v>550000</v>
      </c>
      <c r="C30" s="11">
        <f>'1'!C39/10</f>
        <v>550000</v>
      </c>
      <c r="D30" s="11">
        <f>'1'!D39/10</f>
        <v>550000</v>
      </c>
      <c r="E30" s="11">
        <f>'1'!E39/10</f>
        <v>550000</v>
      </c>
      <c r="F30" s="11">
        <f>'1'!F39/10</f>
        <v>550000</v>
      </c>
      <c r="G30" s="11">
        <f>'1'!G39/10</f>
        <v>550000</v>
      </c>
      <c r="H30" s="11">
        <f>'1'!H39/10</f>
        <v>990000</v>
      </c>
      <c r="I30" s="11">
        <f>'1'!I39/10</f>
        <v>5049000</v>
      </c>
      <c r="J30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23" sqref="C23"/>
    </sheetView>
  </sheetViews>
  <sheetFormatPr defaultRowHeight="15" x14ac:dyDescent="0.25"/>
  <cols>
    <col min="1" max="1" width="16.5703125" bestFit="1" customWidth="1"/>
  </cols>
  <sheetData>
    <row r="1" spans="1:8" x14ac:dyDescent="0.25">
      <c r="A1" s="2" t="s">
        <v>16</v>
      </c>
    </row>
    <row r="2" spans="1:8" x14ac:dyDescent="0.25">
      <c r="A2" s="2" t="s">
        <v>45</v>
      </c>
      <c r="B2" s="2"/>
    </row>
    <row r="3" spans="1:8" x14ac:dyDescent="0.25">
      <c r="A3" t="s">
        <v>50</v>
      </c>
    </row>
    <row r="4" spans="1:8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t="s">
        <v>51</v>
      </c>
      <c r="B5" s="26">
        <f>'2'!B24/'1'!B17</f>
        <v>2.5523854725528726E-2</v>
      </c>
      <c r="C5" s="26">
        <f>'2'!C24/'1'!C17</f>
        <v>1.3644548344542828E-2</v>
      </c>
      <c r="D5" s="26">
        <f>'2'!D24/'1'!D17</f>
        <v>1.5194718891565007E-2</v>
      </c>
      <c r="E5" s="26">
        <f>'2'!E24/'1'!E17</f>
        <v>3.3936346168988052E-2</v>
      </c>
      <c r="F5" s="26">
        <f>'2'!F24/'1'!F17</f>
        <v>4.6063818767646598E-2</v>
      </c>
      <c r="G5" s="26">
        <f>'2'!G24/'1'!G17</f>
        <v>2.4951233840793702E-2</v>
      </c>
      <c r="H5" s="26">
        <f>'2'!H24/'1'!H17</f>
        <v>2.7427113664728584E-2</v>
      </c>
    </row>
    <row r="6" spans="1:8" x14ac:dyDescent="0.25">
      <c r="A6" t="s">
        <v>52</v>
      </c>
      <c r="B6" s="26">
        <f>'2'!B24/'1'!B38</f>
        <v>0.12512609260682026</v>
      </c>
      <c r="C6" s="26">
        <f>'2'!C24/'1'!C38</f>
        <v>6.8882546607687237E-2</v>
      </c>
      <c r="D6" s="26">
        <f>'2'!D24/'1'!D38</f>
        <v>8.3054417157199578E-2</v>
      </c>
      <c r="E6" s="26">
        <f>'2'!E24/'1'!E38</f>
        <v>0.16791227008447995</v>
      </c>
      <c r="F6" s="26">
        <f>'2'!F24/'1'!F38</f>
        <v>0.21517187263909324</v>
      </c>
      <c r="G6" s="26">
        <f>'2'!G24/'1'!G38</f>
        <v>0.10327617085517767</v>
      </c>
      <c r="H6" s="26">
        <f>'2'!H24/'1'!H38</f>
        <v>0.11373250776615748</v>
      </c>
    </row>
    <row r="7" spans="1:8" x14ac:dyDescent="0.25">
      <c r="A7" t="s">
        <v>46</v>
      </c>
      <c r="B7" s="26">
        <f>'1'!B22/'1'!B38</f>
        <v>0.90689448030898134</v>
      </c>
      <c r="C7" s="26">
        <f>'1'!C22/'1'!C38</f>
        <v>1.3250164870280521</v>
      </c>
      <c r="D7" s="26">
        <f>'1'!D22/'1'!D38</f>
        <v>1.8770057450784448</v>
      </c>
      <c r="E7" s="26">
        <f>'1'!E22/'1'!E38</f>
        <v>1.7306262802358132</v>
      </c>
      <c r="F7" s="26">
        <f>'1'!F22/'1'!F38</f>
        <v>1.1329453103264719</v>
      </c>
      <c r="G7" s="26">
        <f>'1'!G22/'1'!G38</f>
        <v>0.40594259690342477</v>
      </c>
      <c r="H7" s="26">
        <f>'1'!H22/'1'!H38</f>
        <v>0.61131884872302211</v>
      </c>
    </row>
    <row r="8" spans="1:8" x14ac:dyDescent="0.25">
      <c r="A8" t="s">
        <v>47</v>
      </c>
      <c r="B8" s="10">
        <f>'1'!B10/'1'!B25</f>
        <v>1.025810894336189</v>
      </c>
      <c r="C8" s="10">
        <f>'1'!C10/'1'!C25</f>
        <v>1.0396395002093957</v>
      </c>
      <c r="D8" s="10">
        <f>'1'!D10/'1'!D25</f>
        <v>0.97743425436513953</v>
      </c>
      <c r="E8" s="10">
        <f>'1'!E10/'1'!E25</f>
        <v>0.95387758642816101</v>
      </c>
      <c r="F8" s="10">
        <f>'1'!F10/'1'!F25</f>
        <v>0.93415248078206603</v>
      </c>
      <c r="G8" s="10">
        <f>'1'!G10/'1'!G25</f>
        <v>0.71134012981873262</v>
      </c>
      <c r="H8" s="10">
        <f>'1'!H10/'1'!H25</f>
        <v>0.75891668400572865</v>
      </c>
    </row>
    <row r="9" spans="1:8" x14ac:dyDescent="0.25">
      <c r="A9" t="s">
        <v>49</v>
      </c>
      <c r="B9" s="26">
        <f>'2'!B24/'2'!B5</f>
        <v>6.2196010870543645E-3</v>
      </c>
      <c r="C9" s="26">
        <f>'2'!C24/'2'!C5</f>
        <v>3.6973064648825825E-3</v>
      </c>
      <c r="D9" s="26">
        <f>'2'!D24/'2'!D5</f>
        <v>4.0549919414923511E-3</v>
      </c>
      <c r="E9" s="26">
        <f>'2'!E24/'2'!E5</f>
        <v>8.7339918481419716E-3</v>
      </c>
      <c r="F9" s="26">
        <f>'2'!F24/'2'!F5</f>
        <v>1.1022281307185699E-2</v>
      </c>
      <c r="G9" s="26">
        <f>'2'!G24/'2'!G5</f>
        <v>9.3381046121536158E-3</v>
      </c>
      <c r="H9" s="26">
        <f>'2'!H24/'2'!H5</f>
        <v>1.0991760714019742E-2</v>
      </c>
    </row>
    <row r="10" spans="1:8" x14ac:dyDescent="0.25">
      <c r="A10" t="s">
        <v>48</v>
      </c>
      <c r="B10" s="26">
        <f>'2'!B13/'2'!B5</f>
        <v>1.89217784227706E-2</v>
      </c>
      <c r="C10" s="26">
        <f>'2'!C13/'2'!C5</f>
        <v>2.224786011227757E-2</v>
      </c>
      <c r="D10" s="26">
        <f>'2'!D13/'2'!D5</f>
        <v>2.6174739414144773E-2</v>
      </c>
      <c r="E10" s="26">
        <f>'2'!E13/'2'!E5</f>
        <v>2.5551196915391112E-2</v>
      </c>
      <c r="F10" s="26">
        <f>'2'!F13/'2'!F5</f>
        <v>2.4632108622480095E-2</v>
      </c>
      <c r="G10" s="26">
        <f>'2'!G13/'2'!G5</f>
        <v>2.175009708190194E-2</v>
      </c>
      <c r="H10" s="26">
        <f>'2'!H13/'2'!H5</f>
        <v>2.7113998860090555E-2</v>
      </c>
    </row>
    <row r="11" spans="1:8" x14ac:dyDescent="0.25">
      <c r="A11" t="s">
        <v>53</v>
      </c>
      <c r="B11" s="26">
        <f>'2'!B24/('1'!B38+'1'!B22)</f>
        <v>6.5617732862987568E-2</v>
      </c>
      <c r="C11" s="26">
        <f>'2'!C24/('1'!C38+'1'!C22)</f>
        <v>2.9626691678103417E-2</v>
      </c>
      <c r="D11" s="26">
        <f>'2'!D24/('1'!D38+'1'!D22)</f>
        <v>2.886835290450037E-2</v>
      </c>
      <c r="E11" s="26">
        <f>'2'!E24/('1'!E38+'1'!E22)</f>
        <v>6.149221931240597E-2</v>
      </c>
      <c r="F11" s="26">
        <f>'2'!F24/('1'!F38+'1'!F22)</f>
        <v>0.10088016396733525</v>
      </c>
      <c r="G11" s="26">
        <f>'2'!G24/('1'!G38+'1'!G22)</f>
        <v>7.3456890119584159E-2</v>
      </c>
      <c r="H11" s="26">
        <f>'2'!H24/('1'!H38+'1'!H22)</f>
        <v>7.0583489950664352E-2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2020-04-12T16:19:12Z</dcterms:modified>
</cp:coreProperties>
</file>