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8VPvZu/YOKnExMZi7VCFylMH2xQ=="/>
    </ext>
  </extLst>
</workbook>
</file>

<file path=xl/calcChain.xml><?xml version="1.0" encoding="utf-8"?>
<calcChain xmlns="http://schemas.openxmlformats.org/spreadsheetml/2006/main">
  <c r="F9" i="4" l="1"/>
  <c r="B9" i="4"/>
  <c r="D8" i="4"/>
  <c r="C8" i="4"/>
  <c r="H37" i="3"/>
  <c r="E37" i="3"/>
  <c r="D37" i="3"/>
  <c r="F33" i="3"/>
  <c r="F35" i="3" s="1"/>
  <c r="B33" i="3"/>
  <c r="B35" i="3" s="1"/>
  <c r="H31" i="3"/>
  <c r="G31" i="3"/>
  <c r="F31" i="3"/>
  <c r="E31" i="3"/>
  <c r="D31" i="3"/>
  <c r="C31" i="3"/>
  <c r="B31" i="3"/>
  <c r="H24" i="3"/>
  <c r="G24" i="3"/>
  <c r="F24" i="3"/>
  <c r="E24" i="3"/>
  <c r="D24" i="3"/>
  <c r="C24" i="3"/>
  <c r="B24" i="3"/>
  <c r="H19" i="3"/>
  <c r="H33" i="3" s="1"/>
  <c r="H35" i="3" s="1"/>
  <c r="G19" i="3"/>
  <c r="G37" i="3" s="1"/>
  <c r="F19" i="3"/>
  <c r="F37" i="3" s="1"/>
  <c r="E19" i="3"/>
  <c r="E33" i="3" s="1"/>
  <c r="E35" i="3" s="1"/>
  <c r="D19" i="3"/>
  <c r="D33" i="3" s="1"/>
  <c r="D35" i="3" s="1"/>
  <c r="C19" i="3"/>
  <c r="C37" i="3" s="1"/>
  <c r="B19" i="3"/>
  <c r="B37" i="3" s="1"/>
  <c r="H37" i="2"/>
  <c r="G37" i="2"/>
  <c r="F37" i="2"/>
  <c r="E37" i="2"/>
  <c r="D37" i="2"/>
  <c r="C37" i="2"/>
  <c r="B37" i="2"/>
  <c r="H31" i="2"/>
  <c r="G31" i="2"/>
  <c r="F31" i="2"/>
  <c r="E31" i="2"/>
  <c r="D31" i="2"/>
  <c r="C31" i="2"/>
  <c r="B31" i="2"/>
  <c r="H23" i="2"/>
  <c r="G23" i="2"/>
  <c r="F23" i="2"/>
  <c r="E23" i="2"/>
  <c r="D23" i="2"/>
  <c r="C23" i="2"/>
  <c r="B23" i="2"/>
  <c r="H16" i="2"/>
  <c r="H24" i="2" s="1"/>
  <c r="H32" i="2" s="1"/>
  <c r="H38" i="2" s="1"/>
  <c r="H40" i="2" s="1"/>
  <c r="G16" i="2"/>
  <c r="G24" i="2" s="1"/>
  <c r="G32" i="2" s="1"/>
  <c r="G38" i="2" s="1"/>
  <c r="G40" i="2" s="1"/>
  <c r="D16" i="2"/>
  <c r="D24" i="2" s="1"/>
  <c r="C16" i="2"/>
  <c r="C24" i="2" s="1"/>
  <c r="H15" i="2"/>
  <c r="G15" i="2"/>
  <c r="F15" i="2"/>
  <c r="E15" i="2"/>
  <c r="D15" i="2"/>
  <c r="C15" i="2"/>
  <c r="B15" i="2"/>
  <c r="H9" i="2"/>
  <c r="G9" i="2"/>
  <c r="F9" i="2"/>
  <c r="F16" i="2" s="1"/>
  <c r="F24" i="2" s="1"/>
  <c r="E9" i="2"/>
  <c r="E16" i="2" s="1"/>
  <c r="E24" i="2" s="1"/>
  <c r="D9" i="2"/>
  <c r="C9" i="2"/>
  <c r="B9" i="2"/>
  <c r="B16" i="2" s="1"/>
  <c r="B24" i="2" s="1"/>
  <c r="H59" i="1"/>
  <c r="G59" i="1"/>
  <c r="F59" i="1"/>
  <c r="E59" i="1"/>
  <c r="D59" i="1"/>
  <c r="C59" i="1"/>
  <c r="B59" i="1"/>
  <c r="H58" i="1"/>
  <c r="G58" i="1"/>
  <c r="D58" i="1"/>
  <c r="C58" i="1"/>
  <c r="H53" i="1"/>
  <c r="G53" i="1"/>
  <c r="F53" i="1"/>
  <c r="F8" i="4" s="1"/>
  <c r="E53" i="1"/>
  <c r="E8" i="4" s="1"/>
  <c r="D53" i="1"/>
  <c r="C53" i="1"/>
  <c r="B53" i="1"/>
  <c r="B8" i="4" s="1"/>
  <c r="H46" i="1"/>
  <c r="H56" i="1" s="1"/>
  <c r="E46" i="1"/>
  <c r="E56" i="1" s="1"/>
  <c r="D46" i="1"/>
  <c r="D56" i="1" s="1"/>
  <c r="H44" i="1"/>
  <c r="G44" i="1"/>
  <c r="G46" i="1" s="1"/>
  <c r="G56" i="1" s="1"/>
  <c r="F44" i="1"/>
  <c r="F46" i="1" s="1"/>
  <c r="F56" i="1" s="1"/>
  <c r="E44" i="1"/>
  <c r="D44" i="1"/>
  <c r="C44" i="1"/>
  <c r="C46" i="1" s="1"/>
  <c r="C56" i="1" s="1"/>
  <c r="B44" i="1"/>
  <c r="B46" i="1" s="1"/>
  <c r="B56" i="1" s="1"/>
  <c r="H32" i="1"/>
  <c r="G32" i="1"/>
  <c r="F32" i="1"/>
  <c r="E32" i="1"/>
  <c r="D32" i="1"/>
  <c r="C32" i="1"/>
  <c r="B32" i="1"/>
  <c r="F22" i="1"/>
  <c r="E22" i="1"/>
  <c r="B22" i="1"/>
  <c r="H21" i="1"/>
  <c r="G21" i="1"/>
  <c r="F21" i="1"/>
  <c r="E21" i="1"/>
  <c r="E9" i="4" s="1"/>
  <c r="D21" i="1"/>
  <c r="D9" i="4" s="1"/>
  <c r="C21" i="1"/>
  <c r="C22" i="1" s="1"/>
  <c r="B21" i="1"/>
  <c r="H12" i="1"/>
  <c r="H22" i="1" s="1"/>
  <c r="G12" i="1"/>
  <c r="G22" i="1" s="1"/>
  <c r="F12" i="1"/>
  <c r="E12" i="1"/>
  <c r="D12" i="1"/>
  <c r="D22" i="1" s="1"/>
  <c r="C12" i="1"/>
  <c r="B12" i="1"/>
  <c r="C11" i="4" l="1"/>
  <c r="C32" i="2"/>
  <c r="E11" i="4"/>
  <c r="E32" i="2"/>
  <c r="D32" i="2"/>
  <c r="D11" i="4"/>
  <c r="B32" i="2"/>
  <c r="B11" i="4"/>
  <c r="F32" i="2"/>
  <c r="F11" i="4"/>
  <c r="C33" i="3"/>
  <c r="C35" i="3" s="1"/>
  <c r="E58" i="1"/>
  <c r="G33" i="3"/>
  <c r="G35" i="3" s="1"/>
  <c r="C9" i="4"/>
  <c r="B58" i="1"/>
  <c r="F58" i="1"/>
  <c r="E10" i="4" l="1"/>
  <c r="E38" i="2"/>
  <c r="B10" i="4"/>
  <c r="B38" i="2"/>
  <c r="C10" i="4"/>
  <c r="C38" i="2"/>
  <c r="F38" i="2"/>
  <c r="F10" i="4"/>
  <c r="D10" i="4"/>
  <c r="D38" i="2"/>
  <c r="D6" i="4" l="1"/>
  <c r="D7" i="4"/>
  <c r="D40" i="2"/>
  <c r="D12" i="4"/>
  <c r="C7" i="4"/>
  <c r="C12" i="4"/>
  <c r="C6" i="4"/>
  <c r="C40" i="2"/>
  <c r="E40" i="2"/>
  <c r="E7" i="4"/>
  <c r="E6" i="4"/>
  <c r="E12" i="4"/>
  <c r="B12" i="4"/>
  <c r="B6" i="4"/>
  <c r="B7" i="4"/>
  <c r="B40" i="2"/>
  <c r="F12" i="4"/>
  <c r="F6" i="4"/>
  <c r="F7" i="4"/>
  <c r="F40" i="2"/>
</calcChain>
</file>

<file path=xl/sharedStrings.xml><?xml version="1.0" encoding="utf-8"?>
<sst xmlns="http://schemas.openxmlformats.org/spreadsheetml/2006/main" count="135" uniqueCount="107">
  <si>
    <t>Dhaka Electric Supply Company Limited</t>
  </si>
  <si>
    <t>Balance Sheet</t>
  </si>
  <si>
    <t>Income Statement</t>
  </si>
  <si>
    <t>Cash Flow Statement</t>
  </si>
  <si>
    <t>As at quarter end</t>
  </si>
  <si>
    <t>Quarter 3</t>
  </si>
  <si>
    <t xml:space="preserve"> Quarter 2</t>
  </si>
  <si>
    <t>Quarter 1</t>
  </si>
  <si>
    <t>Quarter 2</t>
  </si>
  <si>
    <t>Net Revenues</t>
  </si>
  <si>
    <t>Assets</t>
  </si>
  <si>
    <t>Net Cash Flows - Operating Activities</t>
  </si>
  <si>
    <t>Received from Energy Sales</t>
  </si>
  <si>
    <t>Energy Sales (Net of Vat)</t>
  </si>
  <si>
    <t>Non Current Assets</t>
  </si>
  <si>
    <t>Other Operating  Revenue</t>
  </si>
  <si>
    <t>Collection of Govt. Duty, VAT &amp; Tax</t>
  </si>
  <si>
    <t xml:space="preserve">Property,Plant  and  Equipment </t>
  </si>
  <si>
    <t>Capital Work in Progress</t>
  </si>
  <si>
    <t>Received from other Operating &amp;non Operating Activities</t>
  </si>
  <si>
    <t>Intangible Assets</t>
  </si>
  <si>
    <t>Received against Financial Income</t>
  </si>
  <si>
    <t>Investments in shares</t>
  </si>
  <si>
    <t>Payment for Energy Purchase</t>
  </si>
  <si>
    <t>Payment operating expenses</t>
  </si>
  <si>
    <t xml:space="preserve">Payment for Employee Expenses </t>
  </si>
  <si>
    <t>Cost of Energy Sales</t>
  </si>
  <si>
    <t>Energy Purchase (including wheeling charge)</t>
  </si>
  <si>
    <t>Payment for Administrative &amp; Other Expenses</t>
  </si>
  <si>
    <t>Current Assets</t>
  </si>
  <si>
    <t>Operating Expenses</t>
  </si>
  <si>
    <t>Payment for Operating &amp; Administrative Expenses</t>
  </si>
  <si>
    <t>Stores and Spares</t>
  </si>
  <si>
    <t>Depreciation (Operating)</t>
  </si>
  <si>
    <t>Payment for Interest  on Long Term Loan</t>
  </si>
  <si>
    <t xml:space="preserve">Accounts receivable </t>
  </si>
  <si>
    <t xml:space="preserve">Advances &amp; Deposits </t>
  </si>
  <si>
    <t>Income Tax Paid</t>
  </si>
  <si>
    <t>Advance Income Tax</t>
  </si>
  <si>
    <t>Payment for Govt. duty, VAT &amp; Tax</t>
  </si>
  <si>
    <t>Investment in FDR</t>
  </si>
  <si>
    <t>Gross Profit</t>
  </si>
  <si>
    <t>Cash and Bak Balances</t>
  </si>
  <si>
    <t>Operating Income/(Expenses)</t>
  </si>
  <si>
    <t>Net Cash Flows - Investment Activities</t>
  </si>
  <si>
    <t xml:space="preserve">Administrative Expenses </t>
  </si>
  <si>
    <t xml:space="preserve">Acquisition of Property &amp; Plant </t>
  </si>
  <si>
    <t xml:space="preserve">Employee Expenses </t>
  </si>
  <si>
    <t xml:space="preserve">Acquisition of Stores and Equipment </t>
  </si>
  <si>
    <t>Bad Debts Provision</t>
  </si>
  <si>
    <t>Liabilities and Capital</t>
  </si>
  <si>
    <t>Depreciation (non Operating</t>
  </si>
  <si>
    <t>Liabilities</t>
  </si>
  <si>
    <t>Non Current Liabilities</t>
  </si>
  <si>
    <t>Operating Profit</t>
  </si>
  <si>
    <t>Share  Money Deposit</t>
  </si>
  <si>
    <t>Net Cash Flows - Financing Activities</t>
  </si>
  <si>
    <t>Loan from ADB/GOB</t>
  </si>
  <si>
    <t>Long term Loan Received</t>
  </si>
  <si>
    <t>Non-Operating Income/(Expenses)</t>
  </si>
  <si>
    <t>Deferred Tax Liabilities</t>
  </si>
  <si>
    <t>Dividend paid</t>
  </si>
  <si>
    <t>Due to DESA/DPDC (for assets taken over)</t>
  </si>
  <si>
    <t xml:space="preserve">Interest Income </t>
  </si>
  <si>
    <t>Long term Loan Paid</t>
  </si>
  <si>
    <t>Consumer Security Deposits</t>
  </si>
  <si>
    <t>Interest Expenses</t>
  </si>
  <si>
    <t xml:space="preserve">Consumer Security Deposits Received </t>
  </si>
  <si>
    <t>Excahnge Fluctuation (Loss)</t>
  </si>
  <si>
    <t xml:space="preserve">Miscellaneous Income </t>
  </si>
  <si>
    <t>Current Liabilities</t>
  </si>
  <si>
    <t xml:space="preserve">Accounts Payable </t>
  </si>
  <si>
    <t>Profit Before Taxation</t>
  </si>
  <si>
    <t>Net Change in Cash Flows</t>
  </si>
  <si>
    <t>Creditors for Goods/Works</t>
  </si>
  <si>
    <t>Creditors for other Finance</t>
  </si>
  <si>
    <t xml:space="preserve">Creditors for Expenses </t>
  </si>
  <si>
    <t>Cash and Cash Equivalents at Beginning Period</t>
  </si>
  <si>
    <t>Provision for Taxation</t>
  </si>
  <si>
    <t xml:space="preserve">Current Maturity  of Long Term Loan </t>
  </si>
  <si>
    <t>Cash and Cash Equivalents at End of Period</t>
  </si>
  <si>
    <t>Current Tax Provision</t>
  </si>
  <si>
    <t>Accrued Interest on Loans</t>
  </si>
  <si>
    <t>Deffered tax Provision</t>
  </si>
  <si>
    <t>Short Term Loan</t>
  </si>
  <si>
    <t>Workers Profit Participation Fund (WPPF)</t>
  </si>
  <si>
    <t>Provision for Income Tax</t>
  </si>
  <si>
    <t>Net Operating Cash Flow Per Share</t>
  </si>
  <si>
    <t>Net Profit</t>
  </si>
  <si>
    <t>Earnings per share (par value Taka 10)</t>
  </si>
  <si>
    <t>Shares to Calculate NOCFPS</t>
  </si>
  <si>
    <t>Shareholders’ Equity</t>
  </si>
  <si>
    <t>Shares to Calculate EPS</t>
  </si>
  <si>
    <t>Share Capital</t>
  </si>
  <si>
    <t>Share Money Deposit</t>
  </si>
  <si>
    <t>GOB Equity</t>
  </si>
  <si>
    <t>Retained Earnings</t>
  </si>
  <si>
    <t>Net assets value per share</t>
  </si>
  <si>
    <t>Shares to calculate NAVPS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</si>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</sst>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d\-mmm\-yy"/>
    <numFmt numFmtId="165" formatCode="_(* #,##0.00_);_(* \(#,##0.00\);_(* &quot;-&quot;_);_(@_)"/>
  </numFmts>
  <fonts count="12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sz val="12"/>
      <color theme="1"/>
      <name val="Calibri"/>
    </font>
    <font>
      <b/>
      <i/>
      <sz val="11"/>
      <color theme="1"/>
      <name val="Calibri"/>
    </font>
    <font>
      <b/>
      <u/>
      <sz val="12"/>
      <color theme="1"/>
      <name val="Calibri"/>
    </font>
    <font>
      <i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1" fontId="1" fillId="0" borderId="0" xfId="0" applyNumberFormat="1" applyFont="1"/>
    <xf numFmtId="41" fontId="2" fillId="0" borderId="0" xfId="0" applyNumberFormat="1" applyFont="1"/>
    <xf numFmtId="0" fontId="1" fillId="0" borderId="0" xfId="0" applyFont="1"/>
    <xf numFmtId="41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1" fontId="5" fillId="0" borderId="0" xfId="0" applyNumberFormat="1" applyFont="1" applyAlignment="1"/>
    <xf numFmtId="0" fontId="6" fillId="0" borderId="0" xfId="0" applyFont="1"/>
    <xf numFmtId="41" fontId="2" fillId="0" borderId="1" xfId="0" applyNumberFormat="1" applyFont="1" applyBorder="1"/>
    <xf numFmtId="41" fontId="7" fillId="0" borderId="0" xfId="0" applyNumberFormat="1" applyFont="1"/>
    <xf numFmtId="41" fontId="4" fillId="0" borderId="0" xfId="0" applyNumberFormat="1" applyFont="1"/>
    <xf numFmtId="41" fontId="2" fillId="0" borderId="0" xfId="0" applyNumberFormat="1" applyFont="1" applyAlignment="1">
      <alignment horizontal="center"/>
    </xf>
    <xf numFmtId="41" fontId="4" fillId="0" borderId="2" xfId="0" applyNumberFormat="1" applyFont="1" applyBorder="1"/>
    <xf numFmtId="41" fontId="2" fillId="0" borderId="3" xfId="0" applyNumberFormat="1" applyFont="1" applyBorder="1"/>
    <xf numFmtId="41" fontId="8" fillId="0" borderId="0" xfId="0" applyNumberFormat="1" applyFont="1"/>
    <xf numFmtId="41" fontId="4" fillId="0" borderId="3" xfId="0" applyNumberFormat="1" applyFont="1" applyBorder="1"/>
    <xf numFmtId="41" fontId="4" fillId="0" borderId="4" xfId="0" applyNumberFormat="1" applyFont="1" applyBorder="1"/>
    <xf numFmtId="41" fontId="2" fillId="0" borderId="0" xfId="0" applyNumberFormat="1" applyFont="1" applyAlignment="1">
      <alignment vertical="top"/>
    </xf>
    <xf numFmtId="0" fontId="1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4" fillId="0" borderId="0" xfId="0" applyNumberFormat="1" applyFont="1" applyAlignment="1">
      <alignment horizontal="center"/>
    </xf>
    <xf numFmtId="0" fontId="4" fillId="0" borderId="3" xfId="0" applyFont="1" applyBorder="1"/>
    <xf numFmtId="41" fontId="10" fillId="0" borderId="0" xfId="0" applyNumberFormat="1" applyFont="1"/>
    <xf numFmtId="41" fontId="4" fillId="0" borderId="5" xfId="0" applyNumberFormat="1" applyFont="1" applyBorder="1"/>
    <xf numFmtId="165" fontId="4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8.75" customWidth="1"/>
    <col min="2" max="3" width="13.375" customWidth="1"/>
    <col min="4" max="4" width="14.625" customWidth="1"/>
    <col min="5" max="6" width="13.375" customWidth="1"/>
    <col min="7" max="7" width="14.625" customWidth="1"/>
    <col min="8" max="8" width="13.75" customWidth="1"/>
    <col min="9" max="25" width="7.625" customWidth="1"/>
  </cols>
  <sheetData>
    <row r="1" spans="1:25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" t="s">
        <v>4</v>
      </c>
      <c r="B3" s="2"/>
      <c r="C3" s="2"/>
      <c r="D3" s="2"/>
      <c r="E3" s="2"/>
      <c r="F3" s="2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3"/>
      <c r="B4" s="4" t="s">
        <v>5</v>
      </c>
      <c r="C4" s="4" t="s">
        <v>6</v>
      </c>
      <c r="D4" s="4" t="s">
        <v>5</v>
      </c>
      <c r="E4" s="4" t="s">
        <v>7</v>
      </c>
      <c r="F4" s="4" t="s">
        <v>8</v>
      </c>
      <c r="G4" s="4" t="s">
        <v>5</v>
      </c>
      <c r="H4" s="4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8"/>
      <c r="B5" s="6">
        <v>42825</v>
      </c>
      <c r="C5" s="7">
        <v>43100</v>
      </c>
      <c r="D5" s="6">
        <v>43190</v>
      </c>
      <c r="E5" s="6">
        <v>43373</v>
      </c>
      <c r="F5" s="7">
        <v>43465</v>
      </c>
      <c r="G5" s="6">
        <v>43555</v>
      </c>
      <c r="H5" s="7">
        <v>43738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12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 t="s">
        <v>17</v>
      </c>
      <c r="B8" s="2">
        <v>14535992484</v>
      </c>
      <c r="C8" s="2">
        <v>18923968924</v>
      </c>
      <c r="D8" s="2">
        <v>19483312697</v>
      </c>
      <c r="E8" s="2">
        <v>20348551186</v>
      </c>
      <c r="F8" s="2">
        <v>20433275903</v>
      </c>
      <c r="G8" s="2">
        <v>20986437464</v>
      </c>
      <c r="H8" s="11">
        <v>20851780544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 t="s">
        <v>18</v>
      </c>
      <c r="B9" s="2">
        <v>2842790139</v>
      </c>
      <c r="C9" s="2">
        <v>4674646035</v>
      </c>
      <c r="D9" s="2">
        <v>5319886067</v>
      </c>
      <c r="E9" s="2">
        <v>8270137671</v>
      </c>
      <c r="F9" s="2">
        <v>10356299755</v>
      </c>
      <c r="G9" s="2">
        <v>12754194376</v>
      </c>
      <c r="H9" s="11">
        <v>17511871014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1" t="s">
        <v>20</v>
      </c>
      <c r="B10" s="2"/>
      <c r="C10" s="2"/>
      <c r="D10" s="2"/>
      <c r="E10" s="2"/>
      <c r="F10" s="2"/>
      <c r="G10" s="2"/>
      <c r="H10" s="11">
        <v>108011210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22</v>
      </c>
      <c r="B11" s="16"/>
      <c r="C11" s="16"/>
      <c r="D11" s="16"/>
      <c r="E11" s="16"/>
      <c r="F11" s="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15">
        <f t="shared" ref="B12:C12" si="0">SUM(B8:B9)</f>
        <v>17378782623</v>
      </c>
      <c r="C12" s="15">
        <f t="shared" si="0"/>
        <v>23598614959</v>
      </c>
      <c r="D12" s="15">
        <f t="shared" ref="D12:H12" si="1">SUM(D8:D11)</f>
        <v>24803198764</v>
      </c>
      <c r="E12" s="15">
        <f t="shared" si="1"/>
        <v>28618688857</v>
      </c>
      <c r="F12" s="15">
        <f t="shared" si="1"/>
        <v>30789575658</v>
      </c>
      <c r="G12" s="15">
        <f t="shared" si="1"/>
        <v>33740631840</v>
      </c>
      <c r="H12" s="15">
        <f t="shared" si="1"/>
        <v>38471662768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5"/>
      <c r="C13" s="2"/>
      <c r="D13" s="15"/>
      <c r="E13" s="15"/>
      <c r="F13" s="1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12" t="s">
        <v>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32</v>
      </c>
      <c r="B15" s="2">
        <v>8404776018</v>
      </c>
      <c r="C15" s="2">
        <v>4693303394</v>
      </c>
      <c r="D15" s="2">
        <v>5817745695</v>
      </c>
      <c r="E15" s="2">
        <v>4786918029</v>
      </c>
      <c r="F15" s="2">
        <v>4319557675</v>
      </c>
      <c r="G15" s="2">
        <v>3808270888</v>
      </c>
      <c r="H15" s="11">
        <v>3239906307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35</v>
      </c>
      <c r="B16" s="2">
        <v>3152163661</v>
      </c>
      <c r="C16" s="2">
        <v>4143320254</v>
      </c>
      <c r="D16" s="2">
        <v>3500764638</v>
      </c>
      <c r="E16" s="2">
        <v>5817326654</v>
      </c>
      <c r="F16" s="2">
        <v>4137769824</v>
      </c>
      <c r="G16" s="2">
        <v>3725512995</v>
      </c>
      <c r="H16" s="11">
        <v>5760644097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36</v>
      </c>
      <c r="B17" s="2">
        <v>670505580</v>
      </c>
      <c r="C17" s="2">
        <v>752361564</v>
      </c>
      <c r="D17" s="2">
        <v>952351526</v>
      </c>
      <c r="E17" s="2">
        <v>1000844946</v>
      </c>
      <c r="F17" s="2">
        <v>1240321526</v>
      </c>
      <c r="G17" s="2">
        <v>1102646210</v>
      </c>
      <c r="H17" s="11">
        <v>982535745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38</v>
      </c>
      <c r="B18" s="2">
        <v>1123955466</v>
      </c>
      <c r="C18" s="2">
        <v>848722870</v>
      </c>
      <c r="D18" s="2">
        <v>972653642</v>
      </c>
      <c r="E18" s="2">
        <v>1061858831</v>
      </c>
      <c r="F18" s="2">
        <v>1218617049</v>
      </c>
      <c r="G18" s="2">
        <v>1336902104</v>
      </c>
      <c r="H18" s="11">
        <v>1131931670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1" t="s">
        <v>40</v>
      </c>
      <c r="B19" s="2"/>
      <c r="C19" s="2"/>
      <c r="D19" s="2"/>
      <c r="E19" s="2"/>
      <c r="F19" s="2"/>
      <c r="G19" s="2"/>
      <c r="H19" s="11">
        <v>12105943421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42</v>
      </c>
      <c r="B20" s="2">
        <v>14408390441</v>
      </c>
      <c r="C20" s="2">
        <v>15016503691</v>
      </c>
      <c r="D20" s="2">
        <v>14835649206</v>
      </c>
      <c r="E20" s="2">
        <v>15057021135</v>
      </c>
      <c r="F20" s="2">
        <v>15354356074</v>
      </c>
      <c r="G20" s="2">
        <v>15657882410</v>
      </c>
      <c r="H20" s="11">
        <v>4647957233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15">
        <f t="shared" ref="B21:C21" si="2">SUM(B15:B20)</f>
        <v>27759791166</v>
      </c>
      <c r="C21" s="15">
        <f t="shared" si="2"/>
        <v>25454211773</v>
      </c>
      <c r="D21" s="15">
        <f>SUM(D15:D20)-1</f>
        <v>26079164706</v>
      </c>
      <c r="E21" s="15">
        <f>SUM(E15:E20)</f>
        <v>27723969595</v>
      </c>
      <c r="F21" s="15">
        <f>SUM(F15:F20)-1</f>
        <v>26270622147</v>
      </c>
      <c r="G21" s="15">
        <f t="shared" ref="G21:H21" si="3">SUM(G15:G20)</f>
        <v>25631214607</v>
      </c>
      <c r="H21" s="15">
        <f t="shared" si="3"/>
        <v>27868918473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15"/>
      <c r="B22" s="21">
        <f>SUM(B21,B12)</f>
        <v>45138573789</v>
      </c>
      <c r="C22" s="21">
        <f>SUM(C21,C12)+2</f>
        <v>49052826734</v>
      </c>
      <c r="D22" s="21">
        <f>SUM(D12,D21)+3</f>
        <v>50882363473</v>
      </c>
      <c r="E22" s="21">
        <f t="shared" ref="E22:H22" si="4">SUM(E12,E21)</f>
        <v>56342658452</v>
      </c>
      <c r="F22" s="21">
        <f t="shared" si="4"/>
        <v>57060197805</v>
      </c>
      <c r="G22" s="21">
        <f t="shared" si="4"/>
        <v>59371846447</v>
      </c>
      <c r="H22" s="21">
        <f t="shared" si="4"/>
        <v>66340581241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3" t="s">
        <v>50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4" t="s">
        <v>52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12" t="s">
        <v>53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 t="s">
        <v>55</v>
      </c>
      <c r="B27" s="25"/>
      <c r="C27" s="16">
        <v>37500000</v>
      </c>
      <c r="D27" s="2">
        <v>37500000</v>
      </c>
      <c r="E27" s="25"/>
      <c r="F27" s="25"/>
      <c r="G27" s="2"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 t="s">
        <v>57</v>
      </c>
      <c r="B28" s="2">
        <v>11662350557</v>
      </c>
      <c r="C28" s="2">
        <v>14350602768</v>
      </c>
      <c r="D28" s="2">
        <v>14895881614</v>
      </c>
      <c r="E28" s="2">
        <v>16824743744</v>
      </c>
      <c r="F28" s="2">
        <v>18553094184</v>
      </c>
      <c r="G28" s="2">
        <v>20496232491</v>
      </c>
      <c r="H28" s="11">
        <v>23574126242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 t="s">
        <v>60</v>
      </c>
      <c r="B29" s="2">
        <v>1936671057</v>
      </c>
      <c r="C29" s="2">
        <v>2386268130</v>
      </c>
      <c r="D29" s="2">
        <v>2529774595</v>
      </c>
      <c r="E29" s="2">
        <v>2720945978</v>
      </c>
      <c r="F29" s="2">
        <v>2848283214</v>
      </c>
      <c r="G29" s="2">
        <v>2871561344</v>
      </c>
      <c r="H29" s="11">
        <v>2930622498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 t="s">
        <v>62</v>
      </c>
      <c r="B30" s="2">
        <v>4039671539</v>
      </c>
      <c r="C30" s="2">
        <v>4039671539</v>
      </c>
      <c r="D30" s="2">
        <v>4039671539</v>
      </c>
      <c r="E30" s="2">
        <v>4039671539</v>
      </c>
      <c r="F30" s="2">
        <v>4039671539</v>
      </c>
      <c r="G30" s="2">
        <v>4039671539</v>
      </c>
      <c r="H30" s="11">
        <v>3840410313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" t="s">
        <v>65</v>
      </c>
      <c r="B31" s="2">
        <v>2241017460</v>
      </c>
      <c r="C31" s="2">
        <v>2694880990</v>
      </c>
      <c r="D31" s="2">
        <v>2687235462</v>
      </c>
      <c r="E31" s="2">
        <v>2793320721</v>
      </c>
      <c r="F31" s="2">
        <v>2849174367</v>
      </c>
      <c r="G31" s="2">
        <v>2893267523</v>
      </c>
      <c r="H31" s="11">
        <v>2996210382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2"/>
      <c r="B32" s="20">
        <f>SUM(B28:B31)</f>
        <v>19879710613</v>
      </c>
      <c r="C32" s="20">
        <f>SUM(C27:C31)</f>
        <v>23508923427</v>
      </c>
      <c r="D32" s="20">
        <f>SUM(D27:D31)+1</f>
        <v>24190063211</v>
      </c>
      <c r="E32" s="20">
        <f t="shared" ref="E32:F32" si="5">SUM(E28:E31)</f>
        <v>26378681982</v>
      </c>
      <c r="F32" s="20">
        <f t="shared" si="5"/>
        <v>28290223304</v>
      </c>
      <c r="G32" s="20">
        <f t="shared" ref="G32:H32" si="6">SUM(G27:G31)</f>
        <v>30300732897</v>
      </c>
      <c r="H32" s="20">
        <f t="shared" si="6"/>
        <v>33341369435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2"/>
      <c r="B33" s="15"/>
      <c r="C33" s="15"/>
      <c r="D33" s="15"/>
      <c r="E33" s="15"/>
      <c r="F33" s="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12" t="s">
        <v>70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 t="s">
        <v>71</v>
      </c>
      <c r="B35" s="2">
        <v>4413341272</v>
      </c>
      <c r="C35" s="2">
        <v>4619389031</v>
      </c>
      <c r="D35" s="2">
        <v>5198403360</v>
      </c>
      <c r="E35" s="2">
        <v>7005977292</v>
      </c>
      <c r="F35" s="2">
        <v>4750686031</v>
      </c>
      <c r="G35" s="2">
        <v>4873816893</v>
      </c>
      <c r="H35" s="11">
        <v>7274590755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 t="s">
        <v>74</v>
      </c>
      <c r="B36" s="2">
        <v>182572577</v>
      </c>
      <c r="C36" s="2">
        <v>153719807</v>
      </c>
      <c r="D36" s="2">
        <v>221965118</v>
      </c>
      <c r="E36" s="2">
        <v>170754505</v>
      </c>
      <c r="F36" s="2">
        <v>206169015</v>
      </c>
      <c r="G36" s="2">
        <v>182366172</v>
      </c>
      <c r="H36" s="11">
        <v>179810706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2" t="s">
        <v>75</v>
      </c>
      <c r="B37" s="2">
        <v>1964903664</v>
      </c>
      <c r="C37" s="2">
        <v>2268516196</v>
      </c>
      <c r="D37" s="2">
        <v>2651214716</v>
      </c>
      <c r="E37" s="2">
        <v>3271472874</v>
      </c>
      <c r="F37" s="2">
        <v>3209257930</v>
      </c>
      <c r="G37" s="2">
        <v>3417333194</v>
      </c>
      <c r="H37" s="11">
        <v>3275879651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2" t="s">
        <v>76</v>
      </c>
      <c r="B38" s="2">
        <v>771430725</v>
      </c>
      <c r="C38" s="2">
        <v>246819204</v>
      </c>
      <c r="D38" s="2">
        <v>215826522</v>
      </c>
      <c r="E38" s="2">
        <v>201200072</v>
      </c>
      <c r="F38" s="2">
        <v>205470108</v>
      </c>
      <c r="G38" s="2">
        <v>202530947</v>
      </c>
      <c r="H38" s="11">
        <v>434189699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2" t="s">
        <v>79</v>
      </c>
      <c r="B39" s="2">
        <v>441862726</v>
      </c>
      <c r="C39" s="2">
        <v>379552345</v>
      </c>
      <c r="D39" s="2">
        <v>373644501</v>
      </c>
      <c r="E39" s="2">
        <v>754004398</v>
      </c>
      <c r="F39" s="2">
        <v>375939636</v>
      </c>
      <c r="G39" s="2">
        <v>379127325</v>
      </c>
      <c r="H39" s="11">
        <v>644052513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2" t="s">
        <v>82</v>
      </c>
      <c r="B40" s="2">
        <v>1779652253</v>
      </c>
      <c r="C40" s="2">
        <v>1910368918</v>
      </c>
      <c r="D40" s="2">
        <v>2058676172</v>
      </c>
      <c r="E40" s="2">
        <v>2262107192</v>
      </c>
      <c r="F40" s="2">
        <v>2326344192</v>
      </c>
      <c r="G40" s="2">
        <v>2522177325</v>
      </c>
      <c r="H40" s="11">
        <v>2864106437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2" t="s">
        <v>84</v>
      </c>
      <c r="B41" s="25"/>
      <c r="C41" s="25"/>
      <c r="D41" s="25">
        <v>345319198</v>
      </c>
      <c r="E41" s="2"/>
      <c r="F41" s="25"/>
      <c r="G41" s="25"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1" t="s">
        <v>85</v>
      </c>
      <c r="B42" s="25"/>
      <c r="C42" s="25"/>
      <c r="D42" s="25"/>
      <c r="E42" s="2"/>
      <c r="F42" s="25"/>
      <c r="G42" s="25"/>
      <c r="H42" s="11">
        <v>99493608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2" t="s">
        <v>86</v>
      </c>
      <c r="B43" s="2">
        <v>799970690</v>
      </c>
      <c r="C43" s="2">
        <v>213341797</v>
      </c>
      <c r="D43" s="2"/>
      <c r="E43" s="2">
        <v>-35740155</v>
      </c>
      <c r="F43" s="2">
        <v>68409805</v>
      </c>
      <c r="G43" s="2">
        <v>-50478560</v>
      </c>
      <c r="H43" s="11">
        <v>-630741436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2"/>
      <c r="B44" s="20">
        <f t="shared" ref="B44:G44" si="7">SUM(B35:B43)</f>
        <v>10353733907</v>
      </c>
      <c r="C44" s="20">
        <f t="shared" si="7"/>
        <v>9791707298</v>
      </c>
      <c r="D44" s="20">
        <f t="shared" si="7"/>
        <v>11065049587</v>
      </c>
      <c r="E44" s="20">
        <f t="shared" si="7"/>
        <v>13629776178</v>
      </c>
      <c r="F44" s="20">
        <f t="shared" si="7"/>
        <v>11142276717</v>
      </c>
      <c r="G44" s="20">
        <f t="shared" si="7"/>
        <v>11526873296</v>
      </c>
      <c r="H44" s="20">
        <f>SUM(H35:H43)-1</f>
        <v>14141381932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15"/>
      <c r="B46" s="15">
        <f t="shared" ref="B46:H46" si="8">SUM(B44,B32)</f>
        <v>30233444520</v>
      </c>
      <c r="C46" s="15">
        <f t="shared" si="8"/>
        <v>33300630725</v>
      </c>
      <c r="D46" s="15">
        <f t="shared" si="8"/>
        <v>35255112798</v>
      </c>
      <c r="E46" s="15">
        <f t="shared" si="8"/>
        <v>40008458160</v>
      </c>
      <c r="F46" s="15">
        <f t="shared" si="8"/>
        <v>39432500021</v>
      </c>
      <c r="G46" s="15">
        <f t="shared" si="8"/>
        <v>41827606193</v>
      </c>
      <c r="H46" s="15">
        <f t="shared" si="8"/>
        <v>47482751367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15"/>
      <c r="B47" s="15"/>
      <c r="C47" s="15"/>
      <c r="D47" s="15"/>
      <c r="E47" s="15"/>
      <c r="F47" s="1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12" t="s">
        <v>91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2" t="s">
        <v>93</v>
      </c>
      <c r="B49" s="2">
        <v>3975698044</v>
      </c>
      <c r="C49" s="2">
        <v>3975698044</v>
      </c>
      <c r="D49" s="2">
        <v>3975698044</v>
      </c>
      <c r="E49" s="2">
        <v>3975698040</v>
      </c>
      <c r="F49" s="2">
        <v>3975698040</v>
      </c>
      <c r="G49" s="2">
        <v>3975698040</v>
      </c>
      <c r="H49" s="2">
        <v>3975698040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 t="s">
        <v>94</v>
      </c>
      <c r="B50" s="2">
        <v>56250000</v>
      </c>
      <c r="C50" s="2"/>
      <c r="D50" s="16"/>
      <c r="E50" s="2"/>
      <c r="F50" s="2">
        <v>4915140000</v>
      </c>
      <c r="G50" s="2"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 t="s">
        <v>95</v>
      </c>
      <c r="B51" s="2">
        <v>2947140000</v>
      </c>
      <c r="C51" s="2">
        <v>3490140000</v>
      </c>
      <c r="D51" s="2">
        <v>3730140000</v>
      </c>
      <c r="E51" s="2">
        <v>3940140000</v>
      </c>
      <c r="F51" s="2"/>
      <c r="G51" s="2">
        <v>5140140000</v>
      </c>
      <c r="H51" s="11">
        <v>5694120000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 t="s">
        <v>96</v>
      </c>
      <c r="B52" s="2">
        <v>7926041225</v>
      </c>
      <c r="C52" s="2">
        <v>8286357965</v>
      </c>
      <c r="D52" s="2">
        <v>7921412630</v>
      </c>
      <c r="E52" s="2">
        <v>8418362252</v>
      </c>
      <c r="F52" s="2">
        <v>8736859745</v>
      </c>
      <c r="G52" s="2">
        <v>8428402214</v>
      </c>
      <c r="H52" s="11">
        <v>9188011834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0">
        <f t="shared" ref="B53:C53" si="9">SUM(B49:B52)</f>
        <v>14905129269</v>
      </c>
      <c r="C53" s="20">
        <f t="shared" si="9"/>
        <v>15752196009</v>
      </c>
      <c r="D53" s="20">
        <f>SUM(D49:D52)+1</f>
        <v>15627250675</v>
      </c>
      <c r="E53" s="20">
        <f t="shared" ref="E53:H53" si="10">SUM(E49:E52)</f>
        <v>16334200292</v>
      </c>
      <c r="F53" s="20">
        <f t="shared" si="10"/>
        <v>17627697785</v>
      </c>
      <c r="G53" s="20">
        <f t="shared" si="10"/>
        <v>17544240254</v>
      </c>
      <c r="H53" s="20">
        <f t="shared" si="10"/>
        <v>18857829874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15"/>
      <c r="B54" s="15"/>
      <c r="C54" s="15"/>
      <c r="D54" s="15"/>
      <c r="E54" s="15"/>
      <c r="F54" s="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15"/>
      <c r="B55" s="15"/>
      <c r="C55" s="15"/>
      <c r="D55" s="2"/>
      <c r="E55" s="15"/>
      <c r="F55" s="2"/>
      <c r="G55" s="1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15"/>
      <c r="B56" s="21">
        <f t="shared" ref="B56:E56" si="11">SUM(B46,B53)</f>
        <v>45138573789</v>
      </c>
      <c r="C56" s="21">
        <f t="shared" si="11"/>
        <v>49052826734</v>
      </c>
      <c r="D56" s="21">
        <f t="shared" si="11"/>
        <v>50882363473</v>
      </c>
      <c r="E56" s="21">
        <f t="shared" si="11"/>
        <v>56342658452</v>
      </c>
      <c r="F56" s="21">
        <f>SUM(F46,F53)-1</f>
        <v>57060197805</v>
      </c>
      <c r="G56" s="21">
        <f t="shared" ref="G56:H56" si="12">SUM(G46,G53)</f>
        <v>59371846447</v>
      </c>
      <c r="H56" s="21">
        <f t="shared" si="12"/>
        <v>66340581241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9" t="s">
        <v>97</v>
      </c>
      <c r="B58" s="29">
        <f t="shared" ref="B58:H58" si="13">B53/(B49/10)</f>
        <v>37.490596881456725</v>
      </c>
      <c r="C58" s="29">
        <f t="shared" si="13"/>
        <v>39.621208237312501</v>
      </c>
      <c r="D58" s="29">
        <f t="shared" si="13"/>
        <v>39.306935542009185</v>
      </c>
      <c r="E58" s="29">
        <f t="shared" si="13"/>
        <v>41.085112922710799</v>
      </c>
      <c r="F58" s="29">
        <f t="shared" si="13"/>
        <v>44.338623325125567</v>
      </c>
      <c r="G58" s="29">
        <f t="shared" si="13"/>
        <v>44.12870413568934</v>
      </c>
      <c r="H58" s="29">
        <f t="shared" si="13"/>
        <v>47.432751894809392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5.75" customHeight="1" x14ac:dyDescent="0.25">
      <c r="A59" s="9" t="s">
        <v>98</v>
      </c>
      <c r="B59" s="31">
        <f t="shared" ref="B59:H59" si="14">B49/10</f>
        <v>397569804.39999998</v>
      </c>
      <c r="C59" s="31">
        <f t="shared" si="14"/>
        <v>397569804.39999998</v>
      </c>
      <c r="D59" s="31">
        <f t="shared" si="14"/>
        <v>397569804.39999998</v>
      </c>
      <c r="E59" s="31">
        <f t="shared" si="14"/>
        <v>397569804</v>
      </c>
      <c r="F59" s="31">
        <f t="shared" si="14"/>
        <v>397569804</v>
      </c>
      <c r="G59" s="31">
        <f t="shared" si="14"/>
        <v>397569804</v>
      </c>
      <c r="H59" s="31">
        <f t="shared" si="14"/>
        <v>397569804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25" customWidth="1"/>
    <col min="2" max="3" width="16.625" customWidth="1"/>
    <col min="4" max="5" width="13.5" customWidth="1"/>
    <col min="6" max="6" width="13.125" customWidth="1"/>
    <col min="7" max="7" width="14.375" customWidth="1"/>
    <col min="8" max="8" width="14.125" customWidth="1"/>
    <col min="9" max="25" width="7.625" customWidth="1"/>
  </cols>
  <sheetData>
    <row r="1" spans="1:25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3" t="s">
        <v>2</v>
      </c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" t="s">
        <v>4</v>
      </c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4" t="s">
        <v>5</v>
      </c>
      <c r="C4" s="4" t="s">
        <v>6</v>
      </c>
      <c r="D4" s="4" t="s">
        <v>5</v>
      </c>
      <c r="E4" s="4" t="s">
        <v>7</v>
      </c>
      <c r="F4" s="4" t="s">
        <v>8</v>
      </c>
      <c r="G4" s="4" t="s">
        <v>5</v>
      </c>
      <c r="H4" s="4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5"/>
      <c r="B5" s="6">
        <v>42825</v>
      </c>
      <c r="C5" s="7">
        <v>43100</v>
      </c>
      <c r="D5" s="6">
        <v>43190</v>
      </c>
      <c r="E5" s="6">
        <v>43373</v>
      </c>
      <c r="F5" s="7">
        <v>43465</v>
      </c>
      <c r="G5" s="6">
        <v>43555</v>
      </c>
      <c r="H5" s="7">
        <v>43738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x14ac:dyDescent="0.25">
      <c r="A6" s="9" t="s">
        <v>9</v>
      </c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 t="s">
        <v>13</v>
      </c>
      <c r="B7" s="2">
        <v>24196727362</v>
      </c>
      <c r="C7" s="2">
        <v>19109938985</v>
      </c>
      <c r="D7" s="2">
        <v>26589114399</v>
      </c>
      <c r="E7" s="2">
        <v>11890446500</v>
      </c>
      <c r="F7" s="2">
        <v>21255106824</v>
      </c>
      <c r="G7" s="2">
        <v>28782463671</v>
      </c>
      <c r="H7" s="11">
        <v>12765439514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 t="s">
        <v>15</v>
      </c>
      <c r="B8" s="13">
        <v>405886181</v>
      </c>
      <c r="C8" s="13">
        <v>269802435</v>
      </c>
      <c r="D8" s="13">
        <v>398503935</v>
      </c>
      <c r="E8" s="13">
        <v>138619716</v>
      </c>
      <c r="F8" s="13">
        <v>256465423</v>
      </c>
      <c r="G8" s="2">
        <v>409055074</v>
      </c>
      <c r="H8" s="11">
        <v>141999911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15"/>
      <c r="B9" s="15">
        <f t="shared" ref="B9:H9" si="0">B7+B8</f>
        <v>24602613543</v>
      </c>
      <c r="C9" s="15">
        <f t="shared" si="0"/>
        <v>19379741420</v>
      </c>
      <c r="D9" s="15">
        <f t="shared" si="0"/>
        <v>26987618334</v>
      </c>
      <c r="E9" s="15">
        <f t="shared" si="0"/>
        <v>12029066216</v>
      </c>
      <c r="F9" s="15">
        <f t="shared" si="0"/>
        <v>21511572247</v>
      </c>
      <c r="G9" s="17">
        <f t="shared" si="0"/>
        <v>29191518745</v>
      </c>
      <c r="H9" s="17">
        <f t="shared" si="0"/>
        <v>12907439425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15"/>
      <c r="B10" s="15"/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9" t="s">
        <v>26</v>
      </c>
      <c r="B11" s="15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27</v>
      </c>
      <c r="B12" s="2">
        <v>21713791362</v>
      </c>
      <c r="C12" s="2">
        <v>16704416912</v>
      </c>
      <c r="D12" s="2">
        <v>23678576566</v>
      </c>
      <c r="E12" s="2">
        <v>10449325679</v>
      </c>
      <c r="F12" s="2">
        <v>18301471163</v>
      </c>
      <c r="G12" s="2">
        <v>25171934046</v>
      </c>
      <c r="H12" s="11">
        <v>10962018346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30</v>
      </c>
      <c r="B13" s="2">
        <v>477666814</v>
      </c>
      <c r="C13" s="2">
        <v>354283585</v>
      </c>
      <c r="D13" s="2">
        <v>461774152</v>
      </c>
      <c r="E13" s="2">
        <v>193982293</v>
      </c>
      <c r="F13" s="2">
        <v>375071739</v>
      </c>
      <c r="G13" s="2">
        <v>461967271</v>
      </c>
      <c r="H13" s="11">
        <v>195903007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33</v>
      </c>
      <c r="B14" s="2">
        <v>492745032</v>
      </c>
      <c r="C14" s="2">
        <v>402649151</v>
      </c>
      <c r="D14" s="2">
        <v>603973727</v>
      </c>
      <c r="E14" s="2">
        <v>217076563</v>
      </c>
      <c r="F14" s="2">
        <v>487486217</v>
      </c>
      <c r="G14" s="2">
        <v>737895873</v>
      </c>
      <c r="H14" s="11">
        <v>355678936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18">
        <f t="shared" ref="B15:H15" si="1">SUM(B12:B14)</f>
        <v>22684203208</v>
      </c>
      <c r="C15" s="18">
        <f t="shared" si="1"/>
        <v>17461349648</v>
      </c>
      <c r="D15" s="18">
        <f t="shared" si="1"/>
        <v>24744324445</v>
      </c>
      <c r="E15" s="18">
        <f t="shared" si="1"/>
        <v>10860384535</v>
      </c>
      <c r="F15" s="18">
        <f t="shared" si="1"/>
        <v>19164029119</v>
      </c>
      <c r="G15" s="18">
        <f t="shared" si="1"/>
        <v>26371797190</v>
      </c>
      <c r="H15" s="18">
        <f t="shared" si="1"/>
        <v>11513600289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9" t="s">
        <v>41</v>
      </c>
      <c r="B16" s="20">
        <f t="shared" ref="B16:D16" si="2">B9-B15</f>
        <v>1918410335</v>
      </c>
      <c r="C16" s="20">
        <f t="shared" si="2"/>
        <v>1918391772</v>
      </c>
      <c r="D16" s="20">
        <f t="shared" si="2"/>
        <v>2243293889</v>
      </c>
      <c r="E16" s="20">
        <f>E9-E15+1</f>
        <v>1168681682</v>
      </c>
      <c r="F16" s="20">
        <f t="shared" ref="F16:H16" si="3">F9-F15</f>
        <v>2347543128</v>
      </c>
      <c r="G16" s="20">
        <f t="shared" si="3"/>
        <v>2819721555</v>
      </c>
      <c r="H16" s="20">
        <f t="shared" si="3"/>
        <v>1393839136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15"/>
      <c r="B17" s="15"/>
      <c r="C17" s="1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9" t="s">
        <v>43</v>
      </c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45</v>
      </c>
      <c r="B19" s="2">
        <v>205881206</v>
      </c>
      <c r="C19" s="2">
        <v>161906857</v>
      </c>
      <c r="D19" s="2">
        <v>252651296</v>
      </c>
      <c r="E19" s="2">
        <v>63311236</v>
      </c>
      <c r="F19" s="2">
        <v>153639131</v>
      </c>
      <c r="G19" s="2">
        <v>242436916</v>
      </c>
      <c r="H19" s="11">
        <v>76609051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47</v>
      </c>
      <c r="B20" s="2">
        <v>1282520016</v>
      </c>
      <c r="C20" s="2">
        <v>751430134</v>
      </c>
      <c r="D20" s="2">
        <v>1121738533</v>
      </c>
      <c r="E20" s="2">
        <v>405880335</v>
      </c>
      <c r="F20" s="2">
        <v>779557158</v>
      </c>
      <c r="G20" s="2">
        <v>1196961762</v>
      </c>
      <c r="H20" s="11">
        <v>428197232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2" t="s">
        <v>49</v>
      </c>
      <c r="B21" s="2"/>
      <c r="C21" s="2">
        <v>2899621</v>
      </c>
      <c r="D21" s="2">
        <v>4921244</v>
      </c>
      <c r="E21" s="2">
        <v>1360224</v>
      </c>
      <c r="F21" s="16">
        <v>2349248</v>
      </c>
      <c r="G21" s="2">
        <v>323834</v>
      </c>
      <c r="H21" s="11">
        <v>1481430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 t="s">
        <v>51</v>
      </c>
      <c r="B22" s="2">
        <v>28550295</v>
      </c>
      <c r="C22" s="2">
        <v>26298302</v>
      </c>
      <c r="D22" s="2">
        <v>39447453</v>
      </c>
      <c r="E22" s="2">
        <v>16272474</v>
      </c>
      <c r="F22" s="2">
        <v>32544948</v>
      </c>
      <c r="G22" s="2">
        <v>48817422</v>
      </c>
      <c r="H22" s="11">
        <v>20424277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20">
        <f t="shared" ref="B23:H23" si="4">SUM(B19:B22)</f>
        <v>1516951517</v>
      </c>
      <c r="C23" s="20">
        <f t="shared" si="4"/>
        <v>942534914</v>
      </c>
      <c r="D23" s="20">
        <f t="shared" si="4"/>
        <v>1418758526</v>
      </c>
      <c r="E23" s="20">
        <f t="shared" si="4"/>
        <v>486824269</v>
      </c>
      <c r="F23" s="20">
        <f t="shared" si="4"/>
        <v>968090485</v>
      </c>
      <c r="G23" s="20">
        <f t="shared" si="4"/>
        <v>1488539934</v>
      </c>
      <c r="H23" s="20">
        <f t="shared" si="4"/>
        <v>526711990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9" t="s">
        <v>54</v>
      </c>
      <c r="B24" s="20">
        <f>B16-B23+1</f>
        <v>401458819</v>
      </c>
      <c r="C24" s="20">
        <f t="shared" ref="C24:H24" si="5">C16-C23</f>
        <v>975856858</v>
      </c>
      <c r="D24" s="20">
        <f t="shared" si="5"/>
        <v>824535363</v>
      </c>
      <c r="E24" s="20">
        <f t="shared" si="5"/>
        <v>681857413</v>
      </c>
      <c r="F24" s="20">
        <f t="shared" si="5"/>
        <v>1379452643</v>
      </c>
      <c r="G24" s="20">
        <f t="shared" si="5"/>
        <v>1331181621</v>
      </c>
      <c r="H24" s="20">
        <f t="shared" si="5"/>
        <v>867127146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15"/>
      <c r="B25" s="15"/>
      <c r="C25" s="15"/>
      <c r="D25" s="2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6" t="s">
        <v>59</v>
      </c>
      <c r="B26" s="15"/>
      <c r="C26" s="15"/>
      <c r="D26" s="2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 t="s">
        <v>63</v>
      </c>
      <c r="B27" s="2">
        <v>532627572</v>
      </c>
      <c r="C27" s="2">
        <v>72831116</v>
      </c>
      <c r="D27" s="2">
        <v>427868868</v>
      </c>
      <c r="E27" s="2">
        <v>4623951</v>
      </c>
      <c r="F27" s="2">
        <v>63992813</v>
      </c>
      <c r="G27" s="2">
        <v>351874950</v>
      </c>
      <c r="H27" s="11">
        <v>4669554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 t="s">
        <v>66</v>
      </c>
      <c r="B28" s="2">
        <v>348880122</v>
      </c>
      <c r="C28" s="2">
        <v>272129678</v>
      </c>
      <c r="D28" s="2">
        <v>420436932</v>
      </c>
      <c r="E28" s="2">
        <v>171236146</v>
      </c>
      <c r="F28" s="2">
        <v>349553762</v>
      </c>
      <c r="G28" s="2">
        <v>545386895</v>
      </c>
      <c r="H28" s="11">
        <v>232534651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 t="s">
        <v>68</v>
      </c>
      <c r="B29" s="2">
        <v>162408049</v>
      </c>
      <c r="C29" s="2">
        <v>320970507</v>
      </c>
      <c r="D29" s="2">
        <v>356125296</v>
      </c>
      <c r="E29" s="2">
        <v>9351593</v>
      </c>
      <c r="F29" s="2">
        <v>37697005</v>
      </c>
      <c r="G29" s="2">
        <v>111142360</v>
      </c>
      <c r="H29" s="11">
        <v>1212689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 t="s">
        <v>69</v>
      </c>
      <c r="B30" s="2">
        <v>12305400</v>
      </c>
      <c r="C30" s="2">
        <v>4143375</v>
      </c>
      <c r="D30" s="2">
        <v>28042681</v>
      </c>
      <c r="E30" s="2">
        <v>2825328</v>
      </c>
      <c r="F30" s="2">
        <v>2508940</v>
      </c>
      <c r="G30" s="2">
        <v>25678353</v>
      </c>
      <c r="H30" s="11">
        <v>3935077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15"/>
      <c r="B31" s="17">
        <f t="shared" ref="B31:H31" si="6">B27-B28-B29+B30</f>
        <v>33644801</v>
      </c>
      <c r="C31" s="17">
        <f t="shared" si="6"/>
        <v>-516125694</v>
      </c>
      <c r="D31" s="17">
        <f t="shared" si="6"/>
        <v>-320650679</v>
      </c>
      <c r="E31" s="17">
        <f t="shared" si="6"/>
        <v>-173138460</v>
      </c>
      <c r="F31" s="17">
        <f t="shared" si="6"/>
        <v>-320749014</v>
      </c>
      <c r="G31" s="17">
        <f t="shared" si="6"/>
        <v>-278975952</v>
      </c>
      <c r="H31" s="17">
        <f t="shared" si="6"/>
        <v>-225142709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9" t="s">
        <v>72</v>
      </c>
      <c r="B32" s="20">
        <f t="shared" ref="B32:H32" si="7">SUM(B24,B31)</f>
        <v>435103620</v>
      </c>
      <c r="C32" s="20">
        <f t="shared" si="7"/>
        <v>459731164</v>
      </c>
      <c r="D32" s="20">
        <f t="shared" si="7"/>
        <v>503884684</v>
      </c>
      <c r="E32" s="20">
        <f t="shared" si="7"/>
        <v>508718953</v>
      </c>
      <c r="F32" s="20">
        <f t="shared" si="7"/>
        <v>1058703629</v>
      </c>
      <c r="G32" s="20">
        <f t="shared" si="7"/>
        <v>1052205669</v>
      </c>
      <c r="H32" s="20">
        <f t="shared" si="7"/>
        <v>641984437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15"/>
      <c r="B33" s="15"/>
      <c r="C33" s="15"/>
      <c r="D33" s="2"/>
      <c r="E33" s="15"/>
      <c r="F33" s="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12" t="s">
        <v>78</v>
      </c>
      <c r="B34" s="15"/>
      <c r="C34" s="15"/>
      <c r="D34" s="15"/>
      <c r="E34" s="15"/>
      <c r="F34" s="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 t="s">
        <v>81</v>
      </c>
      <c r="B35" s="2">
        <v>-54304815</v>
      </c>
      <c r="C35" s="2">
        <v>49398902</v>
      </c>
      <c r="D35" s="2">
        <v>181376303</v>
      </c>
      <c r="E35" s="2">
        <v>-91294231</v>
      </c>
      <c r="F35" s="2">
        <v>-195444191</v>
      </c>
      <c r="G35" s="2">
        <v>-76555826</v>
      </c>
      <c r="H35" s="11">
        <v>-168374816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 t="s">
        <v>83</v>
      </c>
      <c r="B36" s="2">
        <v>-8541451</v>
      </c>
      <c r="C36" s="2">
        <v>-168512337</v>
      </c>
      <c r="D36" s="2">
        <v>-312018802</v>
      </c>
      <c r="E36" s="2">
        <v>-37858155</v>
      </c>
      <c r="F36" s="2">
        <v>-165195391</v>
      </c>
      <c r="G36" s="2">
        <v>-188473521</v>
      </c>
      <c r="H36" s="11">
        <v>-21730502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2"/>
      <c r="B37" s="2">
        <f t="shared" ref="B37:H37" si="8">B35+B36</f>
        <v>-62846266</v>
      </c>
      <c r="C37" s="2">
        <f t="shared" si="8"/>
        <v>-119113435</v>
      </c>
      <c r="D37" s="2">
        <f t="shared" si="8"/>
        <v>-130642499</v>
      </c>
      <c r="E37" s="2">
        <f t="shared" si="8"/>
        <v>-129152386</v>
      </c>
      <c r="F37" s="2">
        <f t="shared" si="8"/>
        <v>-360639582</v>
      </c>
      <c r="G37" s="2">
        <f t="shared" si="8"/>
        <v>-265029347</v>
      </c>
      <c r="H37" s="2">
        <f t="shared" si="8"/>
        <v>-190105318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9" t="s">
        <v>88</v>
      </c>
      <c r="B38" s="28">
        <f t="shared" ref="B38:H38" si="9">B32+B37</f>
        <v>372257354</v>
      </c>
      <c r="C38" s="28">
        <f t="shared" si="9"/>
        <v>340617729</v>
      </c>
      <c r="D38" s="28">
        <f t="shared" si="9"/>
        <v>373242185</v>
      </c>
      <c r="E38" s="28">
        <f t="shared" si="9"/>
        <v>379566567</v>
      </c>
      <c r="F38" s="28">
        <f t="shared" si="9"/>
        <v>698064047</v>
      </c>
      <c r="G38" s="28">
        <f t="shared" si="9"/>
        <v>787176322</v>
      </c>
      <c r="H38" s="28">
        <f t="shared" si="9"/>
        <v>451879119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5"/>
      <c r="B39" s="15"/>
      <c r="C39" s="15"/>
      <c r="D39" s="2"/>
      <c r="E39" s="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9" t="s">
        <v>89</v>
      </c>
      <c r="B40" s="30">
        <f>B38/('1'!B49/10)</f>
        <v>0.93633206013167736</v>
      </c>
      <c r="C40" s="30">
        <f>C38/('1'!C49/10)</f>
        <v>0.85674949463038252</v>
      </c>
      <c r="D40" s="30">
        <f>D38/('1'!D49/10)</f>
        <v>0.93880918739109354</v>
      </c>
      <c r="E40" s="30">
        <f>E38/('1'!E49/10)</f>
        <v>0.95471678980931862</v>
      </c>
      <c r="F40" s="30">
        <f>F38/('1'!F49/10)</f>
        <v>1.7558276307121152</v>
      </c>
      <c r="G40" s="30">
        <f>G38/('1'!G49/10)</f>
        <v>1.9799700935033788</v>
      </c>
      <c r="H40" s="30">
        <f>H38/('1'!H49/10)</f>
        <v>1.1366032189909474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5.75" customHeight="1" x14ac:dyDescent="0.25">
      <c r="A41" s="26" t="s">
        <v>92</v>
      </c>
      <c r="B41" s="2">
        <v>397569804.39999998</v>
      </c>
      <c r="C41" s="2">
        <v>397569804.39999998</v>
      </c>
      <c r="D41" s="2">
        <v>397569804.39999998</v>
      </c>
      <c r="E41" s="2">
        <v>397569804</v>
      </c>
      <c r="F41" s="2">
        <v>397569804</v>
      </c>
      <c r="G41" s="2">
        <v>397569804.39999998</v>
      </c>
      <c r="H41" s="2">
        <v>397569804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7" sqref="I17"/>
    </sheetView>
  </sheetViews>
  <sheetFormatPr defaultColWidth="12.625" defaultRowHeight="15" customHeight="1" x14ac:dyDescent="0.2"/>
  <cols>
    <col min="1" max="1" width="43.25" customWidth="1"/>
    <col min="2" max="2" width="14.875" customWidth="1"/>
    <col min="3" max="3" width="14.75" customWidth="1"/>
    <col min="4" max="4" width="14" customWidth="1"/>
    <col min="5" max="5" width="14.125" customWidth="1"/>
    <col min="6" max="6" width="15.5" customWidth="1"/>
    <col min="7" max="7" width="14" customWidth="1"/>
    <col min="8" max="8" width="13.625" customWidth="1"/>
    <col min="9" max="25" width="7.625" customWidth="1"/>
  </cols>
  <sheetData>
    <row r="1" spans="1:25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3" t="s">
        <v>3</v>
      </c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" t="s">
        <v>4</v>
      </c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4" t="s">
        <v>5</v>
      </c>
      <c r="C4" s="4" t="s">
        <v>6</v>
      </c>
      <c r="D4" s="4" t="s">
        <v>5</v>
      </c>
      <c r="E4" s="4" t="s">
        <v>7</v>
      </c>
      <c r="F4" s="4" t="s">
        <v>8</v>
      </c>
      <c r="G4" s="4" t="s">
        <v>5</v>
      </c>
      <c r="H4" s="4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5"/>
      <c r="B5" s="6">
        <v>42825</v>
      </c>
      <c r="C5" s="7">
        <v>43100</v>
      </c>
      <c r="D5" s="6">
        <v>43190</v>
      </c>
      <c r="E5" s="6">
        <v>43373</v>
      </c>
      <c r="F5" s="7">
        <v>43465</v>
      </c>
      <c r="G5" s="6">
        <v>43555</v>
      </c>
      <c r="H5" s="7">
        <v>43738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9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 t="s">
        <v>12</v>
      </c>
      <c r="B7" s="2">
        <v>24595288438</v>
      </c>
      <c r="C7" s="2">
        <v>19206729194</v>
      </c>
      <c r="D7" s="2">
        <v>27455983039</v>
      </c>
      <c r="E7" s="2">
        <v>10759889045</v>
      </c>
      <c r="F7" s="2">
        <v>21633479770</v>
      </c>
      <c r="G7" s="2">
        <v>29252454147</v>
      </c>
      <c r="H7" s="11">
        <v>11844545417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x14ac:dyDescent="0.25">
      <c r="A8" s="14" t="s">
        <v>16</v>
      </c>
      <c r="B8" s="2">
        <v>1430175031</v>
      </c>
      <c r="C8" s="2">
        <v>1092196562</v>
      </c>
      <c r="D8" s="2">
        <v>1540280843</v>
      </c>
      <c r="E8" s="2">
        <v>717725992</v>
      </c>
      <c r="F8" s="2">
        <v>1069187699</v>
      </c>
      <c r="G8" s="2">
        <v>1730076893</v>
      </c>
      <c r="H8" s="11">
        <v>745551480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x14ac:dyDescent="0.25">
      <c r="A9" s="14" t="s">
        <v>19</v>
      </c>
      <c r="B9" s="2">
        <v>1021339055</v>
      </c>
      <c r="C9" s="2">
        <v>739290578</v>
      </c>
      <c r="D9" s="2">
        <v>1049960758</v>
      </c>
      <c r="E9" s="2">
        <v>303117206</v>
      </c>
      <c r="F9" s="2">
        <v>699278170</v>
      </c>
      <c r="G9" s="2">
        <v>1007797522</v>
      </c>
      <c r="H9" s="11">
        <v>251889102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 t="s">
        <v>21</v>
      </c>
      <c r="B10" s="2">
        <v>532627571</v>
      </c>
      <c r="C10" s="2">
        <v>72831116</v>
      </c>
      <c r="D10" s="2">
        <v>427868867</v>
      </c>
      <c r="E10" s="2">
        <v>462395039</v>
      </c>
      <c r="F10" s="2">
        <v>63992813</v>
      </c>
      <c r="G10" s="2">
        <v>377553303</v>
      </c>
      <c r="H10" s="11">
        <v>295960363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23</v>
      </c>
      <c r="B11" s="2">
        <v>-23445088827</v>
      </c>
      <c r="C11" s="2">
        <v>-18340606673</v>
      </c>
      <c r="D11" s="2">
        <v>-24779046012</v>
      </c>
      <c r="E11" s="2">
        <v>-9772768308</v>
      </c>
      <c r="F11" s="2">
        <v>-19897864091</v>
      </c>
      <c r="G11" s="2">
        <v>-26601345347</v>
      </c>
      <c r="H11" s="11">
        <v>-10989972810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24</v>
      </c>
      <c r="B12" s="2">
        <v>-326172862</v>
      </c>
      <c r="C12" s="2">
        <v>-222631624</v>
      </c>
      <c r="D12" s="2">
        <v>-330105321</v>
      </c>
      <c r="E12" s="2"/>
      <c r="F12" s="2">
        <v>-769560286</v>
      </c>
      <c r="G12" s="2">
        <v>-353872319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25</v>
      </c>
      <c r="B13" s="2">
        <v>-1638181528</v>
      </c>
      <c r="C13" s="2">
        <v>-725600828</v>
      </c>
      <c r="D13" s="2">
        <v>-1061547544</v>
      </c>
      <c r="E13" s="2">
        <v>-394075646</v>
      </c>
      <c r="F13" s="2">
        <v>-325403512</v>
      </c>
      <c r="G13" s="2">
        <v>-1149472846</v>
      </c>
      <c r="H13" s="11">
        <v>-410775856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28</v>
      </c>
      <c r="B14" s="2">
        <v>-195881205</v>
      </c>
      <c r="C14" s="2">
        <v>-120807321</v>
      </c>
      <c r="D14" s="2">
        <v>-236130281</v>
      </c>
      <c r="E14" s="2">
        <v>-216975395</v>
      </c>
      <c r="F14" s="2">
        <v>-149933621</v>
      </c>
      <c r="G14" s="2">
        <v>-223763871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11" t="s">
        <v>31</v>
      </c>
      <c r="B15" s="2"/>
      <c r="C15" s="2"/>
      <c r="D15" s="2"/>
      <c r="E15" s="2"/>
      <c r="F15" s="2"/>
      <c r="G15" s="2"/>
      <c r="H15" s="11">
        <v>-220311625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34</v>
      </c>
      <c r="B16" s="2">
        <v>-137303967</v>
      </c>
      <c r="C16" s="2">
        <v>-131332284</v>
      </c>
      <c r="D16" s="2">
        <v>-131332285</v>
      </c>
      <c r="E16" s="2"/>
      <c r="F16" s="2">
        <v>-114080616</v>
      </c>
      <c r="G16" s="2">
        <v>-114080616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37</v>
      </c>
      <c r="B17" s="2">
        <v>-94618408</v>
      </c>
      <c r="C17" s="2">
        <v>-72969286</v>
      </c>
      <c r="D17" s="2">
        <v>-186330591</v>
      </c>
      <c r="E17" s="2">
        <v>-7596802</v>
      </c>
      <c r="F17" s="2">
        <v>-164360494</v>
      </c>
      <c r="G17" s="2">
        <v>-282640074</v>
      </c>
      <c r="H17" s="11">
        <v>-33910396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39</v>
      </c>
      <c r="B18" s="2">
        <v>-1503935648</v>
      </c>
      <c r="C18" s="2">
        <v>-1081859267</v>
      </c>
      <c r="D18" s="2">
        <v>-1525562771</v>
      </c>
      <c r="E18" s="2">
        <v>-1157929424</v>
      </c>
      <c r="F18" s="2">
        <v>-1240203865</v>
      </c>
      <c r="G18" s="2">
        <v>-1813829681</v>
      </c>
      <c r="H18" s="11">
        <v>-710389710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9"/>
      <c r="B19" s="20">
        <f t="shared" ref="B19:C19" si="0">SUM(B7:B18)</f>
        <v>238247650</v>
      </c>
      <c r="C19" s="20">
        <f t="shared" si="0"/>
        <v>415240167</v>
      </c>
      <c r="D19" s="20">
        <f t="shared" ref="D19:E19" si="1">SUM(D7:D18)+1</f>
        <v>2224038703</v>
      </c>
      <c r="E19" s="20">
        <f t="shared" si="1"/>
        <v>693781708</v>
      </c>
      <c r="F19" s="20">
        <f t="shared" ref="F19:H19" si="2">SUM(F7:F18)</f>
        <v>804531967</v>
      </c>
      <c r="G19" s="20">
        <f t="shared" si="2"/>
        <v>1828877111</v>
      </c>
      <c r="H19" s="20">
        <f t="shared" si="2"/>
        <v>772585965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9" t="s">
        <v>44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2" t="s">
        <v>46</v>
      </c>
      <c r="B22" s="2">
        <v>-281530622</v>
      </c>
      <c r="C22" s="2">
        <v>-268016293</v>
      </c>
      <c r="D22" s="2">
        <v>-423333683</v>
      </c>
      <c r="E22" s="2">
        <v>-81794165</v>
      </c>
      <c r="F22" s="2">
        <v>-102614453</v>
      </c>
      <c r="G22" s="2">
        <v>-363296326</v>
      </c>
      <c r="H22" s="11">
        <v>-216129718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2" t="s">
        <v>48</v>
      </c>
      <c r="B23" s="2">
        <v>-1598058999</v>
      </c>
      <c r="C23" s="2">
        <v>-2279981343</v>
      </c>
      <c r="D23" s="2">
        <v>-4981603681</v>
      </c>
      <c r="E23" s="2">
        <v>-665231708</v>
      </c>
      <c r="F23" s="2">
        <v>-1873274328</v>
      </c>
      <c r="G23" s="2">
        <v>-5335592861</v>
      </c>
      <c r="H23" s="11">
        <v>-1192152386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9"/>
      <c r="B24" s="20">
        <f t="shared" ref="B24:C24" si="3">SUM(B22:B23)</f>
        <v>-1879589621</v>
      </c>
      <c r="C24" s="20">
        <f t="shared" si="3"/>
        <v>-2547997636</v>
      </c>
      <c r="D24" s="20">
        <f>SUM(D22:D23)-1</f>
        <v>-5404937365</v>
      </c>
      <c r="E24" s="20">
        <f t="shared" ref="E24:H24" si="4">SUM(E22:E23)</f>
        <v>-747025873</v>
      </c>
      <c r="F24" s="20">
        <f t="shared" si="4"/>
        <v>-1975888781</v>
      </c>
      <c r="G24" s="20">
        <f t="shared" si="4"/>
        <v>-5698889187</v>
      </c>
      <c r="H24" s="20">
        <f t="shared" si="4"/>
        <v>-1408282104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9" t="s">
        <v>56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 t="s">
        <v>58</v>
      </c>
      <c r="B27" s="2">
        <v>997776031</v>
      </c>
      <c r="C27" s="2">
        <v>2338137165</v>
      </c>
      <c r="D27" s="2">
        <v>3453787751</v>
      </c>
      <c r="E27" s="2">
        <v>160552326</v>
      </c>
      <c r="F27" s="2">
        <v>1897829334</v>
      </c>
      <c r="G27" s="2">
        <v>4963012967</v>
      </c>
      <c r="H27" s="11">
        <v>683062289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 t="s">
        <v>61</v>
      </c>
      <c r="B28" s="2">
        <v>-81608658</v>
      </c>
      <c r="C28" s="2">
        <v>-59223683</v>
      </c>
      <c r="D28" s="2">
        <v>-400755591</v>
      </c>
      <c r="E28" s="2"/>
      <c r="F28" s="2">
        <v>-43331</v>
      </c>
      <c r="G28" s="2">
        <v>-107138522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 t="s">
        <v>64</v>
      </c>
      <c r="B29" s="16">
        <v>-354518387</v>
      </c>
      <c r="C29" s="2">
        <v>-365526529</v>
      </c>
      <c r="D29" s="2">
        <v>-371434373</v>
      </c>
      <c r="E29" s="2"/>
      <c r="F29" s="2">
        <v>-377639734</v>
      </c>
      <c r="G29" s="2">
        <v>-377639734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 t="s">
        <v>67</v>
      </c>
      <c r="B30" s="2">
        <v>346528087</v>
      </c>
      <c r="C30" s="2">
        <v>203357532</v>
      </c>
      <c r="D30" s="2">
        <v>302433407</v>
      </c>
      <c r="E30" s="2">
        <v>49659341</v>
      </c>
      <c r="F30" s="2">
        <v>105512987</v>
      </c>
      <c r="G30" s="2">
        <v>149606142</v>
      </c>
      <c r="H30" s="11">
        <v>52253644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7"/>
      <c r="B31" s="20">
        <f t="shared" ref="B31:H31" si="5">SUM(B27:B30)</f>
        <v>908177073</v>
      </c>
      <c r="C31" s="20">
        <f t="shared" si="5"/>
        <v>2116744485</v>
      </c>
      <c r="D31" s="20">
        <f t="shared" si="5"/>
        <v>2984031194</v>
      </c>
      <c r="E31" s="20">
        <f t="shared" si="5"/>
        <v>210211667</v>
      </c>
      <c r="F31" s="20">
        <f t="shared" si="5"/>
        <v>1625659256</v>
      </c>
      <c r="G31" s="20">
        <f t="shared" si="5"/>
        <v>4627840853</v>
      </c>
      <c r="H31" s="20">
        <f t="shared" si="5"/>
        <v>735315933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9" t="s">
        <v>73</v>
      </c>
      <c r="B33" s="20">
        <f t="shared" ref="B33:D33" si="6">SUM(B19,B24,B31)</f>
        <v>-733164898</v>
      </c>
      <c r="C33" s="20">
        <f t="shared" si="6"/>
        <v>-16012984</v>
      </c>
      <c r="D33" s="20">
        <f t="shared" si="6"/>
        <v>-196867468</v>
      </c>
      <c r="E33" s="20">
        <f t="shared" ref="E33:F33" si="7">SUM(E19,E24,E31)-1</f>
        <v>156967501</v>
      </c>
      <c r="F33" s="20">
        <f t="shared" si="7"/>
        <v>454302441</v>
      </c>
      <c r="G33" s="20">
        <f t="shared" ref="G33:H33" si="8">SUM(G19,G24,G31)</f>
        <v>757828777</v>
      </c>
      <c r="H33" s="20">
        <f t="shared" si="8"/>
        <v>99619794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26" t="s">
        <v>77</v>
      </c>
      <c r="B34" s="2">
        <v>15141555339</v>
      </c>
      <c r="C34" s="2">
        <v>15032516674</v>
      </c>
      <c r="D34" s="2">
        <v>15032516674</v>
      </c>
      <c r="E34" s="2">
        <v>14900053633</v>
      </c>
      <c r="F34" s="2">
        <v>14900053633</v>
      </c>
      <c r="G34" s="2">
        <v>14900053633</v>
      </c>
      <c r="H34" s="11">
        <v>4548337439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9" t="s">
        <v>80</v>
      </c>
      <c r="B35" s="28">
        <f t="shared" ref="B35:E35" si="9">B33+B34</f>
        <v>14408390441</v>
      </c>
      <c r="C35" s="28">
        <f t="shared" si="9"/>
        <v>15016503690</v>
      </c>
      <c r="D35" s="28">
        <f t="shared" si="9"/>
        <v>14835649206</v>
      </c>
      <c r="E35" s="28">
        <f t="shared" si="9"/>
        <v>15057021134</v>
      </c>
      <c r="F35" s="28">
        <f>F33+F34+2</f>
        <v>15354356076</v>
      </c>
      <c r="G35" s="28">
        <f t="shared" ref="G35:H35" si="10">G33+G34</f>
        <v>15657882410</v>
      </c>
      <c r="H35" s="28">
        <f t="shared" si="10"/>
        <v>4647957233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15"/>
      <c r="C36" s="1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9" t="s">
        <v>87</v>
      </c>
      <c r="B37" s="29">
        <f>B19/('1'!B49/10)</f>
        <v>0.59925992206464462</v>
      </c>
      <c r="C37" s="29">
        <f>C19/('1'!C49/10)</f>
        <v>1.0444459373031802</v>
      </c>
      <c r="D37" s="29">
        <f>D19/('1'!D49/10)</f>
        <v>5.5940835505766096</v>
      </c>
      <c r="E37" s="29">
        <f>E19/('1'!E49/10)</f>
        <v>1.7450563423574292</v>
      </c>
      <c r="F37" s="29">
        <f>F19/('1'!F49/10)</f>
        <v>2.0236244274728672</v>
      </c>
      <c r="G37" s="29">
        <f>G19/('1'!G49/10)</f>
        <v>4.6001408874603564</v>
      </c>
      <c r="H37" s="29">
        <f>H19/('1'!H49/10)</f>
        <v>1.9432712374705399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5.75" customHeight="1" x14ac:dyDescent="0.25">
      <c r="A38" s="9" t="s">
        <v>90</v>
      </c>
      <c r="B38" s="2">
        <v>397569804.39999998</v>
      </c>
      <c r="C38" s="2">
        <v>397569804.39999998</v>
      </c>
      <c r="D38" s="2">
        <v>397569804.39999998</v>
      </c>
      <c r="E38" s="2">
        <v>397569804</v>
      </c>
      <c r="F38" s="2">
        <v>397569804</v>
      </c>
      <c r="G38" s="2">
        <v>397569804.39999998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"/>
      <c r="B39" s="15"/>
      <c r="C39" s="1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875" customWidth="1"/>
    <col min="3" max="3" width="11.625" customWidth="1"/>
    <col min="4" max="4" width="10.75" customWidth="1"/>
    <col min="5" max="5" width="10.875" customWidth="1"/>
    <col min="6" max="6" width="11" customWidth="1"/>
    <col min="8" max="27" width="7.625" customWidth="1"/>
  </cols>
  <sheetData>
    <row r="1" spans="1:6" ht="15.75" x14ac:dyDescent="0.25">
      <c r="A1" s="1" t="s">
        <v>0</v>
      </c>
    </row>
    <row r="2" spans="1:6" x14ac:dyDescent="0.25">
      <c r="A2" s="32" t="s">
        <v>99</v>
      </c>
    </row>
    <row r="3" spans="1:6" ht="15.75" x14ac:dyDescent="0.25">
      <c r="A3" s="3" t="s">
        <v>4</v>
      </c>
    </row>
    <row r="4" spans="1: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8</v>
      </c>
    </row>
    <row r="5" spans="1:6" ht="15.75" x14ac:dyDescent="0.25">
      <c r="B5" s="6">
        <v>42825</v>
      </c>
      <c r="C5" s="7">
        <v>43100</v>
      </c>
      <c r="D5" s="6">
        <v>43190</v>
      </c>
      <c r="E5" s="6">
        <v>43373</v>
      </c>
      <c r="F5" s="7">
        <v>43465</v>
      </c>
    </row>
    <row r="6" spans="1:6" x14ac:dyDescent="0.25">
      <c r="A6" s="33" t="s">
        <v>100</v>
      </c>
      <c r="B6" s="34">
        <f>'2'!B38/'1'!B22</f>
        <v>8.246989719704367E-3</v>
      </c>
      <c r="C6" s="34">
        <f>'2'!C38/'1'!C22</f>
        <v>6.9438960337000833E-3</v>
      </c>
      <c r="D6" s="34">
        <f>'2'!D38/'1'!D22</f>
        <v>7.3353940250447608E-3</v>
      </c>
      <c r="E6" s="34">
        <f>'2'!E38/'1'!E22</f>
        <v>6.7367528872171369E-3</v>
      </c>
      <c r="F6" s="34">
        <f>'2'!F38/'1'!F22</f>
        <v>1.2233817509458948E-2</v>
      </c>
    </row>
    <row r="7" spans="1:6" x14ac:dyDescent="0.25">
      <c r="A7" s="33" t="s">
        <v>101</v>
      </c>
      <c r="B7" s="34">
        <f>'2'!B38/'1'!B53</f>
        <v>2.4975117443243423E-2</v>
      </c>
      <c r="C7" s="34">
        <f>'2'!C38/'1'!C53</f>
        <v>2.1623507529070132E-2</v>
      </c>
      <c r="D7" s="34">
        <f>'2'!D38/'1'!D53</f>
        <v>2.3884059503640104E-2</v>
      </c>
      <c r="E7" s="34">
        <f>'2'!E38/'1'!E53</f>
        <v>2.3237535980619773E-2</v>
      </c>
      <c r="F7" s="34">
        <f>'2'!F38/'1'!F53</f>
        <v>3.9600409282827966E-2</v>
      </c>
    </row>
    <row r="8" spans="1:6" x14ac:dyDescent="0.25">
      <c r="A8" s="33" t="s">
        <v>102</v>
      </c>
      <c r="B8" s="34">
        <f>('1'!B28+'1'!B39)/'1'!B53</f>
        <v>0.81208375080480488</v>
      </c>
      <c r="C8" s="34">
        <f>('1'!C28+'1'!C39)/'1'!C53</f>
        <v>0.93511756104253285</v>
      </c>
      <c r="D8" s="34">
        <f>('1'!D28+'1'!D39)/'1'!D53</f>
        <v>0.97710892546362771</v>
      </c>
      <c r="E8" s="34">
        <f>('1'!E28+'1'!E39)/'1'!E53</f>
        <v>1.0761927628994203</v>
      </c>
      <c r="F8" s="34">
        <f>('1'!F28+'1'!F39)/'1'!F53</f>
        <v>1.0738233688183236</v>
      </c>
    </row>
    <row r="9" spans="1:6" x14ac:dyDescent="0.25">
      <c r="A9" s="33" t="s">
        <v>103</v>
      </c>
      <c r="B9" s="35">
        <f>'1'!B21/'1'!B44</f>
        <v>2.6811381686400142</v>
      </c>
      <c r="C9" s="35">
        <f>'1'!C21/'1'!C44</f>
        <v>2.5995682875650434</v>
      </c>
      <c r="D9" s="35">
        <f>'1'!D21/'1'!D44</f>
        <v>2.3568954211140309</v>
      </c>
      <c r="E9" s="35">
        <f>'1'!E21/'1'!E44</f>
        <v>2.0340737245377238</v>
      </c>
      <c r="F9" s="35">
        <f>'1'!F21/'1'!F44</f>
        <v>2.3577427499102024</v>
      </c>
    </row>
    <row r="10" spans="1:6" x14ac:dyDescent="0.25">
      <c r="A10" s="33" t="s">
        <v>104</v>
      </c>
      <c r="B10" s="34">
        <f>'2'!B32/'2'!B9</f>
        <v>1.7685260114318091E-2</v>
      </c>
      <c r="C10" s="34">
        <f>'2'!C32/'2'!C9</f>
        <v>2.3722254803954963E-2</v>
      </c>
      <c r="D10" s="34">
        <f>'2'!D32/'2'!D9</f>
        <v>1.86709578356971E-2</v>
      </c>
      <c r="E10" s="34">
        <f>'2'!E32/'2'!E9</f>
        <v>4.229080993197519E-2</v>
      </c>
      <c r="F10" s="34">
        <f>'2'!F32/'2'!F9</f>
        <v>4.9215539284798049E-2</v>
      </c>
    </row>
    <row r="11" spans="1:6" x14ac:dyDescent="0.25">
      <c r="A11" s="36" t="s">
        <v>105</v>
      </c>
      <c r="B11" s="34">
        <f>'2'!B24/'2'!B9</f>
        <v>1.6317730565427027E-2</v>
      </c>
      <c r="C11" s="34">
        <f>'2'!C24/'2'!C9</f>
        <v>5.0354482903105735E-2</v>
      </c>
      <c r="D11" s="34">
        <f>'2'!D24/'2'!D9</f>
        <v>3.0552357484662507E-2</v>
      </c>
      <c r="E11" s="34">
        <f>'2'!E24/'2'!E9</f>
        <v>5.668415160048363E-2</v>
      </c>
      <c r="F11" s="34">
        <f>'2'!F24/'2'!F9</f>
        <v>6.4126072569724801E-2</v>
      </c>
    </row>
    <row r="12" spans="1:6" x14ac:dyDescent="0.25">
      <c r="A12" s="33" t="s">
        <v>106</v>
      </c>
      <c r="B12" s="34">
        <f>'2'!B38/('1'!B53+'1'!B28+'1'!B39)</f>
        <v>1.378254036666416E-2</v>
      </c>
      <c r="C12" s="34">
        <f>'2'!C38/('1'!C53+'1'!C28+'1'!C39)</f>
        <v>1.1174260398639863E-2</v>
      </c>
      <c r="D12" s="34">
        <f>'2'!D38/('1'!D53+'1'!D28+'1'!D39)</f>
        <v>1.2080295220982499E-2</v>
      </c>
      <c r="E12" s="34">
        <f>'2'!E38/('1'!E53+'1'!E28+'1'!E39)</f>
        <v>1.1192378856079028E-2</v>
      </c>
      <c r="F12" s="34">
        <f>'2'!F38/('1'!F53+'1'!F28+'1'!F39)</f>
        <v>1.9095362641897755E-2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2017-04-17T04:07:28Z</dcterms:created>
  <dcterms:modified xsi:type="dcterms:W3CDTF">2020-04-11T15:30:53Z</dcterms:modified>
</cp:coreProperties>
</file>