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m7cnlzADq0ZG7AB8Eavg+329+BQ=="/>
    </ext>
  </extLst>
</workbook>
</file>

<file path=xl/calcChain.xml><?xml version="1.0" encoding="utf-8"?>
<calcChain xmlns="http://schemas.openxmlformats.org/spreadsheetml/2006/main">
  <c r="F6" i="4" l="1"/>
  <c r="B6" i="4"/>
  <c r="I51" i="3"/>
  <c r="E51" i="3"/>
  <c r="I48" i="3"/>
  <c r="I45" i="3"/>
  <c r="H45" i="3"/>
  <c r="G45" i="3"/>
  <c r="F45" i="3"/>
  <c r="E45" i="3"/>
  <c r="D45" i="3"/>
  <c r="C45" i="3"/>
  <c r="B45" i="3"/>
  <c r="I32" i="3"/>
  <c r="H32" i="3"/>
  <c r="G32" i="3"/>
  <c r="F32" i="3"/>
  <c r="E32" i="3"/>
  <c r="D32" i="3"/>
  <c r="C32" i="3"/>
  <c r="B32" i="3"/>
  <c r="I15" i="3"/>
  <c r="I47" i="3" s="1"/>
  <c r="I49" i="3" s="1"/>
  <c r="H15" i="3"/>
  <c r="H51" i="3" s="1"/>
  <c r="G15" i="3"/>
  <c r="G51" i="3" s="1"/>
  <c r="F15" i="3"/>
  <c r="F47" i="3" s="1"/>
  <c r="F49" i="3" s="1"/>
  <c r="E15" i="3"/>
  <c r="E47" i="3" s="1"/>
  <c r="E49" i="3" s="1"/>
  <c r="D15" i="3"/>
  <c r="D51" i="3" s="1"/>
  <c r="C15" i="3"/>
  <c r="C51" i="3" s="1"/>
  <c r="B15" i="3"/>
  <c r="B47" i="3" s="1"/>
  <c r="B49" i="3" s="1"/>
  <c r="I23" i="2"/>
  <c r="H23" i="2"/>
  <c r="G23" i="2"/>
  <c r="F23" i="2"/>
  <c r="E23" i="2"/>
  <c r="D23" i="2"/>
  <c r="C23" i="2"/>
  <c r="B23" i="2"/>
  <c r="I9" i="2"/>
  <c r="I14" i="2" s="1"/>
  <c r="I21" i="2" s="1"/>
  <c r="I25" i="2" s="1"/>
  <c r="H9" i="2"/>
  <c r="H14" i="2" s="1"/>
  <c r="H21" i="2" s="1"/>
  <c r="H25" i="2" s="1"/>
  <c r="G9" i="2"/>
  <c r="G14" i="2" s="1"/>
  <c r="G21" i="2" s="1"/>
  <c r="G25" i="2" s="1"/>
  <c r="F9" i="2"/>
  <c r="F14" i="2" s="1"/>
  <c r="E9" i="2"/>
  <c r="E14" i="2" s="1"/>
  <c r="D9" i="2"/>
  <c r="D14" i="2" s="1"/>
  <c r="C9" i="2"/>
  <c r="C14" i="2" s="1"/>
  <c r="B9" i="2"/>
  <c r="B14" i="2" s="1"/>
  <c r="I48" i="1"/>
  <c r="I49" i="1" s="1"/>
  <c r="I51" i="1" s="1"/>
  <c r="H48" i="1"/>
  <c r="H49" i="1" s="1"/>
  <c r="H51" i="1" s="1"/>
  <c r="G48" i="1"/>
  <c r="G49" i="1" s="1"/>
  <c r="G51" i="1" s="1"/>
  <c r="F48" i="1"/>
  <c r="F49" i="1" s="1"/>
  <c r="F51" i="1" s="1"/>
  <c r="E48" i="1"/>
  <c r="E49" i="1" s="1"/>
  <c r="E51" i="1" s="1"/>
  <c r="D48" i="1"/>
  <c r="D49" i="1" s="1"/>
  <c r="D51" i="1" s="1"/>
  <c r="C48" i="1"/>
  <c r="C49" i="1" s="1"/>
  <c r="C51" i="1" s="1"/>
  <c r="B48" i="1"/>
  <c r="B49" i="1" s="1"/>
  <c r="B51" i="1" s="1"/>
  <c r="I37" i="1"/>
  <c r="H37" i="1"/>
  <c r="G37" i="1"/>
  <c r="F37" i="1"/>
  <c r="E37" i="1"/>
  <c r="D37" i="1"/>
  <c r="C37" i="1"/>
  <c r="B37" i="1"/>
  <c r="I32" i="1"/>
  <c r="I53" i="1" s="1"/>
  <c r="H32" i="1"/>
  <c r="H53" i="1" s="1"/>
  <c r="G32" i="1"/>
  <c r="G53" i="1" s="1"/>
  <c r="F32" i="1"/>
  <c r="E5" i="4" s="1"/>
  <c r="E32" i="1"/>
  <c r="E53" i="1" s="1"/>
  <c r="D32" i="1"/>
  <c r="F5" i="4" s="1"/>
  <c r="C32" i="1"/>
  <c r="B5" i="4" s="1"/>
  <c r="B32" i="1"/>
  <c r="B53" i="1" s="1"/>
  <c r="I21" i="1"/>
  <c r="H21" i="1"/>
  <c r="G21" i="1"/>
  <c r="F21" i="1"/>
  <c r="E6" i="4" s="1"/>
  <c r="E21" i="1"/>
  <c r="D6" i="4" s="1"/>
  <c r="D21" i="1"/>
  <c r="C21" i="1"/>
  <c r="C22" i="1" s="1"/>
  <c r="C57" i="1" s="1"/>
  <c r="B21" i="1"/>
  <c r="C6" i="4" s="1"/>
  <c r="I12" i="1"/>
  <c r="I22" i="1" s="1"/>
  <c r="H12" i="1"/>
  <c r="H22" i="1" s="1"/>
  <c r="G12" i="1"/>
  <c r="G22" i="1" s="1"/>
  <c r="F12" i="1"/>
  <c r="F22" i="1" s="1"/>
  <c r="F57" i="1" s="1"/>
  <c r="E12" i="1"/>
  <c r="E22" i="1" s="1"/>
  <c r="E57" i="1" s="1"/>
  <c r="D12" i="1"/>
  <c r="D22" i="1" s="1"/>
  <c r="C12" i="1"/>
  <c r="B12" i="1"/>
  <c r="B22" i="1" s="1"/>
  <c r="B57" i="1" s="1"/>
  <c r="G55" i="1" l="1"/>
  <c r="D55" i="1"/>
  <c r="H55" i="1"/>
  <c r="F8" i="4"/>
  <c r="D21" i="2"/>
  <c r="D25" i="2" s="1"/>
  <c r="H30" i="2"/>
  <c r="H28" i="2"/>
  <c r="C55" i="1"/>
  <c r="B8" i="4"/>
  <c r="C21" i="2"/>
  <c r="C25" i="2" s="1"/>
  <c r="E55" i="1"/>
  <c r="I55" i="1"/>
  <c r="E21" i="2"/>
  <c r="E25" i="2" s="1"/>
  <c r="D8" i="4"/>
  <c r="I30" i="2"/>
  <c r="I28" i="2"/>
  <c r="G30" i="2"/>
  <c r="G28" i="2"/>
  <c r="B55" i="1"/>
  <c r="F55" i="1"/>
  <c r="C8" i="4"/>
  <c r="B21" i="2"/>
  <c r="B25" i="2" s="1"/>
  <c r="E8" i="4"/>
  <c r="F21" i="2"/>
  <c r="F25" i="2" s="1"/>
  <c r="F53" i="1"/>
  <c r="C5" i="4"/>
  <c r="C53" i="1"/>
  <c r="C47" i="3"/>
  <c r="C49" i="3" s="1"/>
  <c r="G47" i="3"/>
  <c r="G49" i="3" s="1"/>
  <c r="B51" i="3"/>
  <c r="F51" i="3"/>
  <c r="D5" i="4"/>
  <c r="D53" i="1"/>
  <c r="D47" i="3"/>
  <c r="D49" i="3" s="1"/>
  <c r="H47" i="3"/>
  <c r="H49" i="3" s="1"/>
  <c r="E9" i="4" l="1"/>
  <c r="F30" i="2"/>
  <c r="F28" i="2"/>
  <c r="E4" i="4"/>
  <c r="E7" i="4"/>
  <c r="E3" i="4"/>
  <c r="C4" i="4"/>
  <c r="C9" i="4"/>
  <c r="B28" i="2"/>
  <c r="C7" i="4"/>
  <c r="C3" i="4"/>
  <c r="B30" i="2"/>
  <c r="B9" i="4"/>
  <c r="B4" i="4"/>
  <c r="B7" i="4"/>
  <c r="B3" i="4"/>
  <c r="C30" i="2"/>
  <c r="C28" i="2"/>
  <c r="D7" i="4"/>
  <c r="D3" i="4"/>
  <c r="E30" i="2"/>
  <c r="E28" i="2"/>
  <c r="D9" i="4"/>
  <c r="D4" i="4"/>
  <c r="F9" i="4"/>
  <c r="F4" i="4"/>
  <c r="D30" i="2"/>
  <c r="D28" i="2"/>
  <c r="F7" i="4"/>
  <c r="F3" i="4"/>
</calcChain>
</file>

<file path=xl/sharedStrings.xml><?xml version="1.0" encoding="utf-8"?>
<sst xmlns="http://schemas.openxmlformats.org/spreadsheetml/2006/main" count="149" uniqueCount="117">
  <si>
    <t>Doreen Power Generations and Systems Limited</t>
  </si>
  <si>
    <t>STATEMENT OF  CASH FLOW</t>
  </si>
  <si>
    <t>AS AT YEAR END</t>
  </si>
  <si>
    <t>Quarter 3</t>
  </si>
  <si>
    <t>Quarter 2</t>
  </si>
  <si>
    <t xml:space="preserve"> Quarter 1</t>
  </si>
  <si>
    <t>STATEMENT OF PROFIT &amp; LOSS</t>
  </si>
  <si>
    <t xml:space="preserve">STATEMENT OF FINANCIAL POSITION </t>
  </si>
  <si>
    <t>CASH FLOW FROM OPERATING ACTIVITIES</t>
  </si>
  <si>
    <t>Revenue</t>
  </si>
  <si>
    <t>ASSETS</t>
  </si>
  <si>
    <t>Receipt from customers</t>
  </si>
  <si>
    <t xml:space="preserve">
</t>
  </si>
  <si>
    <t>Transmission expenses</t>
  </si>
  <si>
    <t xml:space="preserve">Payment for direct expenses and administrative expenses </t>
  </si>
  <si>
    <t>Gross Profit</t>
  </si>
  <si>
    <t>NON CURRENT ASSETS</t>
  </si>
  <si>
    <t xml:space="preserve">Payment to suppliers </t>
  </si>
  <si>
    <t xml:space="preserve">Property,Plant  and  Equipment </t>
  </si>
  <si>
    <t>Payment for comission on bank guarantee and land mortgage expenses</t>
  </si>
  <si>
    <t>Financial Expense Paid</t>
  </si>
  <si>
    <t>Investment in shares of associate</t>
  </si>
  <si>
    <t>Interest payments</t>
  </si>
  <si>
    <t>Investments</t>
  </si>
  <si>
    <t xml:space="preserve">Operating Expenses </t>
  </si>
  <si>
    <t>Capital work in progress</t>
  </si>
  <si>
    <t>Other income</t>
  </si>
  <si>
    <t>General and Administrative Expenses</t>
  </si>
  <si>
    <t>Income tax paid</t>
  </si>
  <si>
    <t>Pre-operating revenue expenses of subsidiaries</t>
  </si>
  <si>
    <t>Net Cash generated from Operating Activities</t>
  </si>
  <si>
    <t>Operating Profit</t>
  </si>
  <si>
    <t xml:space="preserve">Preliminary Expenses </t>
  </si>
  <si>
    <t>CASH FLOW FROM INVESTING ACTIVITIES</t>
  </si>
  <si>
    <t>CURRENT ASSETS</t>
  </si>
  <si>
    <t xml:space="preserve">Acquisition of property, plant and equipment </t>
  </si>
  <si>
    <t>Finanace Income</t>
  </si>
  <si>
    <t>Inventories</t>
  </si>
  <si>
    <t>Capital Work-in-Progress</t>
  </si>
  <si>
    <t xml:space="preserve">Trade and other Receivables </t>
  </si>
  <si>
    <t>Investment/ Encashment in FDR</t>
  </si>
  <si>
    <t>Finance expenses</t>
  </si>
  <si>
    <t>Advances, Deposits &amp; Pre-Payments</t>
  </si>
  <si>
    <t xml:space="preserve">Interest received </t>
  </si>
  <si>
    <t>Current A/c with Subsidiaries &amp; Sister Concerns</t>
  </si>
  <si>
    <t>Loss on disposal of fixed assets</t>
  </si>
  <si>
    <t>Short term loan</t>
  </si>
  <si>
    <t>Contribution to WPP &amp; WF (5% on net profit)</t>
  </si>
  <si>
    <t>Investment in shares</t>
  </si>
  <si>
    <t>Cash and Cash Balance</t>
  </si>
  <si>
    <t>Profit before contribution to WPPF</t>
  </si>
  <si>
    <t>Investment in subordinate loan to Bancon Energy  Generation Ltd</t>
  </si>
  <si>
    <t>Received from /Paid to subsidiaries &amp; sister concerns</t>
  </si>
  <si>
    <t>Insurance claim</t>
  </si>
  <si>
    <t>TOTAL ASSETS</t>
  </si>
  <si>
    <t xml:space="preserve">Payment for Civil and Building Construcrtion </t>
  </si>
  <si>
    <t>Payment for Power Plant Machineries</t>
  </si>
  <si>
    <t>Advance Payments for land and Land Development</t>
  </si>
  <si>
    <t>Income Tax Expenses:</t>
  </si>
  <si>
    <t>Advance for Bank Guarantee</t>
  </si>
  <si>
    <t>Current Tax</t>
  </si>
  <si>
    <t>Payment for Office Renovation</t>
  </si>
  <si>
    <t>Net Cash used in investing activities</t>
  </si>
  <si>
    <t>Profit after tax carried forward</t>
  </si>
  <si>
    <t>CASH FLOW FROM FINANCING ACTIVITIES</t>
  </si>
  <si>
    <t>Other comprehensive Income</t>
  </si>
  <si>
    <t>Receipt/Repayment of short term borrowing</t>
  </si>
  <si>
    <t>Total comprehensive Income</t>
  </si>
  <si>
    <t>Receipt of long term borrowing</t>
  </si>
  <si>
    <t>EQUITY AND LIABILITIES</t>
  </si>
  <si>
    <t>Repayment of long term borrowing / bank loan</t>
  </si>
  <si>
    <t xml:space="preserve">Earning Per Share </t>
  </si>
  <si>
    <t>Loan received from sister Concern</t>
  </si>
  <si>
    <t>Total Equity</t>
  </si>
  <si>
    <t>Proceed from Share Issue</t>
  </si>
  <si>
    <t>Proceed from Capital issue</t>
  </si>
  <si>
    <t>Share Capital</t>
  </si>
  <si>
    <t xml:space="preserve">Share Premium Received </t>
  </si>
  <si>
    <t>Revaluation surplus</t>
  </si>
  <si>
    <t>Receipt from unsuccessful IPO applicants</t>
  </si>
  <si>
    <t>Share Premium</t>
  </si>
  <si>
    <t>Refund to unsuccessful IPO applicants</t>
  </si>
  <si>
    <t>Tax Holiday Reserve</t>
  </si>
  <si>
    <t>Dividend Payment (10% Cash to general investor)</t>
  </si>
  <si>
    <t>Retained Earnings</t>
  </si>
  <si>
    <t>Net cash flow from financing activities</t>
  </si>
  <si>
    <t>Non controlling interest</t>
  </si>
  <si>
    <t>Non Current Liabilities</t>
  </si>
  <si>
    <t xml:space="preserve">Net increase in cash and cash equivalents </t>
  </si>
  <si>
    <t>Long-term bank loan- net off current maturity</t>
  </si>
  <si>
    <t>Doreen Ijara bond net off current maturity</t>
  </si>
  <si>
    <t>Deferred Tax Liability</t>
  </si>
  <si>
    <t>Opening Cash and cash equivalents</t>
  </si>
  <si>
    <t>Closing Cash and cash equivalents</t>
  </si>
  <si>
    <t>CURRENT LIABILITIES</t>
  </si>
  <si>
    <t>Trade Payables</t>
  </si>
  <si>
    <t>Current portion of long term loan</t>
  </si>
  <si>
    <t>Net Operating Cash Flow per Share</t>
  </si>
  <si>
    <t>Current portion of doreen ijara bond</t>
  </si>
  <si>
    <t>WPP &amp; welfare fund</t>
  </si>
  <si>
    <t xml:space="preserve">Short term bank loan </t>
  </si>
  <si>
    <t>Current account with sister concern</t>
  </si>
  <si>
    <t>Liabilities for Expenses</t>
  </si>
  <si>
    <t xml:space="preserve">Provision for taxation </t>
  </si>
  <si>
    <t>Total Liabilities</t>
  </si>
  <si>
    <t>TOTAL SHAREHOLDERS' EQUITY &amp; LIABILITIES</t>
  </si>
  <si>
    <t>Net assets value per share (NAVPS)</t>
  </si>
  <si>
    <t>Check</t>
  </si>
  <si>
    <t>Deviation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</si>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</sst>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d\-mmm\-yy"/>
    <numFmt numFmtId="165" formatCode="_(* #,##0.00_);_(* \(#,##0.00\);_(* &quot;-&quot;_);_(@_)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1" fontId="1" fillId="0" borderId="0" xfId="0" applyNumberFormat="1" applyFont="1"/>
    <xf numFmtId="41" fontId="1" fillId="0" borderId="0" xfId="0" applyNumberFormat="1" applyFont="1" applyAlignment="1">
      <alignment horizontal="right"/>
    </xf>
    <xf numFmtId="4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/>
    <xf numFmtId="41" fontId="3" fillId="0" borderId="0" xfId="0" applyNumberFormat="1" applyFont="1"/>
    <xf numFmtId="41" fontId="3" fillId="0" borderId="0" xfId="0" applyNumberFormat="1" applyFont="1" applyAlignment="1">
      <alignment horizontal="center"/>
    </xf>
    <xf numFmtId="41" fontId="5" fillId="0" borderId="0" xfId="0" applyNumberFormat="1" applyFont="1" applyAlignment="1"/>
    <xf numFmtId="41" fontId="1" fillId="0" borderId="0" xfId="0" applyNumberFormat="1" applyFont="1" applyAlignment="1"/>
    <xf numFmtId="41" fontId="6" fillId="0" borderId="0" xfId="0" applyNumberFormat="1" applyFont="1"/>
    <xf numFmtId="41" fontId="3" fillId="0" borderId="1" xfId="0" applyNumberFormat="1" applyFont="1" applyBorder="1"/>
    <xf numFmtId="41" fontId="3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center"/>
    </xf>
    <xf numFmtId="3" fontId="7" fillId="0" borderId="0" xfId="0" applyNumberFormat="1" applyFont="1" applyAlignment="1"/>
    <xf numFmtId="41" fontId="8" fillId="0" borderId="2" xfId="0" applyNumberFormat="1" applyFont="1" applyBorder="1"/>
    <xf numFmtId="41" fontId="1" fillId="0" borderId="0" xfId="0" applyNumberFormat="1" applyFont="1" applyAlignment="1">
      <alignment wrapText="1"/>
    </xf>
    <xf numFmtId="41" fontId="5" fillId="0" borderId="0" xfId="0" applyNumberFormat="1" applyFont="1" applyAlignment="1">
      <alignment wrapText="1"/>
    </xf>
    <xf numFmtId="41" fontId="1" fillId="0" borderId="0" xfId="0" applyNumberFormat="1" applyFont="1" applyAlignment="1">
      <alignment vertical="top"/>
    </xf>
    <xf numFmtId="41" fontId="5" fillId="0" borderId="0" xfId="0" applyNumberFormat="1" applyFont="1" applyAlignment="1">
      <alignment vertical="top"/>
    </xf>
    <xf numFmtId="41" fontId="3" fillId="0" borderId="3" xfId="0" applyNumberFormat="1" applyFont="1" applyBorder="1"/>
    <xf numFmtId="41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41" fontId="3" fillId="0" borderId="4" xfId="0" applyNumberFormat="1" applyFont="1" applyBorder="1"/>
    <xf numFmtId="41" fontId="2" fillId="0" borderId="0" xfId="0" applyNumberFormat="1" applyFont="1" applyAlignment="1">
      <alignment horizontal="center"/>
    </xf>
    <xf numFmtId="165" fontId="3" fillId="0" borderId="0" xfId="0" applyNumberFormat="1" applyFont="1"/>
    <xf numFmtId="165" fontId="1" fillId="0" borderId="0" xfId="0" applyNumberFormat="1" applyFont="1"/>
    <xf numFmtId="0" fontId="7" fillId="0" borderId="0" xfId="0" applyFont="1"/>
    <xf numFmtId="41" fontId="9" fillId="0" borderId="2" xfId="0" applyNumberFormat="1" applyFont="1" applyBorder="1"/>
    <xf numFmtId="41" fontId="9" fillId="0" borderId="0" xfId="0" applyNumberFormat="1" applyFont="1"/>
    <xf numFmtId="41" fontId="3" fillId="0" borderId="2" xfId="0" applyNumberFormat="1" applyFont="1" applyBorder="1"/>
    <xf numFmtId="41" fontId="3" fillId="0" borderId="5" xfId="0" applyNumberFormat="1" applyFont="1" applyBorder="1"/>
    <xf numFmtId="41" fontId="3" fillId="0" borderId="6" xfId="0" applyNumberFormat="1" applyFont="1" applyBorder="1"/>
    <xf numFmtId="165" fontId="3" fillId="2" borderId="0" xfId="0" applyNumberFormat="1" applyFont="1" applyFill="1"/>
    <xf numFmtId="1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3.125" customWidth="1"/>
    <col min="2" max="3" width="15.75" customWidth="1"/>
    <col min="4" max="5" width="16.625" customWidth="1"/>
    <col min="6" max="6" width="14.625" customWidth="1"/>
    <col min="7" max="7" width="13.25" customWidth="1"/>
    <col min="8" max="8" width="14.625" customWidth="1"/>
    <col min="9" max="9" width="13.25" customWidth="1"/>
    <col min="10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3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3" t="s">
        <v>2</v>
      </c>
      <c r="B4" s="2" t="s">
        <v>3</v>
      </c>
      <c r="C4" s="2" t="s">
        <v>4</v>
      </c>
      <c r="D4" s="2" t="s">
        <v>3</v>
      </c>
      <c r="E4" s="2" t="s">
        <v>5</v>
      </c>
      <c r="F4" s="2" t="s">
        <v>4</v>
      </c>
      <c r="G4" s="2" t="s">
        <v>3</v>
      </c>
      <c r="H4" s="2" t="s">
        <v>5</v>
      </c>
      <c r="I4" s="2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8"/>
      <c r="B5" s="5">
        <v>42825</v>
      </c>
      <c r="C5" s="5">
        <v>43100</v>
      </c>
      <c r="D5" s="6">
        <v>43190</v>
      </c>
      <c r="E5" s="5">
        <v>43373</v>
      </c>
      <c r="F5" s="5">
        <v>43465</v>
      </c>
      <c r="G5" s="6">
        <v>43555</v>
      </c>
      <c r="H5" s="7">
        <v>43738</v>
      </c>
      <c r="I5" s="7">
        <v>43830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10" t="s">
        <v>10</v>
      </c>
      <c r="B6" s="1"/>
      <c r="C6" s="1"/>
      <c r="D6" s="1"/>
      <c r="E6" s="1"/>
      <c r="F6" s="1"/>
      <c r="G6" s="1"/>
      <c r="H6" s="12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9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18</v>
      </c>
      <c r="B8" s="1">
        <v>10287084640</v>
      </c>
      <c r="C8" s="1">
        <v>9979590192</v>
      </c>
      <c r="D8" s="1">
        <v>10013669687</v>
      </c>
      <c r="E8" s="1">
        <v>9811725213</v>
      </c>
      <c r="F8" s="1">
        <v>9734433243</v>
      </c>
      <c r="G8" s="1">
        <v>9634178525</v>
      </c>
      <c r="H8" s="11">
        <v>9420508252</v>
      </c>
      <c r="I8" s="11">
        <v>9310673700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21</v>
      </c>
      <c r="B9" s="1">
        <v>2750000</v>
      </c>
      <c r="C9" s="1">
        <v>751187730</v>
      </c>
      <c r="D9" s="1">
        <v>44891867</v>
      </c>
      <c r="E9" s="1">
        <v>754549736</v>
      </c>
      <c r="F9" s="1">
        <v>754544736</v>
      </c>
      <c r="G9" s="1">
        <v>2875000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1" t="s">
        <v>23</v>
      </c>
      <c r="B10" s="1"/>
      <c r="C10" s="1"/>
      <c r="D10" s="1"/>
      <c r="E10" s="1"/>
      <c r="F10" s="1"/>
      <c r="G10" s="1"/>
      <c r="H10" s="11">
        <v>755084600</v>
      </c>
      <c r="I10" s="11">
        <v>755130494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25</v>
      </c>
      <c r="B11" s="1"/>
      <c r="C11" s="16">
        <v>60150974</v>
      </c>
      <c r="D11" s="1">
        <v>751221793</v>
      </c>
      <c r="E11" s="2">
        <v>42448899</v>
      </c>
      <c r="F11" s="1">
        <v>42448899</v>
      </c>
      <c r="G11" s="1">
        <v>754607254</v>
      </c>
      <c r="H11" s="17">
        <v>3709134</v>
      </c>
      <c r="I11" s="11">
        <v>7373935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4">
        <f t="shared" ref="B12:I12" si="0">SUM(B8:B11)</f>
        <v>10289834640</v>
      </c>
      <c r="C12" s="14">
        <f t="shared" si="0"/>
        <v>10790928896</v>
      </c>
      <c r="D12" s="14">
        <f t="shared" si="0"/>
        <v>10809783347</v>
      </c>
      <c r="E12" s="14">
        <f t="shared" si="0"/>
        <v>10608723848</v>
      </c>
      <c r="F12" s="14">
        <f t="shared" si="0"/>
        <v>10531426878</v>
      </c>
      <c r="G12" s="14">
        <f t="shared" si="0"/>
        <v>10391660779</v>
      </c>
      <c r="H12" s="14">
        <f t="shared" si="0"/>
        <v>10179301986</v>
      </c>
      <c r="I12" s="14">
        <f t="shared" si="0"/>
        <v>10073178129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" t="s">
        <v>32</v>
      </c>
      <c r="B13" s="16"/>
      <c r="C13" s="1"/>
      <c r="D13" s="1"/>
      <c r="E13" s="1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37</v>
      </c>
      <c r="B16" s="1">
        <v>1078833574</v>
      </c>
      <c r="C16" s="1">
        <v>540745200</v>
      </c>
      <c r="D16" s="1">
        <v>586776019</v>
      </c>
      <c r="E16" s="1">
        <v>484744517</v>
      </c>
      <c r="F16" s="1">
        <v>726010100</v>
      </c>
      <c r="G16" s="1">
        <v>951793348</v>
      </c>
      <c r="H16" s="11">
        <v>744758982</v>
      </c>
      <c r="I16" s="11">
        <v>682651111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39</v>
      </c>
      <c r="B17" s="1">
        <v>1028218875</v>
      </c>
      <c r="C17" s="1">
        <v>1187761673</v>
      </c>
      <c r="D17" s="1">
        <v>1150063986</v>
      </c>
      <c r="E17" s="1">
        <v>2673133303</v>
      </c>
      <c r="F17" s="1">
        <v>1553280305</v>
      </c>
      <c r="G17" s="1">
        <v>1178685942</v>
      </c>
      <c r="H17" s="11">
        <v>1917306579</v>
      </c>
      <c r="I17" s="11">
        <v>1015639505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42</v>
      </c>
      <c r="B18" s="1">
        <v>342221058</v>
      </c>
      <c r="C18" s="1">
        <v>349181305</v>
      </c>
      <c r="D18" s="1">
        <v>346735175</v>
      </c>
      <c r="E18" s="1">
        <v>362030402</v>
      </c>
      <c r="F18" s="1">
        <v>379594728</v>
      </c>
      <c r="G18" s="1">
        <v>378816891</v>
      </c>
      <c r="H18" s="11">
        <v>531215847</v>
      </c>
      <c r="I18" s="11">
        <v>657859297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44</v>
      </c>
      <c r="B19" s="16">
        <v>128903570</v>
      </c>
      <c r="C19" s="16">
        <v>137470486</v>
      </c>
      <c r="D19" s="1">
        <v>293448829</v>
      </c>
      <c r="E19" s="16">
        <v>647976668</v>
      </c>
      <c r="F19" s="1">
        <v>856960354</v>
      </c>
      <c r="G19" s="1">
        <v>533308341</v>
      </c>
      <c r="H19" s="11">
        <v>1052503405</v>
      </c>
      <c r="I19" s="11">
        <v>1230517659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49</v>
      </c>
      <c r="B20" s="1">
        <v>3941925</v>
      </c>
      <c r="C20" s="1">
        <v>378320024</v>
      </c>
      <c r="D20" s="1">
        <v>95465907</v>
      </c>
      <c r="E20" s="1">
        <v>6589923</v>
      </c>
      <c r="F20" s="1">
        <v>300720485</v>
      </c>
      <c r="G20" s="1">
        <v>31431845</v>
      </c>
      <c r="H20" s="11">
        <v>4036322</v>
      </c>
      <c r="I20" s="11">
        <v>4721178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4">
        <f t="shared" ref="B21:G21" si="1">SUM(B16:B20)</f>
        <v>2582119002</v>
      </c>
      <c r="C21" s="14">
        <f t="shared" si="1"/>
        <v>2593478688</v>
      </c>
      <c r="D21" s="14">
        <f t="shared" si="1"/>
        <v>2472489916</v>
      </c>
      <c r="E21" s="14">
        <f t="shared" si="1"/>
        <v>4174474813</v>
      </c>
      <c r="F21" s="14">
        <f t="shared" si="1"/>
        <v>3816565972</v>
      </c>
      <c r="G21" s="14">
        <f t="shared" si="1"/>
        <v>3074036367</v>
      </c>
      <c r="H21" s="14">
        <f>SUM(H16:H20)+1</f>
        <v>4249821136</v>
      </c>
      <c r="I21" s="14">
        <f>SUM(I16:I20)</f>
        <v>3591388750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" t="s">
        <v>54</v>
      </c>
      <c r="B22" s="23">
        <f>SUM(B12,B21)</f>
        <v>12871953642</v>
      </c>
      <c r="C22" s="23">
        <f>SUM(C21,C13, C12)</f>
        <v>13384407584</v>
      </c>
      <c r="D22" s="23">
        <f>SUM(D12,D21)</f>
        <v>13282273263</v>
      </c>
      <c r="E22" s="23">
        <f>SUM(E12,E21)+1</f>
        <v>14783198662</v>
      </c>
      <c r="F22" s="23">
        <f>SUM(F12,F21)</f>
        <v>14347992850</v>
      </c>
      <c r="G22" s="23">
        <f>SUM(G12,G21)+1</f>
        <v>13465697147</v>
      </c>
      <c r="H22" s="23">
        <f t="shared" ref="H22:I22" si="2">SUM(H12,H21)</f>
        <v>14429123122</v>
      </c>
      <c r="I22" s="23">
        <f t="shared" si="2"/>
        <v>13664566879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7" t="s">
        <v>69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" t="s">
        <v>73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 t="s">
        <v>76</v>
      </c>
      <c r="B26" s="1">
        <v>960000000</v>
      </c>
      <c r="C26" s="1">
        <v>1056000000</v>
      </c>
      <c r="D26" s="1">
        <v>1056000000</v>
      </c>
      <c r="E26" s="1">
        <v>1056000000</v>
      </c>
      <c r="F26" s="1">
        <v>1161600000</v>
      </c>
      <c r="G26" s="1">
        <v>1161600000</v>
      </c>
      <c r="H26" s="11">
        <v>1161600000</v>
      </c>
      <c r="I26" s="11">
        <v>1312608000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78</v>
      </c>
      <c r="B27" s="1">
        <v>751215169</v>
      </c>
      <c r="C27" s="16">
        <v>728155620</v>
      </c>
      <c r="D27" s="1">
        <v>720828726</v>
      </c>
      <c r="E27" s="1">
        <v>706174940</v>
      </c>
      <c r="F27" s="1">
        <v>2444476322</v>
      </c>
      <c r="G27" s="1">
        <v>691521153</v>
      </c>
      <c r="H27" s="11">
        <v>676867367</v>
      </c>
      <c r="I27" s="11">
        <v>669540473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 t="s">
        <v>80</v>
      </c>
      <c r="B28" s="1">
        <v>361849889</v>
      </c>
      <c r="C28" s="1">
        <v>361849889</v>
      </c>
      <c r="D28" s="1">
        <v>361849889</v>
      </c>
      <c r="E28" s="1">
        <v>361849889</v>
      </c>
      <c r="F28" s="1">
        <v>361849889</v>
      </c>
      <c r="G28" s="1">
        <v>361849889</v>
      </c>
      <c r="H28" s="11">
        <v>361849889</v>
      </c>
      <c r="I28" s="11">
        <v>361849889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82</v>
      </c>
      <c r="B29" s="16"/>
      <c r="C29" s="1"/>
      <c r="D29" s="1"/>
      <c r="E29" s="1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 t="s">
        <v>84</v>
      </c>
      <c r="B30" s="16">
        <v>1199171771</v>
      </c>
      <c r="C30" s="16">
        <v>1727461591</v>
      </c>
      <c r="D30" s="1">
        <v>1935211328</v>
      </c>
      <c r="E30" s="1">
        <v>2422620604</v>
      </c>
      <c r="F30" s="1">
        <v>698848047</v>
      </c>
      <c r="G30" s="1">
        <v>2619823331</v>
      </c>
      <c r="H30" s="11">
        <v>3215114942</v>
      </c>
      <c r="I30" s="11">
        <v>3157455870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 t="s">
        <v>86</v>
      </c>
      <c r="B31" s="1">
        <v>14776017</v>
      </c>
      <c r="C31" s="1">
        <v>56168789</v>
      </c>
      <c r="D31" s="1">
        <v>57007715</v>
      </c>
      <c r="E31" s="1">
        <v>57694946</v>
      </c>
      <c r="F31" s="1">
        <v>58375474</v>
      </c>
      <c r="G31" s="1">
        <v>59049081</v>
      </c>
      <c r="H31" s="11">
        <v>25372149</v>
      </c>
      <c r="I31" s="11">
        <v>26154046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4">
        <f t="shared" ref="B32:I32" si="3">SUM(B26:B31)</f>
        <v>3287012846</v>
      </c>
      <c r="C32" s="14">
        <f t="shared" si="3"/>
        <v>3929635889</v>
      </c>
      <c r="D32" s="14">
        <f t="shared" si="3"/>
        <v>4130897658</v>
      </c>
      <c r="E32" s="14">
        <f t="shared" si="3"/>
        <v>4604340379</v>
      </c>
      <c r="F32" s="14">
        <f t="shared" si="3"/>
        <v>4725149732</v>
      </c>
      <c r="G32" s="14">
        <f t="shared" si="3"/>
        <v>4893843454</v>
      </c>
      <c r="H32" s="14">
        <f t="shared" si="3"/>
        <v>5440804347</v>
      </c>
      <c r="I32" s="14">
        <f t="shared" si="3"/>
        <v>5527608278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9" t="s">
        <v>87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 t="s">
        <v>89</v>
      </c>
      <c r="B34" s="1">
        <v>6174290677</v>
      </c>
      <c r="C34" s="1">
        <v>5700362535</v>
      </c>
      <c r="D34" s="1">
        <v>5543496155</v>
      </c>
      <c r="E34" s="1">
        <v>5210665185</v>
      </c>
      <c r="F34" s="1">
        <v>4984422141</v>
      </c>
      <c r="G34" s="1">
        <v>4950992731</v>
      </c>
      <c r="H34" s="11">
        <v>4574587654</v>
      </c>
      <c r="I34" s="11">
        <v>4385324931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 t="s">
        <v>91</v>
      </c>
      <c r="B36" s="1"/>
      <c r="C36" s="1">
        <v>1078870</v>
      </c>
      <c r="D36" s="1">
        <v>1078870</v>
      </c>
      <c r="E36" s="1">
        <v>1078870</v>
      </c>
      <c r="F36" s="1">
        <v>1078870</v>
      </c>
      <c r="G36" s="1">
        <v>1078870</v>
      </c>
      <c r="H36" s="11">
        <v>1078870</v>
      </c>
      <c r="I36" s="11">
        <v>1078870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4">
        <f t="shared" ref="B37:I37" si="4">SUM(B34:B36)</f>
        <v>6174290677</v>
      </c>
      <c r="C37" s="14">
        <f t="shared" si="4"/>
        <v>5701441405</v>
      </c>
      <c r="D37" s="14">
        <f t="shared" si="4"/>
        <v>5544575025</v>
      </c>
      <c r="E37" s="14">
        <f t="shared" si="4"/>
        <v>5211744055</v>
      </c>
      <c r="F37" s="14">
        <f t="shared" si="4"/>
        <v>4985501011</v>
      </c>
      <c r="G37" s="14">
        <f t="shared" si="4"/>
        <v>4952071601</v>
      </c>
      <c r="H37" s="14">
        <f t="shared" si="4"/>
        <v>4575666524</v>
      </c>
      <c r="I37" s="14">
        <f t="shared" si="4"/>
        <v>4386403801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9" t="s">
        <v>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 t="s">
        <v>95</v>
      </c>
      <c r="B39" s="1">
        <v>1897286375</v>
      </c>
      <c r="C39" s="1">
        <v>1964738885</v>
      </c>
      <c r="D39" s="1">
        <v>1956146119</v>
      </c>
      <c r="E39" s="1">
        <v>221871825</v>
      </c>
      <c r="F39" s="1">
        <v>203922757</v>
      </c>
      <c r="G39" s="1">
        <v>187943533</v>
      </c>
      <c r="H39" s="11">
        <v>253409433</v>
      </c>
      <c r="I39" s="11">
        <v>244047853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 t="s">
        <v>96</v>
      </c>
      <c r="B40" s="1">
        <v>921286756</v>
      </c>
      <c r="C40" s="1">
        <v>784104929</v>
      </c>
      <c r="D40" s="1">
        <v>745054229</v>
      </c>
      <c r="E40" s="1">
        <v>705852962</v>
      </c>
      <c r="F40" s="1">
        <v>887954053</v>
      </c>
      <c r="G40" s="1">
        <v>780987452</v>
      </c>
      <c r="H40" s="11">
        <v>851576089</v>
      </c>
      <c r="I40" s="11">
        <v>851576089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 t="s">
        <v>98</v>
      </c>
      <c r="B41" s="16"/>
      <c r="C41" s="1"/>
      <c r="D41" s="1"/>
      <c r="E41" s="1"/>
      <c r="F41" s="1"/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 t="s">
        <v>99</v>
      </c>
      <c r="B42" s="1">
        <v>16869348</v>
      </c>
      <c r="C42" s="16">
        <v>16529348</v>
      </c>
      <c r="D42" s="1">
        <v>16529348</v>
      </c>
      <c r="E42" s="1">
        <v>9279348</v>
      </c>
      <c r="F42" s="1">
        <v>9279348</v>
      </c>
      <c r="G42" s="1">
        <v>9279348</v>
      </c>
      <c r="H42" s="11">
        <v>9279348</v>
      </c>
      <c r="I42" s="11">
        <v>9279348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 t="s">
        <v>100</v>
      </c>
      <c r="B43" s="1">
        <v>329742155</v>
      </c>
      <c r="C43" s="1">
        <v>519971678</v>
      </c>
      <c r="D43" s="1">
        <v>669775457</v>
      </c>
      <c r="E43" s="1">
        <v>3923213574</v>
      </c>
      <c r="F43" s="1">
        <v>3399226095</v>
      </c>
      <c r="G43" s="1">
        <v>2559296705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" t="s">
        <v>46</v>
      </c>
      <c r="B44" s="1"/>
      <c r="C44" s="1"/>
      <c r="D44" s="1"/>
      <c r="E44" s="1"/>
      <c r="F44" s="1"/>
      <c r="G44" s="1"/>
      <c r="H44" s="11">
        <v>3208191861</v>
      </c>
      <c r="I44" s="11">
        <v>2496172201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 t="s">
        <v>101</v>
      </c>
      <c r="B45" s="1">
        <v>142019377</v>
      </c>
      <c r="C45" s="16">
        <v>336517959</v>
      </c>
      <c r="D45" s="1">
        <v>112547427</v>
      </c>
      <c r="E45" s="1"/>
      <c r="F45" s="1"/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 t="s">
        <v>102</v>
      </c>
      <c r="B46" s="1">
        <v>101715788</v>
      </c>
      <c r="C46" s="1">
        <v>130025387</v>
      </c>
      <c r="D46" s="1">
        <v>105386952</v>
      </c>
      <c r="E46" s="1">
        <v>105630668</v>
      </c>
      <c r="F46" s="1">
        <v>135728557</v>
      </c>
      <c r="G46" s="1">
        <v>81028946</v>
      </c>
      <c r="H46" s="11">
        <v>89606185</v>
      </c>
      <c r="I46" s="11">
        <v>148743857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 t="s">
        <v>103</v>
      </c>
      <c r="B47" s="1">
        <v>1730320</v>
      </c>
      <c r="C47" s="1">
        <v>1442104</v>
      </c>
      <c r="D47" s="1">
        <v>1361048</v>
      </c>
      <c r="E47" s="1">
        <v>1265851</v>
      </c>
      <c r="F47" s="1">
        <v>1231297</v>
      </c>
      <c r="G47" s="1">
        <v>1246108</v>
      </c>
      <c r="H47" s="11">
        <v>589336</v>
      </c>
      <c r="I47" s="11">
        <v>735452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9"/>
      <c r="B48" s="14">
        <f t="shared" ref="B48:G48" si="5">SUM(B39:B47)</f>
        <v>3410650119</v>
      </c>
      <c r="C48" s="14">
        <f t="shared" si="5"/>
        <v>3753330290</v>
      </c>
      <c r="D48" s="14">
        <f t="shared" si="5"/>
        <v>3606800580</v>
      </c>
      <c r="E48" s="14">
        <f t="shared" si="5"/>
        <v>4967114228</v>
      </c>
      <c r="F48" s="14">
        <f t="shared" si="5"/>
        <v>4637342107</v>
      </c>
      <c r="G48" s="14">
        <f t="shared" si="5"/>
        <v>3619782092</v>
      </c>
      <c r="H48" s="14">
        <f>SUM(H39:H47)-1</f>
        <v>4412652251</v>
      </c>
      <c r="I48" s="14">
        <f>SUM(I39:I47)</f>
        <v>3750554800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9" t="s">
        <v>104</v>
      </c>
      <c r="B49" s="14">
        <f t="shared" ref="B49:I49" si="6">SUM(B48,B37)</f>
        <v>9584940796</v>
      </c>
      <c r="C49" s="14">
        <f t="shared" si="6"/>
        <v>9454771695</v>
      </c>
      <c r="D49" s="14">
        <f t="shared" si="6"/>
        <v>9151375605</v>
      </c>
      <c r="E49" s="14">
        <f t="shared" si="6"/>
        <v>10178858283</v>
      </c>
      <c r="F49" s="14">
        <f t="shared" si="6"/>
        <v>9622843118</v>
      </c>
      <c r="G49" s="14">
        <f t="shared" si="6"/>
        <v>8571853693</v>
      </c>
      <c r="H49" s="14">
        <f t="shared" si="6"/>
        <v>8988318775</v>
      </c>
      <c r="I49" s="14">
        <f t="shared" si="6"/>
        <v>8136958601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9"/>
      <c r="B50" s="9"/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9" t="s">
        <v>105</v>
      </c>
      <c r="B51" s="35">
        <f t="shared" ref="B51:I51" si="7">SUM(B49,B32)</f>
        <v>12871953642</v>
      </c>
      <c r="C51" s="35">
        <f t="shared" si="7"/>
        <v>13384407584</v>
      </c>
      <c r="D51" s="35">
        <f t="shared" si="7"/>
        <v>13282273263</v>
      </c>
      <c r="E51" s="35">
        <f t="shared" si="7"/>
        <v>14783198662</v>
      </c>
      <c r="F51" s="35">
        <f t="shared" si="7"/>
        <v>14347992850</v>
      </c>
      <c r="G51" s="35">
        <f t="shared" si="7"/>
        <v>13465697147</v>
      </c>
      <c r="H51" s="35">
        <f t="shared" si="7"/>
        <v>14429123122</v>
      </c>
      <c r="I51" s="35">
        <f t="shared" si="7"/>
        <v>13664566879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8" t="s">
        <v>106</v>
      </c>
      <c r="B53" s="36">
        <f>B32/(B26/10)</f>
        <v>34.239717145833332</v>
      </c>
      <c r="C53" s="28">
        <f t="shared" ref="C53:I53" si="8">C32/(C26/10)</f>
        <v>37.212461070075754</v>
      </c>
      <c r="D53" s="28">
        <f t="shared" si="8"/>
        <v>39.118349034090912</v>
      </c>
      <c r="E53" s="28">
        <f t="shared" si="8"/>
        <v>43.601708134469696</v>
      </c>
      <c r="F53" s="28">
        <f t="shared" si="8"/>
        <v>40.677941907713496</v>
      </c>
      <c r="G53" s="28">
        <f t="shared" si="8"/>
        <v>42.13019502410468</v>
      </c>
      <c r="H53" s="28">
        <f t="shared" si="8"/>
        <v>46.838880397727273</v>
      </c>
      <c r="I53" s="28">
        <f t="shared" si="8"/>
        <v>42.111645502693875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 t="s">
        <v>107</v>
      </c>
      <c r="B55" s="1" t="str">
        <f t="shared" ref="B55:I55" si="9">IF(B51=B22,"Balanced","Not Balanced")</f>
        <v>Balanced</v>
      </c>
      <c r="C55" s="1" t="str">
        <f t="shared" si="9"/>
        <v>Balanced</v>
      </c>
      <c r="D55" s="1" t="str">
        <f t="shared" si="9"/>
        <v>Balanced</v>
      </c>
      <c r="E55" s="1" t="str">
        <f t="shared" si="9"/>
        <v>Balanced</v>
      </c>
      <c r="F55" s="1" t="str">
        <f t="shared" si="9"/>
        <v>Balanced</v>
      </c>
      <c r="G55" s="1" t="str">
        <f t="shared" si="9"/>
        <v>Balanced</v>
      </c>
      <c r="H55" s="1" t="str">
        <f t="shared" si="9"/>
        <v>Balanced</v>
      </c>
      <c r="I55" s="1" t="str">
        <f t="shared" si="9"/>
        <v>Balanced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 t="s">
        <v>108</v>
      </c>
      <c r="B57" s="1">
        <f t="shared" ref="B57:C57" si="10">(B22/B51)-1</f>
        <v>0</v>
      </c>
      <c r="C57" s="1">
        <f t="shared" si="10"/>
        <v>0</v>
      </c>
      <c r="D57" s="1"/>
      <c r="E57" s="1">
        <f t="shared" ref="E57:F57" si="11">(E22/E51)-1</f>
        <v>0</v>
      </c>
      <c r="F57" s="1">
        <f t="shared" si="11"/>
        <v>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conditionalFormatting sqref="B55:I55">
    <cfRule type="cellIs" dxfId="1" priority="1" operator="equal">
      <formula>"Not Balanced"</formula>
    </cfRule>
  </conditionalFormatting>
  <conditionalFormatting sqref="B55:I55">
    <cfRule type="cellIs" dxfId="0" priority="2" operator="equal">
      <formula>"Balanced"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2.625" customWidth="1"/>
    <col min="2" max="2" width="12.125" customWidth="1"/>
    <col min="3" max="3" width="14.75" customWidth="1"/>
    <col min="4" max="4" width="15.75" customWidth="1"/>
    <col min="5" max="5" width="15" customWidth="1"/>
    <col min="6" max="6" width="13.5" customWidth="1"/>
    <col min="7" max="7" width="13.875" customWidth="1"/>
    <col min="8" max="8" width="12.875" customWidth="1"/>
    <col min="9" max="9" width="12.75" customWidth="1"/>
    <col min="10" max="26" width="7.625" customWidth="1"/>
  </cols>
  <sheetData>
    <row r="1" spans="1:26" x14ac:dyDescent="0.25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3" t="s">
        <v>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3" t="s">
        <v>6</v>
      </c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3" t="s">
        <v>2</v>
      </c>
      <c r="B4" s="2" t="s">
        <v>3</v>
      </c>
      <c r="C4" s="2" t="s">
        <v>4</v>
      </c>
      <c r="D4" s="2" t="s">
        <v>3</v>
      </c>
      <c r="E4" s="2" t="s">
        <v>5</v>
      </c>
      <c r="F4" s="2" t="s">
        <v>4</v>
      </c>
      <c r="G4" s="2" t="s">
        <v>3</v>
      </c>
      <c r="H4" s="2" t="s">
        <v>5</v>
      </c>
      <c r="I4" s="2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4"/>
      <c r="B5" s="5">
        <v>42825</v>
      </c>
      <c r="C5" s="5">
        <v>43100</v>
      </c>
      <c r="D5" s="6">
        <v>43190</v>
      </c>
      <c r="E5" s="5">
        <v>43373</v>
      </c>
      <c r="F5" s="5">
        <v>43465</v>
      </c>
      <c r="G5" s="6">
        <v>43555</v>
      </c>
      <c r="H5" s="7">
        <v>43738</v>
      </c>
      <c r="I5" s="7">
        <v>43830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x14ac:dyDescent="0.25">
      <c r="A6" s="1"/>
      <c r="B6" s="1"/>
      <c r="C6" s="3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9</v>
      </c>
      <c r="B7" s="1">
        <v>3543413058</v>
      </c>
      <c r="C7" s="1">
        <v>3301390051</v>
      </c>
      <c r="D7" s="1">
        <v>4776067323</v>
      </c>
      <c r="E7" s="1">
        <v>2541611700</v>
      </c>
      <c r="F7" s="2">
        <v>4022736240</v>
      </c>
      <c r="G7" s="1">
        <v>5119537975</v>
      </c>
      <c r="H7" s="11">
        <v>1945988660</v>
      </c>
      <c r="I7" s="11">
        <v>2908699505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13</v>
      </c>
      <c r="B8" s="1">
        <v>2471835419</v>
      </c>
      <c r="C8" s="1">
        <v>2538650123</v>
      </c>
      <c r="D8" s="1">
        <v>3666483545</v>
      </c>
      <c r="E8" s="1">
        <v>2082075818</v>
      </c>
      <c r="F8" s="2">
        <v>3250437515</v>
      </c>
      <c r="G8" s="1">
        <v>4038147917</v>
      </c>
      <c r="H8" s="11">
        <v>1496273561</v>
      </c>
      <c r="I8" s="11">
        <v>2140286495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9" t="s">
        <v>15</v>
      </c>
      <c r="B9" s="14">
        <f t="shared" ref="B9:I9" si="0">B7-B8</f>
        <v>1071577639</v>
      </c>
      <c r="C9" s="14">
        <f t="shared" si="0"/>
        <v>762739928</v>
      </c>
      <c r="D9" s="14">
        <f t="shared" si="0"/>
        <v>1109583778</v>
      </c>
      <c r="E9" s="14">
        <f t="shared" si="0"/>
        <v>459535882</v>
      </c>
      <c r="F9" s="14">
        <f t="shared" si="0"/>
        <v>772298725</v>
      </c>
      <c r="G9" s="14">
        <f t="shared" si="0"/>
        <v>1081390058</v>
      </c>
      <c r="H9" s="14">
        <f t="shared" si="0"/>
        <v>449715099</v>
      </c>
      <c r="I9" s="14">
        <f t="shared" si="0"/>
        <v>768413010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/>
      <c r="B10" s="1"/>
      <c r="C10" s="9"/>
      <c r="D10" s="1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9" t="s">
        <v>24</v>
      </c>
      <c r="B11" s="1"/>
      <c r="C11" s="9"/>
      <c r="D11" s="1"/>
      <c r="E11" s="9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27</v>
      </c>
      <c r="B12" s="1">
        <v>43179608</v>
      </c>
      <c r="C12" s="1">
        <v>69462576</v>
      </c>
      <c r="D12" s="1">
        <v>95827925</v>
      </c>
      <c r="E12" s="1">
        <v>31474669</v>
      </c>
      <c r="F12" s="2">
        <v>60782628</v>
      </c>
      <c r="G12" s="1">
        <v>92045185</v>
      </c>
      <c r="H12" s="11">
        <v>38234133</v>
      </c>
      <c r="I12" s="11">
        <v>74959925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29</v>
      </c>
      <c r="B13" s="1">
        <v>94924736</v>
      </c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 t="s">
        <v>31</v>
      </c>
      <c r="B14" s="14">
        <f t="shared" ref="B14:G14" si="1">B9-SUM(B12:B13)</f>
        <v>933473295</v>
      </c>
      <c r="C14" s="14">
        <f t="shared" si="1"/>
        <v>693277352</v>
      </c>
      <c r="D14" s="14">
        <f t="shared" si="1"/>
        <v>1013755853</v>
      </c>
      <c r="E14" s="14">
        <f t="shared" si="1"/>
        <v>428061213</v>
      </c>
      <c r="F14" s="14">
        <f t="shared" si="1"/>
        <v>711516097</v>
      </c>
      <c r="G14" s="14">
        <f t="shared" si="1"/>
        <v>989344873</v>
      </c>
      <c r="H14" s="14">
        <f>H9-SUM(H12:H13)+1</f>
        <v>411480967</v>
      </c>
      <c r="I14" s="14">
        <f>I9-SUM(I12:I13)-1</f>
        <v>693453084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"/>
      <c r="B15" s="1"/>
      <c r="C15" s="9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36</v>
      </c>
      <c r="B16" s="1">
        <v>1557658</v>
      </c>
      <c r="C16" s="1">
        <v>958699</v>
      </c>
      <c r="D16" s="1">
        <v>1040657</v>
      </c>
      <c r="E16" s="1">
        <v>245597</v>
      </c>
      <c r="F16" s="2">
        <v>658326</v>
      </c>
      <c r="G16" s="1">
        <v>714569</v>
      </c>
      <c r="H16" s="11">
        <v>420629</v>
      </c>
      <c r="I16" s="11">
        <v>892103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26</v>
      </c>
      <c r="B17" s="1"/>
      <c r="C17" s="1"/>
      <c r="D17" s="1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41</v>
      </c>
      <c r="B18" s="1">
        <v>372933903</v>
      </c>
      <c r="C18" s="1">
        <v>249248176</v>
      </c>
      <c r="D18" s="1">
        <v>368454723</v>
      </c>
      <c r="E18" s="1">
        <v>140526763</v>
      </c>
      <c r="F18" s="2">
        <v>260110764</v>
      </c>
      <c r="G18" s="1">
        <v>369287250</v>
      </c>
      <c r="H18" s="11">
        <v>128071519</v>
      </c>
      <c r="I18" s="11">
        <v>257622054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45</v>
      </c>
      <c r="B19" s="16"/>
      <c r="C19" s="16"/>
      <c r="D19" s="1"/>
      <c r="E19" s="16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47</v>
      </c>
      <c r="B20" s="1">
        <v>7718880</v>
      </c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" t="s">
        <v>50</v>
      </c>
      <c r="B21" s="14">
        <f t="shared" ref="B21:C21" si="2">SUM(B16:B17)-SUM(B18:B20)+B14</f>
        <v>554378170</v>
      </c>
      <c r="C21" s="14">
        <f t="shared" si="2"/>
        <v>444987875</v>
      </c>
      <c r="D21" s="14">
        <f>D14-D18-D19-D20+D16+D17</f>
        <v>646341787</v>
      </c>
      <c r="E21" s="14">
        <f t="shared" ref="E21:F21" si="3">SUM(E16:E17)-SUM(E18:E20)+E14</f>
        <v>287780047</v>
      </c>
      <c r="F21" s="14">
        <f t="shared" si="3"/>
        <v>452063659</v>
      </c>
      <c r="G21" s="14">
        <f t="shared" ref="G21:I21" si="4">G14-G18-G19-G20+G16+G17</f>
        <v>620772192</v>
      </c>
      <c r="H21" s="14">
        <f t="shared" si="4"/>
        <v>283830077</v>
      </c>
      <c r="I21" s="14">
        <f t="shared" si="4"/>
        <v>436723133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"/>
      <c r="B22" s="9"/>
      <c r="C22" s="9"/>
      <c r="D22" s="1"/>
      <c r="E22" s="9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" t="s">
        <v>58</v>
      </c>
      <c r="B23" s="9">
        <f t="shared" ref="B23:I23" si="5">SUM(B24)</f>
        <v>389415</v>
      </c>
      <c r="C23" s="9">
        <f t="shared" si="5"/>
        <v>280553</v>
      </c>
      <c r="D23" s="15">
        <f t="shared" si="5"/>
        <v>372695</v>
      </c>
      <c r="E23" s="9">
        <f t="shared" si="5"/>
        <v>62755</v>
      </c>
      <c r="F23" s="15">
        <f t="shared" si="5"/>
        <v>187010</v>
      </c>
      <c r="G23" s="15">
        <f t="shared" si="5"/>
        <v>201821</v>
      </c>
      <c r="H23" s="15">
        <f t="shared" si="5"/>
        <v>-17061</v>
      </c>
      <c r="I23" s="15">
        <f t="shared" si="5"/>
        <v>129055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" t="s">
        <v>60</v>
      </c>
      <c r="B24" s="1">
        <v>389415</v>
      </c>
      <c r="C24" s="1">
        <v>280553</v>
      </c>
      <c r="D24" s="1">
        <v>372695</v>
      </c>
      <c r="E24" s="1">
        <v>62755</v>
      </c>
      <c r="F24" s="2">
        <v>187010</v>
      </c>
      <c r="G24" s="1">
        <v>201821</v>
      </c>
      <c r="H24" s="11">
        <v>-17061</v>
      </c>
      <c r="I24" s="11">
        <v>129055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" t="s">
        <v>63</v>
      </c>
      <c r="B25" s="15">
        <f t="shared" ref="B25:H25" si="6">B21-B23</f>
        <v>553988755</v>
      </c>
      <c r="C25" s="15">
        <f t="shared" si="6"/>
        <v>444707322</v>
      </c>
      <c r="D25" s="15">
        <f t="shared" si="6"/>
        <v>645969092</v>
      </c>
      <c r="E25" s="15">
        <f t="shared" si="6"/>
        <v>287717292</v>
      </c>
      <c r="F25" s="15">
        <f t="shared" si="6"/>
        <v>451876649</v>
      </c>
      <c r="G25" s="15">
        <f t="shared" si="6"/>
        <v>620570371</v>
      </c>
      <c r="H25" s="15">
        <f t="shared" si="6"/>
        <v>283847138</v>
      </c>
      <c r="I25" s="15">
        <f>I21-I23-1</f>
        <v>436594077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"/>
      <c r="B26" s="1"/>
      <c r="C26" s="9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65</v>
      </c>
      <c r="B27" s="16"/>
      <c r="C27" s="9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9" t="s">
        <v>67</v>
      </c>
      <c r="B28" s="9">
        <f t="shared" ref="B28:I28" si="7">SUM(B25,B27)</f>
        <v>553988755</v>
      </c>
      <c r="C28" s="9">
        <f t="shared" si="7"/>
        <v>444707322</v>
      </c>
      <c r="D28" s="15">
        <f t="shared" si="7"/>
        <v>645969092</v>
      </c>
      <c r="E28" s="9">
        <f t="shared" si="7"/>
        <v>287717292</v>
      </c>
      <c r="F28" s="15">
        <f t="shared" si="7"/>
        <v>451876649</v>
      </c>
      <c r="G28" s="15">
        <f t="shared" si="7"/>
        <v>620570371</v>
      </c>
      <c r="H28" s="15">
        <f t="shared" si="7"/>
        <v>283847138</v>
      </c>
      <c r="I28" s="15">
        <f t="shared" si="7"/>
        <v>436594077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9"/>
      <c r="B29" s="9"/>
      <c r="C29" s="9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8" t="s">
        <v>71</v>
      </c>
      <c r="B30" s="29">
        <f>B25/('1'!B26/10)</f>
        <v>5.7707161979166663</v>
      </c>
      <c r="C30" s="29">
        <f>C25/('1'!C26/10)</f>
        <v>4.2112435795454548</v>
      </c>
      <c r="D30" s="29">
        <f>D25/('1'!D26/10)</f>
        <v>6.117131553030303</v>
      </c>
      <c r="E30" s="29">
        <f>E25/('1'!E26/10)</f>
        <v>2.7245955681818184</v>
      </c>
      <c r="F30" s="29">
        <f>F25/('1'!F26/10)</f>
        <v>3.8901226670110192</v>
      </c>
      <c r="G30" s="29">
        <f>G25/('1'!G26/10)</f>
        <v>5.3423757834022041</v>
      </c>
      <c r="H30" s="29">
        <f>H25/('1'!H26/10)</f>
        <v>2.4435876205234162</v>
      </c>
      <c r="I30" s="29">
        <f>I25/('1'!I26/10)</f>
        <v>3.3261573676223213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2" sqref="C22"/>
    </sheetView>
  </sheetViews>
  <sheetFormatPr defaultColWidth="12.625" defaultRowHeight="15" customHeight="1" x14ac:dyDescent="0.2"/>
  <cols>
    <col min="1" max="1" width="47.875" customWidth="1"/>
    <col min="2" max="4" width="13.125" customWidth="1"/>
    <col min="5" max="5" width="13.375" customWidth="1"/>
    <col min="6" max="6" width="13.125" customWidth="1"/>
    <col min="7" max="7" width="14.25" customWidth="1"/>
    <col min="8" max="8" width="14" customWidth="1"/>
    <col min="9" max="9" width="13" customWidth="1"/>
    <col min="10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3" t="s">
        <v>2</v>
      </c>
      <c r="B4" s="2" t="s">
        <v>3</v>
      </c>
      <c r="C4" s="2" t="s">
        <v>4</v>
      </c>
      <c r="D4" s="2" t="s">
        <v>3</v>
      </c>
      <c r="E4" s="2" t="s">
        <v>5</v>
      </c>
      <c r="F4" s="2" t="s">
        <v>4</v>
      </c>
      <c r="G4" s="2" t="s">
        <v>3</v>
      </c>
      <c r="H4" s="2" t="s">
        <v>5</v>
      </c>
      <c r="I4" s="2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4"/>
      <c r="B5" s="5">
        <v>42825</v>
      </c>
      <c r="C5" s="5">
        <v>43100</v>
      </c>
      <c r="D5" s="6">
        <v>43190</v>
      </c>
      <c r="E5" s="5">
        <v>43373</v>
      </c>
      <c r="F5" s="5">
        <v>43465</v>
      </c>
      <c r="G5" s="6">
        <v>43555</v>
      </c>
      <c r="H5" s="7">
        <v>43738</v>
      </c>
      <c r="I5" s="7">
        <v>43830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9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11</v>
      </c>
      <c r="B7" s="1">
        <v>2857291885</v>
      </c>
      <c r="C7" s="1">
        <v>3356868608</v>
      </c>
      <c r="D7" s="1">
        <v>4869284901</v>
      </c>
      <c r="E7" s="1">
        <v>1302368357</v>
      </c>
      <c r="F7" s="1">
        <v>3898517549</v>
      </c>
      <c r="G7" s="1">
        <v>5367049920</v>
      </c>
      <c r="H7" s="11">
        <v>1532527971</v>
      </c>
      <c r="I7" s="11">
        <v>3397004471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3" t="s">
        <v>14</v>
      </c>
      <c r="B8" s="1">
        <v>-184975650</v>
      </c>
      <c r="C8" s="1">
        <v>-70460961</v>
      </c>
      <c r="D8" s="1">
        <v>-104764490</v>
      </c>
      <c r="E8" s="1">
        <v>-22276207</v>
      </c>
      <c r="F8" s="1">
        <v>-61651946</v>
      </c>
      <c r="G8" s="1">
        <v>-4114981484</v>
      </c>
      <c r="H8" s="11">
        <v>-56605419</v>
      </c>
      <c r="I8" s="11">
        <v>-114064769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3" t="s">
        <v>17</v>
      </c>
      <c r="B9" s="1">
        <v>-1780491325</v>
      </c>
      <c r="C9" s="1">
        <v>-1801391276</v>
      </c>
      <c r="D9" s="1">
        <v>-2834212282</v>
      </c>
      <c r="E9" s="1">
        <v>-1923485849</v>
      </c>
      <c r="F9" s="1">
        <v>-3219116999</v>
      </c>
      <c r="G9" s="1">
        <v>-92763632</v>
      </c>
      <c r="H9" s="11">
        <v>-1047058674</v>
      </c>
      <c r="I9" s="11">
        <v>-1454796766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19</v>
      </c>
      <c r="B10" s="1">
        <v>-5089841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20</v>
      </c>
      <c r="B11" s="1"/>
      <c r="C11" s="1">
        <v>-249248176</v>
      </c>
      <c r="D11" s="1">
        <v>-368454723</v>
      </c>
      <c r="E11" s="1">
        <v>-139932592</v>
      </c>
      <c r="F11" s="1">
        <v>-258922422</v>
      </c>
      <c r="G11" s="1">
        <v>-367504734</v>
      </c>
      <c r="H11" s="11">
        <v>-129185043</v>
      </c>
      <c r="I11" s="11">
        <v>-257622054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22</v>
      </c>
      <c r="B12" s="1">
        <v>-522921853</v>
      </c>
      <c r="C12" s="1">
        <v>-1250122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26</v>
      </c>
      <c r="B13" s="1">
        <v>1557658</v>
      </c>
      <c r="C13" s="1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28</v>
      </c>
      <c r="B14" s="1">
        <v>-3689513</v>
      </c>
      <c r="C14" s="1"/>
      <c r="D14" s="1">
        <v>-1423319</v>
      </c>
      <c r="E14" s="1"/>
      <c r="F14" s="1">
        <v>-158809</v>
      </c>
      <c r="G14" s="1">
        <v>-158809</v>
      </c>
      <c r="H14" s="11">
        <v>-781212</v>
      </c>
      <c r="I14" s="11">
        <v>-781212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8" t="s">
        <v>30</v>
      </c>
      <c r="B15" s="14">
        <f t="shared" ref="B15:I15" si="0">SUM(B7:B14)</f>
        <v>361681361</v>
      </c>
      <c r="C15" s="14">
        <f t="shared" si="0"/>
        <v>1234518073</v>
      </c>
      <c r="D15" s="14">
        <f t="shared" si="0"/>
        <v>1560430087</v>
      </c>
      <c r="E15" s="14">
        <f t="shared" si="0"/>
        <v>-783326291</v>
      </c>
      <c r="F15" s="14">
        <f t="shared" si="0"/>
        <v>358667373</v>
      </c>
      <c r="G15" s="14">
        <f t="shared" si="0"/>
        <v>791641261</v>
      </c>
      <c r="H15" s="14">
        <f t="shared" si="0"/>
        <v>298897623</v>
      </c>
      <c r="I15" s="14">
        <f t="shared" si="0"/>
        <v>1569739670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" t="s">
        <v>33</v>
      </c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9" t="s">
        <v>35</v>
      </c>
      <c r="B18" s="1">
        <v>-104403421</v>
      </c>
      <c r="C18" s="1">
        <v>-19072369</v>
      </c>
      <c r="D18" s="1">
        <v>-163247603</v>
      </c>
      <c r="E18" s="2">
        <v>-57054750</v>
      </c>
      <c r="F18" s="1">
        <v>-113050809</v>
      </c>
      <c r="G18" s="1">
        <v>-119114115</v>
      </c>
      <c r="H18" s="11">
        <v>-3874338</v>
      </c>
      <c r="I18" s="11">
        <v>-30124683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9" t="s">
        <v>38</v>
      </c>
      <c r="B19" s="1"/>
      <c r="C19" s="1">
        <v>-29770846</v>
      </c>
      <c r="D19" s="1">
        <v>-35891867</v>
      </c>
      <c r="E19" s="2"/>
      <c r="F19" s="1"/>
      <c r="G19" s="1">
        <v>0</v>
      </c>
      <c r="H19" s="11">
        <v>-1430249</v>
      </c>
      <c r="I19" s="11">
        <v>-163806857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0" t="s">
        <v>40</v>
      </c>
      <c r="B20" s="1">
        <v>-2724000</v>
      </c>
      <c r="C20" s="1">
        <v>-2637730</v>
      </c>
      <c r="D20" s="1">
        <v>-2671793</v>
      </c>
      <c r="E20" s="2">
        <v>-2738825</v>
      </c>
      <c r="F20" s="1">
        <v>-2733825</v>
      </c>
      <c r="G20" s="1">
        <v>-2796343</v>
      </c>
      <c r="H20" s="11">
        <v>9568355</v>
      </c>
      <c r="I20" s="11">
        <v>9522461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1" t="s">
        <v>43</v>
      </c>
      <c r="B21" s="1"/>
      <c r="C21" s="1">
        <v>998257</v>
      </c>
      <c r="D21" s="1">
        <v>1038882</v>
      </c>
      <c r="E21" s="2">
        <v>280472</v>
      </c>
      <c r="F21" s="1">
        <v>521546</v>
      </c>
      <c r="G21" s="1">
        <v>589229</v>
      </c>
      <c r="H21" s="11">
        <v>536651</v>
      </c>
      <c r="I21" s="11">
        <v>909544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1" t="s">
        <v>46</v>
      </c>
      <c r="B22" s="1">
        <v>-23066174</v>
      </c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1" t="s">
        <v>48</v>
      </c>
      <c r="B23" s="16"/>
      <c r="C23" s="16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1" t="s">
        <v>51</v>
      </c>
      <c r="B24" s="16"/>
      <c r="C24" s="1"/>
      <c r="D24" s="1">
        <v>-745800000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2" t="s">
        <v>52</v>
      </c>
      <c r="B25" s="16"/>
      <c r="C25" s="16">
        <v>206916776</v>
      </c>
      <c r="D25" s="1">
        <v>50938433</v>
      </c>
      <c r="E25" s="2">
        <v>-79685500</v>
      </c>
      <c r="F25" s="1">
        <v>-288669186</v>
      </c>
      <c r="G25" s="1">
        <v>34982827</v>
      </c>
      <c r="H25" s="11">
        <v>-139509411</v>
      </c>
      <c r="I25" s="11">
        <v>-317523665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1" t="s">
        <v>53</v>
      </c>
      <c r="B26" s="1"/>
      <c r="C26" s="16">
        <v>6000000</v>
      </c>
      <c r="D26" s="1">
        <v>6000000</v>
      </c>
      <c r="E26" s="2"/>
      <c r="F26" s="1">
        <v>5000000</v>
      </c>
      <c r="G26" s="1">
        <v>7852288</v>
      </c>
      <c r="H26" s="11">
        <v>1454992</v>
      </c>
      <c r="I26" s="11">
        <v>1454992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1" t="s">
        <v>55</v>
      </c>
      <c r="B27" s="1">
        <v>-55607822</v>
      </c>
      <c r="C27" s="16"/>
      <c r="D27" s="1"/>
      <c r="E27" s="2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1" t="s">
        <v>56</v>
      </c>
      <c r="B28" s="1">
        <v>-139776947</v>
      </c>
      <c r="C28" s="1"/>
      <c r="D28" s="1"/>
      <c r="E28" s="2"/>
      <c r="F28" s="1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1" t="s">
        <v>57</v>
      </c>
      <c r="B29" s="1">
        <v>-3274000</v>
      </c>
      <c r="C29" s="16">
        <v>-47775800</v>
      </c>
      <c r="D29" s="1">
        <v>-59955662</v>
      </c>
      <c r="E29" s="24"/>
      <c r="F29" s="16">
        <v>-20000000</v>
      </c>
      <c r="G29" s="1">
        <v>-20000000</v>
      </c>
      <c r="H29" s="11">
        <v>-76523235</v>
      </c>
      <c r="I29" s="11">
        <v>-79104985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5" t="s">
        <v>59</v>
      </c>
      <c r="B30" s="1"/>
      <c r="C30" s="16"/>
      <c r="D30" s="1"/>
      <c r="E30" s="24"/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1" t="s">
        <v>61</v>
      </c>
      <c r="B31" s="1"/>
      <c r="C31" s="16"/>
      <c r="D31" s="1"/>
      <c r="E31" s="24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8" t="s">
        <v>62</v>
      </c>
      <c r="B32" s="26">
        <f t="shared" ref="B32:I32" si="1">SUM(B18:B31)</f>
        <v>-328852364</v>
      </c>
      <c r="C32" s="26">
        <f t="shared" si="1"/>
        <v>114658288</v>
      </c>
      <c r="D32" s="26">
        <f t="shared" si="1"/>
        <v>-949589610</v>
      </c>
      <c r="E32" s="26">
        <f t="shared" si="1"/>
        <v>-139198603</v>
      </c>
      <c r="F32" s="26">
        <f t="shared" si="1"/>
        <v>-418932274</v>
      </c>
      <c r="G32" s="26">
        <f t="shared" si="1"/>
        <v>-98486114</v>
      </c>
      <c r="H32" s="26">
        <f t="shared" si="1"/>
        <v>-209777235</v>
      </c>
      <c r="I32" s="26">
        <f t="shared" si="1"/>
        <v>-578673193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9" t="s">
        <v>64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 t="s">
        <v>66</v>
      </c>
      <c r="B35" s="1">
        <v>255148583</v>
      </c>
      <c r="C35" s="1">
        <v>83785883</v>
      </c>
      <c r="D35" s="1">
        <v>233589662</v>
      </c>
      <c r="E35" s="1">
        <v>1066709047</v>
      </c>
      <c r="F35" s="1">
        <v>705332960</v>
      </c>
      <c r="G35" s="1">
        <v>-134596430</v>
      </c>
      <c r="H35" s="11">
        <v>57302087</v>
      </c>
      <c r="I35" s="11">
        <v>-654717572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 t="s">
        <v>68</v>
      </c>
      <c r="B36" s="1">
        <v>489594456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 t="s">
        <v>70</v>
      </c>
      <c r="B37" s="1">
        <v>-704294021</v>
      </c>
      <c r="C37" s="1">
        <v>-487236149</v>
      </c>
      <c r="D37" s="1">
        <v>-683153229</v>
      </c>
      <c r="E37" s="1">
        <v>-218421903</v>
      </c>
      <c r="F37" s="1">
        <v>-425175249</v>
      </c>
      <c r="G37" s="1"/>
      <c r="H37" s="11">
        <v>-163334886</v>
      </c>
      <c r="I37" s="11">
        <v>-352597610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 t="s">
        <v>72</v>
      </c>
      <c r="B38" s="1">
        <v>-173936268</v>
      </c>
      <c r="C38" s="16">
        <v>113518719</v>
      </c>
      <c r="D38" s="1">
        <v>-110451813</v>
      </c>
      <c r="E38" s="1"/>
      <c r="F38" s="1"/>
      <c r="G38" s="1">
        <v>-565571259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 t="s">
        <v>74</v>
      </c>
      <c r="B39" s="16"/>
      <c r="C39" s="16">
        <v>36000000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0" t="s">
        <v>75</v>
      </c>
      <c r="B40" s="16"/>
      <c r="C40" s="16">
        <v>-745800000</v>
      </c>
      <c r="D40" s="1">
        <v>36000000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 t="s">
        <v>77</v>
      </c>
      <c r="B41" s="16"/>
      <c r="C41" s="1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 t="s">
        <v>79</v>
      </c>
      <c r="B42" s="16"/>
      <c r="C42" s="1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 t="s">
        <v>81</v>
      </c>
      <c r="B43" s="16"/>
      <c r="C43" s="1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 t="s">
        <v>83</v>
      </c>
      <c r="B44" s="1"/>
      <c r="C44" s="1">
        <v>-1770</v>
      </c>
      <c r="D44" s="1">
        <v>-20236170</v>
      </c>
      <c r="E44" s="1">
        <v>-27012</v>
      </c>
      <c r="F44" s="1">
        <v>-27012</v>
      </c>
      <c r="G44" s="1">
        <v>-42410297</v>
      </c>
      <c r="H44" s="11">
        <v>-106012</v>
      </c>
      <c r="I44" s="11">
        <v>-84864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 t="s">
        <v>85</v>
      </c>
      <c r="B45" s="26">
        <f t="shared" ref="B45:H45" si="2">SUM(B35:B44)</f>
        <v>-133487250</v>
      </c>
      <c r="C45" s="26">
        <f t="shared" si="2"/>
        <v>-999733317</v>
      </c>
      <c r="D45" s="26">
        <f t="shared" si="2"/>
        <v>-544251550</v>
      </c>
      <c r="E45" s="26">
        <f t="shared" si="2"/>
        <v>848260132</v>
      </c>
      <c r="F45" s="26">
        <f t="shared" si="2"/>
        <v>280130699</v>
      </c>
      <c r="G45" s="26">
        <f t="shared" si="2"/>
        <v>-742577986</v>
      </c>
      <c r="H45" s="26">
        <f t="shared" si="2"/>
        <v>-106138811</v>
      </c>
      <c r="I45" s="26">
        <f>SUM(I35:I44)+1</f>
        <v>-1007400045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3" t="s">
        <v>88</v>
      </c>
      <c r="B47" s="26">
        <f t="shared" ref="B47:I47" si="3">SUM(B15,B32,B45)</f>
        <v>-100658253</v>
      </c>
      <c r="C47" s="14">
        <f t="shared" si="3"/>
        <v>349443044</v>
      </c>
      <c r="D47" s="26">
        <f t="shared" si="3"/>
        <v>66588927</v>
      </c>
      <c r="E47" s="26">
        <f t="shared" si="3"/>
        <v>-74264762</v>
      </c>
      <c r="F47" s="26">
        <f t="shared" si="3"/>
        <v>219865798</v>
      </c>
      <c r="G47" s="26">
        <f t="shared" si="3"/>
        <v>-49422839</v>
      </c>
      <c r="H47" s="26">
        <f t="shared" si="3"/>
        <v>-17018423</v>
      </c>
      <c r="I47" s="26">
        <f t="shared" si="3"/>
        <v>-16333568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 t="s">
        <v>92</v>
      </c>
      <c r="B48" s="1">
        <v>104600177</v>
      </c>
      <c r="C48" s="1">
        <v>28876980</v>
      </c>
      <c r="D48" s="1">
        <v>288769801</v>
      </c>
      <c r="E48" s="1">
        <v>80854684</v>
      </c>
      <c r="F48" s="1">
        <v>80854684</v>
      </c>
      <c r="G48" s="1">
        <v>80854684</v>
      </c>
      <c r="H48" s="11">
        <v>21054745</v>
      </c>
      <c r="I48" s="11">
        <f>21054745+1</f>
        <v>21054746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4" t="s">
        <v>93</v>
      </c>
      <c r="B49" s="34">
        <f t="shared" ref="B49:C49" si="4">B47+B48</f>
        <v>3941924</v>
      </c>
      <c r="C49" s="34">
        <f t="shared" si="4"/>
        <v>378320024</v>
      </c>
      <c r="D49" s="34">
        <f>(D47+D48)+1</f>
        <v>355358729</v>
      </c>
      <c r="E49" s="34">
        <f t="shared" ref="E49:F49" si="5">E47+E48</f>
        <v>6589922</v>
      </c>
      <c r="F49" s="34">
        <f t="shared" si="5"/>
        <v>300720482</v>
      </c>
      <c r="G49" s="34">
        <f t="shared" ref="G49:I49" si="6">(G47+G48)</f>
        <v>31431845</v>
      </c>
      <c r="H49" s="34">
        <f t="shared" si="6"/>
        <v>4036322</v>
      </c>
      <c r="I49" s="34">
        <f t="shared" si="6"/>
        <v>4721178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8" t="s">
        <v>97</v>
      </c>
      <c r="B51" s="29">
        <f>B15/('1'!B26/10)</f>
        <v>3.7675141770833331</v>
      </c>
      <c r="C51" s="29">
        <f>C15/('1'!C26/10)</f>
        <v>11.690512054924243</v>
      </c>
      <c r="D51" s="29">
        <f>D15/('1'!D26/10)</f>
        <v>14.776800066287878</v>
      </c>
      <c r="E51" s="29">
        <f>E15/('1'!E26/10)</f>
        <v>-7.4178626041666664</v>
      </c>
      <c r="F51" s="29">
        <f>F15/('1'!F26/10)</f>
        <v>3.0877012138429754</v>
      </c>
      <c r="G51" s="29">
        <f>G15/('1'!G26/10)</f>
        <v>6.8150935003443527</v>
      </c>
      <c r="H51" s="29">
        <f>H15/('1'!H26/10)</f>
        <v>2.5731544679752067</v>
      </c>
      <c r="I51" s="29">
        <f>I15/('1'!I26/10)</f>
        <v>11.958937245544748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2.625" customWidth="1"/>
    <col min="3" max="3" width="12.125" customWidth="1"/>
    <col min="4" max="4" width="12.875" customWidth="1"/>
    <col min="5" max="5" width="12" customWidth="1"/>
    <col min="6" max="6" width="10.875" customWidth="1"/>
    <col min="7" max="26" width="7.625" customWidth="1"/>
  </cols>
  <sheetData>
    <row r="1" spans="1:6" x14ac:dyDescent="0.25">
      <c r="B1" s="2" t="s">
        <v>4</v>
      </c>
      <c r="C1" s="2" t="s">
        <v>3</v>
      </c>
      <c r="D1" s="2" t="s">
        <v>5</v>
      </c>
      <c r="E1" s="2" t="s">
        <v>4</v>
      </c>
      <c r="F1" s="2" t="s">
        <v>3</v>
      </c>
    </row>
    <row r="2" spans="1:6" ht="15.75" x14ac:dyDescent="0.25">
      <c r="A2" s="30" t="s">
        <v>109</v>
      </c>
      <c r="B2" s="5">
        <v>43100</v>
      </c>
      <c r="C2" s="5">
        <v>43190</v>
      </c>
      <c r="D2" s="5">
        <v>43373</v>
      </c>
      <c r="E2" s="5">
        <v>43465</v>
      </c>
      <c r="F2" s="6">
        <v>43190</v>
      </c>
    </row>
    <row r="3" spans="1:6" x14ac:dyDescent="0.25">
      <c r="A3" s="30" t="s">
        <v>110</v>
      </c>
      <c r="B3" s="37">
        <f>'2'!C25/'1'!C22</f>
        <v>3.3225775530895549E-2</v>
      </c>
      <c r="C3" s="37">
        <f>'2'!B25/'1'!B22</f>
        <v>4.3038436154119272E-2</v>
      </c>
      <c r="D3" s="37">
        <f>'2'!E25/'1'!E22</f>
        <v>1.946245183997785E-2</v>
      </c>
      <c r="E3" s="37">
        <f>'2'!F25/'1'!F22</f>
        <v>3.1494067060397229E-2</v>
      </c>
      <c r="F3" s="37">
        <f>'2'!D25/'1'!D22</f>
        <v>4.8633925775300471E-2</v>
      </c>
    </row>
    <row r="4" spans="1:6" x14ac:dyDescent="0.25">
      <c r="A4" s="30" t="s">
        <v>111</v>
      </c>
      <c r="B4" s="37">
        <f>'2'!C25/'1'!C32</f>
        <v>0.11316756426335661</v>
      </c>
      <c r="C4" s="37">
        <f>'2'!B25/'1'!B32</f>
        <v>0.16853866442114904</v>
      </c>
      <c r="D4" s="37">
        <f>'2'!E25/'1'!E32</f>
        <v>6.248827591293072E-2</v>
      </c>
      <c r="E4" s="37">
        <f>'2'!F25/'1'!F32</f>
        <v>9.5632239109751035E-2</v>
      </c>
      <c r="F4" s="37">
        <f>'2'!D25/'1'!D32</f>
        <v>0.15637499291443352</v>
      </c>
    </row>
    <row r="5" spans="1:6" x14ac:dyDescent="0.25">
      <c r="A5" s="30" t="s">
        <v>112</v>
      </c>
      <c r="B5" s="37">
        <f>('1'!C34+'1'!C40)/'1'!C32</f>
        <v>1.6501446055477025</v>
      </c>
      <c r="C5" s="37">
        <f>('1'!B34+'1'!B40)/'1'!B32</f>
        <v>2.1586704297899786</v>
      </c>
      <c r="D5" s="37">
        <f>('1'!E34+'1'!E40)/'1'!E32</f>
        <v>1.2849871338758381</v>
      </c>
      <c r="E5" s="37">
        <f>('1'!F34+'1'!F40)/'1'!F32</f>
        <v>1.2427915573194792</v>
      </c>
      <c r="F5" s="37">
        <f>('1'!D34+'1'!D40)/'1'!D32</f>
        <v>1.5223205474048567</v>
      </c>
    </row>
    <row r="6" spans="1:6" x14ac:dyDescent="0.25">
      <c r="A6" s="30" t="s">
        <v>113</v>
      </c>
      <c r="B6" s="38">
        <f>'1'!C21/'1'!C48</f>
        <v>0.69098067252695738</v>
      </c>
      <c r="C6" s="38">
        <f>'1'!B21/'1'!B48</f>
        <v>0.75707531171713249</v>
      </c>
      <c r="D6" s="38">
        <f>'1'!E21/'1'!E48</f>
        <v>0.84042255148234135</v>
      </c>
      <c r="E6" s="38">
        <f>'1'!F21/'1'!F48</f>
        <v>0.82300720626993418</v>
      </c>
      <c r="F6" s="38">
        <f>'1'!D21/'1'!D48</f>
        <v>0.6855077959425192</v>
      </c>
    </row>
    <row r="7" spans="1:6" x14ac:dyDescent="0.25">
      <c r="A7" s="30" t="s">
        <v>114</v>
      </c>
      <c r="B7" s="37">
        <f>'2'!C25/'2'!C7</f>
        <v>0.13470305390461115</v>
      </c>
      <c r="C7" s="37">
        <f>'2'!B25/'2'!B7</f>
        <v>0.15634326168925011</v>
      </c>
      <c r="D7" s="37">
        <f>'2'!E25/'2'!E7</f>
        <v>0.11320269418023217</v>
      </c>
      <c r="E7" s="37">
        <f>'2'!F25/'2'!F7</f>
        <v>0.11233066799328609</v>
      </c>
      <c r="F7" s="37">
        <f>'2'!D25/'2'!D7</f>
        <v>0.13525125345055777</v>
      </c>
    </row>
    <row r="8" spans="1:6" x14ac:dyDescent="0.25">
      <c r="A8" s="30" t="s">
        <v>115</v>
      </c>
      <c r="B8" s="37">
        <f>'2'!C14/'2'!C7</f>
        <v>0.20999559012725696</v>
      </c>
      <c r="C8" s="37">
        <f>'2'!B14/'2'!B7</f>
        <v>0.26343902890251186</v>
      </c>
      <c r="D8" s="37">
        <f>'2'!E14/'2'!E7</f>
        <v>0.16842116874107874</v>
      </c>
      <c r="E8" s="37">
        <f>'2'!F14/'2'!F7</f>
        <v>0.17687366373292224</v>
      </c>
      <c r="F8" s="37">
        <f>'2'!D14/'2'!D7</f>
        <v>0.21225744622946974</v>
      </c>
    </row>
    <row r="9" spans="1:6" x14ac:dyDescent="0.25">
      <c r="A9" s="30" t="s">
        <v>116</v>
      </c>
      <c r="B9" s="37">
        <f>'2'!C25/('1'!C32-'1'!C31+'1'!C34+'1'!C40)</f>
        <v>4.2933976774252189E-2</v>
      </c>
      <c r="C9" s="37">
        <f>'2'!B25/('1'!B32-'1'!B31+'1'!B34+'1'!B40)</f>
        <v>5.3433514625206353E-2</v>
      </c>
      <c r="D9" s="37">
        <f>'2'!E25/('1'!E32-'1'!E27+'1'!E34+'1'!E40)</f>
        <v>2.9314983970589716E-2</v>
      </c>
      <c r="E9" s="37">
        <f>'2'!F25/('1'!F32-'1'!F30+'1'!F34+'1'!F40)</f>
        <v>4.5650202433463793E-2</v>
      </c>
      <c r="F9" s="37">
        <f>'2'!D25/('1'!D32-'1'!D31+'1'!D34+'1'!D40)</f>
        <v>6.2337545174266172E-2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2017-04-17T04:07:28Z</dcterms:created>
  <dcterms:modified xsi:type="dcterms:W3CDTF">2020-04-11T15:31:03Z</dcterms:modified>
</cp:coreProperties>
</file>