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940" activeTab="2"/>
  </bookViews>
  <sheets>
    <sheet name="1" sheetId="1" r:id="rId1"/>
    <sheet name="2" sheetId="2" r:id="rId2"/>
    <sheet name="3" sheetId="3" r:id="rId3"/>
  </sheets>
  <calcPr calcId="162913"/>
</workbook>
</file>

<file path=xl/calcChain.xml><?xml version="1.0" encoding="utf-8"?>
<calcChain xmlns="http://schemas.openxmlformats.org/spreadsheetml/2006/main">
  <c r="I43" i="3" l="1"/>
  <c r="I16" i="2"/>
  <c r="J27" i="2"/>
  <c r="I8" i="2"/>
  <c r="I13" i="2" s="1"/>
  <c r="I24" i="2" s="1"/>
  <c r="I27" i="2" s="1"/>
  <c r="J8" i="2"/>
  <c r="I20" i="1"/>
  <c r="I17" i="1"/>
  <c r="I35" i="1"/>
  <c r="I44" i="1"/>
  <c r="I22" i="1"/>
  <c r="I6" i="1"/>
  <c r="I37" i="3"/>
  <c r="I21" i="3"/>
  <c r="I48" i="3" s="1"/>
  <c r="G41" i="3"/>
  <c r="H41" i="3"/>
  <c r="I41" i="3"/>
  <c r="H21" i="3"/>
  <c r="H48" i="3" s="1"/>
  <c r="H24" i="2"/>
  <c r="H27" i="2" s="1"/>
  <c r="H16" i="2"/>
  <c r="H13" i="2"/>
  <c r="H8" i="2"/>
  <c r="H20" i="1"/>
  <c r="H35" i="1"/>
  <c r="H44" i="1"/>
  <c r="H22" i="1"/>
  <c r="H6" i="1"/>
  <c r="H37" i="3"/>
  <c r="G13" i="2"/>
  <c r="G24" i="2"/>
  <c r="G16" i="2"/>
  <c r="I45" i="3" l="1"/>
  <c r="I32" i="1"/>
  <c r="I55" i="1"/>
  <c r="I57" i="1"/>
  <c r="H43" i="3"/>
  <c r="H45" i="3" s="1"/>
  <c r="H32" i="1"/>
  <c r="H55" i="1"/>
  <c r="H57" i="1"/>
  <c r="G27" i="2"/>
  <c r="G8" i="2"/>
  <c r="G20" i="1"/>
  <c r="G22" i="1"/>
  <c r="G32" i="1" s="1"/>
  <c r="B35" i="1"/>
  <c r="C35" i="1"/>
  <c r="D35" i="1"/>
  <c r="E35" i="1"/>
  <c r="F35" i="1"/>
  <c r="G35" i="1"/>
  <c r="G44" i="1"/>
  <c r="G57" i="1" s="1"/>
  <c r="G58" i="1"/>
  <c r="G6" i="1"/>
  <c r="G37" i="3"/>
  <c r="G21" i="3"/>
  <c r="G48" i="3" s="1"/>
  <c r="G43" i="3" l="1"/>
  <c r="G45" i="3" s="1"/>
  <c r="G55" i="1"/>
  <c r="C21" i="3"/>
  <c r="B18" i="2"/>
  <c r="B16" i="2"/>
  <c r="B6" i="1"/>
  <c r="B22" i="1"/>
  <c r="B20" i="1"/>
  <c r="B32" i="1" s="1"/>
  <c r="F16" i="2"/>
  <c r="D18" i="2"/>
  <c r="D16" i="2"/>
  <c r="E18" i="2"/>
  <c r="E16" i="2"/>
  <c r="C18" i="2"/>
  <c r="C55" i="1"/>
  <c r="C19" i="1"/>
  <c r="C20" i="1"/>
  <c r="C44" i="1"/>
  <c r="D20" i="1"/>
  <c r="E20" i="1"/>
  <c r="F20" i="1"/>
  <c r="B41" i="3"/>
  <c r="B37" i="3"/>
  <c r="B21" i="3"/>
  <c r="B43" i="3" s="1"/>
  <c r="B45" i="3" s="1"/>
  <c r="D21" i="3"/>
  <c r="E21" i="3"/>
  <c r="F21" i="3"/>
  <c r="C58" i="1" l="1"/>
  <c r="D58" i="1"/>
  <c r="E58" i="1"/>
  <c r="F58" i="1"/>
  <c r="B58" i="1"/>
  <c r="F41" i="3" l="1"/>
  <c r="E41" i="3"/>
  <c r="D41" i="3"/>
  <c r="C41" i="3"/>
  <c r="F37" i="3"/>
  <c r="E37" i="3"/>
  <c r="D37" i="3"/>
  <c r="C37" i="3"/>
  <c r="E48" i="3"/>
  <c r="D48" i="3"/>
  <c r="C48" i="3"/>
  <c r="B48" i="3"/>
  <c r="F8" i="2"/>
  <c r="F13" i="2" s="1"/>
  <c r="F24" i="2" s="1"/>
  <c r="E8" i="2"/>
  <c r="E13" i="2" s="1"/>
  <c r="D8" i="2"/>
  <c r="D13" i="2" s="1"/>
  <c r="C8" i="2"/>
  <c r="C13" i="2" s="1"/>
  <c r="B8" i="2"/>
  <c r="F44" i="1"/>
  <c r="F57" i="1" s="1"/>
  <c r="E44" i="1"/>
  <c r="E57" i="1" s="1"/>
  <c r="D44" i="1"/>
  <c r="D57" i="1" s="1"/>
  <c r="B44" i="1"/>
  <c r="B57" i="1" s="1"/>
  <c r="F22" i="1"/>
  <c r="E22" i="1"/>
  <c r="D22" i="1"/>
  <c r="C22" i="1"/>
  <c r="F6" i="1"/>
  <c r="E6" i="1"/>
  <c r="D6" i="1"/>
  <c r="C6" i="1"/>
  <c r="B13" i="2" l="1"/>
  <c r="B24" i="2" s="1"/>
  <c r="B27" i="2" s="1"/>
  <c r="D24" i="2"/>
  <c r="D27" i="2" s="1"/>
  <c r="C24" i="2"/>
  <c r="C27" i="2" s="1"/>
  <c r="E24" i="2"/>
  <c r="E27" i="2" s="1"/>
  <c r="F27" i="2"/>
  <c r="E32" i="1"/>
  <c r="E55" i="1"/>
  <c r="F55" i="1"/>
  <c r="D32" i="1"/>
  <c r="F32" i="1"/>
  <c r="D43" i="3"/>
  <c r="D45" i="3" s="1"/>
  <c r="C43" i="3"/>
  <c r="C45" i="3" s="1"/>
  <c r="E43" i="3"/>
  <c r="E45" i="3" s="1"/>
  <c r="F43" i="3"/>
  <c r="F45" i="3" s="1"/>
  <c r="F48" i="3"/>
  <c r="B55" i="1"/>
  <c r="B33" i="1" s="1"/>
  <c r="C32" i="1"/>
  <c r="C57" i="1"/>
  <c r="D55" i="1"/>
</calcChain>
</file>

<file path=xl/sharedStrings.xml><?xml version="1.0" encoding="utf-8"?>
<sst xmlns="http://schemas.openxmlformats.org/spreadsheetml/2006/main" count="131" uniqueCount="106">
  <si>
    <t>STATEMENT OF PROFIT &amp; LOSS</t>
  </si>
  <si>
    <t xml:space="preserve">Acquisition of Fixed Assets </t>
  </si>
  <si>
    <t>DELTA LIFE INSURANCE COMPANY LIMITED</t>
  </si>
  <si>
    <t>Reinsurance premium</t>
  </si>
  <si>
    <t>Net Premium</t>
  </si>
  <si>
    <t>Interest, dividend and rents</t>
  </si>
  <si>
    <t>Other income</t>
  </si>
  <si>
    <t>Expenses</t>
  </si>
  <si>
    <t>Claims under policies</t>
  </si>
  <si>
    <t>Commissions</t>
  </si>
  <si>
    <t xml:space="preserve">Reserve for unexpired risk </t>
  </si>
  <si>
    <t>Decrease in Diminution in Value of Investment</t>
  </si>
  <si>
    <t>Income Tax Provision</t>
  </si>
  <si>
    <t>Paid Up Capital</t>
  </si>
  <si>
    <t>Dividend equalisation reserve</t>
  </si>
  <si>
    <t xml:space="preserve">Fair Value Change Account </t>
  </si>
  <si>
    <t>Estimated liabilities in respect of outstanding claims, whether due or intimated</t>
  </si>
  <si>
    <t>Amount due to other persons or bodies carrying on
insurance business</t>
  </si>
  <si>
    <t>Sundry creditors</t>
  </si>
  <si>
    <t xml:space="preserve">Provision for doubtful debts </t>
  </si>
  <si>
    <t>Premium deposits</t>
  </si>
  <si>
    <t>Statutory deposit with Bangladesh Bank (BGTB)</t>
  </si>
  <si>
    <t xml:space="preserve">Bangladesh Govt. Treasury Bond (BGTB) </t>
  </si>
  <si>
    <t xml:space="preserve">Shares listed on stock exchanges </t>
  </si>
  <si>
    <t>Debentures and bonds</t>
  </si>
  <si>
    <t>Mutual fund</t>
  </si>
  <si>
    <t>Central Depository Bangladesh Ltd.</t>
  </si>
  <si>
    <t>Investment property</t>
  </si>
  <si>
    <t xml:space="preserve">Other loans </t>
  </si>
  <si>
    <t>Loan</t>
  </si>
  <si>
    <t>DSE Membership</t>
  </si>
  <si>
    <t>Preliminary Expenses</t>
  </si>
  <si>
    <t>Agents’ balance</t>
  </si>
  <si>
    <t>Outstanding premium</t>
  </si>
  <si>
    <t>Interest, dividends and rents accruing but not due</t>
  </si>
  <si>
    <t>Advances and deposits</t>
  </si>
  <si>
    <t>Sundry debtors</t>
  </si>
  <si>
    <t>Cash and bank balances</t>
  </si>
  <si>
    <t>Stamps, printing and stationery in hand</t>
  </si>
  <si>
    <t>Life Insurance Fund</t>
  </si>
  <si>
    <t>Collection from premium</t>
  </si>
  <si>
    <t>Other income received</t>
  </si>
  <si>
    <t>Payment for operating activities</t>
  </si>
  <si>
    <t>Re-insurance premium paid</t>
  </si>
  <si>
    <t>Claim paid</t>
  </si>
  <si>
    <t xml:space="preserve">Source tax (income tax) deducted </t>
  </si>
  <si>
    <t>Investment made</t>
  </si>
  <si>
    <t>Proceeds from sale of fixed assets</t>
  </si>
  <si>
    <t xml:space="preserve">Loan paid against policies </t>
  </si>
  <si>
    <t>Interest, dividends &amp; rents received</t>
  </si>
  <si>
    <t xml:space="preserve">Other loans realized </t>
  </si>
  <si>
    <t>Dividend Paid</t>
  </si>
  <si>
    <t>NAITIONAL LIFE INSURANCE COMPANY LIMITED</t>
  </si>
  <si>
    <t>Investment in NLI Securities ltd</t>
  </si>
  <si>
    <t>NATIONAL LIFE INSURANCE COMPANY LIMITED</t>
  </si>
  <si>
    <t>Interest ,Dividend &amp; rent</t>
  </si>
  <si>
    <t>Payment for claims, annuities  &amp; surenders</t>
  </si>
  <si>
    <t>Disbursement of policy loan</t>
  </si>
  <si>
    <t>Realisation of policy loan</t>
  </si>
  <si>
    <t>Disbursement of home &amp; other loan</t>
  </si>
  <si>
    <t>Realisation of home &amp; other loans</t>
  </si>
  <si>
    <t>Increase or decrease in creditors</t>
  </si>
  <si>
    <t>Increase or decrease in advance ,depoaits &amp; prepayments and debtors</t>
  </si>
  <si>
    <t>Other persons or bodies  carrying on insurance business</t>
  </si>
  <si>
    <t>Disposal of fixed assets</t>
  </si>
  <si>
    <t>Other Expense</t>
  </si>
  <si>
    <t>Comtribution to NLI foundation</t>
  </si>
  <si>
    <t>Share value fluctuation expense</t>
  </si>
  <si>
    <t>Acquisition of Fixed Assest</t>
  </si>
  <si>
    <t>Balance Sheet</t>
  </si>
  <si>
    <t>Assets</t>
  </si>
  <si>
    <t>Non Current Assets</t>
  </si>
  <si>
    <t xml:space="preserve">Fixed Assets </t>
  </si>
  <si>
    <t>Current Assets</t>
  </si>
  <si>
    <t>Liabilities and Capital</t>
  </si>
  <si>
    <t>Liabilities</t>
  </si>
  <si>
    <t>Shareholders’ Equity</t>
  </si>
  <si>
    <t>Non-controlling interest</t>
  </si>
  <si>
    <t>Net assets value per share</t>
  </si>
  <si>
    <t>Shares to calculate NAVPS</t>
  </si>
  <si>
    <t>Income Statement</t>
  </si>
  <si>
    <t>Gross Premium</t>
  </si>
  <si>
    <t>Profit Before Taxation</t>
  </si>
  <si>
    <t>Provision for Taxation</t>
  </si>
  <si>
    <t>Net Profit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</si>
  <si>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</si>
  <si>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</si>
  <si>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</si>
  <si>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</si>
  <si>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</si>
  <si>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</si>
  <si>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</si>
  <si>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</si>
  <si>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Quarter 2</t>
  </si>
  <si>
    <t>Quarter 3</t>
  </si>
  <si>
    <t>Quarter 1</t>
  </si>
  <si>
    <t>As at quarter end</t>
  </si>
  <si>
    <t>Retained earning</t>
  </si>
  <si>
    <t>share capital</t>
  </si>
  <si>
    <t>Brokerage Commision</t>
  </si>
  <si>
    <t>Share investment</t>
  </si>
  <si>
    <t>Management Expenses</t>
  </si>
  <si>
    <t>different</t>
  </si>
  <si>
    <t>Fair values changes accounts</t>
  </si>
  <si>
    <t>Fair value flucuation account</t>
  </si>
  <si>
    <t>Non controling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</si>
</sst>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15" fontId="3" fillId="0" borderId="0" xfId="0" applyNumberFormat="1" applyFont="1"/>
    <xf numFmtId="0" fontId="2" fillId="0" borderId="0" xfId="0" applyFont="1"/>
    <xf numFmtId="3" fontId="0" fillId="0" borderId="0" xfId="0" applyNumberFormat="1"/>
    <xf numFmtId="0" fontId="0" fillId="0" borderId="0" xfId="0" applyFont="1"/>
    <xf numFmtId="2" fontId="2" fillId="0" borderId="0" xfId="0" applyNumberFormat="1" applyFont="1"/>
    <xf numFmtId="3" fontId="2" fillId="0" borderId="0" xfId="0" applyNumberFormat="1" applyFont="1" applyBorder="1"/>
    <xf numFmtId="0" fontId="2" fillId="0" borderId="0" xfId="0" applyFont="1" applyBorder="1"/>
    <xf numFmtId="0" fontId="0" fillId="0" borderId="0" xfId="0" applyBorder="1"/>
    <xf numFmtId="164" fontId="0" fillId="0" borderId="0" xfId="1" applyNumberFormat="1" applyFont="1"/>
    <xf numFmtId="164" fontId="2" fillId="0" borderId="1" xfId="1" applyNumberFormat="1" applyFont="1" applyBorder="1"/>
    <xf numFmtId="0" fontId="0" fillId="0" borderId="0" xfId="0" applyAlignment="1">
      <alignment wrapText="1"/>
    </xf>
    <xf numFmtId="164" fontId="4" fillId="0" borderId="1" xfId="1" applyNumberFormat="1" applyFont="1" applyBorder="1"/>
    <xf numFmtId="164" fontId="2" fillId="0" borderId="0" xfId="1" applyNumberFormat="1" applyFont="1"/>
    <xf numFmtId="164" fontId="3" fillId="0" borderId="0" xfId="1" applyNumberFormat="1" applyFont="1"/>
    <xf numFmtId="164" fontId="5" fillId="0" borderId="0" xfId="1" applyNumberFormat="1" applyFont="1"/>
    <xf numFmtId="0" fontId="5" fillId="0" borderId="0" xfId="0" applyFont="1"/>
    <xf numFmtId="164" fontId="3" fillId="0" borderId="0" xfId="0" applyNumberFormat="1" applyFont="1"/>
    <xf numFmtId="0" fontId="0" fillId="0" borderId="0" xfId="0" applyFont="1" applyAlignment="1">
      <alignment wrapText="1"/>
    </xf>
    <xf numFmtId="164" fontId="0" fillId="0" borderId="0" xfId="1" applyNumberFormat="1" applyFont="1" applyBorder="1"/>
    <xf numFmtId="0" fontId="2" fillId="0" borderId="2" xfId="0" applyFont="1" applyBorder="1" applyAlignment="1">
      <alignment horizontal="left"/>
    </xf>
    <xf numFmtId="0" fontId="6" fillId="0" borderId="0" xfId="0" applyFont="1"/>
    <xf numFmtId="0" fontId="3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Border="1"/>
    <xf numFmtId="164" fontId="0" fillId="0" borderId="0" xfId="0" applyNumberFormat="1"/>
    <xf numFmtId="0" fontId="3" fillId="0" borderId="2" xfId="0" applyFont="1" applyBorder="1"/>
    <xf numFmtId="0" fontId="2" fillId="0" borderId="3" xfId="0" applyFont="1" applyBorder="1"/>
    <xf numFmtId="15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15" fontId="3" fillId="0" borderId="2" xfId="0" applyNumberFormat="1" applyFont="1" applyBorder="1" applyAlignment="1">
      <alignment horizontal="right"/>
    </xf>
    <xf numFmtId="0" fontId="0" fillId="0" borderId="0" xfId="0" applyFont="1" applyBorder="1"/>
    <xf numFmtId="164" fontId="0" fillId="2" borderId="0" xfId="1" applyNumberFormat="1" applyFont="1" applyFill="1"/>
    <xf numFmtId="15" fontId="0" fillId="0" borderId="0" xfId="0" applyNumberFormat="1"/>
    <xf numFmtId="15" fontId="2" fillId="0" borderId="0" xfId="0" applyNumberFormat="1" applyFont="1"/>
    <xf numFmtId="0" fontId="2" fillId="0" borderId="0" xfId="0" applyFont="1" applyFill="1" applyBorder="1" applyAlignment="1">
      <alignment horizontal="right"/>
    </xf>
    <xf numFmtId="0" fontId="8" fillId="0" borderId="0" xfId="0" applyFont="1"/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xSplit="1" ySplit="4" topLeftCell="G5" activePane="bottomRight" state="frozen"/>
      <selection pane="topRight" activeCell="B1" sqref="B1"/>
      <selection pane="bottomLeft" activeCell="A6" sqref="A6"/>
      <selection pane="bottomRight" activeCell="I31" sqref="I31"/>
    </sheetView>
  </sheetViews>
  <sheetFormatPr defaultRowHeight="15" x14ac:dyDescent="0.25"/>
  <cols>
    <col min="1" max="1" width="43.625" customWidth="1"/>
    <col min="2" max="3" width="18.125" bestFit="1" customWidth="1"/>
    <col min="4" max="6" width="16.875" bestFit="1" customWidth="1"/>
    <col min="7" max="9" width="18" bestFit="1" customWidth="1"/>
  </cols>
  <sheetData>
    <row r="1" spans="1:9" ht="15.75" x14ac:dyDescent="0.25">
      <c r="A1" s="1" t="s">
        <v>52</v>
      </c>
    </row>
    <row r="2" spans="1:9" ht="15.75" x14ac:dyDescent="0.25">
      <c r="A2" s="1" t="s">
        <v>69</v>
      </c>
    </row>
    <row r="3" spans="1:9" ht="15.75" x14ac:dyDescent="0.25">
      <c r="A3" s="1" t="s">
        <v>96</v>
      </c>
      <c r="B3" s="30" t="s">
        <v>93</v>
      </c>
      <c r="C3" s="30" t="s">
        <v>94</v>
      </c>
      <c r="D3" s="30" t="s">
        <v>95</v>
      </c>
      <c r="E3" s="30" t="s">
        <v>93</v>
      </c>
      <c r="F3" s="30" t="s">
        <v>94</v>
      </c>
      <c r="G3" s="30" t="s">
        <v>95</v>
      </c>
      <c r="H3" s="30" t="s">
        <v>93</v>
      </c>
      <c r="I3" s="30" t="s">
        <v>94</v>
      </c>
    </row>
    <row r="4" spans="1:9" ht="15.75" x14ac:dyDescent="0.25">
      <c r="B4" s="29">
        <v>42916</v>
      </c>
      <c r="C4" s="29">
        <v>43008</v>
      </c>
      <c r="D4" s="29">
        <v>43190</v>
      </c>
      <c r="E4" s="29">
        <v>43281</v>
      </c>
      <c r="F4" s="29">
        <v>43373</v>
      </c>
      <c r="G4" s="36">
        <v>43555</v>
      </c>
      <c r="H4" s="36">
        <v>43646</v>
      </c>
      <c r="I4" s="35">
        <v>43738</v>
      </c>
    </row>
    <row r="5" spans="1:9" x14ac:dyDescent="0.25">
      <c r="A5" s="21" t="s">
        <v>70</v>
      </c>
      <c r="B5" s="30"/>
      <c r="C5" s="30"/>
      <c r="D5" s="30"/>
      <c r="E5" s="30"/>
      <c r="F5" s="30"/>
    </row>
    <row r="6" spans="1:9" x14ac:dyDescent="0.25">
      <c r="A6" s="22" t="s">
        <v>71</v>
      </c>
      <c r="B6" s="14">
        <f>SUM(B7:B15)</f>
        <v>14364278367</v>
      </c>
      <c r="C6" s="14">
        <f t="shared" ref="C6:I6" si="0">SUM(C7:C15)</f>
        <v>14485958784</v>
      </c>
      <c r="D6" s="14">
        <f t="shared" si="0"/>
        <v>14251732153</v>
      </c>
      <c r="E6" s="14">
        <f t="shared" si="0"/>
        <v>14107294985</v>
      </c>
      <c r="F6" s="14">
        <f t="shared" si="0"/>
        <v>15464007797</v>
      </c>
      <c r="G6" s="14">
        <f t="shared" si="0"/>
        <v>14732516355</v>
      </c>
      <c r="H6" s="14">
        <f t="shared" si="0"/>
        <v>14696340259</v>
      </c>
      <c r="I6" s="14">
        <f t="shared" si="0"/>
        <v>15324987667</v>
      </c>
    </row>
    <row r="7" spans="1:9" x14ac:dyDescent="0.25">
      <c r="A7" t="s">
        <v>21</v>
      </c>
      <c r="B7" s="10"/>
      <c r="C7" s="10"/>
      <c r="D7" s="10"/>
      <c r="E7" s="10"/>
      <c r="F7" s="10"/>
    </row>
    <row r="8" spans="1:9" x14ac:dyDescent="0.25">
      <c r="A8" t="s">
        <v>22</v>
      </c>
      <c r="B8" s="10"/>
      <c r="C8" s="10"/>
      <c r="D8" s="10"/>
      <c r="E8" s="10"/>
      <c r="F8" s="10"/>
    </row>
    <row r="9" spans="1:9" x14ac:dyDescent="0.25">
      <c r="A9" t="s">
        <v>23</v>
      </c>
      <c r="B9" s="20"/>
      <c r="C9" s="20"/>
      <c r="D9" s="20"/>
      <c r="E9" s="20"/>
      <c r="F9" s="20"/>
    </row>
    <row r="10" spans="1:9" x14ac:dyDescent="0.25">
      <c r="A10" t="s">
        <v>53</v>
      </c>
      <c r="B10" s="20">
        <v>320500000</v>
      </c>
      <c r="C10" s="20">
        <v>320500000</v>
      </c>
      <c r="D10" s="20"/>
      <c r="E10" s="20"/>
      <c r="F10" s="20">
        <v>320200000</v>
      </c>
      <c r="H10" s="10">
        <v>14696340259</v>
      </c>
      <c r="I10" s="10">
        <v>240150000</v>
      </c>
    </row>
    <row r="11" spans="1:9" ht="19.5" customHeight="1" x14ac:dyDescent="0.25">
      <c r="A11" t="s">
        <v>24</v>
      </c>
      <c r="B11" s="10"/>
      <c r="C11" s="10"/>
      <c r="D11" s="20"/>
      <c r="E11" s="20"/>
      <c r="F11" s="20"/>
      <c r="G11" s="4">
        <v>14732516355</v>
      </c>
    </row>
    <row r="12" spans="1:9" x14ac:dyDescent="0.25">
      <c r="A12" t="s">
        <v>25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</row>
    <row r="13" spans="1:9" x14ac:dyDescent="0.25">
      <c r="A13" t="s">
        <v>26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</row>
    <row r="14" spans="1:9" x14ac:dyDescent="0.25">
      <c r="A14" t="s">
        <v>27</v>
      </c>
      <c r="B14" s="10">
        <v>14043778367</v>
      </c>
      <c r="C14" s="10">
        <v>14165458784</v>
      </c>
      <c r="D14" s="10">
        <v>14251732153</v>
      </c>
      <c r="E14" s="10">
        <v>14107294985</v>
      </c>
      <c r="F14" s="10">
        <v>14603795190</v>
      </c>
      <c r="I14">
        <v>15084837667</v>
      </c>
    </row>
    <row r="15" spans="1:9" x14ac:dyDescent="0.25">
      <c r="A15" t="s">
        <v>28</v>
      </c>
      <c r="B15" s="10"/>
      <c r="C15" s="10">
        <v>0</v>
      </c>
      <c r="D15" s="10">
        <v>0</v>
      </c>
      <c r="E15" s="10">
        <v>0</v>
      </c>
      <c r="F15" s="10">
        <v>540012607</v>
      </c>
    </row>
    <row r="16" spans="1:9" x14ac:dyDescent="0.25">
      <c r="B16" s="10"/>
      <c r="C16" s="10"/>
      <c r="D16" s="10"/>
      <c r="E16" s="10"/>
      <c r="F16" s="10"/>
    </row>
    <row r="17" spans="1:9" x14ac:dyDescent="0.25">
      <c r="A17" s="22" t="s">
        <v>29</v>
      </c>
      <c r="B17" s="14">
        <v>887984291</v>
      </c>
      <c r="C17" s="14">
        <v>892708913</v>
      </c>
      <c r="D17" s="14">
        <v>512351836</v>
      </c>
      <c r="E17" s="14">
        <v>530927543</v>
      </c>
      <c r="F17" s="14"/>
      <c r="G17" s="4">
        <v>581896126</v>
      </c>
      <c r="H17" s="39">
        <v>594349534</v>
      </c>
      <c r="I17" s="10">
        <f>471380678+110549736</f>
        <v>581930414</v>
      </c>
    </row>
    <row r="18" spans="1:9" x14ac:dyDescent="0.25">
      <c r="B18" s="10"/>
      <c r="C18" s="10"/>
      <c r="D18" s="10"/>
      <c r="E18" s="10"/>
      <c r="F18" s="10"/>
    </row>
    <row r="19" spans="1:9" x14ac:dyDescent="0.25">
      <c r="A19" s="22" t="s">
        <v>72</v>
      </c>
      <c r="B19" s="14">
        <v>2116198287</v>
      </c>
      <c r="C19" s="14">
        <f>1201562059+274643629+634106090</f>
        <v>2110311778</v>
      </c>
      <c r="D19" s="14">
        <v>2146040946</v>
      </c>
      <c r="E19" s="14">
        <v>2162822743</v>
      </c>
      <c r="F19">
        <v>2157331812</v>
      </c>
      <c r="G19" s="14">
        <v>2137363395</v>
      </c>
      <c r="H19" s="14">
        <v>2183527237</v>
      </c>
      <c r="I19" s="14">
        <v>2170331686</v>
      </c>
    </row>
    <row r="20" spans="1:9" x14ac:dyDescent="0.25">
      <c r="A20" s="22" t="s">
        <v>38</v>
      </c>
      <c r="B20" s="14">
        <f>1650350+9535127</f>
        <v>11185477</v>
      </c>
      <c r="C20" s="14">
        <f>881220+6287892</f>
        <v>7169112</v>
      </c>
      <c r="D20" s="14">
        <f>1278500+7731965</f>
        <v>9010465</v>
      </c>
      <c r="E20" s="14">
        <f>1412350+7887051</f>
        <v>9299401</v>
      </c>
      <c r="F20">
        <f>1625420+8335584</f>
        <v>9961004</v>
      </c>
      <c r="G20">
        <f>1675450+7825620</f>
        <v>9501070</v>
      </c>
      <c r="H20" s="10">
        <f>1620340+8563225</f>
        <v>10183565</v>
      </c>
      <c r="I20" s="10">
        <f>1620310+8277095</f>
        <v>9897405</v>
      </c>
    </row>
    <row r="21" spans="1:9" x14ac:dyDescent="0.25">
      <c r="B21" s="10"/>
      <c r="C21" s="10"/>
      <c r="D21" s="10"/>
      <c r="E21" s="10"/>
      <c r="F21" s="10"/>
    </row>
    <row r="22" spans="1:9" x14ac:dyDescent="0.25">
      <c r="A22" s="22" t="s">
        <v>73</v>
      </c>
      <c r="B22" s="14">
        <f>SUM(B23:B30)</f>
        <v>21482759915</v>
      </c>
      <c r="C22" s="14">
        <f t="shared" ref="C22:F22" si="1">SUM(C23:C30)</f>
        <v>21578232355</v>
      </c>
      <c r="D22" s="14">
        <f t="shared" si="1"/>
        <v>22087528374</v>
      </c>
      <c r="E22" s="14">
        <f t="shared" si="1"/>
        <v>22376477315</v>
      </c>
      <c r="F22" s="14">
        <f t="shared" si="1"/>
        <v>21507772250</v>
      </c>
      <c r="G22" s="14">
        <f>SUM(G23:G30)</f>
        <v>23614740287</v>
      </c>
      <c r="H22" s="14">
        <f>SUM(H23:H30)</f>
        <v>24120267128</v>
      </c>
      <c r="I22" s="14">
        <f>SUM(I23:I30)</f>
        <v>22798017135</v>
      </c>
    </row>
    <row r="23" spans="1:9" x14ac:dyDescent="0.25">
      <c r="A23" t="s">
        <v>30</v>
      </c>
      <c r="B23" s="10"/>
      <c r="C23" s="10"/>
      <c r="D23" s="10">
        <v>320200000</v>
      </c>
      <c r="E23" s="10">
        <v>320200000</v>
      </c>
      <c r="F23" s="10">
        <v>0</v>
      </c>
      <c r="G23" s="4">
        <v>240150000</v>
      </c>
      <c r="H23" s="10">
        <v>240150000</v>
      </c>
    </row>
    <row r="24" spans="1:9" x14ac:dyDescent="0.25">
      <c r="A24" t="s">
        <v>31</v>
      </c>
      <c r="B24" s="10"/>
      <c r="C24" s="10">
        <v>0</v>
      </c>
      <c r="D24" s="10">
        <v>0</v>
      </c>
      <c r="E24" s="10">
        <v>0</v>
      </c>
      <c r="F24" s="10">
        <v>0</v>
      </c>
    </row>
    <row r="25" spans="1:9" x14ac:dyDescent="0.25">
      <c r="A25" t="s">
        <v>32</v>
      </c>
      <c r="B25" s="10">
        <v>8677285</v>
      </c>
      <c r="C25" s="10">
        <v>8677286</v>
      </c>
      <c r="D25" s="10">
        <v>8677285</v>
      </c>
      <c r="E25" s="20">
        <v>8677285</v>
      </c>
      <c r="F25" s="10">
        <v>8677285</v>
      </c>
      <c r="G25" s="4">
        <v>8677285</v>
      </c>
      <c r="H25" s="10">
        <v>8677285</v>
      </c>
      <c r="I25" s="10">
        <v>8677285</v>
      </c>
    </row>
    <row r="26" spans="1:9" x14ac:dyDescent="0.25">
      <c r="A26" t="s">
        <v>33</v>
      </c>
      <c r="B26" s="10">
        <v>679358155</v>
      </c>
      <c r="C26" s="10">
        <v>612520450</v>
      </c>
      <c r="D26" s="10"/>
      <c r="E26" s="20">
        <v>697542350</v>
      </c>
      <c r="F26" s="10">
        <v>876982450</v>
      </c>
      <c r="H26" s="10">
        <v>856812450</v>
      </c>
      <c r="I26" s="10">
        <v>641827274</v>
      </c>
    </row>
    <row r="27" spans="1:9" x14ac:dyDescent="0.25">
      <c r="A27" t="s">
        <v>34</v>
      </c>
      <c r="B27" s="10">
        <v>804366927</v>
      </c>
      <c r="C27" s="10">
        <v>1060343385</v>
      </c>
      <c r="D27" s="10">
        <v>1164349300</v>
      </c>
      <c r="E27" s="20">
        <v>852412463</v>
      </c>
      <c r="F27" s="10">
        <v>705793053</v>
      </c>
      <c r="G27" s="4">
        <v>1392196220</v>
      </c>
      <c r="H27" s="10">
        <v>862560345</v>
      </c>
      <c r="I27" s="10">
        <v>1074759094</v>
      </c>
    </row>
    <row r="28" spans="1:9" x14ac:dyDescent="0.25">
      <c r="A28" t="s">
        <v>35</v>
      </c>
      <c r="B28" s="10">
        <v>2427911857</v>
      </c>
      <c r="C28" s="10">
        <v>2659540208</v>
      </c>
      <c r="D28" s="10">
        <v>2682661302</v>
      </c>
      <c r="E28" s="20">
        <v>2725934599</v>
      </c>
      <c r="F28" s="10">
        <v>2675111824</v>
      </c>
      <c r="G28" s="4">
        <v>2716451535</v>
      </c>
      <c r="H28" s="10">
        <v>2718410683</v>
      </c>
      <c r="I28" s="10">
        <v>2688699174</v>
      </c>
    </row>
    <row r="29" spans="1:9" x14ac:dyDescent="0.25">
      <c r="A29" t="s">
        <v>36</v>
      </c>
      <c r="B29" s="10">
        <v>585932589</v>
      </c>
      <c r="C29" s="10">
        <v>720360402</v>
      </c>
      <c r="D29" s="10">
        <v>643135534</v>
      </c>
      <c r="E29" s="20">
        <v>610971821</v>
      </c>
      <c r="F29" s="10">
        <v>785564679</v>
      </c>
      <c r="G29" s="4">
        <v>837472194</v>
      </c>
      <c r="H29" s="10">
        <v>847444338</v>
      </c>
      <c r="I29" s="10">
        <v>791022824</v>
      </c>
    </row>
    <row r="30" spans="1:9" x14ac:dyDescent="0.25">
      <c r="A30" t="s">
        <v>37</v>
      </c>
      <c r="B30" s="10">
        <v>16976513102</v>
      </c>
      <c r="C30" s="10">
        <v>16516790624</v>
      </c>
      <c r="D30" s="10">
        <v>17268504953</v>
      </c>
      <c r="E30" s="10">
        <v>17160738797</v>
      </c>
      <c r="F30" s="10">
        <v>16455642959</v>
      </c>
      <c r="G30" s="4">
        <v>18419793053</v>
      </c>
      <c r="H30" s="10">
        <v>18586212027</v>
      </c>
      <c r="I30" s="10">
        <v>17593031484</v>
      </c>
    </row>
    <row r="31" spans="1:9" x14ac:dyDescent="0.25">
      <c r="B31" s="10"/>
      <c r="C31" s="10"/>
      <c r="D31" s="10"/>
      <c r="E31" s="10"/>
      <c r="F31" s="10"/>
    </row>
    <row r="32" spans="1:9" x14ac:dyDescent="0.25">
      <c r="A32" s="3"/>
      <c r="B32" s="14">
        <f>B22+B6+B17+B19+B20</f>
        <v>38862406337</v>
      </c>
      <c r="C32" s="14">
        <f t="shared" ref="C32:F32" si="2">C22+C6+C17+C19+C20</f>
        <v>39074380942</v>
      </c>
      <c r="D32" s="14">
        <f t="shared" si="2"/>
        <v>39006663774</v>
      </c>
      <c r="E32" s="14">
        <f t="shared" si="2"/>
        <v>39186821987</v>
      </c>
      <c r="F32" s="14">
        <f t="shared" si="2"/>
        <v>39139072863</v>
      </c>
      <c r="G32" s="14">
        <f>G22+G6+G17+G19+G20</f>
        <v>41076017233</v>
      </c>
      <c r="H32" s="14">
        <f>H22+H6+H17+H19+H20</f>
        <v>41604667723</v>
      </c>
      <c r="I32" s="14">
        <f>I22+I6+I17+I19+I20</f>
        <v>40885164307</v>
      </c>
    </row>
    <row r="33" spans="1:9" x14ac:dyDescent="0.25">
      <c r="A33" t="s">
        <v>102</v>
      </c>
      <c r="B33" s="34">
        <f>B32-B55</f>
        <v>538835</v>
      </c>
      <c r="C33" s="10"/>
      <c r="D33" s="10"/>
      <c r="E33" s="10"/>
      <c r="F33" s="10"/>
    </row>
    <row r="34" spans="1:9" ht="15.75" x14ac:dyDescent="0.25">
      <c r="A34" s="23" t="s">
        <v>74</v>
      </c>
      <c r="B34" s="10"/>
      <c r="C34" s="10"/>
      <c r="D34" s="10"/>
      <c r="E34" s="10"/>
      <c r="F34" s="10"/>
    </row>
    <row r="35" spans="1:9" ht="15.75" x14ac:dyDescent="0.25">
      <c r="A35" s="24" t="s">
        <v>75</v>
      </c>
      <c r="B35" s="14">
        <f t="shared" ref="B35:F35" si="3">SUM(B36:B42)</f>
        <v>5137038642</v>
      </c>
      <c r="C35" s="14">
        <f t="shared" si="3"/>
        <v>5461462801</v>
      </c>
      <c r="D35" s="14">
        <f t="shared" si="3"/>
        <v>5354566316</v>
      </c>
      <c r="E35" s="14">
        <f t="shared" si="3"/>
        <v>4869462710</v>
      </c>
      <c r="F35" s="14">
        <f t="shared" si="3"/>
        <v>4657107750</v>
      </c>
      <c r="G35" s="14">
        <f>SUM(G36:G42)</f>
        <v>5494865045</v>
      </c>
      <c r="H35" s="14">
        <f>SUM(H36:H42)</f>
        <v>4989653265</v>
      </c>
      <c r="I35" s="14">
        <f>SUM(I36:I42)</f>
        <v>4841439185</v>
      </c>
    </row>
    <row r="36" spans="1:9" ht="30" x14ac:dyDescent="0.25">
      <c r="A36" s="19" t="s">
        <v>16</v>
      </c>
      <c r="B36" s="10">
        <v>1306079751</v>
      </c>
      <c r="C36" s="10">
        <v>1370007351</v>
      </c>
      <c r="D36" s="10">
        <v>1453274610</v>
      </c>
      <c r="E36" s="10">
        <v>1070023699</v>
      </c>
      <c r="F36" s="10">
        <v>974218849</v>
      </c>
      <c r="G36" s="10">
        <v>1369556596</v>
      </c>
      <c r="H36" s="10">
        <v>1049356225</v>
      </c>
      <c r="I36" s="10">
        <v>851339135</v>
      </c>
    </row>
    <row r="37" spans="1:9" ht="30" x14ac:dyDescent="0.25">
      <c r="A37" s="19" t="s">
        <v>17</v>
      </c>
      <c r="B37" s="10">
        <v>29781262</v>
      </c>
      <c r="C37" s="10">
        <v>39514497</v>
      </c>
      <c r="D37" s="10">
        <v>45361996</v>
      </c>
      <c r="E37" s="10">
        <v>51517642</v>
      </c>
      <c r="F37" s="10">
        <v>56067263</v>
      </c>
      <c r="G37" s="10">
        <v>68397749</v>
      </c>
      <c r="H37" s="10">
        <v>76729337</v>
      </c>
      <c r="I37" s="10">
        <v>79316024</v>
      </c>
    </row>
    <row r="38" spans="1:9" x14ac:dyDescent="0.25">
      <c r="A38" s="19" t="s">
        <v>18</v>
      </c>
      <c r="B38" s="10">
        <v>3638792259</v>
      </c>
      <c r="C38" s="10">
        <v>3911081683</v>
      </c>
      <c r="D38" s="10">
        <v>3718087951</v>
      </c>
      <c r="E38" s="10">
        <v>3570961917</v>
      </c>
      <c r="F38" s="10">
        <v>3465570998</v>
      </c>
      <c r="G38" s="10">
        <v>3894638790</v>
      </c>
      <c r="H38" s="10">
        <v>3695055243</v>
      </c>
      <c r="I38" s="10">
        <v>3918494372</v>
      </c>
    </row>
    <row r="39" spans="1:9" x14ac:dyDescent="0.25">
      <c r="A39" s="19" t="s">
        <v>19</v>
      </c>
      <c r="B39" s="10"/>
      <c r="C39" s="10"/>
      <c r="D39" s="10"/>
      <c r="E39" s="10"/>
      <c r="F39" s="10"/>
    </row>
    <row r="40" spans="1:9" x14ac:dyDescent="0.25">
      <c r="A40" s="19" t="s">
        <v>10</v>
      </c>
      <c r="B40" s="10"/>
      <c r="C40" s="10"/>
      <c r="D40" s="10"/>
      <c r="E40" s="10"/>
      <c r="F40" s="10"/>
    </row>
    <row r="41" spans="1:9" x14ac:dyDescent="0.25">
      <c r="A41" s="19" t="s">
        <v>20</v>
      </c>
      <c r="B41" s="10">
        <v>162385370</v>
      </c>
      <c r="C41" s="10">
        <v>140859270</v>
      </c>
      <c r="D41" s="10">
        <v>137841759</v>
      </c>
      <c r="E41" s="10">
        <v>176959452</v>
      </c>
      <c r="F41" s="10">
        <v>161250640</v>
      </c>
      <c r="G41" s="10">
        <v>168019408</v>
      </c>
      <c r="H41" s="10">
        <v>168512460</v>
      </c>
      <c r="I41" s="10">
        <v>182014230</v>
      </c>
    </row>
    <row r="42" spans="1:9" x14ac:dyDescent="0.25">
      <c r="A42" s="38" t="s">
        <v>103</v>
      </c>
      <c r="B42" s="14"/>
      <c r="C42" s="14"/>
      <c r="D42" s="14"/>
      <c r="E42" s="14"/>
      <c r="F42" s="10"/>
      <c r="G42" s="10">
        <v>-5747498</v>
      </c>
      <c r="I42" s="10">
        <v>-189724576</v>
      </c>
    </row>
    <row r="43" spans="1:9" x14ac:dyDescent="0.25">
      <c r="A43" s="3"/>
      <c r="B43" s="14"/>
      <c r="C43" s="14"/>
      <c r="D43" s="14"/>
      <c r="E43" s="14"/>
      <c r="F43" s="10"/>
    </row>
    <row r="44" spans="1:9" x14ac:dyDescent="0.25">
      <c r="A44" s="22" t="s">
        <v>76</v>
      </c>
      <c r="B44" s="14">
        <f t="shared" ref="B44:I44" si="4">SUM(B45:B52)</f>
        <v>33724828860</v>
      </c>
      <c r="C44" s="14">
        <f t="shared" si="4"/>
        <v>33612918138</v>
      </c>
      <c r="D44" s="14">
        <f t="shared" si="4"/>
        <v>33652097458</v>
      </c>
      <c r="E44" s="14">
        <f t="shared" si="4"/>
        <v>34317359277</v>
      </c>
      <c r="F44" s="14">
        <f t="shared" si="4"/>
        <v>34481965113</v>
      </c>
      <c r="G44" s="14">
        <f t="shared" si="4"/>
        <v>35581152188</v>
      </c>
      <c r="H44" s="14">
        <f t="shared" si="4"/>
        <v>36615014458</v>
      </c>
      <c r="I44" s="14">
        <f t="shared" si="4"/>
        <v>36043725122</v>
      </c>
    </row>
    <row r="45" spans="1:9" x14ac:dyDescent="0.25">
      <c r="A45" t="s">
        <v>13</v>
      </c>
      <c r="B45" s="10">
        <v>820582090</v>
      </c>
      <c r="C45" s="10">
        <v>943669400</v>
      </c>
      <c r="D45" s="10">
        <v>943669400</v>
      </c>
      <c r="E45" s="10">
        <v>943669400</v>
      </c>
      <c r="F45" s="10">
        <v>1085219810</v>
      </c>
      <c r="G45" s="10">
        <v>1085219810</v>
      </c>
      <c r="H45" s="10">
        <v>1085219810</v>
      </c>
      <c r="I45" s="10">
        <v>1085219810</v>
      </c>
    </row>
    <row r="46" spans="1:9" x14ac:dyDescent="0.25">
      <c r="A46" t="s">
        <v>14</v>
      </c>
      <c r="B46" s="10"/>
      <c r="C46" s="10"/>
      <c r="D46" s="10"/>
      <c r="E46" s="10"/>
      <c r="F46" s="10"/>
      <c r="I46" s="10">
        <v>216733244</v>
      </c>
    </row>
    <row r="47" spans="1:9" x14ac:dyDescent="0.25">
      <c r="A47" t="s">
        <v>98</v>
      </c>
      <c r="B47" s="10">
        <v>9500000</v>
      </c>
      <c r="C47" s="10">
        <v>9500000</v>
      </c>
      <c r="D47" s="10"/>
      <c r="E47" s="10"/>
      <c r="F47" s="10"/>
    </row>
    <row r="48" spans="1:9" x14ac:dyDescent="0.25">
      <c r="A48" t="s">
        <v>97</v>
      </c>
      <c r="B48" s="10">
        <v>2309983</v>
      </c>
      <c r="C48" s="10">
        <v>2862553</v>
      </c>
      <c r="D48" s="10">
        <v>164248780</v>
      </c>
      <c r="E48" s="10">
        <v>190940967</v>
      </c>
      <c r="F48" s="10">
        <v>206041516</v>
      </c>
      <c r="G48" s="10">
        <v>208724380</v>
      </c>
      <c r="H48" s="10">
        <v>228134325</v>
      </c>
    </row>
    <row r="49" spans="1:9" x14ac:dyDescent="0.25">
      <c r="A49" t="s">
        <v>15</v>
      </c>
      <c r="B49" s="10">
        <v>375059641</v>
      </c>
      <c r="C49" s="10">
        <v>461921078</v>
      </c>
      <c r="D49" s="10">
        <v>145991804</v>
      </c>
      <c r="E49" s="10">
        <v>196162610</v>
      </c>
      <c r="F49" s="10">
        <v>461921078</v>
      </c>
      <c r="H49" s="10">
        <v>16588321</v>
      </c>
    </row>
    <row r="50" spans="1:9" x14ac:dyDescent="0.25">
      <c r="A50" t="s">
        <v>39</v>
      </c>
      <c r="B50" s="10">
        <v>32517377146</v>
      </c>
      <c r="C50" s="10">
        <v>32194965107</v>
      </c>
      <c r="D50" s="10">
        <v>32384234445</v>
      </c>
      <c r="E50" s="10">
        <v>32971841740</v>
      </c>
      <c r="F50" s="10">
        <v>32713172746</v>
      </c>
      <c r="G50" s="10">
        <v>34271518272</v>
      </c>
      <c r="H50" s="10">
        <v>35268806692</v>
      </c>
      <c r="I50" s="10">
        <v>34725844599</v>
      </c>
    </row>
    <row r="51" spans="1:9" x14ac:dyDescent="0.25">
      <c r="B51" s="10"/>
      <c r="C51" s="10"/>
      <c r="D51" s="10"/>
      <c r="E51" s="10"/>
      <c r="F51" s="10"/>
    </row>
    <row r="52" spans="1:9" x14ac:dyDescent="0.25">
      <c r="A52" s="22" t="s">
        <v>77</v>
      </c>
      <c r="B52" s="10"/>
      <c r="C52" s="10"/>
      <c r="D52" s="10">
        <v>13953029</v>
      </c>
      <c r="E52" s="10">
        <v>14744560</v>
      </c>
      <c r="F52" s="10">
        <v>15609963</v>
      </c>
      <c r="G52" s="10">
        <v>15689726</v>
      </c>
      <c r="H52" s="10">
        <v>16265310</v>
      </c>
      <c r="I52" s="10">
        <v>15927469</v>
      </c>
    </row>
    <row r="53" spans="1:9" x14ac:dyDescent="0.25">
      <c r="A53" s="3"/>
      <c r="B53" s="14"/>
      <c r="C53" s="14"/>
      <c r="D53" s="14"/>
      <c r="E53" s="14"/>
      <c r="F53" s="10"/>
    </row>
    <row r="54" spans="1:9" x14ac:dyDescent="0.25">
      <c r="A54" s="3"/>
      <c r="B54" s="14"/>
      <c r="C54" s="14"/>
      <c r="D54" s="14"/>
      <c r="E54" s="14"/>
      <c r="F54" s="10"/>
    </row>
    <row r="55" spans="1:9" x14ac:dyDescent="0.25">
      <c r="A55" s="3"/>
      <c r="B55" s="14">
        <f>B35+B44</f>
        <v>38861867502</v>
      </c>
      <c r="C55" s="14">
        <f>C35+C44+3</f>
        <v>39074380942</v>
      </c>
      <c r="D55" s="14">
        <f t="shared" ref="D55:I55" si="5">D35+D44</f>
        <v>39006663774</v>
      </c>
      <c r="E55" s="14">
        <f t="shared" si="5"/>
        <v>39186821987</v>
      </c>
      <c r="F55" s="14">
        <f t="shared" si="5"/>
        <v>39139072863</v>
      </c>
      <c r="G55" s="14">
        <f t="shared" si="5"/>
        <v>41076017233</v>
      </c>
      <c r="H55" s="14">
        <f t="shared" si="5"/>
        <v>41604667723</v>
      </c>
      <c r="I55" s="14">
        <f t="shared" si="5"/>
        <v>40885164307</v>
      </c>
    </row>
    <row r="57" spans="1:9" x14ac:dyDescent="0.25">
      <c r="A57" s="25" t="s">
        <v>78</v>
      </c>
      <c r="B57" s="6">
        <f t="shared" ref="B57:I57" si="6">B44/(B45/10)</f>
        <v>410.98665533877301</v>
      </c>
      <c r="C57" s="6">
        <f t="shared" si="6"/>
        <v>356.19379136379752</v>
      </c>
      <c r="D57" s="6">
        <f t="shared" si="6"/>
        <v>356.60897193445078</v>
      </c>
      <c r="E57" s="6">
        <f t="shared" si="6"/>
        <v>363.65870586669439</v>
      </c>
      <c r="F57" s="6">
        <f t="shared" si="6"/>
        <v>317.7417588147419</v>
      </c>
      <c r="G57" s="6">
        <f t="shared" si="6"/>
        <v>327.87046329351472</v>
      </c>
      <c r="H57" s="6">
        <f t="shared" si="6"/>
        <v>337.39721778576819</v>
      </c>
      <c r="I57" s="6">
        <f t="shared" si="6"/>
        <v>332.13294477180619</v>
      </c>
    </row>
    <row r="58" spans="1:9" x14ac:dyDescent="0.25">
      <c r="A58" s="25" t="s">
        <v>79</v>
      </c>
      <c r="B58" s="26">
        <f t="shared" ref="B58:G58" si="7">B45/10</f>
        <v>82058209</v>
      </c>
      <c r="C58" s="26">
        <f t="shared" si="7"/>
        <v>94366940</v>
      </c>
      <c r="D58" s="26">
        <f t="shared" si="7"/>
        <v>94366940</v>
      </c>
      <c r="E58" s="26">
        <f t="shared" si="7"/>
        <v>94366940</v>
      </c>
      <c r="F58" s="26">
        <f t="shared" si="7"/>
        <v>108521981</v>
      </c>
      <c r="G58" s="26">
        <f t="shared" si="7"/>
        <v>108521981</v>
      </c>
    </row>
    <row r="59" spans="1:9" x14ac:dyDescent="0.25">
      <c r="B59" s="4"/>
      <c r="C59" s="4"/>
      <c r="D59" s="4"/>
      <c r="E59" s="4"/>
    </row>
    <row r="60" spans="1:9" x14ac:dyDescent="0.25">
      <c r="B60" s="4"/>
      <c r="C60" s="4"/>
      <c r="D60" s="4"/>
      <c r="F60" s="4"/>
    </row>
    <row r="61" spans="1:9" x14ac:dyDescent="0.25">
      <c r="E61" s="4"/>
      <c r="F6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pane xSplit="1" ySplit="4" topLeftCell="H26" activePane="bottomRight" state="frozen"/>
      <selection pane="topRight" activeCell="B1" sqref="B1"/>
      <selection pane="bottomLeft" activeCell="A6" sqref="A6"/>
      <selection pane="bottomRight" activeCell="I26" sqref="I26"/>
    </sheetView>
  </sheetViews>
  <sheetFormatPr defaultRowHeight="15" x14ac:dyDescent="0.25"/>
  <cols>
    <col min="1" max="1" width="46.625" customWidth="1"/>
    <col min="2" max="3" width="18.75" bestFit="1" customWidth="1"/>
    <col min="4" max="4" width="16.875" bestFit="1" customWidth="1"/>
    <col min="5" max="5" width="16.375" bestFit="1" customWidth="1"/>
    <col min="6" max="9" width="16.875" bestFit="1" customWidth="1"/>
  </cols>
  <sheetData>
    <row r="1" spans="1:10" ht="15.75" x14ac:dyDescent="0.25">
      <c r="A1" s="1" t="s">
        <v>54</v>
      </c>
      <c r="B1" s="1"/>
      <c r="C1" s="1"/>
      <c r="D1" s="1"/>
      <c r="E1" s="1"/>
    </row>
    <row r="2" spans="1:10" ht="15.75" x14ac:dyDescent="0.25">
      <c r="A2" s="1" t="s">
        <v>80</v>
      </c>
      <c r="B2" s="1"/>
      <c r="C2" s="1"/>
      <c r="D2" s="1"/>
      <c r="E2" s="1"/>
    </row>
    <row r="3" spans="1:10" ht="15.75" x14ac:dyDescent="0.25">
      <c r="A3" s="1" t="s">
        <v>96</v>
      </c>
      <c r="B3" s="30" t="s">
        <v>93</v>
      </c>
      <c r="C3" s="30" t="s">
        <v>94</v>
      </c>
      <c r="D3" s="30" t="s">
        <v>95</v>
      </c>
      <c r="E3" s="30" t="s">
        <v>93</v>
      </c>
      <c r="F3" s="30" t="s">
        <v>94</v>
      </c>
      <c r="G3" s="30" t="s">
        <v>95</v>
      </c>
      <c r="H3" s="30" t="s">
        <v>93</v>
      </c>
      <c r="I3" s="30" t="s">
        <v>94</v>
      </c>
    </row>
    <row r="4" spans="1:10" ht="15.75" x14ac:dyDescent="0.25">
      <c r="A4" s="1"/>
      <c r="B4" s="29">
        <v>42916</v>
      </c>
      <c r="C4" s="29">
        <v>43008</v>
      </c>
      <c r="D4" s="29">
        <v>43190</v>
      </c>
      <c r="E4" s="29">
        <v>43281</v>
      </c>
      <c r="F4" s="29">
        <v>43373</v>
      </c>
      <c r="G4" s="35">
        <v>43555</v>
      </c>
      <c r="H4" s="36">
        <v>43646</v>
      </c>
      <c r="I4" s="36">
        <v>43738</v>
      </c>
    </row>
    <row r="5" spans="1:10" ht="15.75" x14ac:dyDescent="0.25">
      <c r="A5" s="1"/>
      <c r="B5" s="2"/>
      <c r="C5" s="2"/>
      <c r="D5" s="2"/>
      <c r="E5" s="2"/>
      <c r="F5" s="2"/>
    </row>
    <row r="6" spans="1:10" ht="15.75" x14ac:dyDescent="0.25">
      <c r="A6" s="27" t="s">
        <v>81</v>
      </c>
      <c r="B6" s="15">
        <v>2054921807</v>
      </c>
      <c r="C6" s="15">
        <v>3581613440</v>
      </c>
      <c r="D6" s="15">
        <v>476644837</v>
      </c>
      <c r="E6" s="15">
        <v>2296133449</v>
      </c>
      <c r="F6" s="15">
        <v>4018338454</v>
      </c>
      <c r="G6" s="15">
        <v>660672524</v>
      </c>
      <c r="H6" s="15">
        <v>2865915182</v>
      </c>
      <c r="I6" s="15">
        <v>4661523244</v>
      </c>
    </row>
    <row r="7" spans="1:10" ht="15.75" x14ac:dyDescent="0.25">
      <c r="A7" s="17" t="s">
        <v>3</v>
      </c>
      <c r="B7" s="16">
        <v>7242730</v>
      </c>
      <c r="C7" s="16">
        <v>10547598</v>
      </c>
      <c r="D7" s="16">
        <v>1521588</v>
      </c>
      <c r="E7" s="16">
        <v>8530260</v>
      </c>
      <c r="F7" s="16">
        <v>12602350</v>
      </c>
      <c r="G7" s="16">
        <v>2036705</v>
      </c>
      <c r="H7" s="16">
        <v>11520325</v>
      </c>
      <c r="I7" s="16">
        <v>14074027</v>
      </c>
    </row>
    <row r="8" spans="1:10" ht="15.75" x14ac:dyDescent="0.25">
      <c r="A8" s="27" t="s">
        <v>4</v>
      </c>
      <c r="B8" s="18">
        <f t="shared" ref="B8:F8" si="0">B6-B7</f>
        <v>2047679077</v>
      </c>
      <c r="C8" s="18">
        <f t="shared" si="0"/>
        <v>3571065842</v>
      </c>
      <c r="D8" s="18">
        <f t="shared" si="0"/>
        <v>475123249</v>
      </c>
      <c r="E8" s="18">
        <f t="shared" si="0"/>
        <v>2287603189</v>
      </c>
      <c r="F8" s="18">
        <f t="shared" si="0"/>
        <v>4005736104</v>
      </c>
      <c r="G8" s="18">
        <f>G6-G7</f>
        <v>658635819</v>
      </c>
      <c r="H8" s="18">
        <f>H6-H7</f>
        <v>2854394857</v>
      </c>
      <c r="I8" s="18">
        <f t="shared" ref="I8:J8" si="1">I6-I7</f>
        <v>4647449217</v>
      </c>
      <c r="J8" s="18">
        <f t="shared" si="1"/>
        <v>0</v>
      </c>
    </row>
    <row r="9" spans="1:10" ht="15.75" x14ac:dyDescent="0.25">
      <c r="A9" s="17" t="s">
        <v>5</v>
      </c>
      <c r="B9" s="16">
        <v>1400334474</v>
      </c>
      <c r="C9" s="16">
        <v>1813777228</v>
      </c>
      <c r="D9" s="16">
        <v>713932617</v>
      </c>
      <c r="E9" s="16">
        <v>1317629403</v>
      </c>
      <c r="F9" s="16">
        <v>1946926633</v>
      </c>
      <c r="G9" s="4">
        <v>768367819</v>
      </c>
      <c r="H9" s="16">
        <v>1472084150</v>
      </c>
      <c r="I9" s="16">
        <v>2286526892</v>
      </c>
    </row>
    <row r="10" spans="1:10" ht="15.75" x14ac:dyDescent="0.25">
      <c r="A10" s="17" t="s">
        <v>100</v>
      </c>
      <c r="B10" s="16"/>
      <c r="C10" s="16">
        <v>199243308</v>
      </c>
      <c r="D10" s="16"/>
      <c r="E10" s="16">
        <v>1317629403</v>
      </c>
      <c r="F10" s="16"/>
    </row>
    <row r="11" spans="1:10" ht="15.75" x14ac:dyDescent="0.25">
      <c r="A11" s="17" t="s">
        <v>99</v>
      </c>
      <c r="B11" s="16">
        <v>82079653</v>
      </c>
      <c r="C11" s="16">
        <v>84775809</v>
      </c>
      <c r="D11" s="16">
        <v>14899714</v>
      </c>
      <c r="E11" s="16">
        <v>31851305</v>
      </c>
      <c r="F11" s="16">
        <v>66678676</v>
      </c>
      <c r="G11" s="4">
        <v>30572246</v>
      </c>
      <c r="H11" s="16">
        <v>45547958</v>
      </c>
      <c r="I11" s="16">
        <v>57509818</v>
      </c>
    </row>
    <row r="12" spans="1:10" ht="15.75" x14ac:dyDescent="0.25">
      <c r="A12" s="17" t="s">
        <v>6</v>
      </c>
      <c r="B12" s="16">
        <v>18249437</v>
      </c>
      <c r="C12" s="16">
        <v>36297609</v>
      </c>
      <c r="D12" s="16">
        <v>12601824</v>
      </c>
      <c r="E12" s="16">
        <v>20804421</v>
      </c>
      <c r="F12" s="16">
        <v>31301982</v>
      </c>
      <c r="G12" s="16">
        <v>13928600</v>
      </c>
      <c r="H12" s="16">
        <v>21585360</v>
      </c>
      <c r="I12" s="16">
        <v>32524127</v>
      </c>
    </row>
    <row r="13" spans="1:10" ht="15.75" x14ac:dyDescent="0.25">
      <c r="A13" s="1"/>
      <c r="B13" s="15">
        <f t="shared" ref="B13:F13" si="2">B8+B9+B12+B11</f>
        <v>3548342641</v>
      </c>
      <c r="C13" s="15">
        <f t="shared" si="2"/>
        <v>5505916488</v>
      </c>
      <c r="D13" s="15">
        <f t="shared" si="2"/>
        <v>1216557404</v>
      </c>
      <c r="E13" s="15">
        <f t="shared" si="2"/>
        <v>3657888318</v>
      </c>
      <c r="F13" s="15">
        <f t="shared" si="2"/>
        <v>6050643395</v>
      </c>
      <c r="G13" s="15">
        <f>G8+G9+G12+G11</f>
        <v>1471504484</v>
      </c>
      <c r="H13" s="15">
        <f>H8+H9+H12+H11</f>
        <v>4393612325</v>
      </c>
      <c r="I13" s="15">
        <f>I8+I9+I12+I11</f>
        <v>7024010054</v>
      </c>
    </row>
    <row r="14" spans="1:10" ht="15.75" x14ac:dyDescent="0.25">
      <c r="A14" s="1"/>
      <c r="B14" s="2"/>
      <c r="C14" s="18"/>
      <c r="D14" s="2"/>
      <c r="E14" s="2"/>
      <c r="F14" s="2"/>
    </row>
    <row r="15" spans="1:10" ht="15.75" x14ac:dyDescent="0.25">
      <c r="A15" s="27" t="s">
        <v>7</v>
      </c>
      <c r="B15" s="2"/>
      <c r="C15" s="2"/>
      <c r="D15" s="2"/>
      <c r="E15" s="2"/>
      <c r="F15" s="2"/>
    </row>
    <row r="16" spans="1:10" ht="15.75" x14ac:dyDescent="0.25">
      <c r="A16" s="17" t="s">
        <v>8</v>
      </c>
      <c r="B16" s="16">
        <f>2203281770+162839340</f>
        <v>2366121110</v>
      </c>
      <c r="C16" s="16">
        <v>3868501293</v>
      </c>
      <c r="D16" s="16">
        <f>1128102362+101509463</f>
        <v>1229611825</v>
      </c>
      <c r="E16" s="16">
        <f>2175444609+154613282</f>
        <v>2330057891</v>
      </c>
      <c r="F16" s="16">
        <f>3748044791+171021450</f>
        <v>3919066241</v>
      </c>
      <c r="G16" s="10">
        <f>1136302389+107282726</f>
        <v>1243585115</v>
      </c>
      <c r="H16" s="10">
        <f>2259326059+164665440</f>
        <v>2423991499</v>
      </c>
      <c r="I16" s="10">
        <f>4248870522+188479309</f>
        <v>4437349831</v>
      </c>
    </row>
    <row r="17" spans="1:10" ht="15.75" x14ac:dyDescent="0.25">
      <c r="A17" s="17" t="s">
        <v>9</v>
      </c>
      <c r="B17" s="16"/>
      <c r="C17" s="16"/>
      <c r="D17" s="16"/>
      <c r="F17" s="16">
        <v>642312186</v>
      </c>
      <c r="G17" s="10">
        <v>145806914</v>
      </c>
      <c r="H17">
        <v>455909478</v>
      </c>
      <c r="I17" s="10">
        <v>788327497</v>
      </c>
    </row>
    <row r="18" spans="1:10" ht="15.75" x14ac:dyDescent="0.25">
      <c r="A18" s="17" t="s">
        <v>101</v>
      </c>
      <c r="B18" s="16">
        <f>337485350+629337571</f>
        <v>966822921</v>
      </c>
      <c r="C18" s="16">
        <f>581675380+1079998768</f>
        <v>1661674148</v>
      </c>
      <c r="D18" s="16">
        <f>109127815+349262145</f>
        <v>458389960</v>
      </c>
      <c r="E18" s="16">
        <f>371518202+679924061</f>
        <v>1051442263</v>
      </c>
      <c r="F18" s="16">
        <v>1144203049</v>
      </c>
      <c r="G18" s="10">
        <v>369578009</v>
      </c>
      <c r="H18">
        <v>753096112</v>
      </c>
      <c r="I18" s="16">
        <v>1265498424</v>
      </c>
    </row>
    <row r="19" spans="1:10" ht="15.75" x14ac:dyDescent="0.25">
      <c r="A19" s="17" t="s">
        <v>65</v>
      </c>
      <c r="B19" s="16">
        <v>56472851</v>
      </c>
      <c r="C19" s="16">
        <v>367830746</v>
      </c>
      <c r="D19" s="16">
        <v>22677354</v>
      </c>
      <c r="E19" s="16">
        <v>64677828</v>
      </c>
      <c r="F19" s="16">
        <v>419162996</v>
      </c>
      <c r="G19" s="10">
        <v>29041001</v>
      </c>
      <c r="H19" s="16">
        <v>60249836</v>
      </c>
      <c r="I19" s="16">
        <v>384902346</v>
      </c>
    </row>
    <row r="20" spans="1:10" ht="15.75" x14ac:dyDescent="0.25">
      <c r="A20" s="17" t="s">
        <v>105</v>
      </c>
      <c r="B20" s="16">
        <v>1264643</v>
      </c>
      <c r="C20" s="16">
        <v>1817213</v>
      </c>
      <c r="D20" s="16">
        <v>985948</v>
      </c>
      <c r="E20" s="16">
        <v>791531</v>
      </c>
      <c r="F20" s="16">
        <v>2042882</v>
      </c>
      <c r="G20" s="10">
        <v>717506</v>
      </c>
      <c r="H20" s="16">
        <v>1293090</v>
      </c>
      <c r="I20" s="16">
        <v>1525249</v>
      </c>
    </row>
    <row r="21" spans="1:10" ht="15.75" x14ac:dyDescent="0.25">
      <c r="A21" s="17" t="s">
        <v>104</v>
      </c>
      <c r="B21" s="16"/>
      <c r="C21" s="16"/>
      <c r="D21" s="16"/>
      <c r="E21" s="16"/>
      <c r="F21" s="16"/>
      <c r="G21" s="10">
        <v>2619303</v>
      </c>
      <c r="H21">
        <v>2217309</v>
      </c>
      <c r="I21" s="16">
        <v>3914880</v>
      </c>
    </row>
    <row r="22" spans="1:10" ht="15.75" x14ac:dyDescent="0.25">
      <c r="A22" s="17" t="s">
        <v>10</v>
      </c>
      <c r="B22" s="16"/>
      <c r="C22" s="16"/>
      <c r="D22" s="16"/>
      <c r="E22" s="16"/>
      <c r="F22" s="16"/>
    </row>
    <row r="23" spans="1:10" ht="15.75" x14ac:dyDescent="0.25">
      <c r="A23" s="17" t="s">
        <v>11</v>
      </c>
      <c r="B23" s="16">
        <v>1910460</v>
      </c>
      <c r="C23" s="16">
        <v>1997779</v>
      </c>
      <c r="D23" s="16">
        <v>1852697</v>
      </c>
      <c r="E23" s="16">
        <v>92979703</v>
      </c>
      <c r="F23" s="16">
        <v>2385384</v>
      </c>
      <c r="G23" s="10"/>
    </row>
    <row r="24" spans="1:10" ht="15.75" x14ac:dyDescent="0.25">
      <c r="A24" s="25" t="s">
        <v>82</v>
      </c>
      <c r="B24" s="18">
        <f>B13-B16-B17-B18-B22+B23</f>
        <v>217309070</v>
      </c>
      <c r="C24" s="18">
        <f>C13-C16-C17-C18-C22+C23-C19-C20</f>
        <v>-391909133</v>
      </c>
      <c r="D24" s="18">
        <f>D13-D16-D17-D18-D22+D23-D19-D20</f>
        <v>-493254986</v>
      </c>
      <c r="E24" s="18">
        <f>E13-E16-E11-E18-E19-E22+E23-E20</f>
        <v>272047203</v>
      </c>
      <c r="F24" s="18">
        <f>F13-F16-F17-F18-F19-F22+F23</f>
        <v>-71715693</v>
      </c>
      <c r="G24" s="18">
        <f>G13-G16-G17-G18-G19-G22+G23-G21-G20</f>
        <v>-319843364</v>
      </c>
      <c r="H24" s="18">
        <f>H13-H16-H17-H18-H19-H22+H23-H21-H20</f>
        <v>696855001</v>
      </c>
      <c r="I24" s="18">
        <f>I13-I16-I17-I18-I19-I22+I23-I21-I20</f>
        <v>142491827</v>
      </c>
    </row>
    <row r="25" spans="1:10" ht="15.75" x14ac:dyDescent="0.25">
      <c r="A25" s="22" t="s">
        <v>83</v>
      </c>
      <c r="B25" s="18"/>
      <c r="C25" s="18"/>
      <c r="D25" s="18"/>
      <c r="E25" s="18"/>
      <c r="F25" s="18"/>
    </row>
    <row r="26" spans="1:10" ht="15.75" x14ac:dyDescent="0.25">
      <c r="A26" s="17" t="s">
        <v>12</v>
      </c>
      <c r="B26" s="16"/>
      <c r="C26" s="16"/>
      <c r="D26" s="16"/>
      <c r="E26" s="16"/>
      <c r="F26" s="16"/>
    </row>
    <row r="27" spans="1:10" ht="15.75" x14ac:dyDescent="0.25">
      <c r="A27" s="25" t="s">
        <v>84</v>
      </c>
      <c r="B27" s="18">
        <f t="shared" ref="B27:J27" si="3">B24-B26</f>
        <v>217309070</v>
      </c>
      <c r="C27" s="18">
        <f t="shared" si="3"/>
        <v>-391909133</v>
      </c>
      <c r="D27" s="18">
        <f t="shared" si="3"/>
        <v>-493254986</v>
      </c>
      <c r="E27" s="18">
        <f t="shared" si="3"/>
        <v>272047203</v>
      </c>
      <c r="F27" s="18">
        <f t="shared" si="3"/>
        <v>-71715693</v>
      </c>
      <c r="G27" s="18">
        <f t="shared" si="3"/>
        <v>-319843364</v>
      </c>
      <c r="H27" s="18">
        <f t="shared" si="3"/>
        <v>696855001</v>
      </c>
      <c r="I27" s="18">
        <f t="shared" si="3"/>
        <v>142491827</v>
      </c>
      <c r="J27" s="18">
        <f t="shared" si="3"/>
        <v>0</v>
      </c>
    </row>
    <row r="28" spans="1:10" x14ac:dyDescent="0.25">
      <c r="A28" s="3"/>
      <c r="B28" s="8"/>
      <c r="C28" s="7"/>
      <c r="D28" s="7"/>
      <c r="E28" s="7"/>
      <c r="F28" s="7"/>
    </row>
    <row r="29" spans="1:10" x14ac:dyDescent="0.25">
      <c r="A29" s="28"/>
      <c r="B29" s="5"/>
      <c r="C29" s="5"/>
      <c r="D29" s="5"/>
      <c r="E29" s="33"/>
      <c r="F29" s="5"/>
    </row>
    <row r="30" spans="1:10" x14ac:dyDescent="0.25">
      <c r="B30" s="5"/>
      <c r="C30" s="5"/>
      <c r="D30" s="5"/>
      <c r="E30" s="5"/>
      <c r="F30" s="5"/>
    </row>
    <row r="52" spans="1:1" x14ac:dyDescent="0.25">
      <c r="A52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8"/>
  <sheetViews>
    <sheetView tabSelected="1" topLeftCell="A4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B18" sqref="B18"/>
    </sheetView>
  </sheetViews>
  <sheetFormatPr defaultRowHeight="15" x14ac:dyDescent="0.25"/>
  <cols>
    <col min="1" max="1" width="49.875" bestFit="1" customWidth="1"/>
    <col min="2" max="3" width="17.75" bestFit="1" customWidth="1"/>
    <col min="4" max="5" width="17.875" bestFit="1" customWidth="1"/>
    <col min="6" max="6" width="17.75" bestFit="1" customWidth="1"/>
    <col min="7" max="9" width="18" bestFit="1" customWidth="1"/>
  </cols>
  <sheetData>
    <row r="2" spans="1:9" ht="15.75" x14ac:dyDescent="0.25">
      <c r="A2" s="1" t="s">
        <v>2</v>
      </c>
      <c r="B2" s="1"/>
      <c r="C2" s="1"/>
      <c r="D2" s="1"/>
      <c r="E2" s="1"/>
    </row>
    <row r="3" spans="1:9" ht="15.75" x14ac:dyDescent="0.25">
      <c r="A3" s="1" t="s">
        <v>0</v>
      </c>
      <c r="B3" s="1"/>
      <c r="C3" s="1"/>
      <c r="D3" s="1"/>
      <c r="E3" s="1"/>
    </row>
    <row r="4" spans="1:9" ht="15.75" x14ac:dyDescent="0.25">
      <c r="A4" s="1" t="s">
        <v>54</v>
      </c>
      <c r="B4" s="1"/>
      <c r="C4" s="1"/>
      <c r="D4" s="1"/>
      <c r="E4" s="1"/>
    </row>
    <row r="5" spans="1:9" ht="15.75" x14ac:dyDescent="0.25">
      <c r="A5" s="1" t="s">
        <v>85</v>
      </c>
    </row>
    <row r="6" spans="1:9" ht="15.75" x14ac:dyDescent="0.25">
      <c r="A6" s="1" t="s">
        <v>96</v>
      </c>
      <c r="B6" s="31" t="s">
        <v>93</v>
      </c>
      <c r="C6" s="31" t="s">
        <v>94</v>
      </c>
      <c r="D6" s="31" t="s">
        <v>95</v>
      </c>
      <c r="E6" s="31" t="s">
        <v>93</v>
      </c>
      <c r="F6" s="31" t="s">
        <v>94</v>
      </c>
      <c r="G6" s="37" t="s">
        <v>95</v>
      </c>
      <c r="H6" s="30" t="s">
        <v>93</v>
      </c>
      <c r="I6" s="30" t="s">
        <v>94</v>
      </c>
    </row>
    <row r="7" spans="1:9" ht="15.75" x14ac:dyDescent="0.25">
      <c r="A7" s="1"/>
      <c r="B7" s="32">
        <v>42916</v>
      </c>
      <c r="C7" s="32">
        <v>43008</v>
      </c>
      <c r="D7" s="32">
        <v>43190</v>
      </c>
      <c r="E7" s="32">
        <v>43281</v>
      </c>
      <c r="F7" s="32">
        <v>43373</v>
      </c>
      <c r="G7" s="36">
        <v>43555</v>
      </c>
      <c r="H7" s="36">
        <v>43646</v>
      </c>
      <c r="I7" s="36">
        <v>43738</v>
      </c>
    </row>
    <row r="8" spans="1:9" ht="15.75" x14ac:dyDescent="0.25">
      <c r="A8" s="25" t="s">
        <v>86</v>
      </c>
      <c r="B8" s="1"/>
      <c r="C8" s="1"/>
      <c r="D8" s="1"/>
      <c r="E8" s="1"/>
      <c r="F8" s="1"/>
    </row>
    <row r="9" spans="1:9" x14ac:dyDescent="0.25">
      <c r="A9" t="s">
        <v>40</v>
      </c>
      <c r="B9" s="10"/>
      <c r="C9" s="10">
        <v>3548652850</v>
      </c>
      <c r="D9" s="10">
        <v>2892145646</v>
      </c>
      <c r="E9" s="10">
        <v>4086200929</v>
      </c>
      <c r="F9" s="4">
        <v>5609184932</v>
      </c>
      <c r="G9" s="10">
        <v>3375992758</v>
      </c>
      <c r="H9" s="10">
        <v>4735431798</v>
      </c>
      <c r="I9" s="10">
        <v>6756973104</v>
      </c>
    </row>
    <row r="10" spans="1:9" x14ac:dyDescent="0.25">
      <c r="A10" s="5" t="s">
        <v>41</v>
      </c>
      <c r="B10" s="10"/>
      <c r="C10" s="10">
        <v>70329090</v>
      </c>
      <c r="D10" s="10">
        <v>27501538</v>
      </c>
      <c r="E10" s="10">
        <v>52655726</v>
      </c>
      <c r="F10" s="10">
        <v>86880658</v>
      </c>
      <c r="G10" s="10">
        <v>44500846</v>
      </c>
      <c r="H10" s="10">
        <v>67133318</v>
      </c>
      <c r="I10" s="10">
        <v>90033945</v>
      </c>
    </row>
    <row r="11" spans="1:9" x14ac:dyDescent="0.25">
      <c r="A11" s="5" t="s">
        <v>55</v>
      </c>
      <c r="B11" s="10"/>
      <c r="C11" s="10">
        <v>1793002866</v>
      </c>
      <c r="D11" s="10">
        <v>789409809</v>
      </c>
      <c r="E11" s="10">
        <v>1705043432</v>
      </c>
      <c r="F11" s="10">
        <v>2480960072</v>
      </c>
      <c r="G11" s="10">
        <v>846388974</v>
      </c>
      <c r="H11" s="10">
        <v>2073145769</v>
      </c>
      <c r="I11" s="10">
        <v>2794619522</v>
      </c>
    </row>
    <row r="12" spans="1:9" x14ac:dyDescent="0.25">
      <c r="A12" s="5" t="s">
        <v>56</v>
      </c>
      <c r="B12" s="10"/>
      <c r="C12" s="10">
        <v>-3518630232</v>
      </c>
      <c r="D12" s="10">
        <v>-2952583934</v>
      </c>
      <c r="E12" s="10">
        <v>-4040095324</v>
      </c>
      <c r="F12" s="10">
        <v>-5857094111</v>
      </c>
      <c r="G12" s="10">
        <v>-2667406339</v>
      </c>
      <c r="H12" s="10">
        <v>-4168013094</v>
      </c>
      <c r="I12" s="10">
        <v>-6379388516</v>
      </c>
    </row>
    <row r="13" spans="1:9" x14ac:dyDescent="0.25">
      <c r="A13" s="5" t="s">
        <v>42</v>
      </c>
      <c r="B13" s="10"/>
      <c r="C13" s="10">
        <v>-418821834</v>
      </c>
      <c r="D13" s="10">
        <v>-587806584</v>
      </c>
      <c r="E13" s="10">
        <v>-1594183099</v>
      </c>
      <c r="F13" s="10">
        <v>-2214137246</v>
      </c>
      <c r="G13" s="10">
        <v>-808959134</v>
      </c>
      <c r="H13" s="10">
        <v>-1612594153</v>
      </c>
      <c r="I13" s="10">
        <v>-2465489825</v>
      </c>
    </row>
    <row r="14" spans="1:9" x14ac:dyDescent="0.25">
      <c r="A14" s="5" t="s">
        <v>43</v>
      </c>
      <c r="B14" s="10"/>
      <c r="C14" s="10"/>
      <c r="D14" s="10"/>
      <c r="E14" s="10"/>
      <c r="F14" s="10"/>
    </row>
    <row r="15" spans="1:9" x14ac:dyDescent="0.25">
      <c r="A15" s="5" t="s">
        <v>61</v>
      </c>
      <c r="B15" s="10"/>
      <c r="C15" s="10">
        <v>-209224981</v>
      </c>
      <c r="D15" s="10"/>
      <c r="E15" s="10"/>
      <c r="F15" s="10"/>
    </row>
    <row r="16" spans="1:9" ht="30" x14ac:dyDescent="0.25">
      <c r="A16" s="19" t="s">
        <v>62</v>
      </c>
      <c r="B16" s="10"/>
      <c r="C16" s="10">
        <v>-200253287</v>
      </c>
      <c r="D16" s="10"/>
      <c r="E16" s="10"/>
      <c r="F16" s="10"/>
    </row>
    <row r="17" spans="1:9" x14ac:dyDescent="0.25">
      <c r="A17" s="5" t="s">
        <v>44</v>
      </c>
      <c r="B17" s="10"/>
      <c r="C17" s="10">
        <v>-634547339</v>
      </c>
      <c r="D17" s="10"/>
      <c r="E17" s="10"/>
      <c r="F17" s="10"/>
    </row>
    <row r="18" spans="1:9" x14ac:dyDescent="0.25">
      <c r="A18" s="5" t="s">
        <v>66</v>
      </c>
      <c r="B18" s="10"/>
      <c r="C18" s="10"/>
      <c r="D18" s="10"/>
      <c r="E18" s="10"/>
      <c r="F18" s="10"/>
    </row>
    <row r="19" spans="1:9" x14ac:dyDescent="0.25">
      <c r="A19" s="5" t="s">
        <v>63</v>
      </c>
      <c r="B19" s="10"/>
      <c r="C19" s="10">
        <v>-26769360</v>
      </c>
      <c r="D19" s="10"/>
      <c r="E19" s="10"/>
      <c r="F19" s="10"/>
    </row>
    <row r="20" spans="1:9" x14ac:dyDescent="0.25">
      <c r="A20" s="5" t="s">
        <v>45</v>
      </c>
      <c r="B20" s="10"/>
      <c r="C20" s="10">
        <v>-123972596</v>
      </c>
      <c r="D20" s="10">
        <v>-27891784</v>
      </c>
      <c r="E20" s="10">
        <v>-129422211</v>
      </c>
      <c r="F20" s="10">
        <v>-331089844</v>
      </c>
      <c r="G20" s="10">
        <v>-103122225</v>
      </c>
      <c r="H20" s="10">
        <v>-131239393</v>
      </c>
      <c r="I20" s="10">
        <v>-206771850</v>
      </c>
    </row>
    <row r="21" spans="1:9" x14ac:dyDescent="0.25">
      <c r="A21" s="3"/>
      <c r="B21" s="11">
        <f>SUM(B9:B20)</f>
        <v>0</v>
      </c>
      <c r="C21" s="11">
        <f>SUM(C9:C20)</f>
        <v>279765177</v>
      </c>
      <c r="D21" s="11">
        <f t="shared" ref="D21:G21" si="0">SUM(D9:D20)</f>
        <v>140774691</v>
      </c>
      <c r="E21" s="11">
        <f t="shared" si="0"/>
        <v>80199453</v>
      </c>
      <c r="F21" s="11">
        <f t="shared" si="0"/>
        <v>-225295539</v>
      </c>
      <c r="G21" s="11">
        <f t="shared" si="0"/>
        <v>687394880</v>
      </c>
      <c r="H21" s="11">
        <f>SUM(H9:H20)</f>
        <v>963864245</v>
      </c>
      <c r="I21" s="11">
        <f>SUM(I9:I20)</f>
        <v>589976380</v>
      </c>
    </row>
    <row r="22" spans="1:9" x14ac:dyDescent="0.25">
      <c r="B22" s="10"/>
      <c r="C22" s="10"/>
      <c r="D22" s="10"/>
      <c r="E22" s="10"/>
      <c r="F22" s="10"/>
    </row>
    <row r="23" spans="1:9" x14ac:dyDescent="0.25">
      <c r="A23" s="25" t="s">
        <v>87</v>
      </c>
      <c r="B23" s="10"/>
      <c r="C23" s="10"/>
      <c r="D23" s="10"/>
      <c r="E23" s="10"/>
      <c r="F23" s="10"/>
    </row>
    <row r="24" spans="1:9" x14ac:dyDescent="0.25">
      <c r="A24" s="12" t="s">
        <v>1</v>
      </c>
      <c r="B24" s="10"/>
      <c r="C24" s="10"/>
      <c r="D24" s="10"/>
      <c r="E24" s="10"/>
      <c r="F24" s="10"/>
    </row>
    <row r="25" spans="1:9" x14ac:dyDescent="0.25">
      <c r="A25" s="12" t="s">
        <v>57</v>
      </c>
      <c r="B25" s="10"/>
      <c r="C25" s="10">
        <v>-70813893</v>
      </c>
      <c r="D25" s="10">
        <v>-44771764</v>
      </c>
      <c r="E25" s="10">
        <v>-78323690</v>
      </c>
      <c r="F25" s="10">
        <v>-114007138</v>
      </c>
      <c r="G25" s="10">
        <v>-54573503</v>
      </c>
      <c r="H25" s="10">
        <v>-95461728</v>
      </c>
      <c r="I25" s="10">
        <v>-142492862</v>
      </c>
    </row>
    <row r="26" spans="1:9" x14ac:dyDescent="0.25">
      <c r="A26" s="12" t="s">
        <v>58</v>
      </c>
      <c r="B26" s="10"/>
      <c r="C26" s="10">
        <v>33769944</v>
      </c>
      <c r="D26" s="10">
        <v>31031338</v>
      </c>
      <c r="E26" s="10">
        <v>43506843</v>
      </c>
      <c r="F26" s="10">
        <v>66132368</v>
      </c>
      <c r="G26" s="10">
        <v>50686317</v>
      </c>
      <c r="H26" s="10">
        <v>64317844</v>
      </c>
      <c r="I26" s="10">
        <v>97636870</v>
      </c>
    </row>
    <row r="27" spans="1:9" x14ac:dyDescent="0.25">
      <c r="A27" s="12" t="s">
        <v>59</v>
      </c>
      <c r="B27" s="10"/>
      <c r="C27" s="10">
        <v>-182196593</v>
      </c>
      <c r="D27" s="10">
        <v>-30000000</v>
      </c>
      <c r="E27" s="10">
        <v>-60741577</v>
      </c>
      <c r="F27" s="10">
        <v>-1471072</v>
      </c>
      <c r="G27" s="10">
        <v>-184680</v>
      </c>
      <c r="H27" s="10">
        <v>-1160884</v>
      </c>
      <c r="I27" s="10">
        <v>-1160884</v>
      </c>
    </row>
    <row r="28" spans="1:9" x14ac:dyDescent="0.25">
      <c r="A28" s="12" t="s">
        <v>60</v>
      </c>
      <c r="B28" s="10"/>
      <c r="C28" s="10">
        <v>5518278</v>
      </c>
      <c r="D28" s="10">
        <v>2933653</v>
      </c>
      <c r="E28" s="10">
        <v>6175944</v>
      </c>
      <c r="F28" s="10">
        <v>10878298</v>
      </c>
      <c r="G28" s="10">
        <v>4060495</v>
      </c>
      <c r="H28" s="10">
        <v>7054793</v>
      </c>
      <c r="I28" s="10">
        <v>10762752</v>
      </c>
    </row>
    <row r="29" spans="1:9" x14ac:dyDescent="0.25">
      <c r="A29" s="12" t="s">
        <v>67</v>
      </c>
      <c r="B29" s="10"/>
      <c r="C29" s="10"/>
      <c r="D29" s="10"/>
      <c r="E29" s="10"/>
      <c r="F29" s="10"/>
    </row>
    <row r="30" spans="1:9" x14ac:dyDescent="0.25">
      <c r="A30" s="12" t="s">
        <v>46</v>
      </c>
      <c r="B30" s="10"/>
      <c r="C30" s="10">
        <v>-523205105</v>
      </c>
      <c r="D30" s="10">
        <v>-53635169</v>
      </c>
      <c r="E30" s="10">
        <v>-33292926</v>
      </c>
      <c r="F30" s="10">
        <v>-440442033</v>
      </c>
      <c r="G30" s="10">
        <v>-68574020</v>
      </c>
      <c r="H30" s="10">
        <v>-69110105</v>
      </c>
      <c r="I30" s="10">
        <v>-663920410</v>
      </c>
    </row>
    <row r="31" spans="1:9" x14ac:dyDescent="0.25">
      <c r="A31" s="12" t="s">
        <v>47</v>
      </c>
      <c r="B31" s="10"/>
      <c r="C31" s="10"/>
      <c r="D31" s="10"/>
      <c r="E31" s="10"/>
      <c r="F31" s="10"/>
    </row>
    <row r="32" spans="1:9" x14ac:dyDescent="0.25">
      <c r="A32" s="12" t="s">
        <v>68</v>
      </c>
      <c r="B32" s="10"/>
      <c r="C32" s="10">
        <v>-57471640</v>
      </c>
      <c r="D32" s="10">
        <v>-27763047</v>
      </c>
      <c r="E32" s="10">
        <v>-46714532</v>
      </c>
      <c r="F32" s="10">
        <v>-90081208</v>
      </c>
      <c r="G32" s="10">
        <v>-7339230</v>
      </c>
      <c r="H32" s="10">
        <v>-74824443</v>
      </c>
      <c r="I32" s="10">
        <v>-84092676</v>
      </c>
    </row>
    <row r="33" spans="1:9" x14ac:dyDescent="0.25">
      <c r="A33" s="12" t="s">
        <v>48</v>
      </c>
      <c r="B33" s="10"/>
      <c r="C33" s="10"/>
      <c r="D33" s="10"/>
      <c r="E33" s="10"/>
      <c r="F33" s="10"/>
    </row>
    <row r="34" spans="1:9" x14ac:dyDescent="0.25">
      <c r="A34" s="12" t="s">
        <v>64</v>
      </c>
      <c r="B34" s="10"/>
      <c r="C34" s="10"/>
      <c r="D34" s="10"/>
      <c r="E34" s="10"/>
      <c r="F34" s="10"/>
    </row>
    <row r="35" spans="1:9" x14ac:dyDescent="0.25">
      <c r="A35" s="12" t="s">
        <v>49</v>
      </c>
      <c r="B35" s="10"/>
      <c r="C35" s="10"/>
      <c r="D35" s="10"/>
      <c r="E35" s="10"/>
      <c r="F35" s="10"/>
    </row>
    <row r="36" spans="1:9" x14ac:dyDescent="0.25">
      <c r="A36" s="12" t="s">
        <v>50</v>
      </c>
      <c r="B36" s="10">
        <v>0</v>
      </c>
      <c r="C36" s="10"/>
      <c r="D36" s="10">
        <v>0</v>
      </c>
      <c r="E36" s="10">
        <v>0</v>
      </c>
      <c r="F36" s="10"/>
    </row>
    <row r="37" spans="1:9" x14ac:dyDescent="0.25">
      <c r="A37" s="3"/>
      <c r="B37" s="11">
        <f>SUM(B24:B36)</f>
        <v>0</v>
      </c>
      <c r="C37" s="11">
        <f t="shared" ref="C37:I37" si="1">SUM(C24:C36)</f>
        <v>-794399009</v>
      </c>
      <c r="D37" s="11">
        <f t="shared" si="1"/>
        <v>-122204989</v>
      </c>
      <c r="E37" s="11">
        <f t="shared" si="1"/>
        <v>-169389938</v>
      </c>
      <c r="F37" s="11">
        <f t="shared" si="1"/>
        <v>-568990785</v>
      </c>
      <c r="G37" s="11">
        <f t="shared" si="1"/>
        <v>-75924621</v>
      </c>
      <c r="H37" s="11">
        <f t="shared" si="1"/>
        <v>-169184523</v>
      </c>
      <c r="I37" s="11">
        <f t="shared" si="1"/>
        <v>-783267210</v>
      </c>
    </row>
    <row r="38" spans="1:9" x14ac:dyDescent="0.25">
      <c r="B38" s="10"/>
      <c r="C38" s="10"/>
      <c r="D38" s="10"/>
      <c r="E38" s="10"/>
      <c r="F38" s="10"/>
    </row>
    <row r="39" spans="1:9" x14ac:dyDescent="0.25">
      <c r="A39" s="25" t="s">
        <v>88</v>
      </c>
      <c r="B39" s="10"/>
      <c r="C39" s="10"/>
      <c r="D39" s="10"/>
      <c r="E39" s="10"/>
      <c r="F39" s="10"/>
    </row>
    <row r="40" spans="1:9" x14ac:dyDescent="0.25">
      <c r="A40" t="s">
        <v>51</v>
      </c>
      <c r="B40" s="10"/>
      <c r="C40" s="10"/>
      <c r="D40" s="10">
        <v>-42718</v>
      </c>
      <c r="E40" s="10">
        <v>-48687</v>
      </c>
      <c r="F40" s="10">
        <v>-48686</v>
      </c>
      <c r="H40" s="10">
        <v>-1080</v>
      </c>
      <c r="I40" s="10">
        <v>22001080</v>
      </c>
    </row>
    <row r="41" spans="1:9" x14ac:dyDescent="0.25">
      <c r="A41" s="3"/>
      <c r="B41" s="13">
        <f>SUM(B40:B40)</f>
        <v>0</v>
      </c>
      <c r="C41" s="13">
        <f t="shared" ref="C41:I41" si="2">SUM(C40:C40)</f>
        <v>0</v>
      </c>
      <c r="D41" s="13">
        <f t="shared" si="2"/>
        <v>-42718</v>
      </c>
      <c r="E41" s="13">
        <f t="shared" si="2"/>
        <v>-48687</v>
      </c>
      <c r="F41" s="13">
        <f t="shared" si="2"/>
        <v>-48686</v>
      </c>
      <c r="G41" s="13">
        <f t="shared" si="2"/>
        <v>0</v>
      </c>
      <c r="H41" s="13">
        <f t="shared" si="2"/>
        <v>-1080</v>
      </c>
      <c r="I41" s="13">
        <f t="shared" si="2"/>
        <v>22001080</v>
      </c>
    </row>
    <row r="42" spans="1:9" x14ac:dyDescent="0.25">
      <c r="B42" s="10"/>
      <c r="C42" s="10"/>
      <c r="D42" s="10"/>
      <c r="E42" s="10"/>
      <c r="F42" s="10"/>
    </row>
    <row r="43" spans="1:9" x14ac:dyDescent="0.25">
      <c r="A43" s="3" t="s">
        <v>89</v>
      </c>
      <c r="B43" s="14">
        <f>B21+B37+B41</f>
        <v>0</v>
      </c>
      <c r="C43" s="14">
        <f t="shared" ref="C43:G43" si="3">C21+C37+C41</f>
        <v>-514633832</v>
      </c>
      <c r="D43" s="14">
        <f t="shared" si="3"/>
        <v>18526984</v>
      </c>
      <c r="E43" s="14">
        <f t="shared" si="3"/>
        <v>-89239172</v>
      </c>
      <c r="F43" s="14">
        <f t="shared" si="3"/>
        <v>-794335010</v>
      </c>
      <c r="G43" s="14">
        <f t="shared" si="3"/>
        <v>611470259</v>
      </c>
      <c r="H43" s="14">
        <f>H21+H37+H41</f>
        <v>794678642</v>
      </c>
      <c r="I43" s="14">
        <f>I21+I37+I41</f>
        <v>-171289750</v>
      </c>
    </row>
    <row r="44" spans="1:9" x14ac:dyDescent="0.25">
      <c r="A44" s="28" t="s">
        <v>90</v>
      </c>
      <c r="B44" s="10"/>
      <c r="C44" s="10">
        <v>17491146934</v>
      </c>
      <c r="D44" s="10">
        <v>17249977969</v>
      </c>
      <c r="E44" s="10">
        <v>17249977969</v>
      </c>
      <c r="F44" s="10">
        <v>17249977969</v>
      </c>
      <c r="G44" s="10">
        <v>17808323394</v>
      </c>
      <c r="I44" s="10">
        <v>17808323394</v>
      </c>
    </row>
    <row r="45" spans="1:9" x14ac:dyDescent="0.25">
      <c r="A45" s="25" t="s">
        <v>91</v>
      </c>
      <c r="B45" s="14">
        <f>B43+B44</f>
        <v>0</v>
      </c>
      <c r="C45" s="14">
        <f t="shared" ref="C45:I45" si="4">C43+C44</f>
        <v>16976513102</v>
      </c>
      <c r="D45" s="14">
        <f t="shared" si="4"/>
        <v>17268504953</v>
      </c>
      <c r="E45" s="14">
        <f t="shared" si="4"/>
        <v>17160738797</v>
      </c>
      <c r="F45" s="14">
        <f t="shared" si="4"/>
        <v>16455642959</v>
      </c>
      <c r="G45" s="14">
        <f t="shared" si="4"/>
        <v>18419793653</v>
      </c>
      <c r="H45" s="14">
        <f t="shared" si="4"/>
        <v>794678642</v>
      </c>
      <c r="I45" s="14">
        <f t="shared" si="4"/>
        <v>17637033644</v>
      </c>
    </row>
    <row r="46" spans="1:9" x14ac:dyDescent="0.25">
      <c r="B46" s="3"/>
      <c r="C46" s="3"/>
      <c r="D46" s="3"/>
      <c r="E46" s="3"/>
      <c r="F46" s="3"/>
    </row>
    <row r="48" spans="1:9" x14ac:dyDescent="0.25">
      <c r="A48" s="25" t="s">
        <v>92</v>
      </c>
      <c r="B48" s="6">
        <f>B21/('1'!B45/10)</f>
        <v>0</v>
      </c>
      <c r="C48" s="6">
        <f>C21/('1'!C45/10)</f>
        <v>2.9646524195867747</v>
      </c>
      <c r="D48" s="6">
        <f>D21/('1'!D45/10)</f>
        <v>1.4917797588858979</v>
      </c>
      <c r="E48" s="6">
        <f>E21/('1'!E45/10)</f>
        <v>0.849868110590425</v>
      </c>
      <c r="F48" s="6">
        <f>F21/('1'!F45/10)</f>
        <v>-2.0760359967995794</v>
      </c>
      <c r="G48" s="6">
        <f>G21/('1'!G45/10)</f>
        <v>6.3341534467565603</v>
      </c>
      <c r="H48" s="6">
        <f>H21/('1'!H45/10)</f>
        <v>8.8817420776718041</v>
      </c>
      <c r="I48" s="6">
        <f>I21/('1'!I45/10)</f>
        <v>5.4364689490878346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2020-04-12T14:17:05Z</dcterms:modified>
</cp:coreProperties>
</file>