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zahir\Desktop\Data Analyst\Student Performance\"/>
    </mc:Choice>
  </mc:AlternateContent>
  <xr:revisionPtr revIDLastSave="0" documentId="13_ncr:20001_{1EB3FD74-62E9-49D0-BBC9-CBCD4FC202FA}" xr6:coauthVersionLast="47" xr6:coauthVersionMax="47" xr10:uidLastSave="{00000000-0000-0000-0000-000000000000}"/>
  <bookViews>
    <workbookView xWindow="-29340" yWindow="1455" windowWidth="26415" windowHeight="16620" firstSheet="3" activeTab="3" xr2:uid="{00000000-000D-0000-FFFF-FFFF00000000}"/>
  </bookViews>
  <sheets>
    <sheet name="Raw Summary Data" sheetId="1" state="hidden" r:id="rId1"/>
    <sheet name="Alg 2 Raw" sheetId="2" state="hidden" r:id="rId2"/>
    <sheet name="Geo Raw" sheetId="3" state="hidden" r:id="rId3"/>
    <sheet name="Alg 2 Data" sheetId="4" r:id="rId4"/>
    <sheet name="Geo Data" sheetId="5" r:id="rId5"/>
    <sheet name="Alg 2 Assignment Points" sheetId="6" r:id="rId6"/>
    <sheet name="Geo Assignment Points" sheetId="7" r:id="rId7"/>
    <sheet name="Student Data" sheetId="8" r:id="rId8"/>
    <sheet name="All Alg 2 Simple Analysis" sheetId="9" state="hidden" r:id="rId9"/>
    <sheet name="Alg 2 Summary" sheetId="10" state="hidden" r:id="rId10"/>
    <sheet name="All Geo" sheetId="11" state="hidden" r:id="rId11"/>
    <sheet name="P1 Geo" sheetId="12" state="hidden" r:id="rId12"/>
    <sheet name="Pivot Table 2" sheetId="13" state="hidden" r:id="rId13"/>
    <sheet name="P3 Alg 2" sheetId="14" state="hidden" r:id="rId14"/>
    <sheet name="P4 Alg 2" sheetId="15" state="hidden" r:id="rId15"/>
    <sheet name="P5 Geo" sheetId="16" state="hidden" r:id="rId16"/>
    <sheet name="P6 Geo" sheetId="17" state="hidden" r:id="rId17"/>
  </sheets>
  <calcPr calcId="191029"/>
  <pivotCaches>
    <pivotCache cacheId="4" r:id="rId1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2" roundtripDataChecksum="1vdU6aqKhUwHAC8Kc9n+10nB6skIewo80GbmDR7vwVc="/>
    </ext>
  </extLst>
</workbook>
</file>

<file path=xl/calcChain.xml><?xml version="1.0" encoding="utf-8"?>
<calcChain xmlns="http://schemas.openxmlformats.org/spreadsheetml/2006/main">
  <c r="B39" i="17" l="1"/>
  <c r="D31" i="17"/>
  <c r="D32" i="17" s="1"/>
  <c r="C31" i="17"/>
  <c r="C32" i="17" s="1"/>
  <c r="C29" i="17"/>
  <c r="AJ18" i="17"/>
  <c r="AI18" i="17"/>
  <c r="AH18" i="17"/>
  <c r="AG18" i="17"/>
  <c r="AF18" i="17"/>
  <c r="AC18" i="17"/>
  <c r="Y18" i="17"/>
  <c r="W18" i="17"/>
  <c r="V18" i="17"/>
  <c r="U18" i="17"/>
  <c r="S18" i="17"/>
  <c r="O18" i="17"/>
  <c r="N18" i="17"/>
  <c r="M18" i="17"/>
  <c r="L18" i="17"/>
  <c r="J18" i="17"/>
  <c r="H18" i="17"/>
  <c r="G18" i="17"/>
  <c r="F18" i="17"/>
  <c r="E18" i="17"/>
  <c r="D18" i="17"/>
  <c r="C18" i="17"/>
  <c r="AJ17" i="17"/>
  <c r="AI17" i="17"/>
  <c r="AH17" i="17"/>
  <c r="AG17" i="17"/>
  <c r="AF17" i="17"/>
  <c r="AC17" i="17"/>
  <c r="Y17" i="17"/>
  <c r="W17" i="17"/>
  <c r="V17" i="17"/>
  <c r="U17" i="17"/>
  <c r="S17" i="17"/>
  <c r="O17" i="17"/>
  <c r="N17" i="17"/>
  <c r="M17" i="17"/>
  <c r="L17" i="17"/>
  <c r="J17" i="17"/>
  <c r="H17" i="17"/>
  <c r="G17" i="17"/>
  <c r="F17" i="17"/>
  <c r="E17" i="17"/>
  <c r="D17" i="17"/>
  <c r="C17" i="17"/>
  <c r="AJ16" i="17"/>
  <c r="AI16" i="17"/>
  <c r="AH16" i="17"/>
  <c r="AG16" i="17"/>
  <c r="AF16" i="17"/>
  <c r="AC16" i="17"/>
  <c r="Y16" i="17"/>
  <c r="W16" i="17"/>
  <c r="V16" i="17"/>
  <c r="U16" i="17"/>
  <c r="S16" i="17"/>
  <c r="O16" i="17"/>
  <c r="N16" i="17"/>
  <c r="M16" i="17"/>
  <c r="L16" i="17"/>
  <c r="J16" i="17"/>
  <c r="H16" i="17"/>
  <c r="G16" i="17"/>
  <c r="F16" i="17"/>
  <c r="E16" i="17"/>
  <c r="D16" i="17"/>
  <c r="C16" i="17"/>
  <c r="AJ15" i="17"/>
  <c r="AI15" i="17"/>
  <c r="AH15" i="17"/>
  <c r="AG15" i="17"/>
  <c r="AF15" i="17"/>
  <c r="AC15" i="17"/>
  <c r="Y15" i="17"/>
  <c r="W15" i="17"/>
  <c r="V15" i="17"/>
  <c r="U15" i="17"/>
  <c r="S15" i="17"/>
  <c r="O15" i="17"/>
  <c r="N15" i="17"/>
  <c r="M15" i="17"/>
  <c r="L15" i="17"/>
  <c r="J15" i="17"/>
  <c r="H15" i="17"/>
  <c r="G15" i="17"/>
  <c r="F15" i="17"/>
  <c r="E15" i="17"/>
  <c r="D15" i="17"/>
  <c r="C15" i="17"/>
  <c r="AJ14" i="17"/>
  <c r="AI14" i="17"/>
  <c r="AH14" i="17"/>
  <c r="AG14" i="17"/>
  <c r="AF14" i="17"/>
  <c r="AC14" i="17"/>
  <c r="Y14" i="17"/>
  <c r="W14" i="17"/>
  <c r="V14" i="17"/>
  <c r="U14" i="17"/>
  <c r="S14" i="17"/>
  <c r="O14" i="17"/>
  <c r="N14" i="17"/>
  <c r="M14" i="17"/>
  <c r="L14" i="17"/>
  <c r="J14" i="17"/>
  <c r="H14" i="17"/>
  <c r="G14" i="17"/>
  <c r="F14" i="17"/>
  <c r="E14" i="17"/>
  <c r="D14" i="17"/>
  <c r="C14" i="17"/>
  <c r="AJ13" i="17"/>
  <c r="AI13" i="17"/>
  <c r="AH13" i="17"/>
  <c r="AG13" i="17"/>
  <c r="AF13" i="17"/>
  <c r="AC13" i="17"/>
  <c r="Y13" i="17"/>
  <c r="W13" i="17"/>
  <c r="V13" i="17"/>
  <c r="U13" i="17"/>
  <c r="S13" i="17"/>
  <c r="O13" i="17"/>
  <c r="N13" i="17"/>
  <c r="M13" i="17"/>
  <c r="L13" i="17"/>
  <c r="J13" i="17"/>
  <c r="H13" i="17"/>
  <c r="G13" i="17"/>
  <c r="F13" i="17"/>
  <c r="E13" i="17"/>
  <c r="D13" i="17"/>
  <c r="C13" i="17"/>
  <c r="AJ12" i="17"/>
  <c r="AI12" i="17"/>
  <c r="AH12" i="17"/>
  <c r="AG12" i="17"/>
  <c r="AF12" i="17"/>
  <c r="AC12" i="17"/>
  <c r="Y12" i="17"/>
  <c r="W12" i="17"/>
  <c r="V12" i="17"/>
  <c r="U12" i="17"/>
  <c r="S12" i="17"/>
  <c r="O12" i="17"/>
  <c r="N12" i="17"/>
  <c r="M12" i="17"/>
  <c r="L12" i="17"/>
  <c r="J12" i="17"/>
  <c r="H12" i="17"/>
  <c r="G12" i="17"/>
  <c r="F12" i="17"/>
  <c r="E12" i="17"/>
  <c r="D12" i="17"/>
  <c r="C12" i="17"/>
  <c r="AJ11" i="17"/>
  <c r="AI11" i="17"/>
  <c r="AH11" i="17"/>
  <c r="AG11" i="17"/>
  <c r="AF11" i="17"/>
  <c r="AC11" i="17"/>
  <c r="Y11" i="17"/>
  <c r="W11" i="17"/>
  <c r="V11" i="17"/>
  <c r="U11" i="17"/>
  <c r="S11" i="17"/>
  <c r="O11" i="17"/>
  <c r="N11" i="17"/>
  <c r="M11" i="17"/>
  <c r="L11" i="17"/>
  <c r="J11" i="17"/>
  <c r="H11" i="17"/>
  <c r="G11" i="17"/>
  <c r="F11" i="17"/>
  <c r="E11" i="17"/>
  <c r="D11" i="17"/>
  <c r="C11" i="17"/>
  <c r="AJ10" i="17"/>
  <c r="AI10" i="17"/>
  <c r="AH10" i="17"/>
  <c r="AG10" i="17"/>
  <c r="AF10" i="17"/>
  <c r="AC10" i="17"/>
  <c r="Y10" i="17"/>
  <c r="W10" i="17"/>
  <c r="V10" i="17"/>
  <c r="U10" i="17"/>
  <c r="S10" i="17"/>
  <c r="O10" i="17"/>
  <c r="N10" i="17"/>
  <c r="M10" i="17"/>
  <c r="L10" i="17"/>
  <c r="J10" i="17"/>
  <c r="H10" i="17"/>
  <c r="G10" i="17"/>
  <c r="F10" i="17"/>
  <c r="E10" i="17"/>
  <c r="D10" i="17"/>
  <c r="C10" i="17"/>
  <c r="AJ9" i="17"/>
  <c r="AI9" i="17"/>
  <c r="AH9" i="17"/>
  <c r="AG9" i="17"/>
  <c r="AF9" i="17"/>
  <c r="AC9" i="17"/>
  <c r="Y9" i="17"/>
  <c r="W9" i="17"/>
  <c r="V9" i="17"/>
  <c r="U9" i="17"/>
  <c r="S9" i="17"/>
  <c r="O9" i="17"/>
  <c r="N9" i="17"/>
  <c r="M9" i="17"/>
  <c r="L9" i="17"/>
  <c r="J9" i="17"/>
  <c r="G9" i="17"/>
  <c r="F9" i="17"/>
  <c r="AJ8" i="17"/>
  <c r="AI8" i="17"/>
  <c r="AH8" i="17"/>
  <c r="AG8" i="17"/>
  <c r="AF8" i="17"/>
  <c r="AC8" i="17"/>
  <c r="Y8" i="17"/>
  <c r="W8" i="17"/>
  <c r="V8" i="17"/>
  <c r="U8" i="17"/>
  <c r="S8" i="17"/>
  <c r="O8" i="17"/>
  <c r="N8" i="17"/>
  <c r="M8" i="17"/>
  <c r="L8" i="17"/>
  <c r="J8" i="17"/>
  <c r="H8" i="17"/>
  <c r="G8" i="17"/>
  <c r="F8" i="17"/>
  <c r="E8" i="17"/>
  <c r="D8" i="17"/>
  <c r="C8" i="17"/>
  <c r="AJ7" i="17"/>
  <c r="AI7" i="17"/>
  <c r="AH7" i="17"/>
  <c r="AG7" i="17"/>
  <c r="AF7" i="17"/>
  <c r="AC7" i="17"/>
  <c r="Y7" i="17"/>
  <c r="W7" i="17"/>
  <c r="V7" i="17"/>
  <c r="U7" i="17"/>
  <c r="S7" i="17"/>
  <c r="O7" i="17"/>
  <c r="N7" i="17"/>
  <c r="M7" i="17"/>
  <c r="L7" i="17"/>
  <c r="J7" i="17"/>
  <c r="H7" i="17"/>
  <c r="G7" i="17"/>
  <c r="F7" i="17"/>
  <c r="E7" i="17"/>
  <c r="D7" i="17"/>
  <c r="C7" i="17"/>
  <c r="AJ6" i="17"/>
  <c r="AI6" i="17"/>
  <c r="AH6" i="17"/>
  <c r="AG6" i="17"/>
  <c r="AF6" i="17"/>
  <c r="AC6" i="17"/>
  <c r="Y6" i="17"/>
  <c r="W6" i="17"/>
  <c r="V6" i="17"/>
  <c r="U6" i="17"/>
  <c r="S6" i="17"/>
  <c r="O6" i="17"/>
  <c r="N6" i="17"/>
  <c r="M6" i="17"/>
  <c r="L6" i="17"/>
  <c r="J6" i="17"/>
  <c r="H6" i="17"/>
  <c r="G6" i="17"/>
  <c r="F6" i="17"/>
  <c r="E6" i="17"/>
  <c r="D6" i="17"/>
  <c r="C6" i="17"/>
  <c r="AJ5" i="17"/>
  <c r="AI5" i="17"/>
  <c r="AH5" i="17"/>
  <c r="AG5" i="17"/>
  <c r="AF5" i="17"/>
  <c r="AC5" i="17"/>
  <c r="Y5" i="17"/>
  <c r="W5" i="17"/>
  <c r="V5" i="17"/>
  <c r="U5" i="17"/>
  <c r="S5" i="17"/>
  <c r="O5" i="17"/>
  <c r="N5" i="17"/>
  <c r="M5" i="17"/>
  <c r="L5" i="17"/>
  <c r="J5" i="17"/>
  <c r="H5" i="17"/>
  <c r="G5" i="17"/>
  <c r="F5" i="17"/>
  <c r="E5" i="17"/>
  <c r="D5" i="17"/>
  <c r="C5" i="17"/>
  <c r="AJ4" i="17"/>
  <c r="AI4" i="17"/>
  <c r="AH4" i="17"/>
  <c r="AG4" i="17"/>
  <c r="AF4" i="17"/>
  <c r="AC4" i="17"/>
  <c r="X4" i="17"/>
  <c r="Y4" i="17" s="1"/>
  <c r="W4" i="17"/>
  <c r="V4" i="17"/>
  <c r="U4" i="17"/>
  <c r="S4" i="17"/>
  <c r="O4" i="17"/>
  <c r="N4" i="17"/>
  <c r="M4" i="17"/>
  <c r="L4" i="17"/>
  <c r="J4" i="17"/>
  <c r="H4" i="17"/>
  <c r="G4" i="17"/>
  <c r="F4" i="17"/>
  <c r="E4" i="17"/>
  <c r="D4" i="17"/>
  <c r="C4" i="17"/>
  <c r="AJ3" i="17"/>
  <c r="AI3" i="17"/>
  <c r="AH3" i="17"/>
  <c r="AG3" i="17"/>
  <c r="AF3" i="17"/>
  <c r="AC3" i="17"/>
  <c r="Y3" i="17"/>
  <c r="X3" i="17"/>
  <c r="W3" i="17"/>
  <c r="V3" i="17"/>
  <c r="U3" i="17"/>
  <c r="S3" i="17"/>
  <c r="O3" i="17"/>
  <c r="N3" i="17"/>
  <c r="M3" i="17"/>
  <c r="L3" i="17"/>
  <c r="J3" i="17"/>
  <c r="H3" i="17"/>
  <c r="G3" i="17"/>
  <c r="B31" i="17" s="1"/>
  <c r="F3" i="17"/>
  <c r="E3" i="17"/>
  <c r="D3" i="17"/>
  <c r="C3" i="17"/>
  <c r="AD27" i="16"/>
  <c r="AC27" i="16"/>
  <c r="AB27" i="16"/>
  <c r="AA27" i="16"/>
  <c r="Z27" i="16"/>
  <c r="X27" i="16"/>
  <c r="U27" i="16"/>
  <c r="T27" i="16"/>
  <c r="S27" i="16"/>
  <c r="R27" i="16"/>
  <c r="Q27" i="16"/>
  <c r="P27" i="16"/>
  <c r="M27" i="16"/>
  <c r="L27" i="16"/>
  <c r="K27" i="16"/>
  <c r="J27" i="16"/>
  <c r="I27" i="16"/>
  <c r="F27" i="16"/>
  <c r="E27" i="16"/>
  <c r="D27" i="16"/>
  <c r="C27" i="16"/>
  <c r="AD26" i="16"/>
  <c r="AC26" i="16"/>
  <c r="AB26" i="16"/>
  <c r="AA26" i="16"/>
  <c r="Z26" i="16"/>
  <c r="X26" i="16"/>
  <c r="U26" i="16"/>
  <c r="T26" i="16"/>
  <c r="S26" i="16"/>
  <c r="R26" i="16"/>
  <c r="Q26" i="16"/>
  <c r="P26" i="16"/>
  <c r="M26" i="16"/>
  <c r="L26" i="16"/>
  <c r="K26" i="16"/>
  <c r="J26" i="16"/>
  <c r="I26" i="16"/>
  <c r="F26" i="16"/>
  <c r="E26" i="16"/>
  <c r="D26" i="16"/>
  <c r="C26" i="16"/>
  <c r="AD25" i="16"/>
  <c r="AC25" i="16"/>
  <c r="AB25" i="16"/>
  <c r="AA25" i="16"/>
  <c r="Z25" i="16"/>
  <c r="X25" i="16"/>
  <c r="U25" i="16"/>
  <c r="T25" i="16"/>
  <c r="S25" i="16"/>
  <c r="R25" i="16"/>
  <c r="Q25" i="16"/>
  <c r="P25" i="16"/>
  <c r="M25" i="16"/>
  <c r="L25" i="16"/>
  <c r="K25" i="16"/>
  <c r="J25" i="16"/>
  <c r="I25" i="16"/>
  <c r="F25" i="16"/>
  <c r="E25" i="16"/>
  <c r="D25" i="16"/>
  <c r="C25" i="16"/>
  <c r="AD24" i="16"/>
  <c r="AC24" i="16"/>
  <c r="AB24" i="16"/>
  <c r="AA24" i="16"/>
  <c r="Z24" i="16"/>
  <c r="X24" i="16"/>
  <c r="U24" i="16"/>
  <c r="T24" i="16"/>
  <c r="S24" i="16"/>
  <c r="R24" i="16"/>
  <c r="Q24" i="16"/>
  <c r="P24" i="16"/>
  <c r="M24" i="16"/>
  <c r="L24" i="16"/>
  <c r="K24" i="16"/>
  <c r="J24" i="16"/>
  <c r="I24" i="16"/>
  <c r="F24" i="16"/>
  <c r="E24" i="16"/>
  <c r="D24" i="16"/>
  <c r="C24" i="16"/>
  <c r="AD23" i="16"/>
  <c r="AC23" i="16"/>
  <c r="AB23" i="16"/>
  <c r="AA23" i="16"/>
  <c r="Z23" i="16"/>
  <c r="X23" i="16"/>
  <c r="U23" i="16"/>
  <c r="T23" i="16"/>
  <c r="S23" i="16"/>
  <c r="R23" i="16"/>
  <c r="Q23" i="16"/>
  <c r="P23" i="16"/>
  <c r="M23" i="16"/>
  <c r="L23" i="16"/>
  <c r="K23" i="16"/>
  <c r="J23" i="16"/>
  <c r="I23" i="16"/>
  <c r="F23" i="16"/>
  <c r="E23" i="16"/>
  <c r="D23" i="16"/>
  <c r="C23" i="16"/>
  <c r="AD22" i="16"/>
  <c r="AC22" i="16"/>
  <c r="AB22" i="16"/>
  <c r="AA22" i="16"/>
  <c r="Z22" i="16"/>
  <c r="X22" i="16"/>
  <c r="U22" i="16"/>
  <c r="T22" i="16"/>
  <c r="S22" i="16"/>
  <c r="R22" i="16"/>
  <c r="Q22" i="16"/>
  <c r="P22" i="16"/>
  <c r="M22" i="16"/>
  <c r="L22" i="16"/>
  <c r="K22" i="16"/>
  <c r="J22" i="16"/>
  <c r="I22" i="16"/>
  <c r="F22" i="16"/>
  <c r="E22" i="16"/>
  <c r="D22" i="16"/>
  <c r="C22" i="16"/>
  <c r="AD21" i="16"/>
  <c r="AC21" i="16"/>
  <c r="AB21" i="16"/>
  <c r="AA21" i="16"/>
  <c r="Z21" i="16"/>
  <c r="X21" i="16"/>
  <c r="U21" i="16"/>
  <c r="T21" i="16"/>
  <c r="S21" i="16"/>
  <c r="R21" i="16"/>
  <c r="Q21" i="16"/>
  <c r="P21" i="16"/>
  <c r="M21" i="16"/>
  <c r="L21" i="16"/>
  <c r="K21" i="16"/>
  <c r="J21" i="16"/>
  <c r="I21" i="16"/>
  <c r="F21" i="16"/>
  <c r="E21" i="16"/>
  <c r="D21" i="16"/>
  <c r="C21" i="16"/>
  <c r="AC20" i="16"/>
  <c r="AB20" i="16"/>
  <c r="AA20" i="16"/>
  <c r="Z20" i="16"/>
  <c r="X20" i="16"/>
  <c r="U20" i="16"/>
  <c r="T20" i="16"/>
  <c r="S20" i="16"/>
  <c r="R20" i="16"/>
  <c r="Q20" i="16"/>
  <c r="P20" i="16"/>
  <c r="M20" i="16"/>
  <c r="L20" i="16"/>
  <c r="K20" i="16"/>
  <c r="J20" i="16"/>
  <c r="I20" i="16"/>
  <c r="F20" i="16"/>
  <c r="E20" i="16"/>
  <c r="D20" i="16"/>
  <c r="C20" i="16"/>
  <c r="AD19" i="16"/>
  <c r="AC19" i="16"/>
  <c r="AB19" i="16"/>
  <c r="AA19" i="16"/>
  <c r="Z19" i="16"/>
  <c r="X19" i="16"/>
  <c r="U19" i="16"/>
  <c r="T19" i="16"/>
  <c r="S19" i="16"/>
  <c r="R19" i="16"/>
  <c r="Q19" i="16"/>
  <c r="P19" i="16"/>
  <c r="M19" i="16"/>
  <c r="L19" i="16"/>
  <c r="K19" i="16"/>
  <c r="J19" i="16"/>
  <c r="I19" i="16"/>
  <c r="F19" i="16"/>
  <c r="E19" i="16"/>
  <c r="D19" i="16"/>
  <c r="C19" i="16"/>
  <c r="AD18" i="16"/>
  <c r="AC18" i="16"/>
  <c r="AB18" i="16"/>
  <c r="AA18" i="16"/>
  <c r="Z18" i="16"/>
  <c r="X18" i="16"/>
  <c r="U18" i="16"/>
  <c r="T18" i="16"/>
  <c r="S18" i="16"/>
  <c r="R18" i="16"/>
  <c r="Q18" i="16"/>
  <c r="P18" i="16"/>
  <c r="M18" i="16"/>
  <c r="L18" i="16"/>
  <c r="K18" i="16"/>
  <c r="J18" i="16"/>
  <c r="I18" i="16"/>
  <c r="F18" i="16"/>
  <c r="E18" i="16"/>
  <c r="D18" i="16"/>
  <c r="C18" i="16"/>
  <c r="AD17" i="16"/>
  <c r="AC17" i="16"/>
  <c r="AB17" i="16"/>
  <c r="AA17" i="16"/>
  <c r="Z17" i="16"/>
  <c r="X17" i="16"/>
  <c r="U17" i="16"/>
  <c r="T17" i="16"/>
  <c r="S17" i="16"/>
  <c r="R17" i="16"/>
  <c r="Q17" i="16"/>
  <c r="P17" i="16"/>
  <c r="M17" i="16"/>
  <c r="L17" i="16"/>
  <c r="K17" i="16"/>
  <c r="J17" i="16"/>
  <c r="I17" i="16"/>
  <c r="F17" i="16"/>
  <c r="E17" i="16"/>
  <c r="D17" i="16"/>
  <c r="C17" i="16"/>
  <c r="AD16" i="16"/>
  <c r="AC16" i="16"/>
  <c r="AB16" i="16"/>
  <c r="AA16" i="16"/>
  <c r="Z16" i="16"/>
  <c r="X16" i="16"/>
  <c r="U16" i="16"/>
  <c r="T16" i="16"/>
  <c r="S16" i="16"/>
  <c r="R16" i="16"/>
  <c r="Q16" i="16"/>
  <c r="P16" i="16"/>
  <c r="M16" i="16"/>
  <c r="L16" i="16"/>
  <c r="K16" i="16"/>
  <c r="J16" i="16"/>
  <c r="I16" i="16"/>
  <c r="F16" i="16"/>
  <c r="E16" i="16"/>
  <c r="D16" i="16"/>
  <c r="C16" i="16"/>
  <c r="AD15" i="16"/>
  <c r="AC15" i="16"/>
  <c r="AB15" i="16"/>
  <c r="AA15" i="16"/>
  <c r="Z15" i="16"/>
  <c r="X15" i="16"/>
  <c r="U15" i="16"/>
  <c r="T15" i="16"/>
  <c r="S15" i="16"/>
  <c r="R15" i="16"/>
  <c r="Q15" i="16"/>
  <c r="P15" i="16"/>
  <c r="M15" i="16"/>
  <c r="L15" i="16"/>
  <c r="K15" i="16"/>
  <c r="J15" i="16"/>
  <c r="I15" i="16"/>
  <c r="F15" i="16"/>
  <c r="E15" i="16"/>
  <c r="D15" i="16"/>
  <c r="C15" i="16"/>
  <c r="AD14" i="16"/>
  <c r="AC14" i="16"/>
  <c r="AB14" i="16"/>
  <c r="AA14" i="16"/>
  <c r="Z14" i="16"/>
  <c r="X14" i="16"/>
  <c r="U14" i="16"/>
  <c r="T14" i="16"/>
  <c r="S14" i="16"/>
  <c r="R14" i="16"/>
  <c r="Q14" i="16"/>
  <c r="P14" i="16"/>
  <c r="M14" i="16"/>
  <c r="L14" i="16"/>
  <c r="K14" i="16"/>
  <c r="J14" i="16"/>
  <c r="I14" i="16"/>
  <c r="F14" i="16"/>
  <c r="E14" i="16"/>
  <c r="D14" i="16"/>
  <c r="AD13" i="16"/>
  <c r="AC13" i="16"/>
  <c r="AB13" i="16"/>
  <c r="AA13" i="16"/>
  <c r="Z13" i="16"/>
  <c r="X13" i="16"/>
  <c r="U13" i="16"/>
  <c r="T13" i="16"/>
  <c r="S13" i="16"/>
  <c r="R13" i="16"/>
  <c r="Q13" i="16"/>
  <c r="P13" i="16"/>
  <c r="M13" i="16"/>
  <c r="L13" i="16"/>
  <c r="K13" i="16"/>
  <c r="J13" i="16"/>
  <c r="I13" i="16"/>
  <c r="F13" i="16"/>
  <c r="E13" i="16"/>
  <c r="D13" i="16"/>
  <c r="C13" i="16"/>
  <c r="AD12" i="16"/>
  <c r="AC12" i="16"/>
  <c r="AB12" i="16"/>
  <c r="AA12" i="16"/>
  <c r="Z12" i="16"/>
  <c r="X12" i="16"/>
  <c r="U12" i="16"/>
  <c r="T12" i="16"/>
  <c r="S12" i="16"/>
  <c r="R12" i="16"/>
  <c r="Q12" i="16"/>
  <c r="P12" i="16"/>
  <c r="M12" i="16"/>
  <c r="L12" i="16"/>
  <c r="K12" i="16"/>
  <c r="J12" i="16"/>
  <c r="I12" i="16"/>
  <c r="F12" i="16"/>
  <c r="E12" i="16"/>
  <c r="D12" i="16"/>
  <c r="C12" i="16"/>
  <c r="AD11" i="16"/>
  <c r="AC11" i="16"/>
  <c r="AB11" i="16"/>
  <c r="AA11" i="16"/>
  <c r="Z11" i="16"/>
  <c r="X11" i="16"/>
  <c r="U11" i="16"/>
  <c r="T11" i="16"/>
  <c r="S11" i="16"/>
  <c r="R11" i="16"/>
  <c r="Q11" i="16"/>
  <c r="P11" i="16"/>
  <c r="M11" i="16"/>
  <c r="L11" i="16"/>
  <c r="K11" i="16"/>
  <c r="J11" i="16"/>
  <c r="I11" i="16"/>
  <c r="F11" i="16"/>
  <c r="E11" i="16"/>
  <c r="D11" i="16"/>
  <c r="C11" i="16"/>
  <c r="AD10" i="16"/>
  <c r="AC10" i="16"/>
  <c r="AB10" i="16"/>
  <c r="AA10" i="16"/>
  <c r="Z10" i="16"/>
  <c r="X10" i="16"/>
  <c r="U10" i="16"/>
  <c r="T10" i="16"/>
  <c r="S10" i="16"/>
  <c r="R10" i="16"/>
  <c r="Q10" i="16"/>
  <c r="P10" i="16"/>
  <c r="M10" i="16"/>
  <c r="L10" i="16"/>
  <c r="K10" i="16"/>
  <c r="J10" i="16"/>
  <c r="I10" i="16"/>
  <c r="F10" i="16"/>
  <c r="E10" i="16"/>
  <c r="D10" i="16"/>
  <c r="C10" i="16"/>
  <c r="AD9" i="16"/>
  <c r="AC9" i="16"/>
  <c r="AB9" i="16"/>
  <c r="AA9" i="16"/>
  <c r="Z9" i="16"/>
  <c r="X9" i="16"/>
  <c r="U9" i="16"/>
  <c r="T9" i="16"/>
  <c r="S9" i="16"/>
  <c r="R9" i="16"/>
  <c r="Q9" i="16"/>
  <c r="P9" i="16"/>
  <c r="M9" i="16"/>
  <c r="L9" i="16"/>
  <c r="K9" i="16"/>
  <c r="J9" i="16"/>
  <c r="I9" i="16"/>
  <c r="F9" i="16"/>
  <c r="E9" i="16"/>
  <c r="D9" i="16"/>
  <c r="C9" i="16"/>
  <c r="AD8" i="16"/>
  <c r="AC8" i="16"/>
  <c r="AB8" i="16"/>
  <c r="AA8" i="16"/>
  <c r="Z8" i="16"/>
  <c r="X8" i="16"/>
  <c r="U8" i="16"/>
  <c r="T8" i="16"/>
  <c r="S8" i="16"/>
  <c r="R8" i="16"/>
  <c r="Q8" i="16"/>
  <c r="P8" i="16"/>
  <c r="M8" i="16"/>
  <c r="L8" i="16"/>
  <c r="K8" i="16"/>
  <c r="J8" i="16"/>
  <c r="I8" i="16"/>
  <c r="F8" i="16"/>
  <c r="E8" i="16"/>
  <c r="D8" i="16"/>
  <c r="C8" i="16"/>
  <c r="AD7" i="16"/>
  <c r="AC7" i="16"/>
  <c r="AB7" i="16"/>
  <c r="AA7" i="16"/>
  <c r="Z7" i="16"/>
  <c r="X7" i="16"/>
  <c r="U7" i="16"/>
  <c r="T7" i="16"/>
  <c r="S7" i="16"/>
  <c r="R7" i="16"/>
  <c r="Q7" i="16"/>
  <c r="P7" i="16"/>
  <c r="M7" i="16"/>
  <c r="L7" i="16"/>
  <c r="K7" i="16"/>
  <c r="J7" i="16"/>
  <c r="I7" i="16"/>
  <c r="F7" i="16"/>
  <c r="E7" i="16"/>
  <c r="D7" i="16"/>
  <c r="C7" i="16"/>
  <c r="AD6" i="16"/>
  <c r="AC6" i="16"/>
  <c r="AB6" i="16"/>
  <c r="AA6" i="16"/>
  <c r="Z6" i="16"/>
  <c r="X6" i="16"/>
  <c r="U6" i="16"/>
  <c r="T6" i="16"/>
  <c r="S6" i="16"/>
  <c r="R6" i="16"/>
  <c r="Q6" i="16"/>
  <c r="P6" i="16"/>
  <c r="M6" i="16"/>
  <c r="L6" i="16"/>
  <c r="K6" i="16"/>
  <c r="J6" i="16"/>
  <c r="I6" i="16"/>
  <c r="F6" i="16"/>
  <c r="E6" i="16"/>
  <c r="D6" i="16"/>
  <c r="C6" i="16"/>
  <c r="AD5" i="16"/>
  <c r="AC5" i="16"/>
  <c r="AB5" i="16"/>
  <c r="AA5" i="16"/>
  <c r="Z5" i="16"/>
  <c r="X5" i="16"/>
  <c r="U5" i="16"/>
  <c r="T5" i="16"/>
  <c r="S5" i="16"/>
  <c r="R5" i="16"/>
  <c r="Q5" i="16"/>
  <c r="P5" i="16"/>
  <c r="M5" i="16"/>
  <c r="L5" i="16"/>
  <c r="K5" i="16"/>
  <c r="J5" i="16"/>
  <c r="I5" i="16"/>
  <c r="F5" i="16"/>
  <c r="E5" i="16"/>
  <c r="D5" i="16"/>
  <c r="C5" i="16"/>
  <c r="AD4" i="16"/>
  <c r="AC4" i="16"/>
  <c r="AB4" i="16"/>
  <c r="AA4" i="16"/>
  <c r="Z4" i="16"/>
  <c r="X4" i="16"/>
  <c r="U4" i="16"/>
  <c r="T4" i="16"/>
  <c r="S4" i="16"/>
  <c r="R4" i="16"/>
  <c r="Q4" i="16"/>
  <c r="P4" i="16"/>
  <c r="M4" i="16"/>
  <c r="L4" i="16"/>
  <c r="K4" i="16"/>
  <c r="J4" i="16"/>
  <c r="I4" i="16"/>
  <c r="F4" i="16"/>
  <c r="E4" i="16"/>
  <c r="D4" i="16"/>
  <c r="C4" i="16"/>
  <c r="AD3" i="16"/>
  <c r="AC3" i="16"/>
  <c r="AB3" i="16"/>
  <c r="AA3" i="16"/>
  <c r="Z3" i="16"/>
  <c r="X3" i="16"/>
  <c r="U3" i="16"/>
  <c r="T3" i="16"/>
  <c r="S3" i="16"/>
  <c r="R3" i="16"/>
  <c r="Q3" i="16"/>
  <c r="P3" i="16"/>
  <c r="M3" i="16"/>
  <c r="L3" i="16"/>
  <c r="K3" i="16"/>
  <c r="J3" i="16"/>
  <c r="I3" i="16"/>
  <c r="F3" i="16"/>
  <c r="E3" i="16"/>
  <c r="D3" i="16"/>
  <c r="C3" i="16"/>
  <c r="AD2" i="16"/>
  <c r="AC2" i="16"/>
  <c r="AB2" i="16"/>
  <c r="AA2" i="16"/>
  <c r="Z2" i="16"/>
  <c r="X2" i="16"/>
  <c r="U2" i="16"/>
  <c r="T2" i="16"/>
  <c r="S2" i="16"/>
  <c r="R2" i="16"/>
  <c r="Q2" i="16"/>
  <c r="P2" i="16"/>
  <c r="M2" i="16"/>
  <c r="L2" i="16"/>
  <c r="K2" i="16"/>
  <c r="J2" i="16"/>
  <c r="I2" i="16"/>
  <c r="F2" i="16"/>
  <c r="E2" i="16"/>
  <c r="D2" i="16"/>
  <c r="C2" i="16"/>
  <c r="AD39" i="15"/>
  <c r="AA39" i="15"/>
  <c r="Y39" i="15"/>
  <c r="X39" i="15"/>
  <c r="W39" i="15"/>
  <c r="V39" i="15"/>
  <c r="U39" i="15"/>
  <c r="T39" i="15"/>
  <c r="Q39" i="15"/>
  <c r="P39" i="15"/>
  <c r="O39" i="15"/>
  <c r="N39" i="15"/>
  <c r="M39" i="15"/>
  <c r="J39" i="15"/>
  <c r="I39" i="15"/>
  <c r="H39" i="15"/>
  <c r="G39" i="15"/>
  <c r="F39" i="15"/>
  <c r="E39" i="15"/>
  <c r="D39" i="15"/>
  <c r="C39" i="15"/>
  <c r="AD38" i="15"/>
  <c r="AA38" i="15"/>
  <c r="Y38" i="15"/>
  <c r="X38" i="15"/>
  <c r="W38" i="15"/>
  <c r="V38" i="15"/>
  <c r="U38" i="15"/>
  <c r="T38" i="15"/>
  <c r="Q38" i="15"/>
  <c r="P38" i="15"/>
  <c r="O38" i="15"/>
  <c r="N38" i="15"/>
  <c r="M38" i="15"/>
  <c r="J38" i="15"/>
  <c r="I38" i="15"/>
  <c r="H38" i="15"/>
  <c r="G38" i="15"/>
  <c r="F38" i="15"/>
  <c r="E38" i="15"/>
  <c r="D38" i="15"/>
  <c r="C38" i="15"/>
  <c r="AD37" i="15"/>
  <c r="AA37" i="15"/>
  <c r="Y37" i="15"/>
  <c r="X37" i="15"/>
  <c r="W37" i="15"/>
  <c r="V37" i="15"/>
  <c r="U37" i="15"/>
  <c r="T37" i="15"/>
  <c r="Q37" i="15"/>
  <c r="P37" i="15"/>
  <c r="O37" i="15"/>
  <c r="N37" i="15"/>
  <c r="M37" i="15"/>
  <c r="J37" i="15"/>
  <c r="I37" i="15"/>
  <c r="H37" i="15"/>
  <c r="G37" i="15"/>
  <c r="F37" i="15"/>
  <c r="E37" i="15"/>
  <c r="D37" i="15"/>
  <c r="C37" i="15"/>
  <c r="AD36" i="15"/>
  <c r="AA36" i="15"/>
  <c r="Y36" i="15"/>
  <c r="X36" i="15"/>
  <c r="W36" i="15"/>
  <c r="V36" i="15"/>
  <c r="U36" i="15"/>
  <c r="T36" i="15"/>
  <c r="Q36" i="15"/>
  <c r="P36" i="15"/>
  <c r="O36" i="15"/>
  <c r="N36" i="15"/>
  <c r="M36" i="15"/>
  <c r="J36" i="15"/>
  <c r="I36" i="15"/>
  <c r="H36" i="15"/>
  <c r="G36" i="15"/>
  <c r="F36" i="15"/>
  <c r="E36" i="15"/>
  <c r="D36" i="15"/>
  <c r="C36" i="15"/>
  <c r="AD35" i="15"/>
  <c r="AA35" i="15"/>
  <c r="Y35" i="15"/>
  <c r="X35" i="15"/>
  <c r="W35" i="15"/>
  <c r="V35" i="15"/>
  <c r="U35" i="15"/>
  <c r="T35" i="15"/>
  <c r="Q35" i="15"/>
  <c r="P35" i="15"/>
  <c r="O35" i="15"/>
  <c r="N35" i="15"/>
  <c r="M35" i="15"/>
  <c r="J35" i="15"/>
  <c r="I35" i="15"/>
  <c r="H35" i="15"/>
  <c r="G35" i="15"/>
  <c r="F35" i="15"/>
  <c r="E35" i="15"/>
  <c r="D35" i="15"/>
  <c r="C35" i="15"/>
  <c r="AD34" i="15"/>
  <c r="AA34" i="15"/>
  <c r="Y34" i="15"/>
  <c r="X34" i="15"/>
  <c r="W34" i="15"/>
  <c r="V34" i="15"/>
  <c r="U34" i="15"/>
  <c r="T34" i="15"/>
  <c r="Q34" i="15"/>
  <c r="P34" i="15"/>
  <c r="O34" i="15"/>
  <c r="N34" i="15"/>
  <c r="M34" i="15"/>
  <c r="J34" i="15"/>
  <c r="I34" i="15"/>
  <c r="H34" i="15"/>
  <c r="G34" i="15"/>
  <c r="F34" i="15"/>
  <c r="E34" i="15"/>
  <c r="D34" i="15"/>
  <c r="C34" i="15"/>
  <c r="AD33" i="15"/>
  <c r="AA33" i="15"/>
  <c r="Y33" i="15"/>
  <c r="X33" i="15"/>
  <c r="W33" i="15"/>
  <c r="V33" i="15"/>
  <c r="U33" i="15"/>
  <c r="T33" i="15"/>
  <c r="Q33" i="15"/>
  <c r="P33" i="15"/>
  <c r="O33" i="15"/>
  <c r="N33" i="15"/>
  <c r="M33" i="15"/>
  <c r="J33" i="15"/>
  <c r="I33" i="15"/>
  <c r="H33" i="15"/>
  <c r="G33" i="15"/>
  <c r="F33" i="15"/>
  <c r="E33" i="15"/>
  <c r="D33" i="15"/>
  <c r="C33" i="15"/>
  <c r="AD32" i="15"/>
  <c r="AA32" i="15"/>
  <c r="Y32" i="15"/>
  <c r="X32" i="15"/>
  <c r="W32" i="15"/>
  <c r="V32" i="15"/>
  <c r="U32" i="15"/>
  <c r="T32" i="15"/>
  <c r="Q32" i="15"/>
  <c r="P32" i="15"/>
  <c r="O32" i="15"/>
  <c r="N32" i="15"/>
  <c r="M32" i="15"/>
  <c r="J32" i="15"/>
  <c r="I32" i="15"/>
  <c r="H32" i="15"/>
  <c r="G32" i="15"/>
  <c r="F32" i="15"/>
  <c r="E32" i="15"/>
  <c r="D32" i="15"/>
  <c r="C32" i="15"/>
  <c r="AD31" i="15"/>
  <c r="AA31" i="15"/>
  <c r="Y31" i="15"/>
  <c r="X31" i="15"/>
  <c r="W31" i="15"/>
  <c r="V31" i="15"/>
  <c r="U31" i="15"/>
  <c r="T31" i="15"/>
  <c r="Q31" i="15"/>
  <c r="P31" i="15"/>
  <c r="O31" i="15"/>
  <c r="N31" i="15"/>
  <c r="M31" i="15"/>
  <c r="J31" i="15"/>
  <c r="I31" i="15"/>
  <c r="H31" i="15"/>
  <c r="G31" i="15"/>
  <c r="F31" i="15"/>
  <c r="E31" i="15"/>
  <c r="D31" i="15"/>
  <c r="C31" i="15"/>
  <c r="AD30" i="15"/>
  <c r="AA30" i="15"/>
  <c r="Y30" i="15"/>
  <c r="X30" i="15"/>
  <c r="W30" i="15"/>
  <c r="V30" i="15"/>
  <c r="U30" i="15"/>
  <c r="T30" i="15"/>
  <c r="Q30" i="15"/>
  <c r="P30" i="15"/>
  <c r="O30" i="15"/>
  <c r="N30" i="15"/>
  <c r="M30" i="15"/>
  <c r="J30" i="15"/>
  <c r="I30" i="15"/>
  <c r="H30" i="15"/>
  <c r="G30" i="15"/>
  <c r="F30" i="15"/>
  <c r="E30" i="15"/>
  <c r="D30" i="15"/>
  <c r="C30" i="15"/>
  <c r="AD29" i="15"/>
  <c r="AA29" i="15"/>
  <c r="Y29" i="15"/>
  <c r="X29" i="15"/>
  <c r="W29" i="15"/>
  <c r="V29" i="15"/>
  <c r="U29" i="15"/>
  <c r="T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AD28" i="15"/>
  <c r="AA28" i="15"/>
  <c r="Y28" i="15"/>
  <c r="X28" i="15"/>
  <c r="W28" i="15"/>
  <c r="V28" i="15"/>
  <c r="U28" i="15"/>
  <c r="T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AD27" i="15"/>
  <c r="AA27" i="15"/>
  <c r="Y27" i="15"/>
  <c r="X27" i="15"/>
  <c r="W27" i="15"/>
  <c r="V27" i="15"/>
  <c r="U27" i="15"/>
  <c r="T27" i="15"/>
  <c r="Q27" i="15"/>
  <c r="P27" i="15"/>
  <c r="O27" i="15"/>
  <c r="N27" i="15"/>
  <c r="M27" i="15"/>
  <c r="J27" i="15"/>
  <c r="I27" i="15"/>
  <c r="H27" i="15"/>
  <c r="G27" i="15"/>
  <c r="F27" i="15"/>
  <c r="E27" i="15"/>
  <c r="D27" i="15"/>
  <c r="C27" i="15"/>
  <c r="AA26" i="15"/>
  <c r="Y26" i="15"/>
  <c r="X26" i="15"/>
  <c r="W26" i="15"/>
  <c r="V26" i="15"/>
  <c r="U26" i="15"/>
  <c r="T26" i="15"/>
  <c r="Q26" i="15"/>
  <c r="P26" i="15"/>
  <c r="O26" i="15"/>
  <c r="N26" i="15"/>
  <c r="M26" i="15"/>
  <c r="J26" i="15"/>
  <c r="I26" i="15"/>
  <c r="H26" i="15"/>
  <c r="G26" i="15"/>
  <c r="F26" i="15"/>
  <c r="E26" i="15"/>
  <c r="D26" i="15"/>
  <c r="C26" i="15"/>
  <c r="AD25" i="15"/>
  <c r="AA25" i="15"/>
  <c r="Y25" i="15"/>
  <c r="X25" i="15"/>
  <c r="W25" i="15"/>
  <c r="V25" i="15"/>
  <c r="U25" i="15"/>
  <c r="T25" i="15"/>
  <c r="Q25" i="15"/>
  <c r="P25" i="15"/>
  <c r="O25" i="15"/>
  <c r="N25" i="15"/>
  <c r="M25" i="15"/>
  <c r="J25" i="15"/>
  <c r="I25" i="15"/>
  <c r="H25" i="15"/>
  <c r="G25" i="15"/>
  <c r="F25" i="15"/>
  <c r="E25" i="15"/>
  <c r="D25" i="15"/>
  <c r="C25" i="15"/>
  <c r="AD24" i="15"/>
  <c r="AA24" i="15"/>
  <c r="Y24" i="15"/>
  <c r="X24" i="15"/>
  <c r="W24" i="15"/>
  <c r="V24" i="15"/>
  <c r="U24" i="15"/>
  <c r="T24" i="15"/>
  <c r="Q24" i="15"/>
  <c r="P24" i="15"/>
  <c r="O24" i="15"/>
  <c r="N24" i="15"/>
  <c r="M24" i="15"/>
  <c r="J24" i="15"/>
  <c r="I24" i="15"/>
  <c r="H24" i="15"/>
  <c r="G24" i="15"/>
  <c r="F24" i="15"/>
  <c r="E24" i="15"/>
  <c r="D24" i="15"/>
  <c r="C24" i="15"/>
  <c r="AD23" i="15"/>
  <c r="AA23" i="15"/>
  <c r="Y23" i="15"/>
  <c r="X23" i="15"/>
  <c r="W23" i="15"/>
  <c r="V23" i="15"/>
  <c r="U23" i="15"/>
  <c r="T23" i="15"/>
  <c r="Q23" i="15"/>
  <c r="P23" i="15"/>
  <c r="O23" i="15"/>
  <c r="N23" i="15"/>
  <c r="M23" i="15"/>
  <c r="J23" i="15"/>
  <c r="I23" i="15"/>
  <c r="H23" i="15"/>
  <c r="G23" i="15"/>
  <c r="F23" i="15"/>
  <c r="E23" i="15"/>
  <c r="D23" i="15"/>
  <c r="C23" i="15"/>
  <c r="AD22" i="15"/>
  <c r="AA22" i="15"/>
  <c r="Y22" i="15"/>
  <c r="X22" i="15"/>
  <c r="W22" i="15"/>
  <c r="V22" i="15"/>
  <c r="U22" i="15"/>
  <c r="T22" i="15"/>
  <c r="Q22" i="15"/>
  <c r="P22" i="15"/>
  <c r="O22" i="15"/>
  <c r="N22" i="15"/>
  <c r="M22" i="15"/>
  <c r="J22" i="15"/>
  <c r="I22" i="15"/>
  <c r="H22" i="15"/>
  <c r="G22" i="15"/>
  <c r="F22" i="15"/>
  <c r="E22" i="15"/>
  <c r="D22" i="15"/>
  <c r="C22" i="15"/>
  <c r="AD21" i="15"/>
  <c r="AA21" i="15"/>
  <c r="Y21" i="15"/>
  <c r="X21" i="15"/>
  <c r="W21" i="15"/>
  <c r="V21" i="15"/>
  <c r="U21" i="15"/>
  <c r="T21" i="15"/>
  <c r="Q21" i="15"/>
  <c r="P21" i="15"/>
  <c r="O21" i="15"/>
  <c r="N21" i="15"/>
  <c r="M21" i="15"/>
  <c r="J21" i="15"/>
  <c r="I21" i="15"/>
  <c r="H21" i="15"/>
  <c r="G21" i="15"/>
  <c r="F21" i="15"/>
  <c r="E21" i="15"/>
  <c r="D21" i="15"/>
  <c r="C21" i="15"/>
  <c r="AD20" i="15"/>
  <c r="AA20" i="15"/>
  <c r="Y20" i="15"/>
  <c r="X20" i="15"/>
  <c r="W20" i="15"/>
  <c r="V20" i="15"/>
  <c r="U20" i="15"/>
  <c r="T20" i="15"/>
  <c r="Q20" i="15"/>
  <c r="P20" i="15"/>
  <c r="O20" i="15"/>
  <c r="N20" i="15"/>
  <c r="M20" i="15"/>
  <c r="J20" i="15"/>
  <c r="I20" i="15"/>
  <c r="H20" i="15"/>
  <c r="G20" i="15"/>
  <c r="F20" i="15"/>
  <c r="E20" i="15"/>
  <c r="D20" i="15"/>
  <c r="C20" i="15"/>
  <c r="AD19" i="15"/>
  <c r="AA19" i="15"/>
  <c r="Y19" i="15"/>
  <c r="X19" i="15"/>
  <c r="W19" i="15"/>
  <c r="V19" i="15"/>
  <c r="U19" i="15"/>
  <c r="T19" i="15"/>
  <c r="Q19" i="15"/>
  <c r="P19" i="15"/>
  <c r="O19" i="15"/>
  <c r="N19" i="15"/>
  <c r="M19" i="15"/>
  <c r="J19" i="15"/>
  <c r="I19" i="15"/>
  <c r="H19" i="15"/>
  <c r="G19" i="15"/>
  <c r="F19" i="15"/>
  <c r="E19" i="15"/>
  <c r="D19" i="15"/>
  <c r="C19" i="15"/>
  <c r="AD18" i="15"/>
  <c r="AA18" i="15"/>
  <c r="Y18" i="15"/>
  <c r="X18" i="15"/>
  <c r="W18" i="15"/>
  <c r="V18" i="15"/>
  <c r="U18" i="15"/>
  <c r="T18" i="15"/>
  <c r="Q18" i="15"/>
  <c r="P18" i="15"/>
  <c r="O18" i="15"/>
  <c r="N18" i="15"/>
  <c r="M18" i="15"/>
  <c r="J18" i="15"/>
  <c r="I18" i="15"/>
  <c r="H18" i="15"/>
  <c r="G18" i="15"/>
  <c r="F18" i="15"/>
  <c r="E18" i="15"/>
  <c r="D18" i="15"/>
  <c r="C18" i="15"/>
  <c r="AD17" i="15"/>
  <c r="AA17" i="15"/>
  <c r="Y17" i="15"/>
  <c r="X17" i="15"/>
  <c r="W17" i="15"/>
  <c r="V17" i="15"/>
  <c r="U17" i="15"/>
  <c r="T17" i="15"/>
  <c r="Q17" i="15"/>
  <c r="P17" i="15"/>
  <c r="O17" i="15"/>
  <c r="N17" i="15"/>
  <c r="M17" i="15"/>
  <c r="J17" i="15"/>
  <c r="I17" i="15"/>
  <c r="H17" i="15"/>
  <c r="G17" i="15"/>
  <c r="F17" i="15"/>
  <c r="E17" i="15"/>
  <c r="D17" i="15"/>
  <c r="C17" i="15"/>
  <c r="AD16" i="15"/>
  <c r="AA16" i="15"/>
  <c r="Y16" i="15"/>
  <c r="X16" i="15"/>
  <c r="W16" i="15"/>
  <c r="V16" i="15"/>
  <c r="U16" i="15"/>
  <c r="T16" i="15"/>
  <c r="Q16" i="15"/>
  <c r="P16" i="15"/>
  <c r="O16" i="15"/>
  <c r="N16" i="15"/>
  <c r="M16" i="15"/>
  <c r="J16" i="15"/>
  <c r="I16" i="15"/>
  <c r="H16" i="15"/>
  <c r="G16" i="15"/>
  <c r="F16" i="15"/>
  <c r="E16" i="15"/>
  <c r="D16" i="15"/>
  <c r="C16" i="15"/>
  <c r="AD15" i="15"/>
  <c r="AA15" i="15"/>
  <c r="Y15" i="15"/>
  <c r="X15" i="15"/>
  <c r="W15" i="15"/>
  <c r="V15" i="15"/>
  <c r="U15" i="15"/>
  <c r="T15" i="15"/>
  <c r="Q15" i="15"/>
  <c r="P15" i="15"/>
  <c r="O15" i="15"/>
  <c r="N15" i="15"/>
  <c r="M15" i="15"/>
  <c r="J15" i="15"/>
  <c r="I15" i="15"/>
  <c r="H15" i="15"/>
  <c r="G15" i="15"/>
  <c r="F15" i="15"/>
  <c r="E15" i="15"/>
  <c r="D15" i="15"/>
  <c r="C15" i="15"/>
  <c r="AD14" i="15"/>
  <c r="AA14" i="15"/>
  <c r="Y14" i="15"/>
  <c r="X14" i="15"/>
  <c r="W14" i="15"/>
  <c r="V14" i="15"/>
  <c r="U14" i="15"/>
  <c r="T14" i="15"/>
  <c r="Q14" i="15"/>
  <c r="P14" i="15"/>
  <c r="O14" i="15"/>
  <c r="N14" i="15"/>
  <c r="M14" i="15"/>
  <c r="J14" i="15"/>
  <c r="I14" i="15"/>
  <c r="H14" i="15"/>
  <c r="G14" i="15"/>
  <c r="F14" i="15"/>
  <c r="E14" i="15"/>
  <c r="D14" i="15"/>
  <c r="C14" i="15"/>
  <c r="AD13" i="15"/>
  <c r="AA13" i="15"/>
  <c r="Y13" i="15"/>
  <c r="X13" i="15"/>
  <c r="W13" i="15"/>
  <c r="V13" i="15"/>
  <c r="U13" i="15"/>
  <c r="T13" i="15"/>
  <c r="Q13" i="15"/>
  <c r="P13" i="15"/>
  <c r="O13" i="15"/>
  <c r="N13" i="15"/>
  <c r="M13" i="15"/>
  <c r="J13" i="15"/>
  <c r="I13" i="15"/>
  <c r="H13" i="15"/>
  <c r="G13" i="15"/>
  <c r="F13" i="15"/>
  <c r="E13" i="15"/>
  <c r="D13" i="15"/>
  <c r="C13" i="15"/>
  <c r="AD12" i="15"/>
  <c r="AA12" i="15"/>
  <c r="Y12" i="15"/>
  <c r="X12" i="15"/>
  <c r="W12" i="15"/>
  <c r="V12" i="15"/>
  <c r="U12" i="15"/>
  <c r="T12" i="15"/>
  <c r="Q12" i="15"/>
  <c r="P12" i="15"/>
  <c r="O12" i="15"/>
  <c r="N12" i="15"/>
  <c r="M12" i="15"/>
  <c r="J12" i="15"/>
  <c r="I12" i="15"/>
  <c r="H12" i="15"/>
  <c r="G12" i="15"/>
  <c r="F12" i="15"/>
  <c r="E12" i="15"/>
  <c r="D12" i="15"/>
  <c r="C12" i="15"/>
  <c r="AD11" i="15"/>
  <c r="AA11" i="15"/>
  <c r="Y11" i="15"/>
  <c r="X11" i="15"/>
  <c r="W11" i="15"/>
  <c r="V11" i="15"/>
  <c r="U11" i="15"/>
  <c r="T11" i="15"/>
  <c r="Q11" i="15"/>
  <c r="P11" i="15"/>
  <c r="O11" i="15"/>
  <c r="N11" i="15"/>
  <c r="M11" i="15"/>
  <c r="J11" i="15"/>
  <c r="I11" i="15"/>
  <c r="H11" i="15"/>
  <c r="G11" i="15"/>
  <c r="F11" i="15"/>
  <c r="E11" i="15"/>
  <c r="D11" i="15"/>
  <c r="C11" i="15"/>
  <c r="AD10" i="15"/>
  <c r="AA10" i="15"/>
  <c r="Y10" i="15"/>
  <c r="X10" i="15"/>
  <c r="W10" i="15"/>
  <c r="V10" i="15"/>
  <c r="U10" i="15"/>
  <c r="T10" i="15"/>
  <c r="Q10" i="15"/>
  <c r="P10" i="15"/>
  <c r="O10" i="15"/>
  <c r="N10" i="15"/>
  <c r="M10" i="15"/>
  <c r="J10" i="15"/>
  <c r="I10" i="15"/>
  <c r="H10" i="15"/>
  <c r="G10" i="15"/>
  <c r="F10" i="15"/>
  <c r="E10" i="15"/>
  <c r="D10" i="15"/>
  <c r="C10" i="15"/>
  <c r="AD9" i="15"/>
  <c r="AA9" i="15"/>
  <c r="Y9" i="15"/>
  <c r="X9" i="15"/>
  <c r="W9" i="15"/>
  <c r="V9" i="15"/>
  <c r="U9" i="15"/>
  <c r="T9" i="15"/>
  <c r="Q9" i="15"/>
  <c r="P9" i="15"/>
  <c r="O9" i="15"/>
  <c r="N9" i="15"/>
  <c r="M9" i="15"/>
  <c r="J9" i="15"/>
  <c r="I9" i="15"/>
  <c r="H9" i="15"/>
  <c r="G9" i="15"/>
  <c r="F9" i="15"/>
  <c r="E9" i="15"/>
  <c r="D9" i="15"/>
  <c r="C9" i="15"/>
  <c r="AD8" i="15"/>
  <c r="AA8" i="15"/>
  <c r="Y8" i="15"/>
  <c r="X8" i="15"/>
  <c r="W8" i="15"/>
  <c r="V8" i="15"/>
  <c r="U8" i="15"/>
  <c r="T8" i="15"/>
  <c r="Q8" i="15"/>
  <c r="P8" i="15"/>
  <c r="O8" i="15"/>
  <c r="N8" i="15"/>
  <c r="M8" i="15"/>
  <c r="J8" i="15"/>
  <c r="I8" i="15"/>
  <c r="H8" i="15"/>
  <c r="G8" i="15"/>
  <c r="F8" i="15"/>
  <c r="E8" i="15"/>
  <c r="D8" i="15"/>
  <c r="C8" i="15"/>
  <c r="AD7" i="15"/>
  <c r="AA7" i="15"/>
  <c r="Y7" i="15"/>
  <c r="X7" i="15"/>
  <c r="W7" i="15"/>
  <c r="V7" i="15"/>
  <c r="U7" i="15"/>
  <c r="T7" i="15"/>
  <c r="Q7" i="15"/>
  <c r="P7" i="15"/>
  <c r="O7" i="15"/>
  <c r="N7" i="15"/>
  <c r="M7" i="15"/>
  <c r="J7" i="15"/>
  <c r="I7" i="15"/>
  <c r="H7" i="15"/>
  <c r="G7" i="15"/>
  <c r="F7" i="15"/>
  <c r="E7" i="15"/>
  <c r="D7" i="15"/>
  <c r="C7" i="15"/>
  <c r="AD6" i="15"/>
  <c r="AA6" i="15"/>
  <c r="Y6" i="15"/>
  <c r="X6" i="15"/>
  <c r="W6" i="15"/>
  <c r="V6" i="15"/>
  <c r="U6" i="15"/>
  <c r="T6" i="15"/>
  <c r="Q6" i="15"/>
  <c r="P6" i="15"/>
  <c r="O6" i="15"/>
  <c r="N6" i="15"/>
  <c r="M6" i="15"/>
  <c r="J6" i="15"/>
  <c r="I6" i="15"/>
  <c r="H6" i="15"/>
  <c r="G6" i="15"/>
  <c r="F6" i="15"/>
  <c r="E6" i="15"/>
  <c r="D6" i="15"/>
  <c r="C6" i="15"/>
  <c r="AD5" i="15"/>
  <c r="AA5" i="15"/>
  <c r="Y5" i="15"/>
  <c r="X5" i="15"/>
  <c r="W5" i="15"/>
  <c r="V5" i="15"/>
  <c r="U5" i="15"/>
  <c r="T5" i="15"/>
  <c r="Q5" i="15"/>
  <c r="P5" i="15"/>
  <c r="O5" i="15"/>
  <c r="N5" i="15"/>
  <c r="M5" i="15"/>
  <c r="J5" i="15"/>
  <c r="I5" i="15"/>
  <c r="H5" i="15"/>
  <c r="G5" i="15"/>
  <c r="F5" i="15"/>
  <c r="E5" i="15"/>
  <c r="D5" i="15"/>
  <c r="C5" i="15"/>
  <c r="AD4" i="15"/>
  <c r="AA4" i="15"/>
  <c r="Y4" i="15"/>
  <c r="X4" i="15"/>
  <c r="W4" i="15"/>
  <c r="V4" i="15"/>
  <c r="U4" i="15"/>
  <c r="T4" i="15"/>
  <c r="Q4" i="15"/>
  <c r="P4" i="15"/>
  <c r="O4" i="15"/>
  <c r="N4" i="15"/>
  <c r="M4" i="15"/>
  <c r="J4" i="15"/>
  <c r="I4" i="15"/>
  <c r="H4" i="15"/>
  <c r="G4" i="15"/>
  <c r="F4" i="15"/>
  <c r="E4" i="15"/>
  <c r="D4" i="15"/>
  <c r="C4" i="15"/>
  <c r="AD37" i="14"/>
  <c r="AA37" i="14"/>
  <c r="Z37" i="14"/>
  <c r="Y37" i="14"/>
  <c r="X37" i="14"/>
  <c r="W37" i="14"/>
  <c r="V37" i="14"/>
  <c r="U37" i="14"/>
  <c r="T37" i="14"/>
  <c r="Q37" i="14"/>
  <c r="P37" i="14"/>
  <c r="O37" i="14"/>
  <c r="N37" i="14"/>
  <c r="M37" i="14"/>
  <c r="J37" i="14"/>
  <c r="I37" i="14"/>
  <c r="H37" i="14"/>
  <c r="G37" i="14"/>
  <c r="F37" i="14"/>
  <c r="E37" i="14"/>
  <c r="D37" i="14"/>
  <c r="C37" i="14"/>
  <c r="AD36" i="14"/>
  <c r="AA36" i="14"/>
  <c r="Z36" i="14"/>
  <c r="Y36" i="14"/>
  <c r="X36" i="14"/>
  <c r="W36" i="14"/>
  <c r="V36" i="14"/>
  <c r="U36" i="14"/>
  <c r="T36" i="14"/>
  <c r="Q36" i="14"/>
  <c r="P36" i="14"/>
  <c r="O36" i="14"/>
  <c r="N36" i="14"/>
  <c r="M36" i="14"/>
  <c r="J36" i="14"/>
  <c r="I36" i="14"/>
  <c r="H36" i="14"/>
  <c r="G36" i="14"/>
  <c r="F36" i="14"/>
  <c r="E36" i="14"/>
  <c r="D36" i="14"/>
  <c r="C36" i="14"/>
  <c r="AD35" i="14"/>
  <c r="AA35" i="14"/>
  <c r="Z35" i="14"/>
  <c r="Y35" i="14"/>
  <c r="X35" i="14"/>
  <c r="W35" i="14"/>
  <c r="V35" i="14"/>
  <c r="U35" i="14"/>
  <c r="T35" i="14"/>
  <c r="Q35" i="14"/>
  <c r="P35" i="14"/>
  <c r="O35" i="14"/>
  <c r="N35" i="14"/>
  <c r="M35" i="14"/>
  <c r="J35" i="14"/>
  <c r="I35" i="14"/>
  <c r="H35" i="14"/>
  <c r="G35" i="14"/>
  <c r="F35" i="14"/>
  <c r="E35" i="14"/>
  <c r="D35" i="14"/>
  <c r="C35" i="14"/>
  <c r="AD34" i="14"/>
  <c r="AA34" i="14"/>
  <c r="Z34" i="14"/>
  <c r="Y34" i="14"/>
  <c r="X34" i="14"/>
  <c r="W34" i="14"/>
  <c r="V34" i="14"/>
  <c r="U34" i="14"/>
  <c r="T34" i="14"/>
  <c r="Q34" i="14"/>
  <c r="P34" i="14"/>
  <c r="O34" i="14"/>
  <c r="N34" i="14"/>
  <c r="M34" i="14"/>
  <c r="J34" i="14"/>
  <c r="I34" i="14"/>
  <c r="H34" i="14"/>
  <c r="G34" i="14"/>
  <c r="F34" i="14"/>
  <c r="E34" i="14"/>
  <c r="D34" i="14"/>
  <c r="C34" i="14"/>
  <c r="AD33" i="14"/>
  <c r="AA33" i="14"/>
  <c r="Z33" i="14"/>
  <c r="Y33" i="14"/>
  <c r="X33" i="14"/>
  <c r="W33" i="14"/>
  <c r="V33" i="14"/>
  <c r="U33" i="14"/>
  <c r="T33" i="14"/>
  <c r="Q33" i="14"/>
  <c r="P33" i="14"/>
  <c r="O33" i="14"/>
  <c r="N33" i="14"/>
  <c r="M33" i="14"/>
  <c r="J33" i="14"/>
  <c r="I33" i="14"/>
  <c r="H33" i="14"/>
  <c r="G33" i="14"/>
  <c r="F33" i="14"/>
  <c r="E33" i="14"/>
  <c r="D33" i="14"/>
  <c r="C33" i="14"/>
  <c r="AD32" i="14"/>
  <c r="AA32" i="14"/>
  <c r="Z32" i="14"/>
  <c r="Y32" i="14"/>
  <c r="X32" i="14"/>
  <c r="W32" i="14"/>
  <c r="V32" i="14"/>
  <c r="U32" i="14"/>
  <c r="T32" i="14"/>
  <c r="Q32" i="14"/>
  <c r="P32" i="14"/>
  <c r="O32" i="14"/>
  <c r="N32" i="14"/>
  <c r="M32" i="14"/>
  <c r="J32" i="14"/>
  <c r="I32" i="14"/>
  <c r="H32" i="14"/>
  <c r="G32" i="14"/>
  <c r="F32" i="14"/>
  <c r="E32" i="14"/>
  <c r="D32" i="14"/>
  <c r="C32" i="14"/>
  <c r="AD31" i="14"/>
  <c r="AA31" i="14"/>
  <c r="Z31" i="14"/>
  <c r="Y31" i="14"/>
  <c r="X31" i="14"/>
  <c r="W31" i="14"/>
  <c r="V31" i="14"/>
  <c r="U31" i="14"/>
  <c r="T31" i="14"/>
  <c r="Q31" i="14"/>
  <c r="P31" i="14"/>
  <c r="O31" i="14"/>
  <c r="N31" i="14"/>
  <c r="M31" i="14"/>
  <c r="J31" i="14"/>
  <c r="I31" i="14"/>
  <c r="H31" i="14"/>
  <c r="G31" i="14"/>
  <c r="F31" i="14"/>
  <c r="E31" i="14"/>
  <c r="D31" i="14"/>
  <c r="C31" i="14"/>
  <c r="AD30" i="14"/>
  <c r="AA30" i="14"/>
  <c r="Z30" i="14"/>
  <c r="Y30" i="14"/>
  <c r="X30" i="14"/>
  <c r="W30" i="14"/>
  <c r="V30" i="14"/>
  <c r="U30" i="14"/>
  <c r="T30" i="14"/>
  <c r="Q30" i="14"/>
  <c r="P30" i="14"/>
  <c r="O30" i="14"/>
  <c r="N30" i="14"/>
  <c r="M30" i="14"/>
  <c r="J30" i="14"/>
  <c r="I30" i="14"/>
  <c r="H30" i="14"/>
  <c r="G30" i="14"/>
  <c r="F30" i="14"/>
  <c r="E30" i="14"/>
  <c r="D30" i="14"/>
  <c r="C30" i="14"/>
  <c r="AD29" i="14"/>
  <c r="AA29" i="14"/>
  <c r="Z29" i="14"/>
  <c r="Y29" i="14"/>
  <c r="X29" i="14"/>
  <c r="W29" i="14"/>
  <c r="V29" i="14"/>
  <c r="U29" i="14"/>
  <c r="T29" i="14"/>
  <c r="Q29" i="14"/>
  <c r="P29" i="14"/>
  <c r="O29" i="14"/>
  <c r="N29" i="14"/>
  <c r="M29" i="14"/>
  <c r="J29" i="14"/>
  <c r="I29" i="14"/>
  <c r="H29" i="14"/>
  <c r="G29" i="14"/>
  <c r="F29" i="14"/>
  <c r="E29" i="14"/>
  <c r="D29" i="14"/>
  <c r="C29" i="14"/>
  <c r="AD28" i="14"/>
  <c r="AA28" i="14"/>
  <c r="Z28" i="14"/>
  <c r="Y28" i="14"/>
  <c r="X28" i="14"/>
  <c r="W28" i="14"/>
  <c r="V28" i="14"/>
  <c r="U28" i="14"/>
  <c r="T28" i="14"/>
  <c r="Q28" i="14"/>
  <c r="P28" i="14"/>
  <c r="O28" i="14"/>
  <c r="N28" i="14"/>
  <c r="M28" i="14"/>
  <c r="J28" i="14"/>
  <c r="I28" i="14"/>
  <c r="H28" i="14"/>
  <c r="G28" i="14"/>
  <c r="F28" i="14"/>
  <c r="E28" i="14"/>
  <c r="D28" i="14"/>
  <c r="C28" i="14"/>
  <c r="AD27" i="14"/>
  <c r="AA27" i="14"/>
  <c r="Z27" i="14"/>
  <c r="Y27" i="14"/>
  <c r="X27" i="14"/>
  <c r="W27" i="14"/>
  <c r="V27" i="14"/>
  <c r="U27" i="14"/>
  <c r="T27" i="14"/>
  <c r="Q27" i="14"/>
  <c r="P27" i="14"/>
  <c r="O27" i="14"/>
  <c r="N27" i="14"/>
  <c r="J27" i="14"/>
  <c r="I27" i="14"/>
  <c r="H27" i="14"/>
  <c r="G27" i="14"/>
  <c r="F27" i="14"/>
  <c r="E27" i="14"/>
  <c r="D27" i="14"/>
  <c r="C27" i="14"/>
  <c r="AD26" i="14"/>
  <c r="AA26" i="14"/>
  <c r="Z26" i="14"/>
  <c r="Y26" i="14"/>
  <c r="X26" i="14"/>
  <c r="W26" i="14"/>
  <c r="V26" i="14"/>
  <c r="U26" i="14"/>
  <c r="T26" i="14"/>
  <c r="Q26" i="14"/>
  <c r="P26" i="14"/>
  <c r="O26" i="14"/>
  <c r="N26" i="14"/>
  <c r="M26" i="14"/>
  <c r="J26" i="14"/>
  <c r="I26" i="14"/>
  <c r="H26" i="14"/>
  <c r="G26" i="14"/>
  <c r="F26" i="14"/>
  <c r="E26" i="14"/>
  <c r="D26" i="14"/>
  <c r="C26" i="14"/>
  <c r="AD25" i="14"/>
  <c r="AA25" i="14"/>
  <c r="Z25" i="14"/>
  <c r="Y25" i="14"/>
  <c r="X25" i="14"/>
  <c r="W25" i="14"/>
  <c r="V25" i="14"/>
  <c r="U25" i="14"/>
  <c r="T25" i="14"/>
  <c r="Q25" i="14"/>
  <c r="P25" i="14"/>
  <c r="O25" i="14"/>
  <c r="N25" i="14"/>
  <c r="M25" i="14"/>
  <c r="J25" i="14"/>
  <c r="I25" i="14"/>
  <c r="H25" i="14"/>
  <c r="G25" i="14"/>
  <c r="F25" i="14"/>
  <c r="E25" i="14"/>
  <c r="D25" i="14"/>
  <c r="C25" i="14"/>
  <c r="AD24" i="14"/>
  <c r="AA24" i="14"/>
  <c r="Z24" i="14"/>
  <c r="Y24" i="14"/>
  <c r="X24" i="14"/>
  <c r="W24" i="14"/>
  <c r="V24" i="14"/>
  <c r="U24" i="14"/>
  <c r="T24" i="14"/>
  <c r="Q24" i="14"/>
  <c r="P24" i="14"/>
  <c r="O24" i="14"/>
  <c r="N24" i="14"/>
  <c r="M24" i="14"/>
  <c r="J24" i="14"/>
  <c r="I24" i="14"/>
  <c r="H24" i="14"/>
  <c r="G24" i="14"/>
  <c r="F24" i="14"/>
  <c r="E24" i="14"/>
  <c r="D24" i="14"/>
  <c r="C24" i="14"/>
  <c r="AD23" i="14"/>
  <c r="AA23" i="14"/>
  <c r="Z23" i="14"/>
  <c r="Y23" i="14"/>
  <c r="X23" i="14"/>
  <c r="W23" i="14"/>
  <c r="V23" i="14"/>
  <c r="U23" i="14"/>
  <c r="T23" i="14"/>
  <c r="Q23" i="14"/>
  <c r="P23" i="14"/>
  <c r="O23" i="14"/>
  <c r="N23" i="14"/>
  <c r="M23" i="14"/>
  <c r="J23" i="14"/>
  <c r="I23" i="14"/>
  <c r="H23" i="14"/>
  <c r="G23" i="14"/>
  <c r="F23" i="14"/>
  <c r="E23" i="14"/>
  <c r="D23" i="14"/>
  <c r="C23" i="14"/>
  <c r="AD22" i="14"/>
  <c r="AA22" i="14"/>
  <c r="Z22" i="14"/>
  <c r="Y22" i="14"/>
  <c r="X22" i="14"/>
  <c r="W22" i="14"/>
  <c r="V22" i="14"/>
  <c r="U22" i="14"/>
  <c r="T22" i="14"/>
  <c r="Q22" i="14"/>
  <c r="P22" i="14"/>
  <c r="O22" i="14"/>
  <c r="N22" i="14"/>
  <c r="M22" i="14"/>
  <c r="J22" i="14"/>
  <c r="I22" i="14"/>
  <c r="H22" i="14"/>
  <c r="G22" i="14"/>
  <c r="F22" i="14"/>
  <c r="E22" i="14"/>
  <c r="D22" i="14"/>
  <c r="C22" i="14"/>
  <c r="AD21" i="14"/>
  <c r="AA21" i="14"/>
  <c r="Z21" i="14"/>
  <c r="Y21" i="14"/>
  <c r="X21" i="14"/>
  <c r="W21" i="14"/>
  <c r="V21" i="14"/>
  <c r="U21" i="14"/>
  <c r="T21" i="14"/>
  <c r="Q21" i="14"/>
  <c r="P21" i="14"/>
  <c r="O21" i="14"/>
  <c r="N21" i="14"/>
  <c r="M21" i="14"/>
  <c r="J21" i="14"/>
  <c r="I21" i="14"/>
  <c r="H21" i="14"/>
  <c r="G21" i="14"/>
  <c r="F21" i="14"/>
  <c r="E21" i="14"/>
  <c r="D21" i="14"/>
  <c r="C21" i="14"/>
  <c r="AD20" i="14"/>
  <c r="AA20" i="14"/>
  <c r="Z20" i="14"/>
  <c r="Y20" i="14"/>
  <c r="X20" i="14"/>
  <c r="W20" i="14"/>
  <c r="V20" i="14"/>
  <c r="U20" i="14"/>
  <c r="T20" i="14"/>
  <c r="Q20" i="14"/>
  <c r="P20" i="14"/>
  <c r="O20" i="14"/>
  <c r="N20" i="14"/>
  <c r="M20" i="14"/>
  <c r="J20" i="14"/>
  <c r="I20" i="14"/>
  <c r="H20" i="14"/>
  <c r="G20" i="14"/>
  <c r="F20" i="14"/>
  <c r="E20" i="14"/>
  <c r="D20" i="14"/>
  <c r="C20" i="14"/>
  <c r="AD19" i="14"/>
  <c r="AA19" i="14"/>
  <c r="Z19" i="14"/>
  <c r="Y19" i="14"/>
  <c r="X19" i="14"/>
  <c r="W19" i="14"/>
  <c r="V19" i="14"/>
  <c r="U19" i="14"/>
  <c r="T19" i="14"/>
  <c r="Q19" i="14"/>
  <c r="P19" i="14"/>
  <c r="O19" i="14"/>
  <c r="N19" i="14"/>
  <c r="M19" i="14"/>
  <c r="J19" i="14"/>
  <c r="I19" i="14"/>
  <c r="H19" i="14"/>
  <c r="G19" i="14"/>
  <c r="F19" i="14"/>
  <c r="E19" i="14"/>
  <c r="D19" i="14"/>
  <c r="C19" i="14"/>
  <c r="AD18" i="14"/>
  <c r="AA18" i="14"/>
  <c r="Z18" i="14"/>
  <c r="Y18" i="14"/>
  <c r="X18" i="14"/>
  <c r="W18" i="14"/>
  <c r="V18" i="14"/>
  <c r="U18" i="14"/>
  <c r="T18" i="14"/>
  <c r="Q18" i="14"/>
  <c r="P18" i="14"/>
  <c r="O18" i="14"/>
  <c r="N18" i="14"/>
  <c r="M18" i="14"/>
  <c r="J18" i="14"/>
  <c r="I18" i="14"/>
  <c r="H18" i="14"/>
  <c r="G18" i="14"/>
  <c r="F18" i="14"/>
  <c r="E18" i="14"/>
  <c r="D18" i="14"/>
  <c r="C18" i="14"/>
  <c r="AD17" i="14"/>
  <c r="AA17" i="14"/>
  <c r="Z17" i="14"/>
  <c r="Y17" i="14"/>
  <c r="X17" i="14"/>
  <c r="W17" i="14"/>
  <c r="V17" i="14"/>
  <c r="U17" i="14"/>
  <c r="T17" i="14"/>
  <c r="Q17" i="14"/>
  <c r="P17" i="14"/>
  <c r="O17" i="14"/>
  <c r="N17" i="14"/>
  <c r="M17" i="14"/>
  <c r="J17" i="14"/>
  <c r="I17" i="14"/>
  <c r="H17" i="14"/>
  <c r="G17" i="14"/>
  <c r="F17" i="14"/>
  <c r="E17" i="14"/>
  <c r="D17" i="14"/>
  <c r="C17" i="14"/>
  <c r="AD16" i="14"/>
  <c r="AA16" i="14"/>
  <c r="Z16" i="14"/>
  <c r="Y16" i="14"/>
  <c r="X16" i="14"/>
  <c r="W16" i="14"/>
  <c r="V16" i="14"/>
  <c r="U16" i="14"/>
  <c r="T16" i="14"/>
  <c r="Q16" i="14"/>
  <c r="P16" i="14"/>
  <c r="O16" i="14"/>
  <c r="N16" i="14"/>
  <c r="M16" i="14"/>
  <c r="J16" i="14"/>
  <c r="I16" i="14"/>
  <c r="H16" i="14"/>
  <c r="G16" i="14"/>
  <c r="F16" i="14"/>
  <c r="E16" i="14"/>
  <c r="D16" i="14"/>
  <c r="C16" i="14"/>
  <c r="AD15" i="14"/>
  <c r="AA15" i="14"/>
  <c r="Z15" i="14"/>
  <c r="Y15" i="14"/>
  <c r="X15" i="14"/>
  <c r="W15" i="14"/>
  <c r="V15" i="14"/>
  <c r="U15" i="14"/>
  <c r="T15" i="14"/>
  <c r="Q15" i="14"/>
  <c r="P15" i="14"/>
  <c r="O15" i="14"/>
  <c r="N15" i="14"/>
  <c r="M15" i="14"/>
  <c r="J15" i="14"/>
  <c r="I15" i="14"/>
  <c r="H15" i="14"/>
  <c r="G15" i="14"/>
  <c r="F15" i="14"/>
  <c r="E15" i="14"/>
  <c r="D15" i="14"/>
  <c r="C15" i="14"/>
  <c r="AD14" i="14"/>
  <c r="AA14" i="14"/>
  <c r="Z14" i="14"/>
  <c r="Y14" i="14"/>
  <c r="X14" i="14"/>
  <c r="W14" i="14"/>
  <c r="V14" i="14"/>
  <c r="U14" i="14"/>
  <c r="T14" i="14"/>
  <c r="Q14" i="14"/>
  <c r="P14" i="14"/>
  <c r="O14" i="14"/>
  <c r="N14" i="14"/>
  <c r="M14" i="14"/>
  <c r="J14" i="14"/>
  <c r="I14" i="14"/>
  <c r="H14" i="14"/>
  <c r="G14" i="14"/>
  <c r="F14" i="14"/>
  <c r="E14" i="14"/>
  <c r="D14" i="14"/>
  <c r="C14" i="14"/>
  <c r="AD13" i="14"/>
  <c r="AA13" i="14"/>
  <c r="Z13" i="14"/>
  <c r="Y13" i="14"/>
  <c r="X13" i="14"/>
  <c r="W13" i="14"/>
  <c r="V13" i="14"/>
  <c r="U13" i="14"/>
  <c r="T13" i="14"/>
  <c r="Q13" i="14"/>
  <c r="P13" i="14"/>
  <c r="O13" i="14"/>
  <c r="N13" i="14"/>
  <c r="M13" i="14"/>
  <c r="J13" i="14"/>
  <c r="I13" i="14"/>
  <c r="H13" i="14"/>
  <c r="G13" i="14"/>
  <c r="F13" i="14"/>
  <c r="E13" i="14"/>
  <c r="D13" i="14"/>
  <c r="C13" i="14"/>
  <c r="AD12" i="14"/>
  <c r="AA12" i="14"/>
  <c r="Z12" i="14"/>
  <c r="Y12" i="14"/>
  <c r="X12" i="14"/>
  <c r="W12" i="14"/>
  <c r="V12" i="14"/>
  <c r="U12" i="14"/>
  <c r="T12" i="14"/>
  <c r="Q12" i="14"/>
  <c r="P12" i="14"/>
  <c r="O12" i="14"/>
  <c r="N12" i="14"/>
  <c r="M12" i="14"/>
  <c r="J12" i="14"/>
  <c r="I12" i="14"/>
  <c r="H12" i="14"/>
  <c r="G12" i="14"/>
  <c r="F12" i="14"/>
  <c r="E12" i="14"/>
  <c r="D12" i="14"/>
  <c r="C12" i="14"/>
  <c r="AD11" i="14"/>
  <c r="AA11" i="14"/>
  <c r="Z11" i="14"/>
  <c r="Y11" i="14"/>
  <c r="X11" i="14"/>
  <c r="W11" i="14"/>
  <c r="V11" i="14"/>
  <c r="U11" i="14"/>
  <c r="T11" i="14"/>
  <c r="Q11" i="14"/>
  <c r="P11" i="14"/>
  <c r="O11" i="14"/>
  <c r="N11" i="14"/>
  <c r="M11" i="14"/>
  <c r="J11" i="14"/>
  <c r="I11" i="14"/>
  <c r="H11" i="14"/>
  <c r="G11" i="14"/>
  <c r="F11" i="14"/>
  <c r="E11" i="14"/>
  <c r="D11" i="14"/>
  <c r="C11" i="14"/>
  <c r="AD10" i="14"/>
  <c r="AA10" i="14"/>
  <c r="Z10" i="14"/>
  <c r="Y10" i="14"/>
  <c r="X10" i="14"/>
  <c r="W10" i="14"/>
  <c r="V10" i="14"/>
  <c r="U10" i="14"/>
  <c r="T10" i="14"/>
  <c r="Q10" i="14"/>
  <c r="P10" i="14"/>
  <c r="O10" i="14"/>
  <c r="N10" i="14"/>
  <c r="M10" i="14"/>
  <c r="J10" i="14"/>
  <c r="I10" i="14"/>
  <c r="H10" i="14"/>
  <c r="G10" i="14"/>
  <c r="F10" i="14"/>
  <c r="E10" i="14"/>
  <c r="D10" i="14"/>
  <c r="C10" i="14"/>
  <c r="AD9" i="14"/>
  <c r="AA9" i="14"/>
  <c r="Z9" i="14"/>
  <c r="Y9" i="14"/>
  <c r="X9" i="14"/>
  <c r="W9" i="14"/>
  <c r="V9" i="14"/>
  <c r="U9" i="14"/>
  <c r="T9" i="14"/>
  <c r="Q9" i="14"/>
  <c r="P9" i="14"/>
  <c r="O9" i="14"/>
  <c r="N9" i="14"/>
  <c r="M9" i="14"/>
  <c r="J9" i="14"/>
  <c r="I9" i="14"/>
  <c r="H9" i="14"/>
  <c r="G9" i="14"/>
  <c r="F9" i="14"/>
  <c r="E9" i="14"/>
  <c r="D9" i="14"/>
  <c r="C9" i="14"/>
  <c r="AD8" i="14"/>
  <c r="AA8" i="14"/>
  <c r="Z8" i="14"/>
  <c r="Y8" i="14"/>
  <c r="X8" i="14"/>
  <c r="W8" i="14"/>
  <c r="V8" i="14"/>
  <c r="U8" i="14"/>
  <c r="T8" i="14"/>
  <c r="Q8" i="14"/>
  <c r="P8" i="14"/>
  <c r="O8" i="14"/>
  <c r="N8" i="14"/>
  <c r="M8" i="14"/>
  <c r="J8" i="14"/>
  <c r="I8" i="14"/>
  <c r="H8" i="14"/>
  <c r="G8" i="14"/>
  <c r="F8" i="14"/>
  <c r="E8" i="14"/>
  <c r="D8" i="14"/>
  <c r="C8" i="14"/>
  <c r="AD7" i="14"/>
  <c r="AA7" i="14"/>
  <c r="Z7" i="14"/>
  <c r="Y7" i="14"/>
  <c r="X7" i="14"/>
  <c r="W7" i="14"/>
  <c r="V7" i="14"/>
  <c r="U7" i="14"/>
  <c r="T7" i="14"/>
  <c r="Q7" i="14"/>
  <c r="P7" i="14"/>
  <c r="O7" i="14"/>
  <c r="N7" i="14"/>
  <c r="M7" i="14"/>
  <c r="J7" i="14"/>
  <c r="I7" i="14"/>
  <c r="H7" i="14"/>
  <c r="G7" i="14"/>
  <c r="F7" i="14"/>
  <c r="E7" i="14"/>
  <c r="D7" i="14"/>
  <c r="C7" i="14"/>
  <c r="AD6" i="14"/>
  <c r="AA6" i="14"/>
  <c r="Z6" i="14"/>
  <c r="Y6" i="14"/>
  <c r="X6" i="14"/>
  <c r="W6" i="14"/>
  <c r="V6" i="14"/>
  <c r="U6" i="14"/>
  <c r="T6" i="14"/>
  <c r="Q6" i="14"/>
  <c r="P6" i="14"/>
  <c r="O6" i="14"/>
  <c r="N6" i="14"/>
  <c r="M6" i="14"/>
  <c r="J6" i="14"/>
  <c r="I6" i="14"/>
  <c r="H6" i="14"/>
  <c r="G6" i="14"/>
  <c r="F6" i="14"/>
  <c r="E6" i="14"/>
  <c r="D6" i="14"/>
  <c r="C6" i="14"/>
  <c r="AD5" i="14"/>
  <c r="AA5" i="14"/>
  <c r="Z5" i="14"/>
  <c r="Y5" i="14"/>
  <c r="X5" i="14"/>
  <c r="W5" i="14"/>
  <c r="V5" i="14"/>
  <c r="U5" i="14"/>
  <c r="T5" i="14"/>
  <c r="Q5" i="14"/>
  <c r="P5" i="14"/>
  <c r="O5" i="14"/>
  <c r="N5" i="14"/>
  <c r="M5" i="14"/>
  <c r="J5" i="14"/>
  <c r="I5" i="14"/>
  <c r="H5" i="14"/>
  <c r="G5" i="14"/>
  <c r="F5" i="14"/>
  <c r="E5" i="14"/>
  <c r="D5" i="14"/>
  <c r="C5" i="14"/>
  <c r="AD4" i="14"/>
  <c r="AA4" i="14"/>
  <c r="Z4" i="14"/>
  <c r="Y4" i="14"/>
  <c r="X4" i="14"/>
  <c r="W4" i="14"/>
  <c r="V4" i="14"/>
  <c r="U4" i="14"/>
  <c r="T4" i="14"/>
  <c r="Q4" i="14"/>
  <c r="P4" i="14"/>
  <c r="O4" i="14"/>
  <c r="N4" i="14"/>
  <c r="M4" i="14"/>
  <c r="J4" i="14"/>
  <c r="I4" i="14"/>
  <c r="H4" i="14"/>
  <c r="G4" i="14"/>
  <c r="F4" i="14"/>
  <c r="E4" i="14"/>
  <c r="D4" i="14"/>
  <c r="C4" i="14"/>
  <c r="AD25" i="12"/>
  <c r="AC25" i="12"/>
  <c r="AB25" i="12"/>
  <c r="AA25" i="12"/>
  <c r="Z25" i="12"/>
  <c r="X25" i="12"/>
  <c r="U25" i="12"/>
  <c r="T25" i="12"/>
  <c r="S25" i="12"/>
  <c r="R25" i="12"/>
  <c r="Q25" i="12"/>
  <c r="M25" i="12"/>
  <c r="F25" i="12"/>
  <c r="AD24" i="12"/>
  <c r="AC24" i="12"/>
  <c r="AB24" i="12"/>
  <c r="AA24" i="12"/>
  <c r="Z24" i="12"/>
  <c r="X24" i="12"/>
  <c r="U24" i="12"/>
  <c r="T24" i="12"/>
  <c r="S24" i="12"/>
  <c r="R24" i="12"/>
  <c r="Q24" i="12"/>
  <c r="M24" i="12"/>
  <c r="F24" i="12"/>
  <c r="AD23" i="12"/>
  <c r="AC23" i="12"/>
  <c r="AB23" i="12"/>
  <c r="AA23" i="12"/>
  <c r="Z23" i="12"/>
  <c r="X23" i="12"/>
  <c r="U23" i="12"/>
  <c r="T23" i="12"/>
  <c r="S23" i="12"/>
  <c r="R23" i="12"/>
  <c r="Q23" i="12"/>
  <c r="M23" i="12"/>
  <c r="F23" i="12"/>
  <c r="AD22" i="12"/>
  <c r="AC22" i="12"/>
  <c r="AB22" i="12"/>
  <c r="AA22" i="12"/>
  <c r="Z22" i="12"/>
  <c r="X22" i="12"/>
  <c r="U22" i="12"/>
  <c r="T22" i="12"/>
  <c r="S22" i="12"/>
  <c r="R22" i="12"/>
  <c r="Q22" i="12"/>
  <c r="M22" i="12"/>
  <c r="F22" i="12"/>
  <c r="AD21" i="12"/>
  <c r="AC21" i="12"/>
  <c r="AB21" i="12"/>
  <c r="AA21" i="12"/>
  <c r="Z21" i="12"/>
  <c r="X21" i="12"/>
  <c r="U21" i="12"/>
  <c r="T21" i="12"/>
  <c r="S21" i="12"/>
  <c r="R21" i="12"/>
  <c r="Q21" i="12"/>
  <c r="M21" i="12"/>
  <c r="F21" i="12"/>
  <c r="AD20" i="12"/>
  <c r="AC20" i="12"/>
  <c r="AB20" i="12"/>
  <c r="AA20" i="12"/>
  <c r="Z20" i="12"/>
  <c r="X20" i="12"/>
  <c r="U20" i="12"/>
  <c r="T20" i="12"/>
  <c r="S20" i="12"/>
  <c r="R20" i="12"/>
  <c r="Q20" i="12"/>
  <c r="M20" i="12"/>
  <c r="F20" i="12"/>
  <c r="AD19" i="12"/>
  <c r="AC19" i="12"/>
  <c r="AB19" i="12"/>
  <c r="AA19" i="12"/>
  <c r="Z19" i="12"/>
  <c r="X19" i="12"/>
  <c r="U19" i="12"/>
  <c r="T19" i="12"/>
  <c r="S19" i="12"/>
  <c r="R19" i="12"/>
  <c r="Q19" i="12"/>
  <c r="M19" i="12"/>
  <c r="F19" i="12"/>
  <c r="AD18" i="12"/>
  <c r="AC18" i="12"/>
  <c r="AB18" i="12"/>
  <c r="AA18" i="12"/>
  <c r="Z18" i="12"/>
  <c r="X18" i="12"/>
  <c r="U18" i="12"/>
  <c r="T18" i="12"/>
  <c r="S18" i="12"/>
  <c r="R18" i="12"/>
  <c r="Q18" i="12"/>
  <c r="M18" i="12"/>
  <c r="AD17" i="12"/>
  <c r="AC17" i="12"/>
  <c r="AB17" i="12"/>
  <c r="AA17" i="12"/>
  <c r="Z17" i="12"/>
  <c r="X17" i="12"/>
  <c r="U17" i="12"/>
  <c r="T17" i="12"/>
  <c r="S17" i="12"/>
  <c r="R17" i="12"/>
  <c r="Q17" i="12"/>
  <c r="M17" i="12"/>
  <c r="AD16" i="12"/>
  <c r="AC16" i="12"/>
  <c r="AB16" i="12"/>
  <c r="AA16" i="12"/>
  <c r="Z16" i="12"/>
  <c r="X16" i="12"/>
  <c r="U16" i="12"/>
  <c r="T16" i="12"/>
  <c r="S16" i="12"/>
  <c r="R16" i="12"/>
  <c r="Q16" i="12"/>
  <c r="M16" i="12"/>
  <c r="F16" i="12"/>
  <c r="AD15" i="12"/>
  <c r="AC15" i="12"/>
  <c r="AB15" i="12"/>
  <c r="AA15" i="12"/>
  <c r="Z15" i="12"/>
  <c r="X15" i="12"/>
  <c r="U15" i="12"/>
  <c r="T15" i="12"/>
  <c r="S15" i="12"/>
  <c r="R15" i="12"/>
  <c r="Q15" i="12"/>
  <c r="M15" i="12"/>
  <c r="F15" i="12"/>
  <c r="AD14" i="12"/>
  <c r="AC14" i="12"/>
  <c r="AB14" i="12"/>
  <c r="AA14" i="12"/>
  <c r="Z14" i="12"/>
  <c r="X14" i="12"/>
  <c r="U14" i="12"/>
  <c r="T14" i="12"/>
  <c r="S14" i="12"/>
  <c r="R14" i="12"/>
  <c r="Q14" i="12"/>
  <c r="M14" i="12"/>
  <c r="F14" i="12"/>
  <c r="AD13" i="12"/>
  <c r="AC13" i="12"/>
  <c r="AB13" i="12"/>
  <c r="AA13" i="12"/>
  <c r="Z13" i="12"/>
  <c r="X13" i="12"/>
  <c r="U13" i="12"/>
  <c r="T13" i="12"/>
  <c r="S13" i="12"/>
  <c r="R13" i="12"/>
  <c r="Q13" i="12"/>
  <c r="M13" i="12"/>
  <c r="F13" i="12"/>
  <c r="AD12" i="12"/>
  <c r="AC12" i="12"/>
  <c r="AB12" i="12"/>
  <c r="AA12" i="12"/>
  <c r="Z12" i="12"/>
  <c r="X12" i="12"/>
  <c r="U12" i="12"/>
  <c r="T12" i="12"/>
  <c r="S12" i="12"/>
  <c r="R12" i="12"/>
  <c r="Q12" i="12"/>
  <c r="M12" i="12"/>
  <c r="F12" i="12"/>
  <c r="AD11" i="12"/>
  <c r="AC11" i="12"/>
  <c r="AB11" i="12"/>
  <c r="AA11" i="12"/>
  <c r="Z11" i="12"/>
  <c r="X11" i="12"/>
  <c r="U11" i="12"/>
  <c r="T11" i="12"/>
  <c r="S11" i="12"/>
  <c r="R11" i="12"/>
  <c r="Q11" i="12"/>
  <c r="M11" i="12"/>
  <c r="F11" i="12"/>
  <c r="AD10" i="12"/>
  <c r="AC10" i="12"/>
  <c r="AB10" i="12"/>
  <c r="AA10" i="12"/>
  <c r="Z10" i="12"/>
  <c r="X10" i="12"/>
  <c r="U10" i="12"/>
  <c r="T10" i="12"/>
  <c r="S10" i="12"/>
  <c r="R10" i="12"/>
  <c r="Q10" i="12"/>
  <c r="M10" i="12"/>
  <c r="F10" i="12"/>
  <c r="AD9" i="12"/>
  <c r="AC9" i="12"/>
  <c r="AB9" i="12"/>
  <c r="AA9" i="12"/>
  <c r="Z9" i="12"/>
  <c r="X9" i="12"/>
  <c r="U9" i="12"/>
  <c r="T9" i="12"/>
  <c r="S9" i="12"/>
  <c r="R9" i="12"/>
  <c r="Q9" i="12"/>
  <c r="M9" i="12"/>
  <c r="F9" i="12"/>
  <c r="AD8" i="12"/>
  <c r="AC8" i="12"/>
  <c r="AB8" i="12"/>
  <c r="AA8" i="12"/>
  <c r="Z8" i="12"/>
  <c r="X8" i="12"/>
  <c r="U8" i="12"/>
  <c r="T8" i="12"/>
  <c r="S8" i="12"/>
  <c r="R8" i="12"/>
  <c r="Q8" i="12"/>
  <c r="M8" i="12"/>
  <c r="F8" i="12"/>
  <c r="AD7" i="12"/>
  <c r="AC7" i="12"/>
  <c r="AB7" i="12"/>
  <c r="AA7" i="12"/>
  <c r="Z7" i="12"/>
  <c r="X7" i="12"/>
  <c r="U7" i="12"/>
  <c r="T7" i="12"/>
  <c r="S7" i="12"/>
  <c r="R7" i="12"/>
  <c r="Q7" i="12"/>
  <c r="M7" i="12"/>
  <c r="F7" i="12"/>
  <c r="AD6" i="12"/>
  <c r="AC6" i="12"/>
  <c r="AB6" i="12"/>
  <c r="AA6" i="12"/>
  <c r="Z6" i="12"/>
  <c r="X6" i="12"/>
  <c r="U6" i="12"/>
  <c r="T6" i="12"/>
  <c r="S6" i="12"/>
  <c r="R6" i="12"/>
  <c r="Q6" i="12"/>
  <c r="M6" i="12"/>
  <c r="AD5" i="12"/>
  <c r="AC5" i="12"/>
  <c r="AB5" i="12"/>
  <c r="AA5" i="12"/>
  <c r="Z5" i="12"/>
  <c r="X5" i="12"/>
  <c r="U5" i="12"/>
  <c r="T5" i="12"/>
  <c r="S5" i="12"/>
  <c r="R5" i="12"/>
  <c r="Q5" i="12"/>
  <c r="M5" i="12"/>
  <c r="F5" i="12"/>
  <c r="AD4" i="12"/>
  <c r="AC4" i="12"/>
  <c r="AB4" i="12"/>
  <c r="AA4" i="12"/>
  <c r="Z4" i="12"/>
  <c r="X4" i="12"/>
  <c r="U4" i="12"/>
  <c r="T4" i="12"/>
  <c r="S4" i="12"/>
  <c r="R4" i="12"/>
  <c r="Q4" i="12"/>
  <c r="M4" i="12"/>
  <c r="F4" i="12"/>
  <c r="AD3" i="12"/>
  <c r="AC3" i="12"/>
  <c r="AB3" i="12"/>
  <c r="AA3" i="12"/>
  <c r="Z3" i="12"/>
  <c r="X3" i="12"/>
  <c r="U3" i="12"/>
  <c r="T3" i="12"/>
  <c r="S3" i="12"/>
  <c r="R3" i="12"/>
  <c r="Q3" i="12"/>
  <c r="M3" i="12"/>
  <c r="F3" i="12"/>
  <c r="AD2" i="12"/>
  <c r="AC2" i="12"/>
  <c r="AB2" i="12"/>
  <c r="AA2" i="12"/>
  <c r="Z2" i="12"/>
  <c r="X2" i="12"/>
  <c r="U2" i="12"/>
  <c r="T2" i="12"/>
  <c r="S2" i="12"/>
  <c r="R2" i="12"/>
  <c r="Q2" i="12"/>
  <c r="M2" i="12"/>
  <c r="F2" i="12"/>
  <c r="Y84" i="11"/>
  <c r="X84" i="11"/>
  <c r="W84" i="11"/>
  <c r="V84" i="11"/>
  <c r="O84" i="11"/>
  <c r="N84" i="11"/>
  <c r="M84" i="11"/>
  <c r="K84" i="11"/>
  <c r="F84" i="11"/>
  <c r="E84" i="11"/>
  <c r="D84" i="11"/>
  <c r="C84" i="11"/>
  <c r="E80" i="11"/>
  <c r="D80" i="11"/>
  <c r="C80" i="11"/>
  <c r="F80" i="11" s="1"/>
  <c r="AL71" i="11"/>
  <c r="AJ71" i="11"/>
  <c r="AG71" i="11"/>
  <c r="AF71" i="11"/>
  <c r="AD71" i="11"/>
  <c r="AC71" i="11"/>
  <c r="V71" i="11"/>
  <c r="Q71" i="11"/>
  <c r="O71" i="11"/>
  <c r="N71" i="11"/>
  <c r="K71" i="11"/>
  <c r="F71" i="11"/>
  <c r="AM70" i="11"/>
  <c r="AM71" i="11" s="1"/>
  <c r="AL70" i="11"/>
  <c r="AK70" i="11"/>
  <c r="AK71" i="11" s="1"/>
  <c r="AJ70" i="11"/>
  <c r="AI70" i="11"/>
  <c r="AI71" i="11" s="1"/>
  <c r="AH70" i="11"/>
  <c r="AH71" i="11" s="1"/>
  <c r="AG70" i="11"/>
  <c r="AD70" i="11"/>
  <c r="AC70" i="11"/>
  <c r="AA70" i="11"/>
  <c r="AA71" i="11" s="1"/>
  <c r="Y70" i="11"/>
  <c r="Y71" i="11" s="1"/>
  <c r="X70" i="11"/>
  <c r="X71" i="11" s="1"/>
  <c r="W70" i="11"/>
  <c r="W71" i="11" s="1"/>
  <c r="V70" i="11"/>
  <c r="T70" i="11"/>
  <c r="T71" i="11" s="1"/>
  <c r="S70" i="11"/>
  <c r="S71" i="11" s="1"/>
  <c r="Q70" i="11"/>
  <c r="O70" i="11"/>
  <c r="N70" i="11"/>
  <c r="M70" i="11"/>
  <c r="M71" i="11" s="1"/>
  <c r="K70" i="11"/>
  <c r="J70" i="11"/>
  <c r="J71" i="11" s="1"/>
  <c r="H70" i="11"/>
  <c r="H71" i="11" s="1"/>
  <c r="F70" i="11"/>
  <c r="E70" i="11"/>
  <c r="E71" i="11" s="1"/>
  <c r="D70" i="11"/>
  <c r="D71" i="11" s="1"/>
  <c r="BC68" i="11"/>
  <c r="AZ68" i="11"/>
  <c r="AY68" i="11"/>
  <c r="AX68" i="11"/>
  <c r="AW68" i="11"/>
  <c r="AV68" i="11"/>
  <c r="AU68" i="11"/>
  <c r="AT68" i="11"/>
  <c r="AS68" i="11"/>
  <c r="AR68" i="11"/>
  <c r="AQ68" i="11"/>
  <c r="AP68" i="11"/>
  <c r="BB68" i="11" s="1"/>
  <c r="AO68" i="11"/>
  <c r="BA68" i="11" s="1"/>
  <c r="AE68" i="11"/>
  <c r="AB68" i="11"/>
  <c r="Z68" i="11"/>
  <c r="U68" i="11"/>
  <c r="R68" i="11"/>
  <c r="P68" i="11"/>
  <c r="L68" i="11"/>
  <c r="I68" i="11"/>
  <c r="G68" i="11"/>
  <c r="BC67" i="11"/>
  <c r="AZ67" i="11"/>
  <c r="AY67" i="11"/>
  <c r="AX67" i="11"/>
  <c r="AW67" i="11"/>
  <c r="AV67" i="11"/>
  <c r="AU67" i="11"/>
  <c r="AT67" i="11"/>
  <c r="AS67" i="11"/>
  <c r="AR67" i="11"/>
  <c r="AQ67" i="11"/>
  <c r="AP67" i="11"/>
  <c r="BB67" i="11" s="1"/>
  <c r="AO67" i="11"/>
  <c r="BA67" i="11" s="1"/>
  <c r="AE67" i="11"/>
  <c r="AB67" i="11"/>
  <c r="Z67" i="11"/>
  <c r="U67" i="11"/>
  <c r="R67" i="11"/>
  <c r="P67" i="11"/>
  <c r="L67" i="11"/>
  <c r="I67" i="11"/>
  <c r="G67" i="11"/>
  <c r="BC66" i="11"/>
  <c r="AZ66" i="11"/>
  <c r="AY66" i="11"/>
  <c r="AX66" i="11"/>
  <c r="AW66" i="11"/>
  <c r="AV66" i="11"/>
  <c r="AU66" i="11"/>
  <c r="AT66" i="11"/>
  <c r="AS66" i="11"/>
  <c r="AR66" i="11"/>
  <c r="AQ66" i="11"/>
  <c r="AP66" i="11"/>
  <c r="BB66" i="11" s="1"/>
  <c r="AO66" i="11"/>
  <c r="BA66" i="11" s="1"/>
  <c r="AE66" i="11"/>
  <c r="AB66" i="11"/>
  <c r="Z66" i="11"/>
  <c r="U66" i="11"/>
  <c r="R66" i="11"/>
  <c r="P66" i="11"/>
  <c r="L66" i="11"/>
  <c r="I66" i="11"/>
  <c r="G66" i="11"/>
  <c r="BC65" i="11"/>
  <c r="AZ65" i="11"/>
  <c r="AY65" i="11"/>
  <c r="AX65" i="11"/>
  <c r="AW65" i="11"/>
  <c r="AV65" i="11"/>
  <c r="AU65" i="11"/>
  <c r="AT65" i="11"/>
  <c r="AS65" i="11"/>
  <c r="AR65" i="11"/>
  <c r="AQ65" i="11"/>
  <c r="AP65" i="11"/>
  <c r="BB65" i="11" s="1"/>
  <c r="AO65" i="11"/>
  <c r="BA65" i="11" s="1"/>
  <c r="AE65" i="11"/>
  <c r="AB65" i="11"/>
  <c r="Z65" i="11"/>
  <c r="U65" i="11"/>
  <c r="R65" i="11"/>
  <c r="P65" i="11"/>
  <c r="L65" i="11"/>
  <c r="I65" i="11"/>
  <c r="G65" i="11"/>
  <c r="BC64" i="11"/>
  <c r="AZ64" i="11"/>
  <c r="AY64" i="11"/>
  <c r="AX64" i="11"/>
  <c r="AW64" i="11"/>
  <c r="AV64" i="11"/>
  <c r="AU64" i="11"/>
  <c r="AT64" i="11"/>
  <c r="AS64" i="11"/>
  <c r="AR64" i="11"/>
  <c r="AQ64" i="11"/>
  <c r="AP64" i="11"/>
  <c r="BB64" i="11" s="1"/>
  <c r="AO64" i="11"/>
  <c r="BA64" i="11" s="1"/>
  <c r="AE64" i="11"/>
  <c r="AB64" i="11"/>
  <c r="Z64" i="11"/>
  <c r="U64" i="11"/>
  <c r="R64" i="11"/>
  <c r="P64" i="11"/>
  <c r="L64" i="11"/>
  <c r="I64" i="11"/>
  <c r="G64" i="11"/>
  <c r="BC63" i="11"/>
  <c r="AZ63" i="11"/>
  <c r="AY63" i="11"/>
  <c r="AX63" i="11"/>
  <c r="AW63" i="11"/>
  <c r="AV63" i="11"/>
  <c r="AU63" i="11"/>
  <c r="AT63" i="11"/>
  <c r="AS63" i="11"/>
  <c r="AR63" i="11"/>
  <c r="AQ63" i="11"/>
  <c r="AP63" i="11"/>
  <c r="BB63" i="11" s="1"/>
  <c r="AO63" i="11"/>
  <c r="BA63" i="11" s="1"/>
  <c r="AE63" i="11"/>
  <c r="AB63" i="11"/>
  <c r="Z63" i="11"/>
  <c r="U63" i="11"/>
  <c r="R63" i="11"/>
  <c r="P63" i="11"/>
  <c r="L63" i="11"/>
  <c r="I63" i="11"/>
  <c r="G63" i="11"/>
  <c r="BC62" i="11"/>
  <c r="AZ62" i="11"/>
  <c r="AY62" i="11"/>
  <c r="AX62" i="11"/>
  <c r="AW62" i="11"/>
  <c r="AV62" i="11"/>
  <c r="AU62" i="11"/>
  <c r="AT62" i="11"/>
  <c r="AS62" i="11"/>
  <c r="AR62" i="11"/>
  <c r="AQ62" i="11"/>
  <c r="AP62" i="11"/>
  <c r="BB62" i="11" s="1"/>
  <c r="AO62" i="11"/>
  <c r="BA62" i="11" s="1"/>
  <c r="AE62" i="11"/>
  <c r="AB62" i="11"/>
  <c r="Z62" i="11"/>
  <c r="U62" i="11"/>
  <c r="R62" i="11"/>
  <c r="P62" i="11"/>
  <c r="L62" i="11"/>
  <c r="I62" i="11"/>
  <c r="G62" i="11"/>
  <c r="BC61" i="11"/>
  <c r="AZ61" i="11"/>
  <c r="AY61" i="11"/>
  <c r="AX61" i="11"/>
  <c r="AW61" i="11"/>
  <c r="AV61" i="11"/>
  <c r="AU61" i="11"/>
  <c r="AT61" i="11"/>
  <c r="AS61" i="11"/>
  <c r="AR61" i="11"/>
  <c r="AQ61" i="11"/>
  <c r="AP61" i="11"/>
  <c r="BB61" i="11" s="1"/>
  <c r="AO61" i="11"/>
  <c r="BA61" i="11" s="1"/>
  <c r="AE61" i="11"/>
  <c r="AB61" i="11"/>
  <c r="Z61" i="11"/>
  <c r="U61" i="11"/>
  <c r="R61" i="11"/>
  <c r="P61" i="11"/>
  <c r="L61" i="11"/>
  <c r="I61" i="11"/>
  <c r="G61" i="11"/>
  <c r="BC60" i="11"/>
  <c r="AZ60" i="11"/>
  <c r="AY60" i="11"/>
  <c r="AX60" i="11"/>
  <c r="AW60" i="11"/>
  <c r="AV60" i="11"/>
  <c r="AU60" i="11"/>
  <c r="AT60" i="11"/>
  <c r="AS60" i="11"/>
  <c r="AR60" i="11"/>
  <c r="AQ60" i="11"/>
  <c r="AP60" i="11"/>
  <c r="BB60" i="11" s="1"/>
  <c r="AO60" i="11"/>
  <c r="BA60" i="11" s="1"/>
  <c r="AE60" i="11"/>
  <c r="AB60" i="11"/>
  <c r="Z60" i="11"/>
  <c r="U60" i="11"/>
  <c r="R60" i="11"/>
  <c r="P60" i="11"/>
  <c r="L60" i="11"/>
  <c r="I60" i="11"/>
  <c r="G60" i="11"/>
  <c r="BC59" i="11"/>
  <c r="AZ59" i="11"/>
  <c r="AY59" i="11"/>
  <c r="AX59" i="11"/>
  <c r="AW59" i="11"/>
  <c r="AV59" i="11"/>
  <c r="AU59" i="11"/>
  <c r="AT59" i="11"/>
  <c r="AS59" i="11"/>
  <c r="AR59" i="11"/>
  <c r="AQ59" i="11"/>
  <c r="AP59" i="11"/>
  <c r="BB59" i="11" s="1"/>
  <c r="AO59" i="11"/>
  <c r="BA59" i="11" s="1"/>
  <c r="AE59" i="11"/>
  <c r="AB59" i="11"/>
  <c r="Z59" i="11"/>
  <c r="U59" i="11"/>
  <c r="R59" i="11"/>
  <c r="P59" i="11"/>
  <c r="L59" i="11"/>
  <c r="I59" i="11"/>
  <c r="BC58" i="11"/>
  <c r="AZ58" i="11"/>
  <c r="AY58" i="11"/>
  <c r="AX58" i="11"/>
  <c r="AW58" i="11"/>
  <c r="AV58" i="11"/>
  <c r="AU58" i="11"/>
  <c r="AT58" i="11"/>
  <c r="AS58" i="11"/>
  <c r="AR58" i="11"/>
  <c r="AQ58" i="11"/>
  <c r="AP58" i="11"/>
  <c r="BB58" i="11" s="1"/>
  <c r="AO58" i="11"/>
  <c r="BA58" i="11" s="1"/>
  <c r="AE58" i="11"/>
  <c r="AB58" i="11"/>
  <c r="Z58" i="11"/>
  <c r="U58" i="11"/>
  <c r="R58" i="11"/>
  <c r="P58" i="11"/>
  <c r="L58" i="11"/>
  <c r="I58" i="11"/>
  <c r="G58" i="11"/>
  <c r="BC57" i="11"/>
  <c r="AZ57" i="11"/>
  <c r="AY57" i="11"/>
  <c r="AX57" i="11"/>
  <c r="AW57" i="11"/>
  <c r="AV57" i="11"/>
  <c r="AU57" i="11"/>
  <c r="AT57" i="11"/>
  <c r="AS57" i="11"/>
  <c r="AR57" i="11"/>
  <c r="AQ57" i="11"/>
  <c r="AP57" i="11"/>
  <c r="BB57" i="11" s="1"/>
  <c r="AO57" i="11"/>
  <c r="BA57" i="11" s="1"/>
  <c r="AE57" i="11"/>
  <c r="AB57" i="11"/>
  <c r="Z57" i="11"/>
  <c r="U57" i="11"/>
  <c r="R57" i="11"/>
  <c r="P57" i="11"/>
  <c r="L57" i="11"/>
  <c r="I57" i="11"/>
  <c r="G57" i="11"/>
  <c r="BC56" i="11"/>
  <c r="AZ56" i="11"/>
  <c r="AY56" i="11"/>
  <c r="AX56" i="11"/>
  <c r="AW56" i="11"/>
  <c r="AV56" i="11"/>
  <c r="AU56" i="11"/>
  <c r="AT56" i="11"/>
  <c r="AS56" i="11"/>
  <c r="AR56" i="11"/>
  <c r="AQ56" i="11"/>
  <c r="AP56" i="11"/>
  <c r="BB56" i="11" s="1"/>
  <c r="AO56" i="11"/>
  <c r="BA56" i="11" s="1"/>
  <c r="AE56" i="11"/>
  <c r="AB56" i="11"/>
  <c r="Z56" i="11"/>
  <c r="U56" i="11"/>
  <c r="R56" i="11"/>
  <c r="P56" i="11"/>
  <c r="L56" i="11"/>
  <c r="I56" i="11"/>
  <c r="G56" i="11"/>
  <c r="BC55" i="11"/>
  <c r="AZ55" i="11"/>
  <c r="AY55" i="11"/>
  <c r="AX55" i="11"/>
  <c r="AW55" i="11"/>
  <c r="AV55" i="11"/>
  <c r="AU55" i="11"/>
  <c r="AT55" i="11"/>
  <c r="AS55" i="11"/>
  <c r="AR55" i="11"/>
  <c r="AQ55" i="11"/>
  <c r="AP55" i="11"/>
  <c r="BB55" i="11" s="1"/>
  <c r="AO55" i="11"/>
  <c r="BA55" i="11" s="1"/>
  <c r="AE55" i="11"/>
  <c r="AB55" i="11"/>
  <c r="Z55" i="11"/>
  <c r="U55" i="11"/>
  <c r="R55" i="11"/>
  <c r="P55" i="11"/>
  <c r="L55" i="11"/>
  <c r="I55" i="11"/>
  <c r="G55" i="11"/>
  <c r="BC54" i="11"/>
  <c r="AZ54" i="11"/>
  <c r="AY54" i="11"/>
  <c r="AX54" i="11"/>
  <c r="AW54" i="11"/>
  <c r="AV54" i="11"/>
  <c r="AU54" i="11"/>
  <c r="AT54" i="11"/>
  <c r="AS54" i="11"/>
  <c r="AR54" i="11"/>
  <c r="AQ54" i="11"/>
  <c r="AP54" i="11"/>
  <c r="BB54" i="11" s="1"/>
  <c r="AO54" i="11"/>
  <c r="BA54" i="11" s="1"/>
  <c r="AE54" i="11"/>
  <c r="AB54" i="11"/>
  <c r="Z54" i="11"/>
  <c r="U54" i="11"/>
  <c r="R54" i="11"/>
  <c r="P54" i="11"/>
  <c r="L54" i="11"/>
  <c r="I54" i="11"/>
  <c r="G54" i="11"/>
  <c r="BC53" i="11"/>
  <c r="AZ53" i="11"/>
  <c r="AY53" i="11"/>
  <c r="AX53" i="11"/>
  <c r="AW53" i="11"/>
  <c r="AV53" i="11"/>
  <c r="AU53" i="11"/>
  <c r="AT53" i="11"/>
  <c r="AS53" i="11"/>
  <c r="AR53" i="11"/>
  <c r="AQ53" i="11"/>
  <c r="AP53" i="11"/>
  <c r="BB53" i="11" s="1"/>
  <c r="AO53" i="11"/>
  <c r="BA53" i="11" s="1"/>
  <c r="AE53" i="11"/>
  <c r="AB53" i="11"/>
  <c r="Z53" i="11"/>
  <c r="U53" i="11"/>
  <c r="R53" i="11"/>
  <c r="P53" i="11"/>
  <c r="L53" i="11"/>
  <c r="I53" i="11"/>
  <c r="G53" i="11"/>
  <c r="BC52" i="11"/>
  <c r="AZ52" i="11"/>
  <c r="AY52" i="11"/>
  <c r="AX52" i="11"/>
  <c r="AW52" i="11"/>
  <c r="AV52" i="11"/>
  <c r="AU52" i="11"/>
  <c r="AT52" i="11"/>
  <c r="AS52" i="11"/>
  <c r="AR52" i="11"/>
  <c r="AQ52" i="11"/>
  <c r="AP52" i="11"/>
  <c r="BB52" i="11" s="1"/>
  <c r="AO52" i="11"/>
  <c r="BA52" i="11" s="1"/>
  <c r="AE52" i="11"/>
  <c r="AB52" i="11"/>
  <c r="Z52" i="11"/>
  <c r="U52" i="11"/>
  <c r="R52" i="11"/>
  <c r="P52" i="11"/>
  <c r="L52" i="11"/>
  <c r="I52" i="11"/>
  <c r="G52" i="11"/>
  <c r="BC51" i="11"/>
  <c r="AZ51" i="11"/>
  <c r="AY51" i="11"/>
  <c r="AX51" i="11"/>
  <c r="AW51" i="11"/>
  <c r="AV51" i="11"/>
  <c r="AU51" i="11"/>
  <c r="AT51" i="11"/>
  <c r="AS51" i="11"/>
  <c r="AR51" i="11"/>
  <c r="AQ51" i="11"/>
  <c r="AP51" i="11"/>
  <c r="BB51" i="11" s="1"/>
  <c r="AO51" i="11"/>
  <c r="BA51" i="11" s="1"/>
  <c r="AE51" i="11"/>
  <c r="AB51" i="11"/>
  <c r="Z51" i="11"/>
  <c r="U51" i="11"/>
  <c r="R51" i="11"/>
  <c r="P51" i="11"/>
  <c r="L51" i="11"/>
  <c r="I51" i="11"/>
  <c r="G51" i="11"/>
  <c r="BC50" i="11"/>
  <c r="AZ50" i="11"/>
  <c r="AY50" i="11"/>
  <c r="AX50" i="11"/>
  <c r="AW50" i="11"/>
  <c r="AV50" i="11"/>
  <c r="AU50" i="11"/>
  <c r="AT50" i="11"/>
  <c r="AS50" i="11"/>
  <c r="AR50" i="11"/>
  <c r="AQ50" i="11"/>
  <c r="AP50" i="11"/>
  <c r="BB50" i="11" s="1"/>
  <c r="AO50" i="11"/>
  <c r="BA50" i="11" s="1"/>
  <c r="AE50" i="11"/>
  <c r="AB50" i="11"/>
  <c r="Z50" i="11"/>
  <c r="U50" i="11"/>
  <c r="R50" i="11"/>
  <c r="P50" i="11"/>
  <c r="L50" i="11"/>
  <c r="I50" i="11"/>
  <c r="G50" i="11"/>
  <c r="BC49" i="11"/>
  <c r="AZ49" i="11"/>
  <c r="AY49" i="11"/>
  <c r="AX49" i="11"/>
  <c r="AW49" i="11"/>
  <c r="AV49" i="11"/>
  <c r="AU49" i="11"/>
  <c r="AT49" i="11"/>
  <c r="AS49" i="11"/>
  <c r="AR49" i="11"/>
  <c r="AQ49" i="11"/>
  <c r="AP49" i="11"/>
  <c r="BB49" i="11" s="1"/>
  <c r="AO49" i="11"/>
  <c r="BA49" i="11" s="1"/>
  <c r="AE49" i="11"/>
  <c r="AB49" i="11"/>
  <c r="Z49" i="11"/>
  <c r="U49" i="11"/>
  <c r="R49" i="11"/>
  <c r="P49" i="11"/>
  <c r="L49" i="11"/>
  <c r="I49" i="11"/>
  <c r="G49" i="11"/>
  <c r="BC48" i="11"/>
  <c r="AZ48" i="11"/>
  <c r="AY48" i="11"/>
  <c r="AX48" i="11"/>
  <c r="AW48" i="11"/>
  <c r="AV48" i="11"/>
  <c r="AU48" i="11"/>
  <c r="AT48" i="11"/>
  <c r="AS48" i="11"/>
  <c r="AR48" i="11"/>
  <c r="AQ48" i="11"/>
  <c r="AP48" i="11"/>
  <c r="BB48" i="11" s="1"/>
  <c r="AO48" i="11"/>
  <c r="BA48" i="11" s="1"/>
  <c r="AE48" i="11"/>
  <c r="AB48" i="11"/>
  <c r="Z48" i="11"/>
  <c r="U48" i="11"/>
  <c r="R48" i="11"/>
  <c r="P48" i="11"/>
  <c r="L48" i="11"/>
  <c r="I48" i="11"/>
  <c r="G48" i="11"/>
  <c r="BC47" i="11"/>
  <c r="AZ47" i="11"/>
  <c r="AY47" i="11"/>
  <c r="AX47" i="11"/>
  <c r="AW47" i="11"/>
  <c r="AV47" i="11"/>
  <c r="AU47" i="11"/>
  <c r="AT47" i="11"/>
  <c r="AS47" i="11"/>
  <c r="AR47" i="11"/>
  <c r="AQ47" i="11"/>
  <c r="AP47" i="11"/>
  <c r="BB47" i="11" s="1"/>
  <c r="AO47" i="11"/>
  <c r="BA47" i="11" s="1"/>
  <c r="AE47" i="11"/>
  <c r="AB47" i="11"/>
  <c r="Z47" i="11"/>
  <c r="U47" i="11"/>
  <c r="R47" i="11"/>
  <c r="P47" i="11"/>
  <c r="L47" i="11"/>
  <c r="I47" i="11"/>
  <c r="G47" i="11"/>
  <c r="BC46" i="11"/>
  <c r="AZ46" i="11"/>
  <c r="AY46" i="11"/>
  <c r="AX46" i="11"/>
  <c r="AW46" i="11"/>
  <c r="AV46" i="11"/>
  <c r="AU46" i="11"/>
  <c r="AT46" i="11"/>
  <c r="AS46" i="11"/>
  <c r="AR46" i="11"/>
  <c r="AQ46" i="11"/>
  <c r="AP46" i="11"/>
  <c r="BB46" i="11" s="1"/>
  <c r="AO46" i="11"/>
  <c r="BA46" i="11" s="1"/>
  <c r="AE46" i="11"/>
  <c r="AB46" i="11"/>
  <c r="Z46" i="11"/>
  <c r="U46" i="11"/>
  <c r="R46" i="11"/>
  <c r="P46" i="11"/>
  <c r="L46" i="11"/>
  <c r="I46" i="11"/>
  <c r="G46" i="11"/>
  <c r="BC45" i="11"/>
  <c r="AZ45" i="11"/>
  <c r="AY45" i="11"/>
  <c r="AX45" i="11"/>
  <c r="AW45" i="11"/>
  <c r="AV45" i="11"/>
  <c r="AT45" i="11"/>
  <c r="AR45" i="11"/>
  <c r="AQ45" i="11"/>
  <c r="AP45" i="11"/>
  <c r="BB45" i="11" s="1"/>
  <c r="AO45" i="11"/>
  <c r="AE45" i="11"/>
  <c r="AB45" i="11"/>
  <c r="U45" i="11"/>
  <c r="R45" i="11"/>
  <c r="P45" i="11"/>
  <c r="L45" i="11"/>
  <c r="I45" i="11"/>
  <c r="G45" i="11"/>
  <c r="BC44" i="11"/>
  <c r="AZ44" i="11"/>
  <c r="AY44" i="11"/>
  <c r="AX44" i="11"/>
  <c r="AW44" i="11"/>
  <c r="AV44" i="11"/>
  <c r="AU44" i="11"/>
  <c r="AT44" i="11"/>
  <c r="AS44" i="11"/>
  <c r="AR44" i="11"/>
  <c r="AQ44" i="11"/>
  <c r="AP44" i="11"/>
  <c r="BB44" i="11" s="1"/>
  <c r="AO44" i="11"/>
  <c r="BA44" i="11" s="1"/>
  <c r="AE44" i="11"/>
  <c r="AB44" i="11"/>
  <c r="Z44" i="11"/>
  <c r="U44" i="11"/>
  <c r="R44" i="11"/>
  <c r="P44" i="11"/>
  <c r="L44" i="11"/>
  <c r="I44" i="11"/>
  <c r="G44" i="11"/>
  <c r="BC43" i="11"/>
  <c r="AZ43" i="11"/>
  <c r="AY43" i="11"/>
  <c r="AX43" i="11"/>
  <c r="AW43" i="11"/>
  <c r="AV43" i="11"/>
  <c r="AU43" i="11"/>
  <c r="AT43" i="11"/>
  <c r="AS43" i="11"/>
  <c r="AR43" i="11"/>
  <c r="AQ43" i="11"/>
  <c r="AP43" i="11"/>
  <c r="BB43" i="11" s="1"/>
  <c r="AO43" i="11"/>
  <c r="BA43" i="11" s="1"/>
  <c r="AE43" i="11"/>
  <c r="AB43" i="11"/>
  <c r="Z43" i="11"/>
  <c r="U43" i="11"/>
  <c r="R43" i="11"/>
  <c r="P43" i="11"/>
  <c r="L43" i="11"/>
  <c r="I43" i="11"/>
  <c r="G43" i="11"/>
  <c r="BC42" i="11"/>
  <c r="AZ42" i="11"/>
  <c r="AY42" i="11"/>
  <c r="AX42" i="11"/>
  <c r="AW42" i="11"/>
  <c r="AV42" i="11"/>
  <c r="AU42" i="11"/>
  <c r="AT42" i="11"/>
  <c r="AS42" i="11"/>
  <c r="AR42" i="11"/>
  <c r="AQ42" i="11"/>
  <c r="AP42" i="11"/>
  <c r="BB42" i="11" s="1"/>
  <c r="AO42" i="11"/>
  <c r="BA42" i="11" s="1"/>
  <c r="AE42" i="11"/>
  <c r="AB42" i="11"/>
  <c r="Z42" i="11"/>
  <c r="U42" i="11"/>
  <c r="R42" i="11"/>
  <c r="P42" i="11"/>
  <c r="L42" i="11"/>
  <c r="I42" i="11"/>
  <c r="G42" i="11"/>
  <c r="BC41" i="11"/>
  <c r="AZ41" i="11"/>
  <c r="AY41" i="11"/>
  <c r="AX41" i="11"/>
  <c r="AW41" i="11"/>
  <c r="AV41" i="11"/>
  <c r="AU41" i="11"/>
  <c r="AT41" i="11"/>
  <c r="AS41" i="11"/>
  <c r="AR41" i="11"/>
  <c r="AQ41" i="11"/>
  <c r="AP41" i="11"/>
  <c r="BB41" i="11" s="1"/>
  <c r="AO41" i="11"/>
  <c r="BA41" i="11" s="1"/>
  <c r="AE41" i="11"/>
  <c r="AB41" i="11"/>
  <c r="Z41" i="11"/>
  <c r="U41" i="11"/>
  <c r="R41" i="11"/>
  <c r="P41" i="11"/>
  <c r="L41" i="11"/>
  <c r="I41" i="11"/>
  <c r="G41" i="11"/>
  <c r="BC40" i="11"/>
  <c r="AZ40" i="11"/>
  <c r="AY40" i="11"/>
  <c r="AX40" i="11"/>
  <c r="AW40" i="11"/>
  <c r="AV40" i="11"/>
  <c r="AU40" i="11"/>
  <c r="AT40" i="11"/>
  <c r="AS40" i="11"/>
  <c r="AR40" i="11"/>
  <c r="AQ40" i="11"/>
  <c r="AP40" i="11"/>
  <c r="BB40" i="11" s="1"/>
  <c r="AO40" i="11"/>
  <c r="BA40" i="11" s="1"/>
  <c r="AE40" i="11"/>
  <c r="AB40" i="11"/>
  <c r="Z40" i="11"/>
  <c r="U40" i="11"/>
  <c r="R40" i="11"/>
  <c r="P40" i="11"/>
  <c r="L40" i="11"/>
  <c r="I40" i="11"/>
  <c r="G40" i="11"/>
  <c r="BC39" i="11"/>
  <c r="AZ39" i="11"/>
  <c r="AY39" i="11"/>
  <c r="AX39" i="11"/>
  <c r="AW39" i="11"/>
  <c r="AV39" i="11"/>
  <c r="AU39" i="11"/>
  <c r="AT39" i="11"/>
  <c r="AS39" i="11"/>
  <c r="AR39" i="11"/>
  <c r="AQ39" i="11"/>
  <c r="AP39" i="11"/>
  <c r="BB39" i="11" s="1"/>
  <c r="AO39" i="11"/>
  <c r="BA39" i="11" s="1"/>
  <c r="AE39" i="11"/>
  <c r="AB39" i="11"/>
  <c r="Z39" i="11"/>
  <c r="U39" i="11"/>
  <c r="R39" i="11"/>
  <c r="P39" i="11"/>
  <c r="L39" i="11"/>
  <c r="I39" i="11"/>
  <c r="G39" i="11"/>
  <c r="BC38" i="11"/>
  <c r="AZ38" i="11"/>
  <c r="AY38" i="11"/>
  <c r="AX38" i="11"/>
  <c r="AW38" i="11"/>
  <c r="AV38" i="11"/>
  <c r="AU38" i="11"/>
  <c r="AT38" i="11"/>
  <c r="AS38" i="11"/>
  <c r="AR38" i="11"/>
  <c r="AQ38" i="11"/>
  <c r="AP38" i="11"/>
  <c r="BB38" i="11" s="1"/>
  <c r="AO38" i="11"/>
  <c r="BA38" i="11" s="1"/>
  <c r="AE38" i="11"/>
  <c r="AB38" i="11"/>
  <c r="Z38" i="11"/>
  <c r="U38" i="11"/>
  <c r="R38" i="11"/>
  <c r="P38" i="11"/>
  <c r="L38" i="11"/>
  <c r="I38" i="11"/>
  <c r="G38" i="11"/>
  <c r="BC37" i="11"/>
  <c r="AZ37" i="11"/>
  <c r="AY37" i="11"/>
  <c r="AX37" i="11"/>
  <c r="AW37" i="11"/>
  <c r="AV37" i="11"/>
  <c r="AU37" i="11"/>
  <c r="AT37" i="11"/>
  <c r="AS37" i="11"/>
  <c r="AR37" i="11"/>
  <c r="AQ37" i="11"/>
  <c r="AP37" i="11"/>
  <c r="BB37" i="11" s="1"/>
  <c r="AO37" i="11"/>
  <c r="BA37" i="11" s="1"/>
  <c r="AE37" i="11"/>
  <c r="AB37" i="11"/>
  <c r="Z37" i="11"/>
  <c r="U37" i="11"/>
  <c r="R37" i="11"/>
  <c r="P37" i="11"/>
  <c r="L37" i="11"/>
  <c r="I37" i="11"/>
  <c r="G37" i="11"/>
  <c r="BC36" i="11"/>
  <c r="AZ36" i="11"/>
  <c r="AY36" i="11"/>
  <c r="AX36" i="11"/>
  <c r="AW36" i="11"/>
  <c r="AV36" i="11"/>
  <c r="AU36" i="11"/>
  <c r="AT36" i="11"/>
  <c r="AS36" i="11"/>
  <c r="AR36" i="11"/>
  <c r="AQ36" i="11"/>
  <c r="AP36" i="11"/>
  <c r="BB36" i="11" s="1"/>
  <c r="AO36" i="11"/>
  <c r="BA36" i="11" s="1"/>
  <c r="AE36" i="11"/>
  <c r="AB36" i="11"/>
  <c r="Z36" i="11"/>
  <c r="U36" i="11"/>
  <c r="R36" i="11"/>
  <c r="P36" i="11"/>
  <c r="L36" i="11"/>
  <c r="I36" i="11"/>
  <c r="G36" i="11"/>
  <c r="BC35" i="11"/>
  <c r="AZ35" i="11"/>
  <c r="AY35" i="11"/>
  <c r="AX35" i="11"/>
  <c r="AW35" i="11"/>
  <c r="AV35" i="11"/>
  <c r="AU35" i="11"/>
  <c r="AT35" i="11"/>
  <c r="AS35" i="11"/>
  <c r="AR35" i="11"/>
  <c r="AQ35" i="11"/>
  <c r="AP35" i="11"/>
  <c r="BB35" i="11" s="1"/>
  <c r="AO35" i="11"/>
  <c r="BA35" i="11" s="1"/>
  <c r="AE35" i="11"/>
  <c r="AB35" i="11"/>
  <c r="Z35" i="11"/>
  <c r="U35" i="11"/>
  <c r="R35" i="11"/>
  <c r="P35" i="11"/>
  <c r="L35" i="11"/>
  <c r="I35" i="11"/>
  <c r="G35" i="11"/>
  <c r="BC34" i="11"/>
  <c r="AZ34" i="11"/>
  <c r="AY34" i="11"/>
  <c r="AX34" i="11"/>
  <c r="AW34" i="11"/>
  <c r="AV34" i="11"/>
  <c r="AU34" i="11"/>
  <c r="AT34" i="11"/>
  <c r="AS34" i="11"/>
  <c r="AR34" i="11"/>
  <c r="AQ34" i="11"/>
  <c r="AP34" i="11"/>
  <c r="BB34" i="11" s="1"/>
  <c r="AO34" i="11"/>
  <c r="BA34" i="11" s="1"/>
  <c r="AE34" i="11"/>
  <c r="AB34" i="11"/>
  <c r="Z34" i="11"/>
  <c r="U34" i="11"/>
  <c r="R34" i="11"/>
  <c r="P34" i="11"/>
  <c r="L34" i="11"/>
  <c r="I34" i="11"/>
  <c r="G34" i="11"/>
  <c r="BC33" i="11"/>
  <c r="AZ33" i="11"/>
  <c r="AY33" i="11"/>
  <c r="AX33" i="11"/>
  <c r="AW33" i="11"/>
  <c r="AV33" i="11"/>
  <c r="AU33" i="11"/>
  <c r="AT33" i="11"/>
  <c r="AS33" i="11"/>
  <c r="AR33" i="11"/>
  <c r="AQ33" i="11"/>
  <c r="AP33" i="11"/>
  <c r="BB33" i="11" s="1"/>
  <c r="AO33" i="11"/>
  <c r="BA33" i="11" s="1"/>
  <c r="AE33" i="11"/>
  <c r="AB33" i="11"/>
  <c r="Z33" i="11"/>
  <c r="U33" i="11"/>
  <c r="R33" i="11"/>
  <c r="P33" i="11"/>
  <c r="L33" i="11"/>
  <c r="I33" i="11"/>
  <c r="G33" i="11"/>
  <c r="BC32" i="11"/>
  <c r="AZ32" i="11"/>
  <c r="AY32" i="11"/>
  <c r="AX32" i="11"/>
  <c r="AW32" i="11"/>
  <c r="AV32" i="11"/>
  <c r="AU32" i="11"/>
  <c r="AT32" i="11"/>
  <c r="AS32" i="11"/>
  <c r="AR32" i="11"/>
  <c r="AQ32" i="11"/>
  <c r="AP32" i="11"/>
  <c r="BB32" i="11" s="1"/>
  <c r="AO32" i="11"/>
  <c r="BA32" i="11" s="1"/>
  <c r="AE32" i="11"/>
  <c r="AB32" i="11"/>
  <c r="Z32" i="11"/>
  <c r="U32" i="11"/>
  <c r="R32" i="11"/>
  <c r="P32" i="11"/>
  <c r="L32" i="11"/>
  <c r="I32" i="11"/>
  <c r="G32" i="11"/>
  <c r="BC31" i="11"/>
  <c r="AZ31" i="11"/>
  <c r="AY31" i="11"/>
  <c r="AX31" i="11"/>
  <c r="AW31" i="11"/>
  <c r="AV31" i="11"/>
  <c r="AU31" i="11"/>
  <c r="AT31" i="11"/>
  <c r="AS31" i="11"/>
  <c r="AR31" i="11"/>
  <c r="AQ31" i="11"/>
  <c r="AP31" i="11"/>
  <c r="BB31" i="11" s="1"/>
  <c r="AO31" i="11"/>
  <c r="BA31" i="11" s="1"/>
  <c r="AE31" i="11"/>
  <c r="AB31" i="11"/>
  <c r="Z31" i="11"/>
  <c r="U31" i="11"/>
  <c r="R31" i="11"/>
  <c r="P31" i="11"/>
  <c r="L31" i="11"/>
  <c r="I31" i="11"/>
  <c r="G31" i="11"/>
  <c r="BC30" i="11"/>
  <c r="AZ30" i="11"/>
  <c r="AY30" i="11"/>
  <c r="AX30" i="11"/>
  <c r="AW30" i="11"/>
  <c r="AV30" i="11"/>
  <c r="AU30" i="11"/>
  <c r="AT30" i="11"/>
  <c r="AS30" i="11"/>
  <c r="AR30" i="11"/>
  <c r="AQ30" i="11"/>
  <c r="AP30" i="11"/>
  <c r="BB30" i="11" s="1"/>
  <c r="AO30" i="11"/>
  <c r="BA30" i="11" s="1"/>
  <c r="AE30" i="11"/>
  <c r="AB30" i="11"/>
  <c r="Z30" i="11"/>
  <c r="U30" i="11"/>
  <c r="R30" i="11"/>
  <c r="P30" i="11"/>
  <c r="L30" i="11"/>
  <c r="I30" i="11"/>
  <c r="G30" i="11"/>
  <c r="BC29" i="11"/>
  <c r="AZ29" i="11"/>
  <c r="AY29" i="11"/>
  <c r="AX29" i="11"/>
  <c r="AW29" i="11"/>
  <c r="AV29" i="11"/>
  <c r="AU29" i="11"/>
  <c r="AT29" i="11"/>
  <c r="AS29" i="11"/>
  <c r="AR29" i="11"/>
  <c r="AQ29" i="11"/>
  <c r="AP29" i="11"/>
  <c r="BB29" i="11" s="1"/>
  <c r="AO29" i="11"/>
  <c r="BA29" i="11" s="1"/>
  <c r="AE29" i="11"/>
  <c r="AB29" i="11"/>
  <c r="Z29" i="11"/>
  <c r="U29" i="11"/>
  <c r="R29" i="11"/>
  <c r="P29" i="11"/>
  <c r="L29" i="11"/>
  <c r="I29" i="11"/>
  <c r="G29" i="11"/>
  <c r="BC28" i="11"/>
  <c r="AZ28" i="11"/>
  <c r="AY28" i="11"/>
  <c r="AX28" i="11"/>
  <c r="AW28" i="11"/>
  <c r="AV28" i="11"/>
  <c r="AU28" i="11"/>
  <c r="AT28" i="11"/>
  <c r="AS28" i="11"/>
  <c r="AR28" i="11"/>
  <c r="AQ28" i="11"/>
  <c r="AP28" i="11"/>
  <c r="BB28" i="11" s="1"/>
  <c r="AO28" i="11"/>
  <c r="BA28" i="11" s="1"/>
  <c r="AE28" i="11"/>
  <c r="AB28" i="11"/>
  <c r="Z28" i="11"/>
  <c r="U28" i="11"/>
  <c r="R28" i="11"/>
  <c r="P28" i="11"/>
  <c r="L28" i="11"/>
  <c r="I28" i="11"/>
  <c r="G28" i="11"/>
  <c r="BC27" i="11"/>
  <c r="AZ27" i="11"/>
  <c r="AY27" i="11"/>
  <c r="AX27" i="11"/>
  <c r="AW27" i="11"/>
  <c r="AV27" i="11"/>
  <c r="AU27" i="11"/>
  <c r="AT27" i="11"/>
  <c r="AS27" i="11"/>
  <c r="AR27" i="11"/>
  <c r="AQ27" i="11"/>
  <c r="AP27" i="11"/>
  <c r="BB27" i="11" s="1"/>
  <c r="AO27" i="11"/>
  <c r="BA27" i="11" s="1"/>
  <c r="AE27" i="11"/>
  <c r="AB27" i="11"/>
  <c r="Z27" i="11"/>
  <c r="U27" i="11"/>
  <c r="R27" i="11"/>
  <c r="P27" i="11"/>
  <c r="L27" i="11"/>
  <c r="I27" i="11"/>
  <c r="G27" i="11"/>
  <c r="BC26" i="11"/>
  <c r="AZ26" i="11"/>
  <c r="AY26" i="11"/>
  <c r="AX26" i="11"/>
  <c r="AW26" i="11"/>
  <c r="AV26" i="11"/>
  <c r="AU26" i="11"/>
  <c r="AT26" i="11"/>
  <c r="AS26" i="11"/>
  <c r="AR26" i="11"/>
  <c r="AQ26" i="11"/>
  <c r="AP26" i="11"/>
  <c r="BB26" i="11" s="1"/>
  <c r="AO26" i="11"/>
  <c r="BA26" i="11" s="1"/>
  <c r="AE26" i="11"/>
  <c r="AB26" i="11"/>
  <c r="Z26" i="11"/>
  <c r="U26" i="11"/>
  <c r="R26" i="11"/>
  <c r="P26" i="11"/>
  <c r="L26" i="11"/>
  <c r="I26" i="11"/>
  <c r="G26" i="11"/>
  <c r="BC25" i="11"/>
  <c r="AZ25" i="11"/>
  <c r="AY25" i="11"/>
  <c r="AX25" i="11"/>
  <c r="AW25" i="11"/>
  <c r="AV25" i="11"/>
  <c r="AU25" i="11"/>
  <c r="AT25" i="11"/>
  <c r="AS25" i="11"/>
  <c r="AR25" i="11"/>
  <c r="AQ25" i="11"/>
  <c r="AP25" i="11"/>
  <c r="BB25" i="11" s="1"/>
  <c r="AO25" i="11"/>
  <c r="BA25" i="11" s="1"/>
  <c r="AE25" i="11"/>
  <c r="AB25" i="11"/>
  <c r="Z25" i="11"/>
  <c r="U25" i="11"/>
  <c r="R25" i="11"/>
  <c r="P25" i="11"/>
  <c r="L25" i="11"/>
  <c r="I25" i="11"/>
  <c r="G25" i="11"/>
  <c r="BC24" i="11"/>
  <c r="AZ24" i="11"/>
  <c r="AY24" i="11"/>
  <c r="AX24" i="11"/>
  <c r="AW24" i="11"/>
  <c r="AV24" i="11"/>
  <c r="AU24" i="11"/>
  <c r="AT24" i="11"/>
  <c r="AS24" i="11"/>
  <c r="AR24" i="11"/>
  <c r="AQ24" i="11"/>
  <c r="AP24" i="11"/>
  <c r="BB24" i="11" s="1"/>
  <c r="AO24" i="11"/>
  <c r="BA24" i="11" s="1"/>
  <c r="AE24" i="11"/>
  <c r="AB24" i="11"/>
  <c r="Z24" i="11"/>
  <c r="U24" i="11"/>
  <c r="R24" i="11"/>
  <c r="P24" i="11"/>
  <c r="L24" i="11"/>
  <c r="I24" i="11"/>
  <c r="G24" i="11"/>
  <c r="BC23" i="11"/>
  <c r="AZ23" i="11"/>
  <c r="AY23" i="11"/>
  <c r="AX23" i="11"/>
  <c r="AW23" i="11"/>
  <c r="AV23" i="11"/>
  <c r="AU23" i="11"/>
  <c r="AT23" i="11"/>
  <c r="AS23" i="11"/>
  <c r="AR23" i="11"/>
  <c r="AQ23" i="11"/>
  <c r="AP23" i="11"/>
  <c r="BB23" i="11" s="1"/>
  <c r="AO23" i="11"/>
  <c r="BA23" i="11" s="1"/>
  <c r="AE23" i="11"/>
  <c r="AB23" i="11"/>
  <c r="Z23" i="11"/>
  <c r="U23" i="11"/>
  <c r="R23" i="11"/>
  <c r="P23" i="11"/>
  <c r="L23" i="11"/>
  <c r="I23" i="11"/>
  <c r="G23" i="11"/>
  <c r="BC22" i="11"/>
  <c r="AZ22" i="11"/>
  <c r="AY22" i="11"/>
  <c r="AX22" i="11"/>
  <c r="AW22" i="11"/>
  <c r="AV22" i="11"/>
  <c r="AU22" i="11"/>
  <c r="AT22" i="11"/>
  <c r="AS22" i="11"/>
  <c r="AR22" i="11"/>
  <c r="AQ22" i="11"/>
  <c r="AP22" i="11"/>
  <c r="BB22" i="11" s="1"/>
  <c r="AO22" i="11"/>
  <c r="BA22" i="11" s="1"/>
  <c r="AE22" i="11"/>
  <c r="AB22" i="11"/>
  <c r="Z22" i="11"/>
  <c r="U22" i="11"/>
  <c r="R22" i="11"/>
  <c r="P22" i="11"/>
  <c r="L22" i="11"/>
  <c r="I22" i="11"/>
  <c r="G22" i="11"/>
  <c r="BC21" i="11"/>
  <c r="AZ21" i="11"/>
  <c r="AY21" i="11"/>
  <c r="AX21" i="11"/>
  <c r="AW21" i="11"/>
  <c r="AV21" i="11"/>
  <c r="AU21" i="11"/>
  <c r="AT21" i="11"/>
  <c r="AS21" i="11"/>
  <c r="AR21" i="11"/>
  <c r="AQ21" i="11"/>
  <c r="AP21" i="11"/>
  <c r="BB21" i="11" s="1"/>
  <c r="AO21" i="11"/>
  <c r="BA21" i="11" s="1"/>
  <c r="AE21" i="11"/>
  <c r="AB21" i="11"/>
  <c r="Z21" i="11"/>
  <c r="U21" i="11"/>
  <c r="R21" i="11"/>
  <c r="P21" i="11"/>
  <c r="L21" i="11"/>
  <c r="I21" i="11"/>
  <c r="G21" i="11"/>
  <c r="BC20" i="11"/>
  <c r="AZ20" i="11"/>
  <c r="AY20" i="11"/>
  <c r="AX20" i="11"/>
  <c r="AW20" i="11"/>
  <c r="AV20" i="11"/>
  <c r="AU20" i="11"/>
  <c r="AT20" i="11"/>
  <c r="AS20" i="11"/>
  <c r="AR20" i="11"/>
  <c r="AQ20" i="11"/>
  <c r="AP20" i="11"/>
  <c r="BB20" i="11" s="1"/>
  <c r="AO20" i="11"/>
  <c r="BA20" i="11" s="1"/>
  <c r="AE20" i="11"/>
  <c r="AB20" i="11"/>
  <c r="Z20" i="11"/>
  <c r="U20" i="11"/>
  <c r="R20" i="11"/>
  <c r="P20" i="11"/>
  <c r="L20" i="11"/>
  <c r="I20" i="11"/>
  <c r="G20" i="11"/>
  <c r="BC19" i="11"/>
  <c r="AZ19" i="11"/>
  <c r="AY19" i="11"/>
  <c r="AX19" i="11"/>
  <c r="AW19" i="11"/>
  <c r="AV19" i="11"/>
  <c r="AU19" i="11"/>
  <c r="AT19" i="11"/>
  <c r="AS19" i="11"/>
  <c r="AR19" i="11"/>
  <c r="AQ19" i="11"/>
  <c r="AP19" i="11"/>
  <c r="BB19" i="11" s="1"/>
  <c r="AO19" i="11"/>
  <c r="BA19" i="11" s="1"/>
  <c r="AE19" i="11"/>
  <c r="AB19" i="11"/>
  <c r="Z19" i="11"/>
  <c r="U19" i="11"/>
  <c r="R19" i="11"/>
  <c r="P19" i="11"/>
  <c r="L19" i="11"/>
  <c r="I19" i="11"/>
  <c r="BC18" i="11"/>
  <c r="AZ18" i="11"/>
  <c r="AY18" i="11"/>
  <c r="AX18" i="11"/>
  <c r="AW18" i="11"/>
  <c r="AV18" i="11"/>
  <c r="AU18" i="11"/>
  <c r="AT18" i="11"/>
  <c r="AS18" i="11"/>
  <c r="AR18" i="11"/>
  <c r="AQ18" i="11"/>
  <c r="AP18" i="11"/>
  <c r="BB18" i="11" s="1"/>
  <c r="AO18" i="11"/>
  <c r="BA18" i="11" s="1"/>
  <c r="AE18" i="11"/>
  <c r="AB18" i="11"/>
  <c r="Z18" i="11"/>
  <c r="U18" i="11"/>
  <c r="R18" i="11"/>
  <c r="P18" i="11"/>
  <c r="L18" i="11"/>
  <c r="I18" i="11"/>
  <c r="BC17" i="11"/>
  <c r="AZ17" i="11"/>
  <c r="AY17" i="11"/>
  <c r="AX17" i="11"/>
  <c r="AW17" i="11"/>
  <c r="AV17" i="11"/>
  <c r="AU17" i="11"/>
  <c r="AT17" i="11"/>
  <c r="AS17" i="11"/>
  <c r="AR17" i="11"/>
  <c r="AQ17" i="11"/>
  <c r="AP17" i="11"/>
  <c r="BB17" i="11" s="1"/>
  <c r="AO17" i="11"/>
  <c r="BA17" i="11" s="1"/>
  <c r="AE17" i="11"/>
  <c r="AB17" i="11"/>
  <c r="Z17" i="11"/>
  <c r="U17" i="11"/>
  <c r="R17" i="11"/>
  <c r="P17" i="11"/>
  <c r="L17" i="11"/>
  <c r="I17" i="11"/>
  <c r="G17" i="11"/>
  <c r="BC16" i="11"/>
  <c r="AZ16" i="11"/>
  <c r="AY16" i="11"/>
  <c r="AX16" i="11"/>
  <c r="AW16" i="11"/>
  <c r="AV16" i="11"/>
  <c r="AU16" i="11"/>
  <c r="AT16" i="11"/>
  <c r="AS16" i="11"/>
  <c r="AR16" i="11"/>
  <c r="AQ16" i="11"/>
  <c r="AP16" i="11"/>
  <c r="BB16" i="11" s="1"/>
  <c r="AO16" i="11"/>
  <c r="BA16" i="11" s="1"/>
  <c r="AE16" i="11"/>
  <c r="AB16" i="11"/>
  <c r="Z16" i="11"/>
  <c r="U16" i="11"/>
  <c r="R16" i="11"/>
  <c r="P16" i="11"/>
  <c r="L16" i="11"/>
  <c r="I16" i="11"/>
  <c r="G16" i="11"/>
  <c r="BC15" i="11"/>
  <c r="AZ15" i="11"/>
  <c r="AY15" i="11"/>
  <c r="AX15" i="11"/>
  <c r="AW15" i="11"/>
  <c r="AV15" i="11"/>
  <c r="AU15" i="11"/>
  <c r="AT15" i="11"/>
  <c r="AS15" i="11"/>
  <c r="AR15" i="11"/>
  <c r="AQ15" i="11"/>
  <c r="AP15" i="11"/>
  <c r="BB15" i="11" s="1"/>
  <c r="AO15" i="11"/>
  <c r="BA15" i="11" s="1"/>
  <c r="AE15" i="11"/>
  <c r="AB15" i="11"/>
  <c r="Z15" i="11"/>
  <c r="U15" i="11"/>
  <c r="R15" i="11"/>
  <c r="P15" i="11"/>
  <c r="L15" i="11"/>
  <c r="I15" i="11"/>
  <c r="G15" i="11"/>
  <c r="BC14" i="11"/>
  <c r="AZ14" i="11"/>
  <c r="AY14" i="11"/>
  <c r="AX14" i="11"/>
  <c r="AW14" i="11"/>
  <c r="AV14" i="11"/>
  <c r="AU14" i="11"/>
  <c r="AT14" i="11"/>
  <c r="AS14" i="11"/>
  <c r="AR14" i="11"/>
  <c r="AQ14" i="11"/>
  <c r="AP14" i="11"/>
  <c r="BB14" i="11" s="1"/>
  <c r="AO14" i="11"/>
  <c r="BA14" i="11" s="1"/>
  <c r="AE14" i="11"/>
  <c r="AB14" i="11"/>
  <c r="Z14" i="11"/>
  <c r="U14" i="11"/>
  <c r="R14" i="11"/>
  <c r="P14" i="11"/>
  <c r="L14" i="11"/>
  <c r="I14" i="11"/>
  <c r="G14" i="11"/>
  <c r="BC13" i="11"/>
  <c r="AZ13" i="11"/>
  <c r="AY13" i="11"/>
  <c r="AX13" i="11"/>
  <c r="AW13" i="11"/>
  <c r="AV13" i="11"/>
  <c r="AU13" i="11"/>
  <c r="AT13" i="11"/>
  <c r="AS13" i="11"/>
  <c r="AR13" i="11"/>
  <c r="AQ13" i="11"/>
  <c r="AP13" i="11"/>
  <c r="BB13" i="11" s="1"/>
  <c r="AO13" i="11"/>
  <c r="BA13" i="11" s="1"/>
  <c r="AE13" i="11"/>
  <c r="AB13" i="11"/>
  <c r="Z13" i="11"/>
  <c r="U13" i="11"/>
  <c r="R13" i="11"/>
  <c r="P13" i="11"/>
  <c r="L13" i="11"/>
  <c r="I13" i="11"/>
  <c r="G13" i="11"/>
  <c r="BC12" i="11"/>
  <c r="AZ12" i="11"/>
  <c r="AY12" i="11"/>
  <c r="AX12" i="11"/>
  <c r="AW12" i="11"/>
  <c r="AV12" i="11"/>
  <c r="AU12" i="11"/>
  <c r="AT12" i="11"/>
  <c r="AS12" i="11"/>
  <c r="AR12" i="11"/>
  <c r="AQ12" i="11"/>
  <c r="AP12" i="11"/>
  <c r="BB12" i="11" s="1"/>
  <c r="AO12" i="11"/>
  <c r="BA12" i="11" s="1"/>
  <c r="AE12" i="11"/>
  <c r="AB12" i="11"/>
  <c r="Z12" i="11"/>
  <c r="U12" i="11"/>
  <c r="R12" i="11"/>
  <c r="P12" i="11"/>
  <c r="L12" i="11"/>
  <c r="I12" i="11"/>
  <c r="G12" i="11"/>
  <c r="BC11" i="11"/>
  <c r="AZ11" i="11"/>
  <c r="AY11" i="11"/>
  <c r="AX11" i="11"/>
  <c r="AW11" i="11"/>
  <c r="AV11" i="11"/>
  <c r="AU11" i="11"/>
  <c r="AT11" i="11"/>
  <c r="AS11" i="11"/>
  <c r="AR11" i="11"/>
  <c r="AQ11" i="11"/>
  <c r="AP11" i="11"/>
  <c r="BB11" i="11" s="1"/>
  <c r="AO11" i="11"/>
  <c r="BA11" i="11" s="1"/>
  <c r="AE11" i="11"/>
  <c r="AB11" i="11"/>
  <c r="Z11" i="11"/>
  <c r="U11" i="11"/>
  <c r="R11" i="11"/>
  <c r="P11" i="11"/>
  <c r="L11" i="11"/>
  <c r="I11" i="11"/>
  <c r="G11" i="11"/>
  <c r="BC10" i="11"/>
  <c r="AZ10" i="11"/>
  <c r="AY10" i="11"/>
  <c r="AX10" i="11"/>
  <c r="AW10" i="11"/>
  <c r="AV10" i="11"/>
  <c r="AU10" i="11"/>
  <c r="AT10" i="11"/>
  <c r="AS10" i="11"/>
  <c r="AR10" i="11"/>
  <c r="AQ10" i="11"/>
  <c r="AP10" i="11"/>
  <c r="BB10" i="11" s="1"/>
  <c r="AO10" i="11"/>
  <c r="BA10" i="11" s="1"/>
  <c r="AE10" i="11"/>
  <c r="AB10" i="11"/>
  <c r="Z10" i="11"/>
  <c r="U10" i="11"/>
  <c r="R10" i="11"/>
  <c r="P10" i="11"/>
  <c r="L10" i="11"/>
  <c r="I10" i="11"/>
  <c r="G10" i="11"/>
  <c r="BC9" i="11"/>
  <c r="AZ9" i="11"/>
  <c r="AY9" i="11"/>
  <c r="AX9" i="11"/>
  <c r="AW9" i="11"/>
  <c r="AV9" i="11"/>
  <c r="AU9" i="11"/>
  <c r="AT9" i="11"/>
  <c r="AS9" i="11"/>
  <c r="AR9" i="11"/>
  <c r="AQ9" i="11"/>
  <c r="AP9" i="11"/>
  <c r="BB9" i="11" s="1"/>
  <c r="AO9" i="11"/>
  <c r="BA9" i="11" s="1"/>
  <c r="AE9" i="11"/>
  <c r="AB9" i="11"/>
  <c r="Z9" i="11"/>
  <c r="U9" i="11"/>
  <c r="R9" i="11"/>
  <c r="P9" i="11"/>
  <c r="L9" i="11"/>
  <c r="I9" i="11"/>
  <c r="G9" i="11"/>
  <c r="BC8" i="11"/>
  <c r="AZ8" i="11"/>
  <c r="AY8" i="11"/>
  <c r="AX8" i="11"/>
  <c r="AW8" i="11"/>
  <c r="AV8" i="11"/>
  <c r="AU8" i="11"/>
  <c r="AT8" i="11"/>
  <c r="AS8" i="11"/>
  <c r="AR8" i="11"/>
  <c r="AQ8" i="11"/>
  <c r="AP8" i="11"/>
  <c r="BB8" i="11" s="1"/>
  <c r="AO8" i="11"/>
  <c r="BA8" i="11" s="1"/>
  <c r="AE8" i="11"/>
  <c r="AB8" i="11"/>
  <c r="Z8" i="11"/>
  <c r="U8" i="11"/>
  <c r="R8" i="11"/>
  <c r="P8" i="11"/>
  <c r="L8" i="11"/>
  <c r="I8" i="11"/>
  <c r="G8" i="11"/>
  <c r="BC7" i="11"/>
  <c r="AZ7" i="11"/>
  <c r="AY7" i="11"/>
  <c r="AX7" i="11"/>
  <c r="AW7" i="11"/>
  <c r="AV7" i="11"/>
  <c r="AU7" i="11"/>
  <c r="AT7" i="11"/>
  <c r="AS7" i="11"/>
  <c r="AR7" i="11"/>
  <c r="AQ7" i="11"/>
  <c r="AP7" i="11"/>
  <c r="BB7" i="11" s="1"/>
  <c r="AO7" i="11"/>
  <c r="BA7" i="11" s="1"/>
  <c r="AE7" i="11"/>
  <c r="AB7" i="11"/>
  <c r="Z7" i="11"/>
  <c r="U7" i="11"/>
  <c r="R7" i="11"/>
  <c r="P7" i="11"/>
  <c r="L7" i="11"/>
  <c r="I7" i="11"/>
  <c r="BC6" i="11"/>
  <c r="AZ6" i="11"/>
  <c r="AY6" i="11"/>
  <c r="AX6" i="11"/>
  <c r="AW6" i="11"/>
  <c r="AV6" i="11"/>
  <c r="AU6" i="11"/>
  <c r="AT6" i="11"/>
  <c r="AS6" i="11"/>
  <c r="AR6" i="11"/>
  <c r="AQ6" i="11"/>
  <c r="AP6" i="11"/>
  <c r="BB6" i="11" s="1"/>
  <c r="AO6" i="11"/>
  <c r="BA6" i="11" s="1"/>
  <c r="AE6" i="11"/>
  <c r="AB6" i="11"/>
  <c r="Z6" i="11"/>
  <c r="U6" i="11"/>
  <c r="R6" i="11"/>
  <c r="P6" i="11"/>
  <c r="L6" i="11"/>
  <c r="I6" i="11"/>
  <c r="G6" i="11"/>
  <c r="BC5" i="11"/>
  <c r="AZ5" i="11"/>
  <c r="AY5" i="11"/>
  <c r="AX5" i="11"/>
  <c r="AW5" i="11"/>
  <c r="AV5" i="11"/>
  <c r="AU5" i="11"/>
  <c r="AT5" i="11"/>
  <c r="AS5" i="11"/>
  <c r="AR5" i="11"/>
  <c r="AQ5" i="11"/>
  <c r="AP5" i="11"/>
  <c r="BB5" i="11" s="1"/>
  <c r="AO5" i="11"/>
  <c r="BA5" i="11" s="1"/>
  <c r="AE5" i="11"/>
  <c r="AB5" i="11"/>
  <c r="Z5" i="11"/>
  <c r="U5" i="11"/>
  <c r="R5" i="11"/>
  <c r="P5" i="11"/>
  <c r="L5" i="11"/>
  <c r="I5" i="11"/>
  <c r="G5" i="11"/>
  <c r="BC4" i="11"/>
  <c r="AZ4" i="11"/>
  <c r="AY4" i="11"/>
  <c r="AX4" i="11"/>
  <c r="AW4" i="11"/>
  <c r="AV4" i="11"/>
  <c r="AU4" i="11"/>
  <c r="AT4" i="11"/>
  <c r="AS4" i="11"/>
  <c r="AR4" i="11"/>
  <c r="AQ4" i="11"/>
  <c r="AP4" i="11"/>
  <c r="BB4" i="11" s="1"/>
  <c r="AO4" i="11"/>
  <c r="BA4" i="11" s="1"/>
  <c r="AE4" i="11"/>
  <c r="AB4" i="11"/>
  <c r="Z4" i="11"/>
  <c r="U4" i="11"/>
  <c r="R4" i="11"/>
  <c r="P4" i="11"/>
  <c r="L4" i="11"/>
  <c r="I4" i="11"/>
  <c r="G4" i="11"/>
  <c r="BC3" i="11"/>
  <c r="AZ3" i="11"/>
  <c r="AY3" i="11"/>
  <c r="AX3" i="11"/>
  <c r="AW3" i="11"/>
  <c r="AV3" i="11"/>
  <c r="AU3" i="11"/>
  <c r="AT3" i="11"/>
  <c r="AS3" i="11"/>
  <c r="AR3" i="11"/>
  <c r="AQ3" i="11"/>
  <c r="AP3" i="11"/>
  <c r="BB3" i="11" s="1"/>
  <c r="AO3" i="11"/>
  <c r="BA3" i="11" s="1"/>
  <c r="AE3" i="11"/>
  <c r="AB3" i="11"/>
  <c r="Z3" i="11"/>
  <c r="Z70" i="11" s="1"/>
  <c r="Z71" i="11" s="1"/>
  <c r="U3" i="11"/>
  <c r="R3" i="11"/>
  <c r="P3" i="11"/>
  <c r="P70" i="11" s="1"/>
  <c r="P71" i="11" s="1"/>
  <c r="L3" i="11"/>
  <c r="I3" i="11"/>
  <c r="G3" i="11"/>
  <c r="G70" i="11" s="1"/>
  <c r="G71" i="11" s="1"/>
  <c r="X86" i="9"/>
  <c r="W86" i="9"/>
  <c r="U86" i="9"/>
  <c r="T86" i="9"/>
  <c r="N86" i="9"/>
  <c r="L86" i="9"/>
  <c r="K86" i="9"/>
  <c r="J86" i="9"/>
  <c r="F86" i="9"/>
  <c r="E86" i="9"/>
  <c r="D86" i="9"/>
  <c r="C86" i="9"/>
  <c r="F82" i="9"/>
  <c r="E82" i="9"/>
  <c r="D82" i="9"/>
  <c r="C82" i="9"/>
  <c r="AV76" i="9"/>
  <c r="AL76" i="9"/>
  <c r="AJ76" i="9"/>
  <c r="AI76" i="9"/>
  <c r="X76" i="9"/>
  <c r="W76" i="9"/>
  <c r="U76" i="9"/>
  <c r="T76" i="9"/>
  <c r="O76" i="9"/>
  <c r="N76" i="9"/>
  <c r="L76" i="9"/>
  <c r="K76" i="9"/>
  <c r="AV75" i="9"/>
  <c r="AJ75" i="9"/>
  <c r="AI75" i="9"/>
  <c r="X75" i="9"/>
  <c r="W75" i="9"/>
  <c r="U75" i="9"/>
  <c r="T75" i="9"/>
  <c r="L75" i="9"/>
  <c r="K75" i="9"/>
  <c r="AV74" i="9"/>
  <c r="AT74" i="9"/>
  <c r="AL74" i="9"/>
  <c r="AL75" i="9" s="1"/>
  <c r="AI74" i="9"/>
  <c r="E26" i="10" s="1"/>
  <c r="AG74" i="9"/>
  <c r="AF74" i="9"/>
  <c r="AE74" i="9"/>
  <c r="AD74" i="9"/>
  <c r="AC74" i="9"/>
  <c r="AB74" i="9"/>
  <c r="AA74" i="9"/>
  <c r="Z74" i="9"/>
  <c r="X74" i="9"/>
  <c r="W74" i="9"/>
  <c r="U74" i="9"/>
  <c r="T74" i="9"/>
  <c r="S74" i="9"/>
  <c r="R74" i="9"/>
  <c r="Q74" i="9"/>
  <c r="O74" i="9"/>
  <c r="O75" i="9" s="1"/>
  <c r="N74" i="9"/>
  <c r="N75" i="9" s="1"/>
  <c r="L74" i="9"/>
  <c r="K74" i="9"/>
  <c r="J74" i="9"/>
  <c r="I74" i="9"/>
  <c r="H74" i="9"/>
  <c r="G74" i="9"/>
  <c r="F74" i="9"/>
  <c r="E74" i="9"/>
  <c r="D74" i="9"/>
  <c r="AW73" i="9"/>
  <c r="AU73" i="9"/>
  <c r="AS73" i="9"/>
  <c r="AR73" i="9"/>
  <c r="AQ73" i="9"/>
  <c r="AP73" i="9"/>
  <c r="AO73" i="9"/>
  <c r="AN73" i="9"/>
  <c r="AM73" i="9"/>
  <c r="AK73" i="9"/>
  <c r="AH73" i="9"/>
  <c r="Y73" i="9"/>
  <c r="V73" i="9"/>
  <c r="P73" i="9"/>
  <c r="M73" i="9"/>
  <c r="AW72" i="9"/>
  <c r="AU72" i="9"/>
  <c r="AS72" i="9"/>
  <c r="AR72" i="9"/>
  <c r="AQ72" i="9"/>
  <c r="AP72" i="9"/>
  <c r="AO72" i="9"/>
  <c r="AN72" i="9"/>
  <c r="AM72" i="9"/>
  <c r="AK72" i="9"/>
  <c r="AH72" i="9"/>
  <c r="Y72" i="9"/>
  <c r="V72" i="9"/>
  <c r="P72" i="9"/>
  <c r="M72" i="9"/>
  <c r="AW71" i="9"/>
  <c r="AU71" i="9"/>
  <c r="AS71" i="9"/>
  <c r="AR71" i="9"/>
  <c r="AQ71" i="9"/>
  <c r="AP71" i="9"/>
  <c r="AO71" i="9"/>
  <c r="AN71" i="9"/>
  <c r="AM71" i="9"/>
  <c r="AK71" i="9"/>
  <c r="AH71" i="9"/>
  <c r="Y71" i="9"/>
  <c r="V71" i="9"/>
  <c r="P71" i="9"/>
  <c r="M71" i="9"/>
  <c r="AW70" i="9"/>
  <c r="AU70" i="9"/>
  <c r="AS70" i="9"/>
  <c r="AR70" i="9"/>
  <c r="AQ70" i="9"/>
  <c r="AP70" i="9"/>
  <c r="AO70" i="9"/>
  <c r="AN70" i="9"/>
  <c r="AM70" i="9"/>
  <c r="AK70" i="9"/>
  <c r="AH70" i="9"/>
  <c r="Y70" i="9"/>
  <c r="V70" i="9"/>
  <c r="P70" i="9"/>
  <c r="M70" i="9"/>
  <c r="AW69" i="9"/>
  <c r="AU69" i="9"/>
  <c r="AS69" i="9"/>
  <c r="AR69" i="9"/>
  <c r="AQ69" i="9"/>
  <c r="AP69" i="9"/>
  <c r="AO69" i="9"/>
  <c r="AN69" i="9"/>
  <c r="AM69" i="9"/>
  <c r="AK69" i="9"/>
  <c r="AH69" i="9"/>
  <c r="Y69" i="9"/>
  <c r="V69" i="9"/>
  <c r="P69" i="9"/>
  <c r="M69" i="9"/>
  <c r="AW68" i="9"/>
  <c r="AU68" i="9"/>
  <c r="AS68" i="9"/>
  <c r="AR68" i="9"/>
  <c r="AQ68" i="9"/>
  <c r="AP68" i="9"/>
  <c r="AO68" i="9"/>
  <c r="AN68" i="9"/>
  <c r="AM68" i="9"/>
  <c r="AK68" i="9"/>
  <c r="AH68" i="9"/>
  <c r="Y68" i="9"/>
  <c r="V68" i="9"/>
  <c r="P68" i="9"/>
  <c r="M68" i="9"/>
  <c r="AW67" i="9"/>
  <c r="AU67" i="9"/>
  <c r="AS67" i="9"/>
  <c r="AR67" i="9"/>
  <c r="AQ67" i="9"/>
  <c r="AP67" i="9"/>
  <c r="AO67" i="9"/>
  <c r="AN67" i="9"/>
  <c r="AM67" i="9"/>
  <c r="AK67" i="9"/>
  <c r="AH67" i="9"/>
  <c r="Y67" i="9"/>
  <c r="V67" i="9"/>
  <c r="P67" i="9"/>
  <c r="M67" i="9"/>
  <c r="AW66" i="9"/>
  <c r="AU66" i="9"/>
  <c r="AS66" i="9"/>
  <c r="AR66" i="9"/>
  <c r="AQ66" i="9"/>
  <c r="AP66" i="9"/>
  <c r="AO66" i="9"/>
  <c r="AN66" i="9"/>
  <c r="AM66" i="9"/>
  <c r="AK66" i="9"/>
  <c r="AH66" i="9"/>
  <c r="Y66" i="9"/>
  <c r="V66" i="9"/>
  <c r="P66" i="9"/>
  <c r="M66" i="9"/>
  <c r="AW65" i="9"/>
  <c r="AU65" i="9"/>
  <c r="AS65" i="9"/>
  <c r="AR65" i="9"/>
  <c r="AQ65" i="9"/>
  <c r="AP65" i="9"/>
  <c r="AO65" i="9"/>
  <c r="AN65" i="9"/>
  <c r="AM65" i="9"/>
  <c r="AK65" i="9"/>
  <c r="AH65" i="9"/>
  <c r="Y65" i="9"/>
  <c r="V65" i="9"/>
  <c r="P65" i="9"/>
  <c r="M65" i="9"/>
  <c r="AW64" i="9"/>
  <c r="AU64" i="9"/>
  <c r="AS64" i="9"/>
  <c r="AR64" i="9"/>
  <c r="AQ64" i="9"/>
  <c r="AP64" i="9"/>
  <c r="AO64" i="9"/>
  <c r="AN64" i="9"/>
  <c r="AM64" i="9"/>
  <c r="AK64" i="9"/>
  <c r="AH64" i="9"/>
  <c r="Y64" i="9"/>
  <c r="V64" i="9"/>
  <c r="P64" i="9"/>
  <c r="M64" i="9"/>
  <c r="AW63" i="9"/>
  <c r="AU63" i="9"/>
  <c r="AS63" i="9"/>
  <c r="AR63" i="9"/>
  <c r="AQ63" i="9"/>
  <c r="AP63" i="9"/>
  <c r="AO63" i="9"/>
  <c r="AN63" i="9"/>
  <c r="AM63" i="9"/>
  <c r="AK63" i="9"/>
  <c r="AH63" i="9"/>
  <c r="Y63" i="9"/>
  <c r="V63" i="9"/>
  <c r="P63" i="9"/>
  <c r="M63" i="9"/>
  <c r="AW62" i="9"/>
  <c r="AU62" i="9"/>
  <c r="AS62" i="9"/>
  <c r="AR62" i="9"/>
  <c r="AQ62" i="9"/>
  <c r="AP62" i="9"/>
  <c r="AO62" i="9"/>
  <c r="AN62" i="9"/>
  <c r="AM62" i="9"/>
  <c r="AK62" i="9"/>
  <c r="AH62" i="9"/>
  <c r="Y62" i="9"/>
  <c r="V62" i="9"/>
  <c r="P62" i="9"/>
  <c r="M62" i="9"/>
  <c r="AW61" i="9"/>
  <c r="AU61" i="9"/>
  <c r="AS61" i="9"/>
  <c r="AR61" i="9"/>
  <c r="AQ61" i="9"/>
  <c r="AP61" i="9"/>
  <c r="AO61" i="9"/>
  <c r="AN61" i="9"/>
  <c r="AM61" i="9"/>
  <c r="AK61" i="9"/>
  <c r="AH61" i="9"/>
  <c r="Y61" i="9"/>
  <c r="V61" i="9"/>
  <c r="P61" i="9"/>
  <c r="M61" i="9"/>
  <c r="AW60" i="9"/>
  <c r="AU60" i="9"/>
  <c r="AS60" i="9"/>
  <c r="AR60" i="9"/>
  <c r="AQ60" i="9"/>
  <c r="AP60" i="9"/>
  <c r="AO60" i="9"/>
  <c r="AN60" i="9"/>
  <c r="AM60" i="9"/>
  <c r="AK60" i="9"/>
  <c r="AH60" i="9"/>
  <c r="Y60" i="9"/>
  <c r="V60" i="9"/>
  <c r="P60" i="9"/>
  <c r="M60" i="9"/>
  <c r="AW59" i="9"/>
  <c r="AU59" i="9"/>
  <c r="AS59" i="9"/>
  <c r="AR59" i="9"/>
  <c r="AQ59" i="9"/>
  <c r="AP59" i="9"/>
  <c r="AO59" i="9"/>
  <c r="AN59" i="9"/>
  <c r="AM59" i="9"/>
  <c r="AK59" i="9"/>
  <c r="AH59" i="9"/>
  <c r="Y59" i="9"/>
  <c r="V59" i="9"/>
  <c r="P59" i="9"/>
  <c r="M59" i="9"/>
  <c r="AW58" i="9"/>
  <c r="AU58" i="9"/>
  <c r="AS58" i="9"/>
  <c r="AR58" i="9"/>
  <c r="AQ58" i="9"/>
  <c r="AP58" i="9"/>
  <c r="AO58" i="9"/>
  <c r="AN58" i="9"/>
  <c r="AM58" i="9"/>
  <c r="AK58" i="9"/>
  <c r="AH58" i="9"/>
  <c r="Y58" i="9"/>
  <c r="V58" i="9"/>
  <c r="P58" i="9"/>
  <c r="M58" i="9"/>
  <c r="AW57" i="9"/>
  <c r="AU57" i="9"/>
  <c r="AS57" i="9"/>
  <c r="AR57" i="9"/>
  <c r="AQ57" i="9"/>
  <c r="AP57" i="9"/>
  <c r="AO57" i="9"/>
  <c r="AN57" i="9"/>
  <c r="AM57" i="9"/>
  <c r="AK57" i="9"/>
  <c r="AH57" i="9"/>
  <c r="Y57" i="9"/>
  <c r="V57" i="9"/>
  <c r="P57" i="9"/>
  <c r="M57" i="9"/>
  <c r="AW56" i="9"/>
  <c r="AU56" i="9"/>
  <c r="AS56" i="9"/>
  <c r="AR56" i="9"/>
  <c r="AQ56" i="9"/>
  <c r="AP56" i="9"/>
  <c r="AO56" i="9"/>
  <c r="AN56" i="9"/>
  <c r="AM56" i="9"/>
  <c r="AK56" i="9"/>
  <c r="AH56" i="9"/>
  <c r="Y56" i="9"/>
  <c r="V56" i="9"/>
  <c r="P56" i="9"/>
  <c r="M56" i="9"/>
  <c r="AW55" i="9"/>
  <c r="AU55" i="9"/>
  <c r="AS55" i="9"/>
  <c r="AR55" i="9"/>
  <c r="AQ55" i="9"/>
  <c r="AP55" i="9"/>
  <c r="AO55" i="9"/>
  <c r="AN55" i="9"/>
  <c r="AM55" i="9"/>
  <c r="AK55" i="9"/>
  <c r="AH55" i="9"/>
  <c r="Y55" i="9"/>
  <c r="V55" i="9"/>
  <c r="P55" i="9"/>
  <c r="M55" i="9"/>
  <c r="AW54" i="9"/>
  <c r="AU54" i="9"/>
  <c r="AS54" i="9"/>
  <c r="AR54" i="9"/>
  <c r="AQ54" i="9"/>
  <c r="AP54" i="9"/>
  <c r="AO54" i="9"/>
  <c r="AN54" i="9"/>
  <c r="AM54" i="9"/>
  <c r="AK54" i="9"/>
  <c r="AH54" i="9"/>
  <c r="Y54" i="9"/>
  <c r="V54" i="9"/>
  <c r="P54" i="9"/>
  <c r="M54" i="9"/>
  <c r="AW53" i="9"/>
  <c r="AU53" i="9"/>
  <c r="AS53" i="9"/>
  <c r="AR53" i="9"/>
  <c r="AQ53" i="9"/>
  <c r="AP53" i="9"/>
  <c r="AO53" i="9"/>
  <c r="AN53" i="9"/>
  <c r="AM53" i="9"/>
  <c r="AK53" i="9"/>
  <c r="AH53" i="9"/>
  <c r="Y53" i="9"/>
  <c r="V53" i="9"/>
  <c r="P53" i="9"/>
  <c r="M53" i="9"/>
  <c r="AW52" i="9"/>
  <c r="AU52" i="9"/>
  <c r="AS52" i="9"/>
  <c r="AR52" i="9"/>
  <c r="AQ52" i="9"/>
  <c r="AP52" i="9"/>
  <c r="AO52" i="9"/>
  <c r="AN52" i="9"/>
  <c r="AM52" i="9"/>
  <c r="AK52" i="9"/>
  <c r="AH52" i="9"/>
  <c r="Y52" i="9"/>
  <c r="V52" i="9"/>
  <c r="P52" i="9"/>
  <c r="M52" i="9"/>
  <c r="AW51" i="9"/>
  <c r="AU51" i="9"/>
  <c r="AS51" i="9"/>
  <c r="AR51" i="9"/>
  <c r="AQ51" i="9"/>
  <c r="AP51" i="9"/>
  <c r="AO51" i="9"/>
  <c r="AN51" i="9"/>
  <c r="AM51" i="9"/>
  <c r="AK51" i="9"/>
  <c r="AH51" i="9"/>
  <c r="Y51" i="9"/>
  <c r="V51" i="9"/>
  <c r="P51" i="9"/>
  <c r="M51" i="9"/>
  <c r="AW50" i="9"/>
  <c r="AU50" i="9"/>
  <c r="AS50" i="9"/>
  <c r="AR50" i="9"/>
  <c r="AQ50" i="9"/>
  <c r="AP50" i="9"/>
  <c r="AO50" i="9"/>
  <c r="AN50" i="9"/>
  <c r="AM50" i="9"/>
  <c r="AK50" i="9"/>
  <c r="AH50" i="9"/>
  <c r="Y50" i="9"/>
  <c r="V50" i="9"/>
  <c r="P50" i="9"/>
  <c r="M50" i="9"/>
  <c r="AW49" i="9"/>
  <c r="AU49" i="9"/>
  <c r="AS49" i="9"/>
  <c r="AR49" i="9"/>
  <c r="AQ49" i="9"/>
  <c r="AP49" i="9"/>
  <c r="AO49" i="9"/>
  <c r="AN49" i="9"/>
  <c r="AM49" i="9"/>
  <c r="AK49" i="9"/>
  <c r="AH49" i="9"/>
  <c r="Y49" i="9"/>
  <c r="V49" i="9"/>
  <c r="P49" i="9"/>
  <c r="M49" i="9"/>
  <c r="AW48" i="9"/>
  <c r="AU48" i="9"/>
  <c r="AS48" i="9"/>
  <c r="AR48" i="9"/>
  <c r="AQ48" i="9"/>
  <c r="AP48" i="9"/>
  <c r="AO48" i="9"/>
  <c r="AN48" i="9"/>
  <c r="AM48" i="9"/>
  <c r="AK48" i="9"/>
  <c r="AH48" i="9"/>
  <c r="Y48" i="9"/>
  <c r="V48" i="9"/>
  <c r="P48" i="9"/>
  <c r="M48" i="9"/>
  <c r="AW47" i="9"/>
  <c r="AU47" i="9"/>
  <c r="AS47" i="9"/>
  <c r="AR47" i="9"/>
  <c r="AQ47" i="9"/>
  <c r="AP47" i="9"/>
  <c r="AO47" i="9"/>
  <c r="AN47" i="9"/>
  <c r="AM47" i="9"/>
  <c r="AK47" i="9"/>
  <c r="AH47" i="9"/>
  <c r="Y47" i="9"/>
  <c r="V47" i="9"/>
  <c r="P47" i="9"/>
  <c r="M47" i="9"/>
  <c r="AW46" i="9"/>
  <c r="AU46" i="9"/>
  <c r="AS46" i="9"/>
  <c r="AR46" i="9"/>
  <c r="AQ46" i="9"/>
  <c r="AP46" i="9"/>
  <c r="AO46" i="9"/>
  <c r="AN46" i="9"/>
  <c r="AM46" i="9"/>
  <c r="AK46" i="9"/>
  <c r="AH46" i="9"/>
  <c r="Y46" i="9"/>
  <c r="V46" i="9"/>
  <c r="P46" i="9"/>
  <c r="M46" i="9"/>
  <c r="AW45" i="9"/>
  <c r="AU45" i="9"/>
  <c r="AS45" i="9"/>
  <c r="AR45" i="9"/>
  <c r="AQ45" i="9"/>
  <c r="AP45" i="9"/>
  <c r="AO45" i="9"/>
  <c r="AN45" i="9"/>
  <c r="AM45" i="9"/>
  <c r="AK45" i="9"/>
  <c r="AH45" i="9"/>
  <c r="Y45" i="9"/>
  <c r="V45" i="9"/>
  <c r="P45" i="9"/>
  <c r="M45" i="9"/>
  <c r="AW44" i="9"/>
  <c r="AU44" i="9"/>
  <c r="AS44" i="9"/>
  <c r="AR44" i="9"/>
  <c r="AQ44" i="9"/>
  <c r="AP44" i="9"/>
  <c r="AO44" i="9"/>
  <c r="AN44" i="9"/>
  <c r="AM44" i="9"/>
  <c r="AK44" i="9"/>
  <c r="AH44" i="9"/>
  <c r="Y44" i="9"/>
  <c r="V44" i="9"/>
  <c r="P44" i="9"/>
  <c r="M44" i="9"/>
  <c r="AW43" i="9"/>
  <c r="AU43" i="9"/>
  <c r="AS43" i="9"/>
  <c r="AR43" i="9"/>
  <c r="AQ43" i="9"/>
  <c r="AP43" i="9"/>
  <c r="AO43" i="9"/>
  <c r="AN43" i="9"/>
  <c r="AM43" i="9"/>
  <c r="AK43" i="9"/>
  <c r="AH43" i="9"/>
  <c r="Y43" i="9"/>
  <c r="V43" i="9"/>
  <c r="P43" i="9"/>
  <c r="M43" i="9"/>
  <c r="AW42" i="9"/>
  <c r="AU42" i="9"/>
  <c r="AS42" i="9"/>
  <c r="AR42" i="9"/>
  <c r="AQ42" i="9"/>
  <c r="AP42" i="9"/>
  <c r="AO42" i="9"/>
  <c r="AN42" i="9"/>
  <c r="AM42" i="9"/>
  <c r="AK42" i="9"/>
  <c r="AH42" i="9"/>
  <c r="Y42" i="9"/>
  <c r="V42" i="9"/>
  <c r="P42" i="9"/>
  <c r="M42" i="9"/>
  <c r="AW41" i="9"/>
  <c r="AU41" i="9"/>
  <c r="AS41" i="9"/>
  <c r="AR41" i="9"/>
  <c r="AQ41" i="9"/>
  <c r="AP41" i="9"/>
  <c r="AO41" i="9"/>
  <c r="AN41" i="9"/>
  <c r="AM41" i="9"/>
  <c r="AK41" i="9"/>
  <c r="AH41" i="9"/>
  <c r="Y41" i="9"/>
  <c r="V41" i="9"/>
  <c r="P41" i="9"/>
  <c r="M41" i="9"/>
  <c r="AW40" i="9"/>
  <c r="AU40" i="9"/>
  <c r="AS40" i="9"/>
  <c r="AR40" i="9"/>
  <c r="AQ40" i="9"/>
  <c r="AP40" i="9"/>
  <c r="AO40" i="9"/>
  <c r="AN40" i="9"/>
  <c r="AM40" i="9"/>
  <c r="AK40" i="9"/>
  <c r="AH40" i="9"/>
  <c r="Y40" i="9"/>
  <c r="V40" i="9"/>
  <c r="P40" i="9"/>
  <c r="M40" i="9"/>
  <c r="AW39" i="9"/>
  <c r="AU39" i="9"/>
  <c r="AS39" i="9"/>
  <c r="AR39" i="9"/>
  <c r="AQ39" i="9"/>
  <c r="AP39" i="9"/>
  <c r="AO39" i="9"/>
  <c r="AN39" i="9"/>
  <c r="AM39" i="9"/>
  <c r="AK39" i="9"/>
  <c r="AH39" i="9"/>
  <c r="Y39" i="9"/>
  <c r="V39" i="9"/>
  <c r="P39" i="9"/>
  <c r="M39" i="9"/>
  <c r="AW38" i="9"/>
  <c r="AU38" i="9"/>
  <c r="AS38" i="9"/>
  <c r="AR38" i="9"/>
  <c r="AQ38" i="9"/>
  <c r="AP38" i="9"/>
  <c r="AO38" i="9"/>
  <c r="AN38" i="9"/>
  <c r="AM38" i="9"/>
  <c r="AK38" i="9"/>
  <c r="AH38" i="9"/>
  <c r="Y38" i="9"/>
  <c r="V38" i="9"/>
  <c r="P38" i="9"/>
  <c r="M38" i="9"/>
  <c r="AW37" i="9"/>
  <c r="AU37" i="9"/>
  <c r="AS37" i="9"/>
  <c r="AR37" i="9"/>
  <c r="AQ37" i="9"/>
  <c r="AP37" i="9"/>
  <c r="AO37" i="9"/>
  <c r="AN37" i="9"/>
  <c r="AM37" i="9"/>
  <c r="AK37" i="9"/>
  <c r="AH37" i="9"/>
  <c r="Y37" i="9"/>
  <c r="V37" i="9"/>
  <c r="P37" i="9"/>
  <c r="M37" i="9"/>
  <c r="AW36" i="9"/>
  <c r="AU36" i="9"/>
  <c r="AS36" i="9"/>
  <c r="AR36" i="9"/>
  <c r="AQ36" i="9"/>
  <c r="AP36" i="9"/>
  <c r="AO36" i="9"/>
  <c r="AN36" i="9"/>
  <c r="AM36" i="9"/>
  <c r="AK36" i="9"/>
  <c r="AH36" i="9"/>
  <c r="Y36" i="9"/>
  <c r="V36" i="9"/>
  <c r="P36" i="9"/>
  <c r="M36" i="9"/>
  <c r="AW35" i="9"/>
  <c r="AU35" i="9"/>
  <c r="AS35" i="9"/>
  <c r="AR35" i="9"/>
  <c r="AQ35" i="9"/>
  <c r="AP35" i="9"/>
  <c r="AO35" i="9"/>
  <c r="AN35" i="9"/>
  <c r="AM35" i="9"/>
  <c r="AK35" i="9"/>
  <c r="AH35" i="9"/>
  <c r="Y35" i="9"/>
  <c r="V35" i="9"/>
  <c r="P35" i="9"/>
  <c r="M35" i="9"/>
  <c r="AW34" i="9"/>
  <c r="AU34" i="9"/>
  <c r="AS34" i="9"/>
  <c r="AR34" i="9"/>
  <c r="AQ34" i="9"/>
  <c r="AP34" i="9"/>
  <c r="AO34" i="9"/>
  <c r="AN34" i="9"/>
  <c r="AM34" i="9"/>
  <c r="AK34" i="9"/>
  <c r="AH34" i="9"/>
  <c r="Y34" i="9"/>
  <c r="V34" i="9"/>
  <c r="P34" i="9"/>
  <c r="M34" i="9"/>
  <c r="AW33" i="9"/>
  <c r="AU33" i="9"/>
  <c r="AS33" i="9"/>
  <c r="AR33" i="9"/>
  <c r="AQ33" i="9"/>
  <c r="AP33" i="9"/>
  <c r="AO33" i="9"/>
  <c r="AN33" i="9"/>
  <c r="AM33" i="9"/>
  <c r="AK33" i="9"/>
  <c r="AH33" i="9"/>
  <c r="Y33" i="9"/>
  <c r="V33" i="9"/>
  <c r="P33" i="9"/>
  <c r="M33" i="9"/>
  <c r="AW32" i="9"/>
  <c r="AU32" i="9"/>
  <c r="AS32" i="9"/>
  <c r="AR32" i="9"/>
  <c r="AQ32" i="9"/>
  <c r="AP32" i="9"/>
  <c r="AO32" i="9"/>
  <c r="AN32" i="9"/>
  <c r="AM32" i="9"/>
  <c r="AK32" i="9"/>
  <c r="AH32" i="9"/>
  <c r="Y32" i="9"/>
  <c r="V32" i="9"/>
  <c r="P32" i="9"/>
  <c r="M32" i="9"/>
  <c r="AW31" i="9"/>
  <c r="AU31" i="9"/>
  <c r="AS31" i="9"/>
  <c r="AR31" i="9"/>
  <c r="AQ31" i="9"/>
  <c r="AP31" i="9"/>
  <c r="AO31" i="9"/>
  <c r="AN31" i="9"/>
  <c r="AM31" i="9"/>
  <c r="AK31" i="9"/>
  <c r="AH31" i="9"/>
  <c r="Y31" i="9"/>
  <c r="V31" i="9"/>
  <c r="P31" i="9"/>
  <c r="M31" i="9"/>
  <c r="AW30" i="9"/>
  <c r="AU30" i="9"/>
  <c r="AS30" i="9"/>
  <c r="AR30" i="9"/>
  <c r="AQ30" i="9"/>
  <c r="AP30" i="9"/>
  <c r="AO30" i="9"/>
  <c r="AN30" i="9"/>
  <c r="AM30" i="9"/>
  <c r="AK30" i="9"/>
  <c r="AH30" i="9"/>
  <c r="Y30" i="9"/>
  <c r="V30" i="9"/>
  <c r="P30" i="9"/>
  <c r="M30" i="9"/>
  <c r="AW29" i="9"/>
  <c r="AU29" i="9"/>
  <c r="AS29" i="9"/>
  <c r="AR29" i="9"/>
  <c r="AQ29" i="9"/>
  <c r="AP29" i="9"/>
  <c r="AO29" i="9"/>
  <c r="AN29" i="9"/>
  <c r="AM29" i="9"/>
  <c r="AK29" i="9"/>
  <c r="AH29" i="9"/>
  <c r="Y29" i="9"/>
  <c r="V29" i="9"/>
  <c r="P29" i="9"/>
  <c r="M29" i="9"/>
  <c r="AW28" i="9"/>
  <c r="AU28" i="9"/>
  <c r="AS28" i="9"/>
  <c r="AR28" i="9"/>
  <c r="AQ28" i="9"/>
  <c r="AP28" i="9"/>
  <c r="AO28" i="9"/>
  <c r="AN28" i="9"/>
  <c r="AM28" i="9"/>
  <c r="AK28" i="9"/>
  <c r="AH28" i="9"/>
  <c r="Y28" i="9"/>
  <c r="V28" i="9"/>
  <c r="P28" i="9"/>
  <c r="M28" i="9"/>
  <c r="AW27" i="9"/>
  <c r="AU27" i="9"/>
  <c r="AS27" i="9"/>
  <c r="AR27" i="9"/>
  <c r="AQ27" i="9"/>
  <c r="AP27" i="9"/>
  <c r="AO27" i="9"/>
  <c r="AN27" i="9"/>
  <c r="AM27" i="9"/>
  <c r="AK27" i="9"/>
  <c r="AH27" i="9"/>
  <c r="Y27" i="9"/>
  <c r="V27" i="9"/>
  <c r="P27" i="9"/>
  <c r="M27" i="9"/>
  <c r="AW26" i="9"/>
  <c r="AU26" i="9"/>
  <c r="AS26" i="9"/>
  <c r="AR26" i="9"/>
  <c r="AQ26" i="9"/>
  <c r="AP26" i="9"/>
  <c r="AO26" i="9"/>
  <c r="AN26" i="9"/>
  <c r="AM26" i="9"/>
  <c r="AK26" i="9"/>
  <c r="AH26" i="9"/>
  <c r="Y26" i="9"/>
  <c r="V26" i="9"/>
  <c r="P26" i="9"/>
  <c r="M26" i="9"/>
  <c r="AW25" i="9"/>
  <c r="AU25" i="9"/>
  <c r="AS25" i="9"/>
  <c r="AR25" i="9"/>
  <c r="AQ25" i="9"/>
  <c r="AP25" i="9"/>
  <c r="AO25" i="9"/>
  <c r="AN25" i="9"/>
  <c r="AM25" i="9"/>
  <c r="AK25" i="9"/>
  <c r="AH25" i="9"/>
  <c r="Y25" i="9"/>
  <c r="V25" i="9"/>
  <c r="P25" i="9"/>
  <c r="M25" i="9"/>
  <c r="AW24" i="9"/>
  <c r="AU24" i="9"/>
  <c r="AS24" i="9"/>
  <c r="AR24" i="9"/>
  <c r="AQ24" i="9"/>
  <c r="AP24" i="9"/>
  <c r="AO24" i="9"/>
  <c r="AN24" i="9"/>
  <c r="AM24" i="9"/>
  <c r="AK24" i="9"/>
  <c r="AH24" i="9"/>
  <c r="Y24" i="9"/>
  <c r="V24" i="9"/>
  <c r="P24" i="9"/>
  <c r="M24" i="9"/>
  <c r="AW23" i="9"/>
  <c r="AU23" i="9"/>
  <c r="AS23" i="9"/>
  <c r="AR23" i="9"/>
  <c r="AQ23" i="9"/>
  <c r="AP23" i="9"/>
  <c r="AO23" i="9"/>
  <c r="AN23" i="9"/>
  <c r="AM23" i="9"/>
  <c r="AK23" i="9"/>
  <c r="AH23" i="9"/>
  <c r="Y23" i="9"/>
  <c r="V23" i="9"/>
  <c r="P23" i="9"/>
  <c r="M23" i="9"/>
  <c r="AW22" i="9"/>
  <c r="AU22" i="9"/>
  <c r="AS22" i="9"/>
  <c r="AR22" i="9"/>
  <c r="AQ22" i="9"/>
  <c r="AP22" i="9"/>
  <c r="AO22" i="9"/>
  <c r="AN22" i="9"/>
  <c r="AM22" i="9"/>
  <c r="AK22" i="9"/>
  <c r="AH22" i="9"/>
  <c r="Y22" i="9"/>
  <c r="V22" i="9"/>
  <c r="P22" i="9"/>
  <c r="M22" i="9"/>
  <c r="AW21" i="9"/>
  <c r="AU21" i="9"/>
  <c r="AS21" i="9"/>
  <c r="AR21" i="9"/>
  <c r="AQ21" i="9"/>
  <c r="AP21" i="9"/>
  <c r="AO21" i="9"/>
  <c r="AN21" i="9"/>
  <c r="AM21" i="9"/>
  <c r="AK21" i="9"/>
  <c r="AH21" i="9"/>
  <c r="Y21" i="9"/>
  <c r="V21" i="9"/>
  <c r="P21" i="9"/>
  <c r="M21" i="9"/>
  <c r="AW20" i="9"/>
  <c r="AU20" i="9"/>
  <c r="AS20" i="9"/>
  <c r="AR20" i="9"/>
  <c r="AQ20" i="9"/>
  <c r="AP20" i="9"/>
  <c r="AO20" i="9"/>
  <c r="AN20" i="9"/>
  <c r="AM20" i="9"/>
  <c r="AK20" i="9"/>
  <c r="AH20" i="9"/>
  <c r="Y20" i="9"/>
  <c r="V20" i="9"/>
  <c r="P20" i="9"/>
  <c r="M20" i="9"/>
  <c r="AW19" i="9"/>
  <c r="AU19" i="9"/>
  <c r="AS19" i="9"/>
  <c r="AR19" i="9"/>
  <c r="AQ19" i="9"/>
  <c r="AP19" i="9"/>
  <c r="AO19" i="9"/>
  <c r="AN19" i="9"/>
  <c r="AM19" i="9"/>
  <c r="AK19" i="9"/>
  <c r="AH19" i="9"/>
  <c r="Y19" i="9"/>
  <c r="V19" i="9"/>
  <c r="P19" i="9"/>
  <c r="M19" i="9"/>
  <c r="AW18" i="9"/>
  <c r="AU18" i="9"/>
  <c r="AS18" i="9"/>
  <c r="AR18" i="9"/>
  <c r="AQ18" i="9"/>
  <c r="AP18" i="9"/>
  <c r="AO18" i="9"/>
  <c r="AN18" i="9"/>
  <c r="AM18" i="9"/>
  <c r="AK18" i="9"/>
  <c r="AH18" i="9"/>
  <c r="Y18" i="9"/>
  <c r="V18" i="9"/>
  <c r="P18" i="9"/>
  <c r="M18" i="9"/>
  <c r="AW17" i="9"/>
  <c r="AU17" i="9"/>
  <c r="AS17" i="9"/>
  <c r="AR17" i="9"/>
  <c r="AQ17" i="9"/>
  <c r="AP17" i="9"/>
  <c r="AO17" i="9"/>
  <c r="AN17" i="9"/>
  <c r="AM17" i="9"/>
  <c r="AK17" i="9"/>
  <c r="AH17" i="9"/>
  <c r="Y17" i="9"/>
  <c r="V17" i="9"/>
  <c r="P17" i="9"/>
  <c r="M17" i="9"/>
  <c r="AW16" i="9"/>
  <c r="AU16" i="9"/>
  <c r="AS16" i="9"/>
  <c r="AR16" i="9"/>
  <c r="AQ16" i="9"/>
  <c r="AP16" i="9"/>
  <c r="AO16" i="9"/>
  <c r="AN16" i="9"/>
  <c r="AM16" i="9"/>
  <c r="AK16" i="9"/>
  <c r="AH16" i="9"/>
  <c r="Y16" i="9"/>
  <c r="V16" i="9"/>
  <c r="P16" i="9"/>
  <c r="M16" i="9"/>
  <c r="AW15" i="9"/>
  <c r="AU15" i="9"/>
  <c r="AS15" i="9"/>
  <c r="AR15" i="9"/>
  <c r="AQ15" i="9"/>
  <c r="AP15" i="9"/>
  <c r="AO15" i="9"/>
  <c r="AN15" i="9"/>
  <c r="AM15" i="9"/>
  <c r="AK15" i="9"/>
  <c r="AH15" i="9"/>
  <c r="Y15" i="9"/>
  <c r="V15" i="9"/>
  <c r="P15" i="9"/>
  <c r="M15" i="9"/>
  <c r="AW14" i="9"/>
  <c r="AU14" i="9"/>
  <c r="AS14" i="9"/>
  <c r="AR14" i="9"/>
  <c r="AQ14" i="9"/>
  <c r="AP14" i="9"/>
  <c r="AO14" i="9"/>
  <c r="AN14" i="9"/>
  <c r="AM14" i="9"/>
  <c r="AM74" i="9" s="1"/>
  <c r="AK14" i="9"/>
  <c r="AH14" i="9"/>
  <c r="Y14" i="9"/>
  <c r="V14" i="9"/>
  <c r="P14" i="9"/>
  <c r="M14" i="9"/>
  <c r="AW13" i="9"/>
  <c r="AU13" i="9"/>
  <c r="AQ13" i="9"/>
  <c r="AP13" i="9"/>
  <c r="AO13" i="9"/>
  <c r="AN13" i="9"/>
  <c r="AM13" i="9"/>
  <c r="AK13" i="9"/>
  <c r="AH13" i="9"/>
  <c r="Y13" i="9"/>
  <c r="V13" i="9"/>
  <c r="P13" i="9"/>
  <c r="M13" i="9"/>
  <c r="AW12" i="9"/>
  <c r="AU12" i="9"/>
  <c r="AS12" i="9"/>
  <c r="AR12" i="9"/>
  <c r="AQ12" i="9"/>
  <c r="AP12" i="9"/>
  <c r="AO12" i="9"/>
  <c r="AN12" i="9"/>
  <c r="AM12" i="9"/>
  <c r="AK12" i="9"/>
  <c r="AH12" i="9"/>
  <c r="Y12" i="9"/>
  <c r="V12" i="9"/>
  <c r="P12" i="9"/>
  <c r="M12" i="9"/>
  <c r="AW11" i="9"/>
  <c r="AU11" i="9"/>
  <c r="AS11" i="9"/>
  <c r="AR11" i="9"/>
  <c r="AQ11" i="9"/>
  <c r="AP11" i="9"/>
  <c r="AO11" i="9"/>
  <c r="AN11" i="9"/>
  <c r="AM11" i="9"/>
  <c r="AK11" i="9"/>
  <c r="AH11" i="9"/>
  <c r="Y11" i="9"/>
  <c r="V11" i="9"/>
  <c r="P11" i="9"/>
  <c r="M11" i="9"/>
  <c r="AW10" i="9"/>
  <c r="AU10" i="9"/>
  <c r="AS10" i="9"/>
  <c r="AR10" i="9"/>
  <c r="AQ10" i="9"/>
  <c r="AP10" i="9"/>
  <c r="AO10" i="9"/>
  <c r="AN10" i="9"/>
  <c r="AM10" i="9"/>
  <c r="AK10" i="9"/>
  <c r="AH10" i="9"/>
  <c r="Y10" i="9"/>
  <c r="V10" i="9"/>
  <c r="P10" i="9"/>
  <c r="M10" i="9"/>
  <c r="AW9" i="9"/>
  <c r="AU9" i="9"/>
  <c r="AS9" i="9"/>
  <c r="AR9" i="9"/>
  <c r="AQ9" i="9"/>
  <c r="AP9" i="9"/>
  <c r="AO9" i="9"/>
  <c r="AN9" i="9"/>
  <c r="AM9" i="9"/>
  <c r="AK9" i="9"/>
  <c r="AH9" i="9"/>
  <c r="Y9" i="9"/>
  <c r="V9" i="9"/>
  <c r="P9" i="9"/>
  <c r="M9" i="9"/>
  <c r="AW8" i="9"/>
  <c r="AU8" i="9"/>
  <c r="AS8" i="9"/>
  <c r="AR8" i="9"/>
  <c r="AQ8" i="9"/>
  <c r="AP8" i="9"/>
  <c r="AO8" i="9"/>
  <c r="AN8" i="9"/>
  <c r="AM8" i="9"/>
  <c r="AK8" i="9"/>
  <c r="AH8" i="9"/>
  <c r="Y8" i="9"/>
  <c r="V8" i="9"/>
  <c r="P8" i="9"/>
  <c r="M8" i="9"/>
  <c r="AW7" i="9"/>
  <c r="AU7" i="9"/>
  <c r="AS7" i="9"/>
  <c r="AR7" i="9"/>
  <c r="AQ7" i="9"/>
  <c r="AP7" i="9"/>
  <c r="AO7" i="9"/>
  <c r="AN7" i="9"/>
  <c r="AM7" i="9"/>
  <c r="AK7" i="9"/>
  <c r="AH7" i="9"/>
  <c r="Y7" i="9"/>
  <c r="V7" i="9"/>
  <c r="P7" i="9"/>
  <c r="M7" i="9"/>
  <c r="AW6" i="9"/>
  <c r="AU6" i="9"/>
  <c r="AS6" i="9"/>
  <c r="AR6" i="9"/>
  <c r="AQ6" i="9"/>
  <c r="AP6" i="9"/>
  <c r="AP74" i="9" s="1"/>
  <c r="AO6" i="9"/>
  <c r="AN6" i="9"/>
  <c r="AM6" i="9"/>
  <c r="AK6" i="9"/>
  <c r="AH6" i="9"/>
  <c r="Y6" i="9"/>
  <c r="V6" i="9"/>
  <c r="P6" i="9"/>
  <c r="M6" i="9"/>
  <c r="AW5" i="9"/>
  <c r="AU5" i="9"/>
  <c r="AS5" i="9"/>
  <c r="AR5" i="9"/>
  <c r="AQ5" i="9"/>
  <c r="AP5" i="9"/>
  <c r="AO5" i="9"/>
  <c r="AN5" i="9"/>
  <c r="AM5" i="9"/>
  <c r="AK5" i="9"/>
  <c r="AH5" i="9"/>
  <c r="Y5" i="9"/>
  <c r="V5" i="9"/>
  <c r="P5" i="9"/>
  <c r="M5" i="9"/>
  <c r="AW4" i="9"/>
  <c r="AU4" i="9"/>
  <c r="AS4" i="9"/>
  <c r="AR4" i="9"/>
  <c r="AQ4" i="9"/>
  <c r="AP4" i="9"/>
  <c r="AO4" i="9"/>
  <c r="AN4" i="9"/>
  <c r="AN74" i="9" s="1"/>
  <c r="AM4" i="9"/>
  <c r="AK4" i="9"/>
  <c r="AH4" i="9"/>
  <c r="Y4" i="9"/>
  <c r="V4" i="9"/>
  <c r="P4" i="9"/>
  <c r="M4" i="9"/>
  <c r="AW3" i="9"/>
  <c r="AW76" i="9" s="1"/>
  <c r="AU3" i="9"/>
  <c r="AU76" i="9" s="1"/>
  <c r="AS3" i="9"/>
  <c r="AR3" i="9"/>
  <c r="AQ3" i="9"/>
  <c r="AP3" i="9"/>
  <c r="AP75" i="9" s="1"/>
  <c r="AO3" i="9"/>
  <c r="AN3" i="9"/>
  <c r="AN76" i="9" s="1"/>
  <c r="AM3" i="9"/>
  <c r="AM76" i="9" s="1"/>
  <c r="AK3" i="9"/>
  <c r="AH3" i="9"/>
  <c r="Y3" i="9"/>
  <c r="V3" i="9"/>
  <c r="P3" i="9"/>
  <c r="M3" i="9"/>
  <c r="E16" i="10" l="1"/>
  <c r="AR76" i="9"/>
  <c r="AS76" i="9"/>
  <c r="P76" i="9"/>
  <c r="M76" i="9"/>
  <c r="AR74" i="9"/>
  <c r="Y76" i="9"/>
  <c r="AS74" i="9"/>
  <c r="AH76" i="9"/>
  <c r="Y74" i="9"/>
  <c r="M74" i="9"/>
  <c r="M75" i="9" s="1"/>
  <c r="AK76" i="9"/>
  <c r="V74" i="9"/>
  <c r="V75" i="9" s="1"/>
  <c r="B32" i="17"/>
  <c r="E31" i="17"/>
  <c r="AR75" i="9"/>
  <c r="AO76" i="9"/>
  <c r="E12" i="10"/>
  <c r="AH74" i="9"/>
  <c r="AH75" i="9" s="1"/>
  <c r="AU74" i="9"/>
  <c r="AU75" i="9" s="1"/>
  <c r="AK74" i="9"/>
  <c r="AK75" i="9" s="1"/>
  <c r="AW74" i="9"/>
  <c r="Y75" i="9"/>
  <c r="AS75" i="9"/>
  <c r="V76" i="9"/>
  <c r="AP76" i="9"/>
  <c r="AQ76" i="9"/>
  <c r="AW75" i="9"/>
  <c r="P74" i="9"/>
  <c r="P75" i="9" s="1"/>
  <c r="AO74" i="9"/>
  <c r="AO75" i="9" s="1"/>
  <c r="AQ74" i="9"/>
  <c r="AQ75" i="9" s="1"/>
  <c r="AM75" i="9"/>
  <c r="AN75" i="9"/>
</calcChain>
</file>

<file path=xl/sharedStrings.xml><?xml version="1.0" encoding="utf-8"?>
<sst xmlns="http://schemas.openxmlformats.org/spreadsheetml/2006/main" count="19367" uniqueCount="866">
  <si>
    <t>Student Name</t>
  </si>
  <si>
    <t>Grd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</si>
  <si>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</si>
  <si>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</si>
  <si>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</si>
  <si>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</si>
  <si>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</si>
  <si>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</si>
  <si>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</si>
  <si>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</si>
  <si>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</si>
  <si>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</si>
  <si>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</si>
  <si>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</si>
  <si>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</si>
  <si>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</si>
  <si>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</si>
  <si>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</si>
  <si>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</si>
  <si>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</si>
  <si>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Perc</t>
  </si>
  <si>
    <t>Mark</t>
  </si>
  <si>
    <t>Max Correct:</t>
  </si>
  <si>
    <t>100</t>
  </si>
  <si>
    <t>28</t>
  </si>
  <si>
    <t>22</t>
  </si>
  <si>
    <t>**Grading Completed:</t>
  </si>
  <si>
    <t>Y</t>
  </si>
  <si>
    <t>N</t>
  </si>
  <si>
    <t xml:space="preserve">Anastacio Aquino, Aaron </t>
  </si>
  <si>
    <t>88.29</t>
  </si>
  <si>
    <t>B+</t>
  </si>
  <si>
    <t xml:space="preserve">Awol, Akrem </t>
  </si>
  <si>
    <t>73.66</t>
  </si>
  <si>
    <t>C</t>
  </si>
  <si>
    <t>Blue, Rex Michael</t>
  </si>
  <si>
    <t>87.68</t>
  </si>
  <si>
    <t>Bohlmann, Logan Dominic</t>
  </si>
  <si>
    <t>81.25</t>
  </si>
  <si>
    <t>B-</t>
  </si>
  <si>
    <t xml:space="preserve">Castro, Mariano </t>
  </si>
  <si>
    <t>95.62</t>
  </si>
  <si>
    <t>A</t>
  </si>
  <si>
    <t>De La Fuente, Sofia Elena</t>
  </si>
  <si>
    <t>83.71</t>
  </si>
  <si>
    <t>B</t>
  </si>
  <si>
    <t>Deniaud, Zoe Sunshine</t>
  </si>
  <si>
    <t>81.02</t>
  </si>
  <si>
    <t>Fleischacker, Kathryn Elyssa</t>
  </si>
  <si>
    <t>63.09</t>
  </si>
  <si>
    <t>D</t>
  </si>
  <si>
    <t>Garcia, Alexander Julian</t>
  </si>
  <si>
    <t>70.72</t>
  </si>
  <si>
    <t>C-</t>
  </si>
  <si>
    <t>Gupta, Tara Sophia</t>
  </si>
  <si>
    <t>80.56</t>
  </si>
  <si>
    <t xml:space="preserve">Gutierrez, Ingrid </t>
  </si>
  <si>
    <t>57.68</t>
  </si>
  <si>
    <t>F</t>
  </si>
  <si>
    <t>Harvey, Caden Henry</t>
  </si>
  <si>
    <t>75.62</t>
  </si>
  <si>
    <t>Henschel, Alana Michelle</t>
  </si>
  <si>
    <t>71.87</t>
  </si>
  <si>
    <t>Hummel, Lukas Kazuya</t>
  </si>
  <si>
    <t>95.09</t>
  </si>
  <si>
    <t>Hurtado, Matthew Michael</t>
  </si>
  <si>
    <t>69.7</t>
  </si>
  <si>
    <t>D+</t>
  </si>
  <si>
    <t>Mankaryous, Mark Ihab Gergis</t>
  </si>
  <si>
    <t>90.49</t>
  </si>
  <si>
    <t>A-</t>
  </si>
  <si>
    <t>Mendoza, Genesis Guadalupe</t>
  </si>
  <si>
    <t>56.2</t>
  </si>
  <si>
    <t>Narvaez, Jesus Manuel</t>
  </si>
  <si>
    <t>91.42</t>
  </si>
  <si>
    <t>O'Connor, Finn Richard</t>
  </si>
  <si>
    <t>81.19</t>
  </si>
  <si>
    <t>Pitts, Miles Parker</t>
  </si>
  <si>
    <t>85.53</t>
  </si>
  <si>
    <t>Rataj, Taylor Marley</t>
  </si>
  <si>
    <t>89.33</t>
  </si>
  <si>
    <t>Stern, Stefano Adrian</t>
  </si>
  <si>
    <t>86.13</t>
  </si>
  <si>
    <t>Thomas, Kennedy Love</t>
  </si>
  <si>
    <t>68.71</t>
  </si>
  <si>
    <t>Vides, Adriana Stephanie</t>
  </si>
  <si>
    <t>62.96</t>
  </si>
  <si>
    <t>D-</t>
  </si>
  <si>
    <t>Class Average:</t>
  </si>
  <si>
    <t>12.16</t>
  </si>
  <si>
    <t>10.25</t>
  </si>
  <si>
    <t>8.76</t>
  </si>
  <si>
    <t>81.16</t>
  </si>
  <si>
    <t>14.95</t>
  </si>
  <si>
    <t>9.93</t>
  </si>
  <si>
    <t>9.29</t>
  </si>
  <si>
    <t>78.29</t>
  </si>
  <si>
    <t>9.75</t>
  </si>
  <si>
    <t>8.86</t>
  </si>
  <si>
    <t>8.06</t>
  </si>
  <si>
    <t>9.91</t>
  </si>
  <si>
    <t>79.41</t>
  </si>
  <si>
    <t>0</t>
  </si>
  <si>
    <t>12.72</t>
  </si>
  <si>
    <t>9.55</t>
  </si>
  <si>
    <t>16.78</t>
  </si>
  <si>
    <t>6.81</t>
  </si>
  <si>
    <t>78.65</t>
  </si>
  <si>
    <t>C+</t>
  </si>
  <si>
    <t>Gradebook Summary</t>
  </si>
  <si>
    <t>3 - Algebra II - Fall</t>
  </si>
  <si>
    <t>Teacher: Yahya</t>
  </si>
  <si>
    <t>Total Graded Assignments: 10</t>
  </si>
  <si>
    <t>1</t>
  </si>
  <si>
    <t>2</t>
  </si>
  <si>
    <t>3</t>
  </si>
  <si>
    <t>23</t>
  </si>
  <si>
    <t>25</t>
  </si>
  <si>
    <t>26</t>
  </si>
  <si>
    <t>27</t>
  </si>
  <si>
    <t>50</t>
  </si>
  <si>
    <t>Alexander, Chasity Milan</t>
  </si>
  <si>
    <t>69.18</t>
  </si>
  <si>
    <t>Alvarado, Ian Learsi</t>
  </si>
  <si>
    <t>77.08</t>
  </si>
  <si>
    <t>Arce Parra, Miguel Angel</t>
  </si>
  <si>
    <t>71.6</t>
  </si>
  <si>
    <t>Barling, Loretta Rose</t>
  </si>
  <si>
    <t>80.04</t>
  </si>
  <si>
    <t>Barling, Roxanna Belle</t>
  </si>
  <si>
    <t>80.48</t>
  </si>
  <si>
    <t xml:space="preserve">Candelario, Michelle </t>
  </si>
  <si>
    <t>74.73</t>
  </si>
  <si>
    <t>Clinton, Jerica Nichelle</t>
  </si>
  <si>
    <t>79.96</t>
  </si>
  <si>
    <t>Cole, Timothy Evan</t>
  </si>
  <si>
    <t>92.71</t>
  </si>
  <si>
    <t>DeMarquette, Katelynn Nicole</t>
  </si>
  <si>
    <t>93.28</t>
  </si>
  <si>
    <t>Gaynor, Kiri Elise</t>
  </si>
  <si>
    <t>94.35</t>
  </si>
  <si>
    <t>Guzman, Andrew Alexander</t>
  </si>
  <si>
    <t>54.6</t>
  </si>
  <si>
    <t>Hunter, Ava Inez</t>
  </si>
  <si>
    <t>75.53</t>
  </si>
  <si>
    <t xml:space="preserve">Kirk, Soledad </t>
  </si>
  <si>
    <t>77.61</t>
  </si>
  <si>
    <t>Kleinbergs, Hopi Rae</t>
  </si>
  <si>
    <t>71.38</t>
  </si>
  <si>
    <t>Kuter, Simone Olivia</t>
  </si>
  <si>
    <t>NA</t>
  </si>
  <si>
    <t>91.87</t>
  </si>
  <si>
    <t xml:space="preserve">Lagunes, Nate </t>
  </si>
  <si>
    <t>63.49</t>
  </si>
  <si>
    <t>Marshall, Arin Larae</t>
  </si>
  <si>
    <t>88.92</t>
  </si>
  <si>
    <t>Martin, Benjamin Yerrick</t>
  </si>
  <si>
    <t>89.14</t>
  </si>
  <si>
    <t xml:space="preserve">Melendez, Brayan </t>
  </si>
  <si>
    <t>83.26</t>
  </si>
  <si>
    <t>Moroz, Mia Sienna</t>
  </si>
  <si>
    <t>85.21</t>
  </si>
  <si>
    <t>Moultrie, Dante Taj</t>
  </si>
  <si>
    <t>73.06</t>
  </si>
  <si>
    <t>Nguyen, Ellian Anthony</t>
  </si>
  <si>
    <t>73.44</t>
  </si>
  <si>
    <t>Ramirez, Sebastian Rafael</t>
  </si>
  <si>
    <t>65.9</t>
  </si>
  <si>
    <t>Robinson, Cannon Jax</t>
  </si>
  <si>
    <t>69.94</t>
  </si>
  <si>
    <t>Samuel, Asher David</t>
  </si>
  <si>
    <t>71.02</t>
  </si>
  <si>
    <t>Santos, Devin Alec</t>
  </si>
  <si>
    <t>68.79</t>
  </si>
  <si>
    <t xml:space="preserve">Sorbille, Francesca Carolina </t>
  </si>
  <si>
    <t>92.91</t>
  </si>
  <si>
    <t>Spector, Saya Kagawa</t>
  </si>
  <si>
    <t>91.76</t>
  </si>
  <si>
    <t>Sukal, Liam Joseph</t>
  </si>
  <si>
    <t>70.36</t>
  </si>
  <si>
    <t>Sulejmanagic, Hana Iman</t>
  </si>
  <si>
    <t>92.78</t>
  </si>
  <si>
    <t>Tapia, Ryan Blaze</t>
  </si>
  <si>
    <t>71.12</t>
  </si>
  <si>
    <t>Weiss, Jacob Rubin</t>
  </si>
  <si>
    <t>93.14</t>
  </si>
  <si>
    <t>Wolfe, Stella Rochelle</t>
  </si>
  <si>
    <t>72.22</t>
  </si>
  <si>
    <t>Yang, Grace Camilla</t>
  </si>
  <si>
    <t>74.56</t>
  </si>
  <si>
    <t>Zhao, Bruce Lee</t>
  </si>
  <si>
    <t>91.12</t>
  </si>
  <si>
    <t>4.61</t>
  </si>
  <si>
    <t>42.25</t>
  </si>
  <si>
    <t>0.72</t>
  </si>
  <si>
    <t>0.74</t>
  </si>
  <si>
    <t>0.59</t>
  </si>
  <si>
    <t>79.82</t>
  </si>
  <si>
    <t>0.61</t>
  </si>
  <si>
    <t>0.46</t>
  </si>
  <si>
    <t>0.17</t>
  </si>
  <si>
    <t>4.9</t>
  </si>
  <si>
    <t>0.62</t>
  </si>
  <si>
    <t>0.57</t>
  </si>
  <si>
    <t>44.6</t>
  </si>
  <si>
    <t>79.62</t>
  </si>
  <si>
    <t>2.94</t>
  </si>
  <si>
    <t>3.14</t>
  </si>
  <si>
    <t>2.88</t>
  </si>
  <si>
    <t>76.77</t>
  </si>
  <si>
    <t>2.05</t>
  </si>
  <si>
    <t>44.17</t>
  </si>
  <si>
    <t>1.85</t>
  </si>
  <si>
    <t>79.04</t>
  </si>
  <si>
    <t>4 - Algebra II - Fall</t>
  </si>
  <si>
    <t>Aldana, Sofia Maria</t>
  </si>
  <si>
    <t>72.4</t>
  </si>
  <si>
    <t>Betts, Brianna Simone</t>
  </si>
  <si>
    <t>82.75</t>
  </si>
  <si>
    <t>Bloom, Micah Noah</t>
  </si>
  <si>
    <t>70.64</t>
  </si>
  <si>
    <t xml:space="preserve">Carrillo Munoz, Aaron </t>
  </si>
  <si>
    <t>77.41</t>
  </si>
  <si>
    <t>Cruz-Cruz, Jose Angel</t>
  </si>
  <si>
    <t>92.84</t>
  </si>
  <si>
    <t xml:space="preserve">Garwick, Sur Logan James Gabriel </t>
  </si>
  <si>
    <t>71.39</t>
  </si>
  <si>
    <t xml:space="preserve">Gonzalez Ortega, Aaron </t>
  </si>
  <si>
    <t>88.27</t>
  </si>
  <si>
    <t>Griffith, Chloe Quinn</t>
  </si>
  <si>
    <t>82.04</t>
  </si>
  <si>
    <t>Hernandez, Cristian Aury</t>
  </si>
  <si>
    <t>47.15</t>
  </si>
  <si>
    <t>Hernandez, Marco Antonio</t>
  </si>
  <si>
    <t>78.87</t>
  </si>
  <si>
    <t>Hernandez Trujillo, David John</t>
  </si>
  <si>
    <t>85.1</t>
  </si>
  <si>
    <t>Hoang, Nicholas Quoc</t>
  </si>
  <si>
    <t>93.56</t>
  </si>
  <si>
    <t>Jones, Addan Errick</t>
  </si>
  <si>
    <t>79.22</t>
  </si>
  <si>
    <t>Katz, Charlee Marie</t>
  </si>
  <si>
    <t>52.94</t>
  </si>
  <si>
    <t>Layne, Francesca Victoria</t>
  </si>
  <si>
    <t>Lipsky, India Willow</t>
  </si>
  <si>
    <t>85.13</t>
  </si>
  <si>
    <t>Lopez, India Na Lei</t>
  </si>
  <si>
    <t>64.93</t>
  </si>
  <si>
    <t xml:space="preserve">Lopez, Jonathan </t>
  </si>
  <si>
    <t>86.91</t>
  </si>
  <si>
    <t>Lopez Curiel, Heidy Adilene</t>
  </si>
  <si>
    <t>50.31</t>
  </si>
  <si>
    <t>Marestein, Albert Arthur</t>
  </si>
  <si>
    <t>79.57</t>
  </si>
  <si>
    <t xml:space="preserve">Martinez Gomez, Gerardo </t>
  </si>
  <si>
    <t>68.64</t>
  </si>
  <si>
    <t xml:space="preserve">Martinez Luis, Albert </t>
  </si>
  <si>
    <t>72.33</t>
  </si>
  <si>
    <t>Marzola, Amaya Gabriella</t>
  </si>
  <si>
    <t>73.96</t>
  </si>
  <si>
    <t>Mitchell, Celia Lucy</t>
  </si>
  <si>
    <t>84.83</t>
  </si>
  <si>
    <t>Moore, Harley Charmont'E-Daylen</t>
  </si>
  <si>
    <t>50.67</t>
  </si>
  <si>
    <t>Orci, Sabrina Alicia</t>
  </si>
  <si>
    <t>88.42</t>
  </si>
  <si>
    <t>Paesel, Kiran Duchamp</t>
  </si>
  <si>
    <t>97.27</t>
  </si>
  <si>
    <t>A+</t>
  </si>
  <si>
    <t>Perez, Daniel Jorge</t>
  </si>
  <si>
    <t>71.14</t>
  </si>
  <si>
    <t>Rice-Porter, Zoe Luna</t>
  </si>
  <si>
    <t>92.38</t>
  </si>
  <si>
    <t>Robles, Sienna Marie</t>
  </si>
  <si>
    <t>95.78</t>
  </si>
  <si>
    <t>Sandoval Galeas, Saul Nemecio</t>
  </si>
  <si>
    <t>75.34</t>
  </si>
  <si>
    <t>Stonawski, Christopher Alexander</t>
  </si>
  <si>
    <t>65.23</t>
  </si>
  <si>
    <t xml:space="preserve">Stuck, Joshua </t>
  </si>
  <si>
    <t>77.1</t>
  </si>
  <si>
    <t>Weber Smith, Oliver Salvator</t>
  </si>
  <si>
    <t>58.29</t>
  </si>
  <si>
    <t>Williams, Isaiah Tremmel</t>
  </si>
  <si>
    <t>65.12</t>
  </si>
  <si>
    <t>Wilson, Langston Styles</t>
  </si>
  <si>
    <t>64.38</t>
  </si>
  <si>
    <t>4.85</t>
  </si>
  <si>
    <t>0.6</t>
  </si>
  <si>
    <t>0.65</t>
  </si>
  <si>
    <t>46.51</t>
  </si>
  <si>
    <t>0.56</t>
  </si>
  <si>
    <t>78.54</t>
  </si>
  <si>
    <t>0.32</t>
  </si>
  <si>
    <t>0.2</t>
  </si>
  <si>
    <t>4.36</t>
  </si>
  <si>
    <t>0.52</t>
  </si>
  <si>
    <t>0.45</t>
  </si>
  <si>
    <t>43.37</t>
  </si>
  <si>
    <t>0.69</t>
  </si>
  <si>
    <t>75.3</t>
  </si>
  <si>
    <t>2.22</t>
  </si>
  <si>
    <t>2.45</t>
  </si>
  <si>
    <t>2.63</t>
  </si>
  <si>
    <t>2.5</t>
  </si>
  <si>
    <t>71.55</t>
  </si>
  <si>
    <t>42.66</t>
  </si>
  <si>
    <t>1.66</t>
  </si>
  <si>
    <t>75.65</t>
  </si>
  <si>
    <t>5 - Geometry - Fall</t>
  </si>
  <si>
    <t>Total Graded Assignments: 4</t>
  </si>
  <si>
    <t>Abdur-Rahim, Nya Alicia</t>
  </si>
  <si>
    <t>71.78</t>
  </si>
  <si>
    <t>Allen, Leonard Gabriel</t>
  </si>
  <si>
    <t>73.11</t>
  </si>
  <si>
    <t>Basak, Zara Nur</t>
  </si>
  <si>
    <t>96.1</t>
  </si>
  <si>
    <t>Cunningham, Noah Jacob</t>
  </si>
  <si>
    <t>62.62</t>
  </si>
  <si>
    <t>Duarte Lopez, Abraham Saul</t>
  </si>
  <si>
    <t>83.31</t>
  </si>
  <si>
    <t>Estevez, Jesus Suarez</t>
  </si>
  <si>
    <t>89.43</t>
  </si>
  <si>
    <t>Garcia, Danielle Melodie</t>
  </si>
  <si>
    <t>62.27</t>
  </si>
  <si>
    <t>Goldstein, Emily Giselle</t>
  </si>
  <si>
    <t>92.73</t>
  </si>
  <si>
    <t>Hernandez, Fernando Sebastian</t>
  </si>
  <si>
    <t>87.25</t>
  </si>
  <si>
    <t>Hernandez, Victor Isaiah</t>
  </si>
  <si>
    <t>81.45</t>
  </si>
  <si>
    <t>Jones, Zion Erricka</t>
  </si>
  <si>
    <t>67.93</t>
  </si>
  <si>
    <t xml:space="preserve">Kyaw, Eaint Sandy </t>
  </si>
  <si>
    <t>71.84</t>
  </si>
  <si>
    <t>McConnell-Mayo, Hale Marie</t>
  </si>
  <si>
    <t>80.25</t>
  </si>
  <si>
    <t>Moore, Nathan Andrew</t>
  </si>
  <si>
    <t>51.96</t>
  </si>
  <si>
    <t>Oo, Kyaw San</t>
  </si>
  <si>
    <t>88.85</t>
  </si>
  <si>
    <t xml:space="preserve">Phillips, Max </t>
  </si>
  <si>
    <t>95.45</t>
  </si>
  <si>
    <t>Powell, Evan Jemeel</t>
  </si>
  <si>
    <t>80.77</t>
  </si>
  <si>
    <t>Sanchez, Alessandro Matteo</t>
  </si>
  <si>
    <t>65.34</t>
  </si>
  <si>
    <t>Sanders, Amani-Marie U'ilani</t>
  </si>
  <si>
    <t>66.66</t>
  </si>
  <si>
    <t>Schoffman, Spike Hokusai</t>
  </si>
  <si>
    <t>83.32</t>
  </si>
  <si>
    <t>Tell, Leah Celeste</t>
  </si>
  <si>
    <t>76.13</t>
  </si>
  <si>
    <t>Trimpe, Emmett Lawrence</t>
  </si>
  <si>
    <t>70.53</t>
  </si>
  <si>
    <t>Vallarte, Valeria Samantha</t>
  </si>
  <si>
    <t>68.35</t>
  </si>
  <si>
    <t>Villa, Jaiden Blaise</t>
  </si>
  <si>
    <t>54.08</t>
  </si>
  <si>
    <t>Wasiel, Daniel Yuto</t>
  </si>
  <si>
    <t>91.41</t>
  </si>
  <si>
    <t>Wright, Samuel Bryce</t>
  </si>
  <si>
    <t>85.97</t>
  </si>
  <si>
    <t>12.85</t>
  </si>
  <si>
    <t>9.57</t>
  </si>
  <si>
    <t>8.24</t>
  </si>
  <si>
    <t>78.07</t>
  </si>
  <si>
    <t>15.84</t>
  </si>
  <si>
    <t>8.82</t>
  </si>
  <si>
    <t>8.44</t>
  </si>
  <si>
    <t>80.8</t>
  </si>
  <si>
    <t>8.04</t>
  </si>
  <si>
    <t>7.32</t>
  </si>
  <si>
    <t>8.71</t>
  </si>
  <si>
    <t>76.48</t>
  </si>
  <si>
    <t>19.08</t>
  </si>
  <si>
    <t>10.78</t>
  </si>
  <si>
    <t>7.77</t>
  </si>
  <si>
    <t>7.63</t>
  </si>
  <si>
    <t>76.88</t>
  </si>
  <si>
    <t>6 - Geometry - Fall</t>
  </si>
  <si>
    <t>Anaya, Nicolas Logan</t>
  </si>
  <si>
    <t>67.08</t>
  </si>
  <si>
    <t xml:space="preserve">Colon-Quintero, Ethan </t>
  </si>
  <si>
    <t>33.72</t>
  </si>
  <si>
    <t xml:space="preserve">Diego, Luis </t>
  </si>
  <si>
    <t>79.37</t>
  </si>
  <si>
    <t xml:space="preserve">Garcia, Andy </t>
  </si>
  <si>
    <t>55.74</t>
  </si>
  <si>
    <t>Hernandez- Santiago, Nestor Adan</t>
  </si>
  <si>
    <t>88.54</t>
  </si>
  <si>
    <t>Kelly, Arianna Emily</t>
  </si>
  <si>
    <t>75.78</t>
  </si>
  <si>
    <t>Liang, Ella Ang-Chi</t>
  </si>
  <si>
    <t>Lopez, Sonya Natasha</t>
  </si>
  <si>
    <t>81.54</t>
  </si>
  <si>
    <t>McBride, Mason James</t>
  </si>
  <si>
    <t>71.3</t>
  </si>
  <si>
    <t>Mizokami, Mason Noah</t>
  </si>
  <si>
    <t>95.73</t>
  </si>
  <si>
    <t>Ortiz, Jordy Yahir</t>
  </si>
  <si>
    <t>74.36</t>
  </si>
  <si>
    <t xml:space="preserve">Reyes, Kyla </t>
  </si>
  <si>
    <t>89.94</t>
  </si>
  <si>
    <t>Sisodiya, Taran Deepak</t>
  </si>
  <si>
    <t>80.86</t>
  </si>
  <si>
    <t>Tsui, Edith Kai Yu</t>
  </si>
  <si>
    <t>94.97</t>
  </si>
  <si>
    <t xml:space="preserve">Valencia, Isabel </t>
  </si>
  <si>
    <t>83.8</t>
  </si>
  <si>
    <t>Wells, Lorenzo Dan</t>
  </si>
  <si>
    <t>79.42</t>
  </si>
  <si>
    <t>12.25</t>
  </si>
  <si>
    <t>10.41</t>
  </si>
  <si>
    <t>7.55</t>
  </si>
  <si>
    <t>81.93</t>
  </si>
  <si>
    <t>15.75</t>
  </si>
  <si>
    <t>11.12</t>
  </si>
  <si>
    <t>9.84</t>
  </si>
  <si>
    <t>76.87</t>
  </si>
  <si>
    <t>8.65</t>
  </si>
  <si>
    <t>10.05</t>
  </si>
  <si>
    <t>74.12</t>
  </si>
  <si>
    <t>19.12</t>
  </si>
  <si>
    <t>18.6</t>
  </si>
  <si>
    <t>7.06</t>
  </si>
  <si>
    <t>10.62</t>
  </si>
  <si>
    <t>77.81</t>
  </si>
  <si>
    <t>ID (fake)</t>
  </si>
  <si>
    <t>gender</t>
  </si>
  <si>
    <t>Grade_LVL</t>
  </si>
  <si>
    <t xml:space="preserve">Practice 1.1 </t>
  </si>
  <si>
    <t>Practice 1.2</t>
  </si>
  <si>
    <t>Practice 1.3</t>
  </si>
  <si>
    <t>Practice 1.4</t>
  </si>
  <si>
    <t>Practice 1.5</t>
  </si>
  <si>
    <t>Practice 1.6</t>
  </si>
  <si>
    <t>Practice 1.0 Syllabus</t>
  </si>
  <si>
    <t>Practice Unit 1 Group Quiz</t>
  </si>
  <si>
    <t>Unit 1 Test</t>
  </si>
  <si>
    <t>Unit 1 Test Retake</t>
  </si>
  <si>
    <t>Unit 1 Test Overall Score</t>
  </si>
  <si>
    <t>Practice 2.2</t>
  </si>
  <si>
    <t>Practice 2.3</t>
  </si>
  <si>
    <t xml:space="preserve">Practice 2.4 Desmos </t>
  </si>
  <si>
    <t>Practice Unit 2 Group Quiz</t>
  </si>
  <si>
    <t>Unit 2 Test</t>
  </si>
  <si>
    <t>Unit 2 Test Retake</t>
  </si>
  <si>
    <t>Unit 2 Test Overall Score</t>
  </si>
  <si>
    <t xml:space="preserve">Practice 3.3 </t>
  </si>
  <si>
    <t xml:space="preserve">Practice 3.4 </t>
  </si>
  <si>
    <t>Practice 3.5</t>
  </si>
  <si>
    <t>Practice 3.7</t>
  </si>
  <si>
    <t>Practice 3.8</t>
  </si>
  <si>
    <t>Practice 3.10</t>
  </si>
  <si>
    <t>Practice Unit 3 Group Quiz</t>
  </si>
  <si>
    <t>Unit 3 Test</t>
  </si>
  <si>
    <t>Unit 3 Test Retake</t>
  </si>
  <si>
    <t>Unit 3 Test Overall Score</t>
  </si>
  <si>
    <t>Final Score</t>
  </si>
  <si>
    <t>001</t>
  </si>
  <si>
    <t>f</t>
  </si>
  <si>
    <t>na</t>
  </si>
  <si>
    <t>002</t>
  </si>
  <si>
    <t>m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</si>
  <si>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</si>
  <si>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</si>
  <si>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</si>
  <si>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</si>
  <si>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</si>
  <si>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</si>
  <si>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</si>
  <si>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</si>
  <si>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</si>
  <si>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</si>
  <si>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</si>
  <si>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</si>
  <si>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</si>
  <si>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</si>
  <si>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</si>
  <si>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</si>
  <si>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</si>
  <si>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</si>
  <si>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</si>
  <si>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</si>
  <si>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</si>
  <si>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</si>
  <si>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</si>
  <si>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</si>
  <si>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</si>
  <si>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</si>
  <si>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</si>
  <si>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</si>
  <si>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</si>
  <si>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</si>
  <si>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</si>
  <si>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</si>
  <si>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</si>
  <si>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</si>
  <si>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</si>
  <si>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</si>
  <si>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</si>
  <si>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</si>
  <si>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</si>
  <si>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</si>
  <si>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</si>
  <si>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</si>
  <si>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</si>
  <si>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</si>
  <si>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</si>
  <si>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</si>
  <si>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</si>
  <si>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</si>
  <si>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</si>
  <si>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</si>
  <si>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</si>
  <si>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</si>
  <si>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</si>
  <si>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</si>
  <si>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</si>
  <si>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</si>
  <si>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</si>
  <si>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</si>
  <si>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</si>
  <si>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</si>
  <si>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</si>
  <si>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</si>
  <si>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</si>
  <si>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</si>
  <si>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</si>
  <si>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</si>
  <si>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</si>
  <si>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</si>
  <si>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</si>
  <si>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Gender</t>
  </si>
  <si>
    <t>Practice Unit 1 Weekly Assignment 1</t>
  </si>
  <si>
    <t>Practice Unit 1 Weekly Assignment 2</t>
  </si>
  <si>
    <t>Practice Unit 2 Weekly Assignment 1</t>
  </si>
  <si>
    <t>Practice Unit 2 Weekly Assignment 2</t>
  </si>
  <si>
    <t xml:space="preserve">Practice Unit 2 Group Quiz </t>
  </si>
  <si>
    <t>Unit 2 Test Final Overall</t>
  </si>
  <si>
    <t>Practice Unit 3 Weekly Assignment 1</t>
  </si>
  <si>
    <t>Practice Unit 3 Weekly Assignment 2</t>
  </si>
  <si>
    <t>Practice Unit 3 Weekly Assignment 3</t>
  </si>
  <si>
    <t xml:space="preserve">Practice Unit 3 Group Quiz Scaled </t>
  </si>
  <si>
    <t>Practice Final Review Assignment 2 Angles Relations</t>
  </si>
  <si>
    <t>Practice Final Review Assignment 3 Triangle Angles</t>
  </si>
  <si>
    <t>Final Review Assignment 4 Proofs</t>
  </si>
  <si>
    <t>Final Group Quiz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</si>
  <si>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</si>
  <si>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</si>
  <si>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</si>
  <si>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</si>
  <si>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</si>
  <si>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</si>
  <si>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</si>
  <si>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</si>
  <si>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</si>
  <si>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</si>
  <si>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</si>
  <si>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</si>
  <si>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</si>
  <si>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</si>
  <si>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</si>
  <si>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</si>
  <si>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</si>
  <si>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</si>
  <si>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</si>
  <si>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</si>
  <si>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</si>
  <si>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</si>
  <si>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</si>
  <si>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</si>
  <si>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</si>
  <si>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</si>
  <si>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</si>
  <si>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</si>
  <si>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</si>
  <si>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</si>
  <si>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</si>
  <si>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</si>
  <si>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</si>
  <si>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</si>
  <si>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</si>
  <si>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</si>
  <si>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</si>
  <si>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</si>
  <si>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</si>
  <si>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</si>
  <si>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</si>
  <si>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</si>
  <si>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</si>
  <si>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</si>
  <si>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</si>
  <si>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</si>
  <si>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</si>
  <si>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</si>
  <si>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</si>
  <si>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</si>
  <si>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</si>
  <si>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</si>
  <si>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</si>
  <si>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</si>
  <si>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</si>
  <si>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</si>
  <si>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</si>
  <si>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</si>
  <si>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</si>
  <si>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</si>
  <si>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</si>
  <si>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</si>
  <si>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</si>
  <si>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</si>
  <si>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</si>
  <si>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Subject</t>
  </si>
  <si>
    <t>Topic</t>
  </si>
  <si>
    <t>Assignment Type</t>
  </si>
  <si>
    <t>Assignment</t>
  </si>
  <si>
    <t>Raw Score</t>
  </si>
  <si>
    <t>Algebra 2</t>
  </si>
  <si>
    <t>Unit 1</t>
  </si>
  <si>
    <t>Practice</t>
  </si>
  <si>
    <t>practice 1.1</t>
  </si>
  <si>
    <t>practice 1.2</t>
  </si>
  <si>
    <t>practice 1.3</t>
  </si>
  <si>
    <t>practice 1.4</t>
  </si>
  <si>
    <t>practice 1.5</t>
  </si>
  <si>
    <t>practice 1.6</t>
  </si>
  <si>
    <t>practice 1.0 syllabus</t>
  </si>
  <si>
    <t>practice unit 1 group quiz</t>
  </si>
  <si>
    <t>Test</t>
  </si>
  <si>
    <t>unit 1 test</t>
  </si>
  <si>
    <t>unit 1 test retake</t>
  </si>
  <si>
    <t>unit 1 test overall score</t>
  </si>
  <si>
    <t>Unit 2</t>
  </si>
  <si>
    <t>practice 2.2</t>
  </si>
  <si>
    <t>practice 2.3</t>
  </si>
  <si>
    <t>practice 2.4 desmos</t>
  </si>
  <si>
    <t>practice unit 2 group quiz</t>
  </si>
  <si>
    <t>unit 2 test</t>
  </si>
  <si>
    <t>unit 2 test retake</t>
  </si>
  <si>
    <t>unit 2 test overall score</t>
  </si>
  <si>
    <t>Unit 3</t>
  </si>
  <si>
    <t>practice 3.3</t>
  </si>
  <si>
    <t>practice 3.4</t>
  </si>
  <si>
    <t>practice 3.5</t>
  </si>
  <si>
    <t>practice 3.7</t>
  </si>
  <si>
    <t>practice 3.8</t>
  </si>
  <si>
    <t>practice 3.10</t>
  </si>
  <si>
    <t>practice unit 3 group quiz</t>
  </si>
  <si>
    <t>unit 3 test</t>
  </si>
  <si>
    <t>unit 3 test retake</t>
  </si>
  <si>
    <t>unit 3 test overall score</t>
  </si>
  <si>
    <t>Final</t>
  </si>
  <si>
    <t>final score</t>
  </si>
  <si>
    <t>72</t>
  </si>
  <si>
    <t>Geometry</t>
  </si>
  <si>
    <t>practice unit 1 weekly assignment 1</t>
  </si>
  <si>
    <t>practice unit 1 weekly assignment 2</t>
  </si>
  <si>
    <t>practice unit 2 weekly assignment 1</t>
  </si>
  <si>
    <t>practice unit 2 weekly assignment 2</t>
  </si>
  <si>
    <t>unit 2 test final overall</t>
  </si>
  <si>
    <t>practice unit 3 weekly assignment 1</t>
  </si>
  <si>
    <t>practice unit 3 weekly assignment 2</t>
  </si>
  <si>
    <t>practice unit 3 weekly assignment 3</t>
  </si>
  <si>
    <t>practice unit 3 group quiz scaled</t>
  </si>
  <si>
    <t>practice final review assignment 2 angles relations</t>
  </si>
  <si>
    <t>practice final review assignment 3 triangle angles</t>
  </si>
  <si>
    <t>final review assignment 4 proofs</t>
  </si>
  <si>
    <t>final group quiz</t>
  </si>
  <si>
    <t>73</t>
  </si>
  <si>
    <t>74</t>
  </si>
  <si>
    <t>Category</t>
  </si>
  <si>
    <t>Points</t>
  </si>
  <si>
    <t>Practice 1.1</t>
  </si>
  <si>
    <t xml:space="preserve">Practice 1.4 </t>
  </si>
  <si>
    <t xml:space="preserve">Practice 1.5 </t>
  </si>
  <si>
    <t xml:space="preserve">Practice 1.6 </t>
  </si>
  <si>
    <t>Practice 2.4 Desmos</t>
  </si>
  <si>
    <t>Practice 3.3</t>
  </si>
  <si>
    <t>Final Test</t>
  </si>
  <si>
    <t>Unit 1 Test Final Score</t>
  </si>
  <si>
    <t xml:space="preserve">Practice </t>
  </si>
  <si>
    <t>Unit 2 Test Final Score</t>
  </si>
  <si>
    <t>Practice Unit 3 Group Quiz Scaled</t>
  </si>
  <si>
    <t>Unit 3 Test Final Score</t>
  </si>
  <si>
    <t>Name/ID</t>
  </si>
  <si>
    <t>Grade Level</t>
  </si>
  <si>
    <t>Course</t>
  </si>
  <si>
    <t>Helper Column</t>
  </si>
  <si>
    <t>practice</t>
  </si>
  <si>
    <t>Unit Test (before retake)</t>
  </si>
  <si>
    <t>Unit Test (after retake)</t>
  </si>
  <si>
    <t>Name</t>
  </si>
  <si>
    <t>Grade</t>
  </si>
  <si>
    <t>1.1 (1pt)</t>
  </si>
  <si>
    <t>1.2 (1pt)</t>
  </si>
  <si>
    <t>1.3 (1pt)</t>
  </si>
  <si>
    <t>1.4 (1pt)</t>
  </si>
  <si>
    <t>1.5 (1pt)</t>
  </si>
  <si>
    <t>Signma Notation Practice pt 2 (1pt)</t>
  </si>
  <si>
    <t>Syllabus (5pt)</t>
  </si>
  <si>
    <t>Unit 1 Group Quiz</t>
  </si>
  <si>
    <t>Unit 1 Mastery</t>
  </si>
  <si>
    <t>Grade Before Retake</t>
  </si>
  <si>
    <t>Unit 1 Mastery Retake</t>
  </si>
  <si>
    <t>Unit 1 Mastery Final Score</t>
  </si>
  <si>
    <t>Grade After Retake</t>
  </si>
  <si>
    <t>2.2 (1pt)</t>
  </si>
  <si>
    <t>2.3 (1pt)</t>
  </si>
  <si>
    <t>Desmos (5pts)</t>
  </si>
  <si>
    <t>Unit 2 Group Quiz</t>
  </si>
  <si>
    <t>Unit 2 Mastery</t>
  </si>
  <si>
    <t>Unit 2 Mastery Retake</t>
  </si>
  <si>
    <t>Unit 2 Mastery Final Score</t>
  </si>
  <si>
    <t>Grade After retake</t>
  </si>
  <si>
    <t>3.3 (5pts)</t>
  </si>
  <si>
    <t>3.4 (5pts)</t>
  </si>
  <si>
    <t>3.5 (5pts)</t>
  </si>
  <si>
    <t>3.7 (5pts)</t>
  </si>
  <si>
    <t>3.8 (5pts)</t>
  </si>
  <si>
    <t>3.10 (5pts)</t>
  </si>
  <si>
    <t>Unit 3 Group Quiz</t>
  </si>
  <si>
    <t>Unit 3 Mastery</t>
  </si>
  <si>
    <t>Grade Before retest</t>
  </si>
  <si>
    <t>Unit 3 Mastery Retake</t>
  </si>
  <si>
    <t>Unit 3 Mastery Final Score</t>
  </si>
  <si>
    <t>Grade After Retest</t>
  </si>
  <si>
    <t>Unit 1 Missing Assignment Count</t>
  </si>
  <si>
    <t>Unit 2 Missing Assignment Count</t>
  </si>
  <si>
    <t>Unit 3 Missing Assignment Count</t>
  </si>
  <si>
    <t>Average test Score Before Retake</t>
  </si>
  <si>
    <t>Average Test Score After retake</t>
  </si>
  <si>
    <t>Overall Grade Without Retest</t>
  </si>
  <si>
    <t>Overall Grade with Retest</t>
  </si>
  <si>
    <t>Overall Grade (dropped Lowest test score)</t>
  </si>
  <si>
    <t>Average Assignments Score</t>
  </si>
  <si>
    <t>Total Number Of Missing Assignments</t>
  </si>
  <si>
    <t>Average Group Quiz Score</t>
  </si>
  <si>
    <t>Bruce</t>
  </si>
  <si>
    <t>Average</t>
  </si>
  <si>
    <t>Median</t>
  </si>
  <si>
    <t>Standard Diviation</t>
  </si>
  <si>
    <t>Score</t>
  </si>
  <si>
    <t>Summary</t>
  </si>
  <si>
    <t>Number of unit retake 1</t>
  </si>
  <si>
    <t>Number of unit retake 2</t>
  </si>
  <si>
    <t>Number of unit retake 3</t>
  </si>
  <si>
    <t>Total Number of retakers</t>
  </si>
  <si>
    <t>Number of students who did not do better on retake 1</t>
  </si>
  <si>
    <t>Number of students who did a little better on retake 1 (&lt;5%)</t>
  </si>
  <si>
    <t>Nuber of stuents who did better on retake 1 (&gt; 5%)</t>
  </si>
  <si>
    <t>Number of Students who did a lot better on retake 1 &gt;10%)</t>
  </si>
  <si>
    <t>Number of students who did not do better on retake 2</t>
  </si>
  <si>
    <t>Number of students who did a little better on retake 2 (&lt;5%)</t>
  </si>
  <si>
    <t>Nuber of stuents who did better on retake 2 (&gt; 5%)</t>
  </si>
  <si>
    <t>Number of Students who did a lot better on retake 2 &gt;10%)</t>
  </si>
  <si>
    <t>Number of students who did not do better on retake 3</t>
  </si>
  <si>
    <t>Number of students who did a little better on retake 3 (&lt;5%)</t>
  </si>
  <si>
    <t>Nuber of stuents who did better on retake 3 (&gt; 5%)</t>
  </si>
  <si>
    <t>Number of Students who did a lot better on retake 3 &gt;10%)</t>
  </si>
  <si>
    <t>did not do better</t>
  </si>
  <si>
    <t>did a little better(&lt;5%)</t>
  </si>
  <si>
    <t>did better (5%&lt;x&lt;10%)</t>
  </si>
  <si>
    <t>did a lot better &gt;10%</t>
  </si>
  <si>
    <t>Non Retakers</t>
  </si>
  <si>
    <t>Unit 1 Practice</t>
  </si>
  <si>
    <t>Unit 1 Test (before retake)</t>
  </si>
  <si>
    <t>Unit 1 Test (after retake)</t>
  </si>
  <si>
    <t>Unit 2 Practice</t>
  </si>
  <si>
    <t>Unit 2 Test (before retake)</t>
  </si>
  <si>
    <t>Unit 2 Test (after retake)</t>
  </si>
  <si>
    <t>Unit 3 Practice</t>
  </si>
  <si>
    <t>Unit 3 Test (before retake)</t>
  </si>
  <si>
    <t>Unit 3 Test (after retake)</t>
  </si>
  <si>
    <t>Final review Practice</t>
  </si>
  <si>
    <t>Unit 1 Weekly Assignment 1 out of 15</t>
  </si>
  <si>
    <t>Unit 1 Weekly Assignment 2 out of 14</t>
  </si>
  <si>
    <t>Unit 1: Group Quiz RAW out of 13</t>
  </si>
  <si>
    <t>Unit 1 Group Quiz Scaled (out of 50)</t>
  </si>
  <si>
    <t>Grade after Unit 1 Test (before retake)</t>
  </si>
  <si>
    <t>Grade after Unit 1 Test Retake</t>
  </si>
  <si>
    <t>Unit 2 Weekly Assignment 1 (out of 18 points)</t>
  </si>
  <si>
    <t>Unit 2 Weekly Assignment 2 (out of 12 points)</t>
  </si>
  <si>
    <t>Unit 2: Group Quiz RAW out of 13</t>
  </si>
  <si>
    <t>Unit 2 Group Quiz Scaled (out of 50)</t>
  </si>
  <si>
    <t>Grade after Unit 2 Test (before retake)</t>
  </si>
  <si>
    <t>Grade after Unit 2 Test Retake</t>
  </si>
  <si>
    <t>Unit 3 Weekly Assignment 1 (out of 10 points)</t>
  </si>
  <si>
    <t>Unit 3 Weekly Assignment 2 (out of 10 points)</t>
  </si>
  <si>
    <t>Unit 3 Weekly Assignment 3 (out of 11 points)</t>
  </si>
  <si>
    <t>Unit 3: Group Quiz RAW out of 13</t>
  </si>
  <si>
    <t>Unit 3 Group Quiz Scaled (out of 50)</t>
  </si>
  <si>
    <t>Grade before Unit 3 Test Retake</t>
  </si>
  <si>
    <t>Grade after Unit 3 Test Retake</t>
  </si>
  <si>
    <t>Final Review Assignment 1 Transformations (out of 24 points)</t>
  </si>
  <si>
    <t>Final Review Assignment 2 Angles Relations (out of 22 points)</t>
  </si>
  <si>
    <t>Final Review Assignment 3 Triangle Angles (out of 10 points)</t>
  </si>
  <si>
    <t>Final Review Assignment 4 Proofs (out of 28 points)</t>
  </si>
  <si>
    <t>Final Group Quiz 13 points</t>
  </si>
  <si>
    <t>Final Group Quiz 50 pts</t>
  </si>
  <si>
    <t>Final Raw 20 pts</t>
  </si>
  <si>
    <t xml:space="preserve"> </t>
  </si>
  <si>
    <t>Unit 1 Assignments Average</t>
  </si>
  <si>
    <t>Unit 2 Assignments Average</t>
  </si>
  <si>
    <t>Unit 3 Assignments Average</t>
  </si>
  <si>
    <t>Final Reveiw Assignments Average</t>
  </si>
  <si>
    <t>Final Review Missing Assignment Count</t>
  </si>
  <si>
    <t>Overall Grade (with retakes)</t>
  </si>
  <si>
    <t>Overal Grade (without retake)</t>
  </si>
  <si>
    <t>lost data</t>
  </si>
  <si>
    <t>no data</t>
  </si>
  <si>
    <t>Average %</t>
  </si>
  <si>
    <t>median</t>
  </si>
  <si>
    <t>SD</t>
  </si>
  <si>
    <t>Unit 1 Weekly Assignment 2  out of 14</t>
  </si>
  <si>
    <t xml:space="preserve">Unit 1: Group Quiz RAW out of 13 </t>
  </si>
  <si>
    <t xml:space="preserve">Unit 2: Group Quiz RAW out of 13 </t>
  </si>
  <si>
    <t xml:space="preserve">Unit 3: Group Quiz RAW out of 13 </t>
  </si>
  <si>
    <t>Final Review Assignment 1 Transformations  (out of 24 points)</t>
  </si>
  <si>
    <t>Final Review Assignment 4 Proofs  (out of 26 points)</t>
  </si>
  <si>
    <t>Assignment #</t>
  </si>
  <si>
    <t>total number of students</t>
  </si>
  <si>
    <t>number of students with missing assignments Unit 1</t>
  </si>
  <si>
    <t>number of students with missing assignments Unit 2</t>
  </si>
  <si>
    <t>number of students with missing assignments Unit 3</t>
  </si>
  <si>
    <t>number of students with missing assignments Unit Final Review</t>
  </si>
  <si>
    <t>AVERAGE of Unit 1: Group Quiz RAW out of 13</t>
  </si>
  <si>
    <t>SUM of Unit 1 Missing Assignment Count</t>
  </si>
  <si>
    <t>AVERAGE of Unit 1 Mastery</t>
  </si>
  <si>
    <t>AVERAGE of Unit 1 Mastery Retake</t>
  </si>
  <si>
    <t>AVERAGE of Unit 1 Mastery Final Score</t>
  </si>
  <si>
    <t>AVERAGE of Unit 2: Group Quiz RAW out of 13</t>
  </si>
  <si>
    <t>AVERAGE of Unit 2 Mastery</t>
  </si>
  <si>
    <t>AVERAGE of Unit 2 Mastery Retake</t>
  </si>
  <si>
    <t>AVERAGE of Unit 2 Mastery Final Score</t>
  </si>
  <si>
    <t>AVERAGE of Unit 3: Group Quiz RAW out of 13</t>
  </si>
  <si>
    <t>AVERAGE of Unit 3 Mastery</t>
  </si>
  <si>
    <t>AVERAGE of Unit 3 Mastery Retake</t>
  </si>
  <si>
    <t>AVERAGE of Unit 3 Mastery Final Score</t>
  </si>
  <si>
    <t>Grand Total</t>
  </si>
  <si>
    <t>Unit 1 Matery</t>
  </si>
  <si>
    <t>Final pt 1</t>
  </si>
  <si>
    <t>Final pt 2</t>
  </si>
  <si>
    <t>Final pt 3</t>
  </si>
  <si>
    <t>Final Total Raw</t>
  </si>
  <si>
    <t xml:space="preserve">Assignment Number </t>
  </si>
  <si>
    <t>Signma Notation Practice pt 2</t>
  </si>
  <si>
    <t>Syllabus</t>
  </si>
  <si>
    <t>Unit 1Group Quiz</t>
  </si>
  <si>
    <t>Unit 1 Mastery Retest</t>
  </si>
  <si>
    <t>Unit 1 Mastery Final</t>
  </si>
  <si>
    <t>Desmos</t>
  </si>
  <si>
    <t>Unit 2 Mastery Retest</t>
  </si>
  <si>
    <t>Unit 2 Mastery Final</t>
  </si>
  <si>
    <t>3.10</t>
  </si>
  <si>
    <t xml:space="preserve">Unit 3 Mastery </t>
  </si>
  <si>
    <t>Unit 3 Mastery Retest</t>
  </si>
  <si>
    <t>Unit 3 Mastery Final</t>
  </si>
  <si>
    <t>Class Grade after Unit 1 Mastery</t>
  </si>
  <si>
    <t>Class Grade after Unit 1 Retake</t>
  </si>
  <si>
    <t>Class Grade after Unit 2 Mastery</t>
  </si>
  <si>
    <t>Class Grade after Unit 3 Mastery</t>
  </si>
  <si>
    <t>Average Score</t>
  </si>
  <si>
    <t xml:space="preserve">Running Average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</si>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</sst>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rgb="FF000000"/>
      <name val="Arial"/>
    </font>
    <font>
      <b/>
      <sz val="11"/>
      <color theme="1"/>
      <name val="Calibri"/>
      <scheme val="minor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  <scheme val="minor"/>
    </font>
    <font>
      <b/>
      <sz val="12"/>
      <color theme="1"/>
      <name val="Calibri"/>
      <scheme val="minor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3">
    <xf numFmtId="0" fontId="0" fillId="0" borderId="0" xfId="0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top"/>
    </xf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right"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49" fontId="3" fillId="0" borderId="0" xfId="0" applyNumberFormat="1" applyFont="1" applyAlignment="1">
      <alignment vertical="top" wrapText="1"/>
    </xf>
    <xf numFmtId="4" fontId="3" fillId="0" borderId="0" xfId="0" applyNumberFormat="1" applyFont="1" applyAlignment="1">
      <alignment vertical="top" wrapText="1"/>
    </xf>
    <xf numFmtId="49" fontId="3" fillId="0" borderId="0" xfId="0" applyNumberFormat="1" applyFont="1"/>
    <xf numFmtId="49" fontId="5" fillId="0" borderId="0" xfId="0" applyNumberFormat="1" applyFont="1" applyAlignment="1">
      <alignment vertical="top"/>
    </xf>
    <xf numFmtId="49" fontId="6" fillId="0" borderId="0" xfId="0" applyNumberFormat="1" applyFont="1"/>
    <xf numFmtId="4" fontId="6" fillId="0" borderId="0" xfId="0" applyNumberFormat="1" applyFont="1"/>
    <xf numFmtId="0" fontId="6" fillId="0" borderId="0" xfId="0" applyFont="1"/>
    <xf numFmtId="49" fontId="4" fillId="0" borderId="0" xfId="0" applyNumberFormat="1" applyFont="1"/>
    <xf numFmtId="3" fontId="6" fillId="0" borderId="0" xfId="0" applyNumberFormat="1" applyFont="1"/>
    <xf numFmtId="0" fontId="7" fillId="0" borderId="0" xfId="0" applyFont="1"/>
    <xf numFmtId="0" fontId="7" fillId="0" borderId="0" xfId="0" applyFont="1" applyAlignment="1">
      <alignment wrapText="1"/>
    </xf>
    <xf numFmtId="49" fontId="7" fillId="0" borderId="0" xfId="0" applyNumberFormat="1" applyFont="1"/>
    <xf numFmtId="4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49" fontId="9" fillId="0" borderId="0" xfId="0" applyNumberFormat="1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4" fontId="10" fillId="0" borderId="0" xfId="0" applyNumberFormat="1" applyFont="1" applyAlignment="1">
      <alignment vertical="top" wrapText="1"/>
    </xf>
    <xf numFmtId="0" fontId="6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0" fontId="4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0" fontId="11" fillId="0" borderId="0" xfId="0" applyNumberFormat="1" applyFont="1" applyAlignment="1">
      <alignment wrapText="1"/>
    </xf>
    <xf numFmtId="49" fontId="0" fillId="0" borderId="0" xfId="0" applyNumberFormat="1" applyAlignment="1">
      <alignment vertical="top"/>
    </xf>
    <xf numFmtId="4" fontId="12" fillId="0" borderId="0" xfId="0" applyNumberFormat="1" applyFont="1"/>
    <xf numFmtId="10" fontId="12" fillId="0" borderId="0" xfId="0" applyNumberFormat="1" applyFont="1"/>
    <xf numFmtId="0" fontId="12" fillId="0" borderId="0" xfId="0" applyFont="1"/>
    <xf numFmtId="10" fontId="7" fillId="0" borderId="0" xfId="0" applyNumberFormat="1" applyFont="1"/>
    <xf numFmtId="10" fontId="6" fillId="0" borderId="0" xfId="0" applyNumberFormat="1" applyFont="1"/>
    <xf numFmtId="3" fontId="12" fillId="0" borderId="0" xfId="0" applyNumberFormat="1" applyFont="1"/>
    <xf numFmtId="4" fontId="7" fillId="0" borderId="0" xfId="0" applyNumberFormat="1" applyFont="1"/>
    <xf numFmtId="10" fontId="4" fillId="0" borderId="0" xfId="0" applyNumberFormat="1" applyFont="1"/>
    <xf numFmtId="0" fontId="13" fillId="0" borderId="0" xfId="0" applyFont="1"/>
    <xf numFmtId="10" fontId="7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64" fontId="6" fillId="0" borderId="0" xfId="0" applyNumberFormat="1" applyFont="1"/>
    <xf numFmtId="164" fontId="7" fillId="0" borderId="0" xfId="0" applyNumberFormat="1" applyFont="1"/>
    <xf numFmtId="4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center"/>
    </xf>
    <xf numFmtId="49" fontId="7" fillId="0" borderId="0" xfId="0" applyNumberFormat="1" applyFont="1" applyAlignment="1">
      <alignment wrapText="1"/>
    </xf>
    <xf numFmtId="49" fontId="14" fillId="0" borderId="0" xfId="0" applyNumberFormat="1" applyFont="1" applyAlignment="1">
      <alignment vertical="top"/>
    </xf>
    <xf numFmtId="3" fontId="2" fillId="0" borderId="0" xfId="0" applyNumberFormat="1" applyFont="1" applyAlignment="1">
      <alignment vertical="top"/>
    </xf>
    <xf numFmtId="0" fontId="6" fillId="0" borderId="0" xfId="0" applyFont="1" applyAlignment="1">
      <alignment horizontal="left"/>
    </xf>
    <xf numFmtId="0" fontId="9" fillId="0" borderId="0" xfId="0" applyFont="1"/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9" fontId="0" fillId="0" borderId="1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49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49" fontId="0" fillId="0" borderId="8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1"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hir yahya" refreshedDate="45680.826348379633" refreshedVersion="8" recordCount="66" xr:uid="{00000000-000A-0000-FFFF-FFFF00000000}">
  <cacheSource type="worksheet">
    <worksheetSource ref="A2:BF68" sheet="All Geo"/>
  </cacheSource>
  <cacheFields count="58">
    <cacheField name="Name" numFmtId="49">
      <sharedItems count="66">
        <s v="Anastacio Aquino, Aaron "/>
        <s v="Awol, Akrem "/>
        <s v="Blue, Rex Michael"/>
        <s v="Bohlmann, Logan Dominic"/>
        <s v="Castro, Mariano "/>
        <s v="De La Fuente, Sofia Elena"/>
        <s v="Deniaud, Zoe Sunshine"/>
        <s v="Fleischacker, Kathryn Elyssa"/>
        <s v="Garcia, Alexander Julian"/>
        <s v="Gupta, Tara Sophia"/>
        <s v="Gutierrez, Ingrid "/>
        <s v="Harvey, Caden Henry"/>
        <s v="Henschel, Alana Michelle"/>
        <s v="Hummel, Lukas Kazuya"/>
        <s v="Hurtado, Matthew Michael"/>
        <s v="Mankaryous, Mark Ihab Gergis"/>
        <s v="Mendoza, Genesis Guadalupe"/>
        <s v="Narvaez, Jesus Manuel"/>
        <s v="O'Connor, Finn Richard"/>
        <s v="Pitts, Miles Parker"/>
        <s v="Rataj, Taylor Marley"/>
        <s v="Stern, Stefano Adrian"/>
        <s v="Thomas, Kennedy Love"/>
        <s v="Vides, Adriana Stephanie"/>
        <s v="Abdur-Rahim, Nya Alicia"/>
        <s v="Allen, Leonard Gabriel"/>
        <s v="Basak, Zara Nur"/>
        <s v="Cunningham, Noah Jacob"/>
        <s v="Duarte Lopez, Abraham Saul"/>
        <s v="Estevez, Jesus Suarez"/>
        <s v="Garcia, Danielle Melodie"/>
        <s v="Goldstein, Emily Giselle"/>
        <s v="Hernandez, Fernando Sebastian"/>
        <s v="Hernandez, Victor Isaiah"/>
        <s v="Jones, Zion Erricka"/>
        <s v="Kyaw, Eaint Sandy "/>
        <s v="McConnell-Mayo, Hale Marie"/>
        <s v="Moore, Nathan Andrew"/>
        <s v="Oo, Kyaw San"/>
        <s v="Phillips, Max "/>
        <s v="Powell, Evan Jemeel"/>
        <s v="Sanchez, Alessandro Matteo"/>
        <s v="Sanders, Amani-Marie U'ilani"/>
        <s v="Schoffman, Spike Hokusai"/>
        <s v="Tell, Leah Celeste"/>
        <s v="Trimpe, Emmett Lawrence"/>
        <s v="Vallarte, Valeria Samantha"/>
        <s v="Villa, Jaiden Blaise"/>
        <s v="Wasiel, Daniel Yuto"/>
        <s v="Wright, Samuel Bryce"/>
        <s v="Anaya, Nicolas Logan"/>
        <s v="Colon-Quintero, Ethan "/>
        <s v="Diego, Luis "/>
        <s v="Garcia, Andy "/>
        <s v="Hernandez- Santiago, Nestor Adan"/>
        <s v="Kelly, Arianna Emily"/>
        <s v="Liang, Ella Ang-Chi"/>
        <s v="Lopez, Sonya Natasha"/>
        <s v="McBride, Mason James"/>
        <s v="Mizokami, Mason Noah"/>
        <s v="Ortiz, Jordy Yahir"/>
        <s v="Reyes, Kyla "/>
        <s v="Sisodiya, Taran Deepak"/>
        <s v="Tsui, Edith Kai Yu"/>
        <s v="Valencia, Isabel "/>
        <s v="Wells, Lorenzo Dan"/>
      </sharedItems>
    </cacheField>
    <cacheField name="Gender" numFmtId="49">
      <sharedItems/>
    </cacheField>
    <cacheField name="Grade" numFmtId="49">
      <sharedItems/>
    </cacheField>
    <cacheField name="Unit 1 Weekly Assignment 1 out of 15" numFmtId="4">
      <sharedItems containsBlank="1" containsMixedTypes="1" containsNumber="1" minValue="0" maxValue="15"/>
    </cacheField>
    <cacheField name="Unit 1 Weekly Assignment 2 out of 14" numFmtId="4">
      <sharedItems containsBlank="1" containsMixedTypes="1" containsNumber="1" minValue="0" maxValue="15"/>
    </cacheField>
    <cacheField name="Unit 1: Group Quiz RAW out of 13" numFmtId="4">
      <sharedItems containsMixedTypes="1" containsNumber="1" minValue="0" maxValue="13"/>
    </cacheField>
    <cacheField name="Unit 1 Group Quiz Scaled (out of 50)" numFmtId="4">
      <sharedItems/>
    </cacheField>
    <cacheField name="Unit 1 Mastery" numFmtId="4">
      <sharedItems containsSemiMixedTypes="0" containsString="0" containsNumber="1" containsInteger="1" minValue="30" maxValue="100"/>
    </cacheField>
    <cacheField name="Grade after Unit 1 Test (before retake)" numFmtId="10">
      <sharedItems containsSemiMixedTypes="0" containsString="0" containsNumber="1" minValue="0.512911392405063" maxValue="0.99493670886075902"/>
    </cacheField>
    <cacheField name="Unit 1 Mastery Retake" numFmtId="4">
      <sharedItems containsMixedTypes="1" containsNumber="1" containsInteger="1" minValue="30" maxValue="78"/>
    </cacheField>
    <cacheField name="Unit 1 Mastery Final Score" numFmtId="4">
      <sharedItems containsSemiMixedTypes="0" containsString="0" containsNumber="1" containsInteger="1" minValue="30" maxValue="100"/>
    </cacheField>
    <cacheField name="Grade after Unit 1 Test Retake" numFmtId="10">
      <sharedItems containsSemiMixedTypes="0" containsString="0" containsNumber="1" minValue="0.512911392405063" maxValue="0.99493670886075902"/>
    </cacheField>
    <cacheField name="Unit 2 Weekly Assignment 1 (out of 18 points)" numFmtId="4">
      <sharedItems containsSemiMixedTypes="0" containsString="0" containsNumber="1" containsInteger="1" minValue="0" maxValue="18"/>
    </cacheField>
    <cacheField name="Unit 2 Weekly Assignment 2 (out of 12 points)" numFmtId="4">
      <sharedItems containsMixedTypes="1" containsNumber="1" minValue="0" maxValue="13"/>
    </cacheField>
    <cacheField name="Unit 2: Group Quiz RAW out of 13" numFmtId="4">
      <sharedItems containsSemiMixedTypes="0" containsString="0" containsNumber="1" minValue="0" maxValue="13"/>
    </cacheField>
    <cacheField name="Unit 2 Group Quiz Scaled (out of 50)" numFmtId="4">
      <sharedItems/>
    </cacheField>
    <cacheField name="Unit 2 Mastery" numFmtId="4">
      <sharedItems containsMixedTypes="1" containsNumber="1" containsInteger="1" minValue="30" maxValue="100"/>
    </cacheField>
    <cacheField name="Grade after Unit 2 Test (before retake)" numFmtId="10">
      <sharedItems containsSemiMixedTypes="0" containsString="0" containsNumber="1" minValue="0.51553459119496803" maxValue="0.97147798742138303"/>
    </cacheField>
    <cacheField name="Unit 2 Mastery Retake" numFmtId="4">
      <sharedItems containsBlank="1" containsMixedTypes="1" containsNumber="1" containsInteger="1" minValue="62" maxValue="100"/>
    </cacheField>
    <cacheField name="Unit 2 Mastery Final Score" numFmtId="4">
      <sharedItems containsMixedTypes="1" containsNumber="1" containsInteger="1" minValue="30" maxValue="100"/>
    </cacheField>
    <cacheField name="Grade after Unit 2 Test Retake" numFmtId="10">
      <sharedItems containsSemiMixedTypes="0" containsString="0" containsNumber="1" minValue="0.57166037735848996" maxValue="0.97808176100628896"/>
    </cacheField>
    <cacheField name="Unit 3 Weekly Assignment 1 (out of 10 points)" numFmtId="4">
      <sharedItems containsMixedTypes="1" containsNumber="1" minValue="0" maxValue="10"/>
    </cacheField>
    <cacheField name="Unit 3 Weekly Assignment 2 (out of 10 points)" numFmtId="4">
      <sharedItems containsMixedTypes="1" containsNumber="1" containsInteger="1" minValue="0" maxValue="10"/>
    </cacheField>
    <cacheField name="Unit 3 Weekly Assignment 3 (out of 11 points)" numFmtId="4">
      <sharedItems containsMixedTypes="1" containsNumber="1" minValue="0" maxValue="11"/>
    </cacheField>
    <cacheField name="Unit 3: Group Quiz RAW out of 13" numFmtId="4">
      <sharedItems containsMixedTypes="1" containsNumber="1" minValue="0" maxValue="12.5"/>
    </cacheField>
    <cacheField name="Unit 3 Group Quiz Scaled (out of 50)" numFmtId="4">
      <sharedItems/>
    </cacheField>
    <cacheField name="Unit 3 Mastery" numFmtId="4">
      <sharedItems containsMixedTypes="1" containsNumber="1" containsInteger="1" minValue="0" maxValue="100"/>
    </cacheField>
    <cacheField name="Grade before Unit 3 Test Retake" numFmtId="10">
      <sharedItems containsSemiMixedTypes="0" containsString="0" containsNumber="1" minValue="0.480875" maxValue="0.98"/>
    </cacheField>
    <cacheField name="Unit 3 Mastery Retake" numFmtId="4">
      <sharedItems containsBlank="1" containsMixedTypes="1" containsNumber="1" containsInteger="1" minValue="65" maxValue="85"/>
    </cacheField>
    <cacheField name="Unit 3 Mastery Final Score" numFmtId="4">
      <sharedItems containsMixedTypes="1" containsNumber="1" containsInteger="1" minValue="0" maxValue="100"/>
    </cacheField>
    <cacheField name="Grade after Unit 3 Test Retake" numFmtId="10">
      <sharedItems containsSemiMixedTypes="0" containsString="0" containsNumber="1" minValue="0.480875" maxValue="0.98"/>
    </cacheField>
    <cacheField name="Final Review Assignment 1 Transformations (out of 24 points)" numFmtId="4">
      <sharedItems containsBlank="1"/>
    </cacheField>
    <cacheField name="Final Review Assignment 2 Angles Relations (out of 22 points)" numFmtId="4">
      <sharedItems containsMixedTypes="1" containsNumber="1" minValue="0" maxValue="22"/>
    </cacheField>
    <cacheField name="Final Review Assignment 3 Triangle Angles (out of 10 points)" numFmtId="4">
      <sharedItems containsMixedTypes="1" containsNumber="1" minValue="0" maxValue="10"/>
    </cacheField>
    <cacheField name="Final Review Assignment 4 Proofs (out of 28 points)" numFmtId="4">
      <sharedItems containsMixedTypes="1" containsNumber="1" minValue="0" maxValue="28"/>
    </cacheField>
    <cacheField name="Final Group Quiz 13 points" numFmtId="4">
      <sharedItems containsMixedTypes="1" containsNumber="1" minValue="0" maxValue="13"/>
    </cacheField>
    <cacheField name="Final Group Quiz 50 pts" numFmtId="4">
      <sharedItems containsMixedTypes="1" containsNumber="1" containsInteger="1" minValue="0" maxValue="100"/>
    </cacheField>
    <cacheField name="Final Raw 20 pts" numFmtId="0">
      <sharedItems containsNonDate="0" containsString="0" containsBlank="1"/>
    </cacheField>
    <cacheField name="Final Score" numFmtId="0">
      <sharedItems containsMixedTypes="1" containsNumber="1" minValue="0" maxValue="1"/>
    </cacheField>
    <cacheField name=" " numFmtId="0">
      <sharedItems containsNonDate="0" containsString="0" containsBlank="1"/>
    </cacheField>
    <cacheField name="Unit 1 Assignments Average" numFmtId="164">
      <sharedItems containsSemiMixedTypes="0" containsString="0" containsNumber="1" minValue="0" maxValue="102.38095238095238"/>
    </cacheField>
    <cacheField name="Unit 1 Missing Assignment Count" numFmtId="0">
      <sharedItems containsSemiMixedTypes="0" containsString="0" containsNumber="1" containsInteger="1" minValue="0" maxValue="1"/>
    </cacheField>
    <cacheField name="Unit 2 Assignments Average" numFmtId="164">
      <sharedItems containsSemiMixedTypes="0" containsString="0" containsNumber="1" minValue="16.279069767441861" maxValue="100"/>
    </cacheField>
    <cacheField name="Unit 2 Missing Assignment Count" numFmtId="0">
      <sharedItems containsSemiMixedTypes="0" containsString="0" containsNumber="1" containsInteger="1" minValue="0" maxValue="2"/>
    </cacheField>
    <cacheField name="Unit 3 Assignments Average" numFmtId="164">
      <sharedItems containsSemiMixedTypes="0" containsString="0" containsNumber="1" minValue="0" maxValue="98.86363636363636"/>
    </cacheField>
    <cacheField name="Unit 3 Missing Assignment Count" numFmtId="0">
      <sharedItems containsSemiMixedTypes="0" containsString="0" containsNumber="1" containsInteger="1" minValue="0" maxValue="3"/>
    </cacheField>
    <cacheField name="Final Reveiw Assignments Average" numFmtId="164">
      <sharedItems containsSemiMixedTypes="0" containsString="0" containsNumber="1" minValue="0" maxValue="100"/>
    </cacheField>
    <cacheField name="Final Review Missing Assignment Count" numFmtId="0">
      <sharedItems containsSemiMixedTypes="0" containsString="0" containsNumber="1" containsInteger="1" minValue="0" maxValue="3"/>
    </cacheField>
    <cacheField name="Average test Score Before Retake" numFmtId="4">
      <sharedItems containsSemiMixedTypes="0" containsString="0" containsNumber="1" minValue="35" maxValue="98.333333333333329"/>
    </cacheField>
    <cacheField name="Average Test Score After retake" numFmtId="4">
      <sharedItems containsSemiMixedTypes="0" containsString="0" containsNumber="1" minValue="35" maxValue="98.333333333333329"/>
    </cacheField>
    <cacheField name="Overall Grade (with retakes)" numFmtId="10">
      <sharedItems containsMixedTypes="1" containsNumber="1" minValue="0.24854166666666599" maxValue="0.97024999999999995"/>
    </cacheField>
    <cacheField name="Overal Grade (without retake)" numFmtId="10">
      <sharedItems containsMixedTypes="1" containsNumber="1" minValue="0.24854166666666599" maxValue="0.96499999999999897"/>
    </cacheField>
    <cacheField name="Average Assignments Score" numFmtId="164">
      <sharedItems containsSemiMixedTypes="0" containsString="0" containsNumber="1" minValue="0" maxValue="98.268398268398272"/>
    </cacheField>
    <cacheField name="Total Number Of Missing Assignments" numFmtId="0">
      <sharedItems containsSemiMixedTypes="0" containsString="0" containsNumber="1" containsInteger="1" minValue="0" maxValue="6"/>
    </cacheField>
    <cacheField name="Average Group Quiz Score" numFmtId="164">
      <sharedItems containsSemiMixedTypes="0" containsString="0" containsNumber="1" minValue="23.403846153846153" maxValue="94.35897435897435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s v="m"/>
    <s v="9"/>
    <n v="15"/>
    <n v="14"/>
    <n v="8.83"/>
    <e v="#NAME?"/>
    <n v="85"/>
    <n v="0.90050632911392403"/>
    <s v="lost data"/>
    <n v="85"/>
    <n v="0.90050632911392403"/>
    <n v="11"/>
    <n v="12"/>
    <n v="10"/>
    <e v="#NAME?"/>
    <n v="85"/>
    <n v="0.89710691823899302"/>
    <s v="na"/>
    <n v="85"/>
    <n v="0.89710691823899302"/>
    <n v="9.75"/>
    <n v="10"/>
    <n v="11"/>
    <n v="9.5"/>
    <e v="#NAME?"/>
    <n v="100"/>
    <n v="0.92885416666666598"/>
    <m/>
    <n v="100"/>
    <n v="0.92885416666666598"/>
    <m/>
    <n v="22"/>
    <n v="9.0500000000000007"/>
    <n v="5.5"/>
    <n v="11.56"/>
    <n v="95"/>
    <m/>
    <n v="0.92"/>
    <m/>
    <n v="90.071428571428569"/>
    <n v="0"/>
    <n v="76.744186046511615"/>
    <n v="0"/>
    <n v="91.477272727272734"/>
    <n v="0"/>
    <n v="60.916666666666664"/>
    <n v="0"/>
    <n v="90"/>
    <n v="90"/>
    <n v="0.90485416666666596"/>
    <n v="0.90485416666666596"/>
    <n v="79.802388502969904"/>
    <n v="0"/>
    <n v="76.711538461538467"/>
    <m/>
    <m/>
    <m/>
  </r>
  <r>
    <x v="1"/>
    <s v="m"/>
    <s v="11"/>
    <n v="15"/>
    <n v="0"/>
    <n v="9"/>
    <e v="#NAME?"/>
    <n v="82"/>
    <n v="0.86478481012658204"/>
    <s v="lost data"/>
    <n v="82"/>
    <n v="0.86478481012658204"/>
    <n v="12"/>
    <n v="12"/>
    <n v="9.6999999999999993"/>
    <e v="#NAME?"/>
    <n v="78"/>
    <n v="0.85893081761006296"/>
    <s v="na"/>
    <n v="78"/>
    <n v="0.85893081761006296"/>
    <n v="9.75"/>
    <n v="9"/>
    <n v="9"/>
    <n v="7"/>
    <e v="#NAME?"/>
    <n v="75"/>
    <n v="0.85010416666666599"/>
    <m/>
    <n v="75"/>
    <n v="0.85010416666666599"/>
    <m/>
    <n v="0"/>
    <n v="0"/>
    <n v="0"/>
    <n v="0"/>
    <n v="0"/>
    <m/>
    <n v="0"/>
    <m/>
    <n v="57.142857142857139"/>
    <n v="1"/>
    <n v="78.372093023255815"/>
    <n v="0"/>
    <n v="78.977272727272734"/>
    <n v="0"/>
    <n v="0"/>
    <n v="3"/>
    <n v="78.333333333333329"/>
    <n v="78.333333333333329"/>
    <n v="0.55010416666666595"/>
    <n v="0.55010416666666595"/>
    <n v="53.623055723346425"/>
    <n v="4"/>
    <n v="49.42307692307692"/>
    <m/>
    <m/>
    <m/>
  </r>
  <r>
    <x v="2"/>
    <s v="m"/>
    <s v="10"/>
    <n v="14"/>
    <n v="13.75"/>
    <n v="7.16"/>
    <e v="#NAME?"/>
    <n v="95"/>
    <n v="0.95449367088607495"/>
    <s v="lost data"/>
    <n v="95"/>
    <n v="0.95449367088607495"/>
    <n v="15"/>
    <n v="10"/>
    <n v="12.4"/>
    <e v="#NAME?"/>
    <n v="85"/>
    <n v="0.92757861635220096"/>
    <s v="na"/>
    <n v="85"/>
    <n v="0.92757861635220096"/>
    <n v="9"/>
    <n v="10"/>
    <n v="10"/>
    <n v="7.5"/>
    <e v="#NAME?"/>
    <n v="85"/>
    <n v="0.91718749999999905"/>
    <m/>
    <n v="85"/>
    <n v="0.91718749999999905"/>
    <m/>
    <n v="20"/>
    <n v="8.35"/>
    <n v="21"/>
    <n v="12.47"/>
    <n v="95"/>
    <m/>
    <n v="0.82"/>
    <m/>
    <n v="83.11904761904762"/>
    <n v="0"/>
    <n v="86.976744186046503"/>
    <n v="0"/>
    <n v="82.954545454545453"/>
    <n v="0"/>
    <n v="82.25"/>
    <n v="0"/>
    <n v="88.333333333333329"/>
    <n v="88.333333333333329"/>
    <n v="0.863187499999999"/>
    <n v="0.863187499999999"/>
    <n v="83.825084314909887"/>
    <n v="0"/>
    <n v="76.019230769230774"/>
    <m/>
    <m/>
    <m/>
  </r>
  <r>
    <x v="3"/>
    <s v="m"/>
    <s v="10"/>
    <n v="14"/>
    <n v="14"/>
    <n v="11"/>
    <e v="#NAME?"/>
    <n v="82"/>
    <n v="0.88567088607594902"/>
    <s v="lost data"/>
    <n v="82"/>
    <n v="0.88567088607594902"/>
    <n v="15"/>
    <n v="10"/>
    <n v="7.7"/>
    <e v="#NAME?"/>
    <n v="72"/>
    <n v="0.85005031446540802"/>
    <n v="88"/>
    <n v="88"/>
    <n v="0.89805031446540795"/>
    <n v="8.5"/>
    <n v="10"/>
    <n v="10"/>
    <n v="8"/>
    <e v="#NAME?"/>
    <n v="78"/>
    <n v="0.88329166666666603"/>
    <n v="72"/>
    <n v="78"/>
    <n v="0.88329166666666603"/>
    <m/>
    <n v="22"/>
    <n v="9"/>
    <n v="0"/>
    <n v="9.01"/>
    <n v="85"/>
    <m/>
    <n v="0.92"/>
    <m/>
    <n v="92.857142857142861"/>
    <n v="0"/>
    <n v="76.04651162790698"/>
    <n v="0"/>
    <n v="82.954545454545453"/>
    <n v="0"/>
    <n v="51.666666666666671"/>
    <n v="1"/>
    <n v="77.333333333333329"/>
    <n v="82.666666666666671"/>
    <n v="0.85929166666666601"/>
    <n v="0.82729166666666598"/>
    <n v="75.881216651565495"/>
    <n v="1"/>
    <n v="68.67307692307692"/>
    <m/>
    <m/>
    <m/>
  </r>
  <r>
    <x v="4"/>
    <s v="m"/>
    <s v="10"/>
    <s v="na"/>
    <s v="na"/>
    <s v="na"/>
    <s v="na"/>
    <n v="92"/>
    <n v="0.85199999999999998"/>
    <s v="lost data"/>
    <n v="92"/>
    <n v="0.85199999999999998"/>
    <n v="18"/>
    <n v="12"/>
    <n v="10"/>
    <e v="#NAME?"/>
    <n v="95"/>
    <n v="0.90754088050314397"/>
    <s v="na"/>
    <n v="95"/>
    <n v="0.90754088050314397"/>
    <n v="10"/>
    <n v="10"/>
    <n v="11"/>
    <n v="10.5"/>
    <e v="#NAME?"/>
    <n v="100"/>
    <n v="0.93691666666666595"/>
    <m/>
    <n v="100"/>
    <n v="0.93691666666666595"/>
    <m/>
    <n v="22"/>
    <n v="10"/>
    <n v="28"/>
    <n v="12"/>
    <n v="95"/>
    <m/>
    <n v="0.92"/>
    <m/>
    <n v="0"/>
    <n v="0"/>
    <n v="93.023255813953483"/>
    <n v="0"/>
    <n v="94.318181818181827"/>
    <n v="0"/>
    <n v="100"/>
    <n v="0"/>
    <n v="95.666666666666671"/>
    <n v="95.666666666666671"/>
    <n v="0.91291666666666604"/>
    <n v="0.91291666666666604"/>
    <n v="71.835359408033824"/>
    <n v="0"/>
    <n v="83.333333333333343"/>
    <m/>
    <m/>
    <m/>
  </r>
  <r>
    <x v="5"/>
    <s v="f"/>
    <s v="10"/>
    <n v="8"/>
    <n v="12"/>
    <n v="7"/>
    <e v="#NAME?"/>
    <n v="85"/>
    <n v="0.88468354430379703"/>
    <s v="lost data"/>
    <n v="85"/>
    <n v="0.88468354430379703"/>
    <n v="17"/>
    <n v="12"/>
    <n v="11.1"/>
    <e v="#NAME?"/>
    <n v="100"/>
    <n v="0.93927672955974795"/>
    <s v="na"/>
    <n v="100"/>
    <n v="0.93927672955974795"/>
    <n v="9"/>
    <n v="10"/>
    <n v="9"/>
    <n v="9"/>
    <e v="#NAME?"/>
    <n v="78"/>
    <n v="0.91120833333333295"/>
    <n v="75"/>
    <n v="78"/>
    <n v="0.91120833333333295"/>
    <m/>
    <n v="0"/>
    <n v="6"/>
    <n v="0"/>
    <n v="11"/>
    <n v="92"/>
    <m/>
    <n v="0.82"/>
    <m/>
    <n v="64.285714285714292"/>
    <n v="0"/>
    <n v="93.255813953488371"/>
    <n v="0"/>
    <n v="84.090909090909093"/>
    <n v="0"/>
    <n v="10"/>
    <n v="2"/>
    <n v="87.666666666666671"/>
    <n v="87.666666666666671"/>
    <n v="0.85720833333333302"/>
    <n v="0.85720833333333302"/>
    <n v="62.908109332527935"/>
    <n v="2"/>
    <n v="73.269230769230774"/>
    <m/>
    <m/>
    <m/>
  </r>
  <r>
    <x v="6"/>
    <s v="f"/>
    <s v="11"/>
    <n v="10"/>
    <n v="12"/>
    <n v="10.66"/>
    <e v="#NAME?"/>
    <n v="85"/>
    <n v="0.89607594936708801"/>
    <s v="lost data"/>
    <n v="85"/>
    <n v="0.89607594936708801"/>
    <n v="18"/>
    <n v="10"/>
    <n v="9.4"/>
    <e v="#NAME?"/>
    <n v="68"/>
    <n v="0.84610691823899298"/>
    <n v="80"/>
    <n v="80"/>
    <n v="0.88210691823899301"/>
    <n v="8"/>
    <n v="10"/>
    <n v="10"/>
    <n v="9.5"/>
    <e v="#NAME?"/>
    <n v="75"/>
    <n v="0.86770833333333297"/>
    <n v="65"/>
    <n v="75"/>
    <n v="0.86770833333333297"/>
    <m/>
    <n v="22"/>
    <n v="10"/>
    <n v="26"/>
    <n v="11.47"/>
    <n v="92"/>
    <m/>
    <n v="0.68"/>
    <m/>
    <n v="77.761904761904759"/>
    <n v="0"/>
    <n v="86.976744186046503"/>
    <n v="0"/>
    <n v="85.227272727272734"/>
    <n v="0"/>
    <n v="96.666666666666657"/>
    <n v="0"/>
    <n v="76"/>
    <n v="80"/>
    <n v="0.771708333333333"/>
    <n v="0.74770833333333298"/>
    <n v="86.658147085472677"/>
    <n v="0"/>
    <n v="78.90384615384616"/>
    <m/>
    <m/>
    <m/>
  </r>
  <r>
    <x v="7"/>
    <s v="f"/>
    <s v="10"/>
    <n v="7"/>
    <n v="7.5"/>
    <n v="10"/>
    <e v="#NAME?"/>
    <n v="65"/>
    <n v="0.76405063291139197"/>
    <s v="lost data"/>
    <n v="65"/>
    <n v="0.76405063291139197"/>
    <n v="16"/>
    <n v="1"/>
    <n v="10"/>
    <e v="#NAME?"/>
    <n v="65"/>
    <n v="0.76515723270440195"/>
    <s v="na"/>
    <n v="65"/>
    <n v="0.76515723270440195"/>
    <n v="4"/>
    <n v="10"/>
    <n v="11"/>
    <n v="9"/>
    <e v="#NAME?"/>
    <n v="65"/>
    <n v="0.76791666666666603"/>
    <m/>
    <n v="65"/>
    <n v="0.76791666666666603"/>
    <m/>
    <n v="19.2"/>
    <n v="0"/>
    <n v="0"/>
    <n v="0.73"/>
    <n v="30"/>
    <m/>
    <n v="0.72"/>
    <m/>
    <n v="58.333333333333336"/>
    <n v="0"/>
    <n v="62.790697674418603"/>
    <n v="0"/>
    <n v="77.272727272727266"/>
    <n v="0"/>
    <n v="31.999999999999996"/>
    <n v="2"/>
    <n v="65"/>
    <n v="65"/>
    <n v="0.68391666666666595"/>
    <n v="0.68391666666666595"/>
    <n v="57.599189570119805"/>
    <n v="2"/>
    <n v="57.173076923076927"/>
    <m/>
    <m/>
    <m/>
  </r>
  <r>
    <x v="8"/>
    <s v="m"/>
    <s v="10"/>
    <n v="8.5"/>
    <n v="5.25"/>
    <n v="5.16"/>
    <e v="#NAME?"/>
    <n v="75"/>
    <n v="0.81297468354430302"/>
    <s v="lost data"/>
    <n v="75"/>
    <n v="0.81297468354430302"/>
    <n v="13"/>
    <n v="12"/>
    <n v="8"/>
    <e v="#NAME?"/>
    <n v="68"/>
    <n v="0.801798742138364"/>
    <s v="na"/>
    <n v="68"/>
    <n v="0.801798742138364"/>
    <n v="10"/>
    <n v="10"/>
    <n v="11"/>
    <n v="8.5"/>
    <e v="#NAME?"/>
    <n v="68"/>
    <n v="0.80085416666666598"/>
    <m/>
    <n v="68"/>
    <n v="0.80085416666666598"/>
    <m/>
    <n v="16"/>
    <n v="9.25"/>
    <n v="24"/>
    <n v="6.84"/>
    <n v="78"/>
    <m/>
    <n v="0.73"/>
    <m/>
    <n v="45.023809523809518"/>
    <n v="0"/>
    <n v="76.744186046511615"/>
    <n v="0"/>
    <n v="89.772727272727266"/>
    <n v="0"/>
    <n v="82.083333333333343"/>
    <n v="0"/>
    <n v="70.333333333333329"/>
    <n v="70.333333333333329"/>
    <n v="0.71985416666666602"/>
    <n v="0.71985416666666602"/>
    <n v="73.406014044095429"/>
    <n v="0"/>
    <n v="54.807692307692314"/>
    <m/>
    <m/>
    <m/>
  </r>
  <r>
    <x v="9"/>
    <s v="f"/>
    <s v="9"/>
    <n v="14.5"/>
    <n v="10"/>
    <n v="9.83"/>
    <e v="#NAME?"/>
    <n v="88"/>
    <n v="0.91470886075949298"/>
    <s v="lost data"/>
    <n v="88"/>
    <n v="0.91470886075949298"/>
    <n v="15"/>
    <n v="10"/>
    <n v="11.7"/>
    <e v="#NAME?"/>
    <n v="82"/>
    <n v="0.89867924528301801"/>
    <s v="na"/>
    <n v="82"/>
    <n v="0.89867924528301801"/>
    <n v="10"/>
    <n v="10"/>
    <n v="0"/>
    <n v="9.5"/>
    <e v="#NAME?"/>
    <n v="84"/>
    <n v="0.89341666666666597"/>
    <m/>
    <n v="84"/>
    <n v="0.89341666666666597"/>
    <m/>
    <n v="0"/>
    <n v="0"/>
    <n v="0"/>
    <n v="13"/>
    <n v="100"/>
    <m/>
    <n v="0.85"/>
    <m/>
    <n v="81.738095238095227"/>
    <n v="0"/>
    <n v="85.348837209302332"/>
    <n v="0"/>
    <n v="67.045454545454547"/>
    <n v="1"/>
    <n v="0"/>
    <n v="3"/>
    <n v="84.666666666666671"/>
    <n v="84.666666666666671"/>
    <n v="0.84841666666666604"/>
    <n v="0.84841666666666604"/>
    <n v="58.533096748213026"/>
    <n v="4"/>
    <n v="84.673076923076934"/>
    <m/>
    <m/>
    <m/>
  </r>
  <r>
    <x v="10"/>
    <s v="f"/>
    <s v="10"/>
    <n v="2"/>
    <n v="0"/>
    <n v="3.83"/>
    <e v="#NAME?"/>
    <n v="30"/>
    <n v="0.525569620253164"/>
    <s v="lost data"/>
    <n v="30"/>
    <n v="0.525569620253164"/>
    <n v="18"/>
    <n v="6"/>
    <n v="6.65"/>
    <e v="#NAME?"/>
    <n v="62"/>
    <n v="0.63826415094339595"/>
    <n v="72"/>
    <n v="72"/>
    <n v="0.66826415094339597"/>
    <n v="9"/>
    <n v="9"/>
    <n v="10"/>
    <n v="8.5"/>
    <e v="#NAME?"/>
    <n v="65"/>
    <n v="0.70462499999999995"/>
    <n v="68"/>
    <n v="68"/>
    <n v="0.71062499999999995"/>
    <m/>
    <n v="20.2"/>
    <n v="1"/>
    <n v="26"/>
    <n v="7.6"/>
    <n v="82"/>
    <m/>
    <n v="0.65"/>
    <m/>
    <n v="13.88095238095238"/>
    <n v="1"/>
    <n v="71.279069767441854"/>
    <n v="0"/>
    <n v="82.954545454545453"/>
    <n v="0"/>
    <n v="78.666666666666671"/>
    <n v="0"/>
    <n v="52.333333333333336"/>
    <n v="56.666666666666664"/>
    <n v="0.60562499999999997"/>
    <n v="0.57962499999999995"/>
    <n v="61.695308567401597"/>
    <n v="1"/>
    <n v="51.115384615384606"/>
    <m/>
    <m/>
    <m/>
  </r>
  <r>
    <x v="11"/>
    <s v="m"/>
    <s v="10"/>
    <n v="15"/>
    <n v="10.75"/>
    <n v="6.49"/>
    <e v="#NAME?"/>
    <n v="82"/>
    <n v="0.87206329113923997"/>
    <s v="lost data"/>
    <n v="82"/>
    <n v="0.87206329113923997"/>
    <n v="16"/>
    <n v="12"/>
    <n v="8"/>
    <e v="#NAME?"/>
    <n v="72"/>
    <n v="0.84517610062893"/>
    <s v="na"/>
    <n v="72"/>
    <n v="0.84517610062893"/>
    <n v="7"/>
    <n v="10"/>
    <n v="11"/>
    <n v="8.5"/>
    <e v="#NAME?"/>
    <n v="85"/>
    <n v="0.86247916666666602"/>
    <m/>
    <n v="85"/>
    <n v="0.86247916666666602"/>
    <m/>
    <n v="0"/>
    <n v="0"/>
    <n v="0"/>
    <n v="0"/>
    <n v="0"/>
    <m/>
    <n v="0.85"/>
    <m/>
    <n v="76.761904761904759"/>
    <n v="0"/>
    <n v="83.720930232558132"/>
    <n v="0"/>
    <n v="82.954545454545453"/>
    <n v="0"/>
    <n v="0"/>
    <n v="3"/>
    <n v="79.666666666666671"/>
    <n v="79.666666666666671"/>
    <n v="0.81747916666666598"/>
    <n v="0.81747916666666598"/>
    <n v="60.859345112252086"/>
    <n v="3"/>
    <n v="44.21153846153846"/>
    <m/>
    <m/>
    <m/>
  </r>
  <r>
    <x v="12"/>
    <s v="f"/>
    <s v="11"/>
    <n v="4"/>
    <n v="4"/>
    <n v="4.66"/>
    <e v="#NAME?"/>
    <n v="83"/>
    <n v="0.85369620253164502"/>
    <s v="lost data"/>
    <n v="83"/>
    <n v="0.85369620253164502"/>
    <n v="7"/>
    <n v="0"/>
    <n v="9.1"/>
    <e v="#NAME?"/>
    <n v="65"/>
    <n v="0.80280503144654003"/>
    <n v="68"/>
    <n v="68"/>
    <n v="0.81180503144654004"/>
    <n v="6"/>
    <n v="10"/>
    <n v="8"/>
    <n v="7"/>
    <e v="#NAME?"/>
    <n v="78"/>
    <n v="0.82320833333333299"/>
    <m/>
    <n v="78"/>
    <n v="0.82320833333333299"/>
    <m/>
    <n v="21"/>
    <n v="0"/>
    <n v="0"/>
    <n v="10.220000000000001"/>
    <n v="88"/>
    <m/>
    <n v="0.62"/>
    <m/>
    <n v="30.142857142857142"/>
    <n v="0"/>
    <n v="37.441860465116285"/>
    <n v="1"/>
    <n v="70.454545454545453"/>
    <n v="0"/>
    <n v="35"/>
    <n v="2"/>
    <n v="75.333333333333329"/>
    <n v="76.333333333333329"/>
    <n v="0.709208333333333"/>
    <n v="0.70320833333333299"/>
    <n v="43.259815765629725"/>
    <n v="3"/>
    <n v="59.576923076923073"/>
    <m/>
    <m/>
    <m/>
  </r>
  <r>
    <x v="13"/>
    <s v="m"/>
    <s v="9"/>
    <n v="15"/>
    <n v="14"/>
    <n v="11"/>
    <e v="#NAME?"/>
    <n v="92"/>
    <n v="0.94693670886075898"/>
    <s v="lost data"/>
    <n v="92"/>
    <n v="0.94693670886075898"/>
    <n v="18"/>
    <n v="12"/>
    <n v="10"/>
    <e v="#NAME?"/>
    <n v="95"/>
    <n v="0.954710691823899"/>
    <s v="na"/>
    <n v="95"/>
    <n v="0.954710691823899"/>
    <n v="10"/>
    <n v="9"/>
    <n v="11"/>
    <n v="9.5"/>
    <e v="#NAME?"/>
    <n v="100"/>
    <n v="0.96691666666666598"/>
    <m/>
    <n v="100"/>
    <n v="0.96691666666666598"/>
    <m/>
    <n v="22"/>
    <n v="10"/>
    <n v="23"/>
    <n v="12.34"/>
    <n v="95"/>
    <m/>
    <n v="0.92"/>
    <m/>
    <n v="95.238095238095227"/>
    <n v="0"/>
    <n v="93.023255813953483"/>
    <n v="0"/>
    <n v="89.772727272727266"/>
    <n v="0"/>
    <n v="91.666666666666657"/>
    <n v="0"/>
    <n v="95.666666666666671"/>
    <n v="95.666666666666671"/>
    <n v="0.94291666666666596"/>
    <n v="0.94291666666666596"/>
    <n v="92.425186247860665"/>
    <n v="0"/>
    <n v="82.384615384615387"/>
    <m/>
    <m/>
    <m/>
  </r>
  <r>
    <x v="14"/>
    <s v="m"/>
    <s v="11"/>
    <n v="13"/>
    <n v="14.5"/>
    <n v="11.17"/>
    <e v="#NAME?"/>
    <n v="80"/>
    <n v="0.87303797468354405"/>
    <s v="lost data"/>
    <n v="80"/>
    <n v="0.87303797468354405"/>
    <n v="9"/>
    <n v="0"/>
    <n v="10"/>
    <e v="#NAME?"/>
    <n v="68"/>
    <n v="0.82355974842767199"/>
    <n v="65"/>
    <n v="68"/>
    <n v="0.82355974842767199"/>
    <n v="9"/>
    <n v="9"/>
    <n v="11"/>
    <n v="0"/>
    <e v="#NAME?"/>
    <n v="65"/>
    <n v="0.790791666666666"/>
    <m/>
    <n v="65"/>
    <n v="0.790791666666666"/>
    <m/>
    <n v="22"/>
    <n v="9"/>
    <n v="0"/>
    <n v="8.0500000000000007"/>
    <n v="82"/>
    <m/>
    <n v="0.72"/>
    <m/>
    <n v="92.071428571428569"/>
    <n v="0"/>
    <n v="44.1860465116279"/>
    <n v="1"/>
    <n v="65.909090909090907"/>
    <n v="1"/>
    <n v="51.666666666666671"/>
    <n v="1"/>
    <n v="71"/>
    <n v="71"/>
    <n v="0.70679166666666604"/>
    <n v="0.70679166666666604"/>
    <n v="63.45830816470351"/>
    <n v="3"/>
    <n v="56.192307692307693"/>
    <m/>
    <m/>
    <m/>
  </r>
  <r>
    <x v="15"/>
    <s v="m"/>
    <s v="10"/>
    <s v="na"/>
    <s v="na"/>
    <s v="na"/>
    <s v="na"/>
    <n v="92"/>
    <n v="0.85199999999999998"/>
    <s v="lost data"/>
    <n v="92"/>
    <n v="0.85199999999999998"/>
    <n v="18"/>
    <n v="12"/>
    <n v="13"/>
    <e v="#NAME?"/>
    <n v="95"/>
    <n v="0.91131446540880501"/>
    <s v="na"/>
    <n v="95"/>
    <n v="0.91131446540880501"/>
    <n v="10"/>
    <n v="10"/>
    <n v="11"/>
    <n v="7"/>
    <e v="#NAME?"/>
    <n v="75"/>
    <n v="0.88649999999999896"/>
    <n v="85"/>
    <n v="82"/>
    <n v="0.90049999999999897"/>
    <m/>
    <n v="22"/>
    <n v="10"/>
    <n v="27"/>
    <n v="13"/>
    <n v="100"/>
    <m/>
    <n v="0.83"/>
    <m/>
    <n v="0"/>
    <n v="0"/>
    <n v="100"/>
    <n v="0"/>
    <n v="86.36363636363636"/>
    <n v="0"/>
    <n v="98.333333333333343"/>
    <n v="0"/>
    <n v="87.333333333333329"/>
    <n v="89.666666666666671"/>
    <n v="0.84949999999999903"/>
    <n v="0.83549999999999902"/>
    <n v="71.174242424242436"/>
    <n v="0"/>
    <n v="84.615384615384613"/>
    <m/>
    <m/>
    <m/>
  </r>
  <r>
    <x v="16"/>
    <s v="f"/>
    <s v="10"/>
    <s v="na"/>
    <s v="na"/>
    <s v="na"/>
    <s v="na"/>
    <n v="62"/>
    <n v="0.67199999999999904"/>
    <s v="lost data"/>
    <n v="62"/>
    <n v="0.67199999999999904"/>
    <n v="17"/>
    <n v="9"/>
    <n v="13"/>
    <e v="#NAME?"/>
    <n v="30"/>
    <n v="0.62379874213836395"/>
    <s v="na"/>
    <n v="30"/>
    <n v="0.62379874213836395"/>
    <n v="8"/>
    <n v="10"/>
    <n v="8"/>
    <n v="7.5"/>
    <e v="#NAME?"/>
    <n v="72"/>
    <n v="0.68758333333333299"/>
    <m/>
    <n v="72"/>
    <n v="0.68758333333333299"/>
    <m/>
    <n v="22"/>
    <n v="2"/>
    <n v="0"/>
    <n v="7.27"/>
    <n v="78"/>
    <m/>
    <n v="0.3"/>
    <m/>
    <n v="0"/>
    <n v="0"/>
    <n v="90.697674418604649"/>
    <n v="0"/>
    <n v="76.13636363636364"/>
    <n v="0"/>
    <n v="40"/>
    <n v="1"/>
    <n v="54.666666666666664"/>
    <n v="54.666666666666664"/>
    <n v="0.47758333333333303"/>
    <n v="0.47758333333333303"/>
    <n v="51.708509513742072"/>
    <n v="1"/>
    <n v="71.205128205128204"/>
    <m/>
    <m/>
    <m/>
  </r>
  <r>
    <x v="17"/>
    <s v="m"/>
    <s v="10"/>
    <n v="14.5"/>
    <n v="13.25"/>
    <n v="10.17"/>
    <e v="#NAME?"/>
    <n v="95"/>
    <n v="0.96082278481012595"/>
    <s v="lost data"/>
    <n v="95"/>
    <n v="0.96082278481012595"/>
    <n v="18"/>
    <n v="12"/>
    <n v="10.7"/>
    <e v="#NAME?"/>
    <n v="95"/>
    <n v="0.96292452830188602"/>
    <s v="na"/>
    <n v="95"/>
    <n v="0.96292452830188602"/>
    <n v="9"/>
    <n v="10"/>
    <n v="11"/>
    <n v="10.5"/>
    <e v="#NAME?"/>
    <n v="82"/>
    <n v="0.937229166666666"/>
    <n v="85"/>
    <n v="85"/>
    <n v="0.94322916666666601"/>
    <m/>
    <n v="22"/>
    <n v="9"/>
    <n v="21"/>
    <n v="12.2"/>
    <n v="95"/>
    <m/>
    <n v="1"/>
    <m/>
    <n v="90.285714285714292"/>
    <n v="0"/>
    <n v="94.651162790697683"/>
    <n v="0"/>
    <n v="92.045454545454547"/>
    <n v="0"/>
    <n v="86.666666666666657"/>
    <n v="0"/>
    <n v="90.666666666666671"/>
    <n v="91.666666666666671"/>
    <n v="0.94322916666666601"/>
    <n v="0.937229166666666"/>
    <n v="90.912249572133305"/>
    <n v="0"/>
    <n v="83.788461538461519"/>
    <m/>
    <m/>
    <m/>
  </r>
  <r>
    <x v="18"/>
    <s v="m"/>
    <s v="10"/>
    <n v="13.5"/>
    <n v="15"/>
    <n v="11.33"/>
    <e v="#NAME?"/>
    <n v="85"/>
    <n v="0.90430379746835399"/>
    <s v="lost data"/>
    <n v="85"/>
    <n v="0.90430379746835399"/>
    <n v="17"/>
    <n v="12"/>
    <n v="9.4"/>
    <e v="#NAME?"/>
    <n v="78"/>
    <n v="0.88082389937106897"/>
    <s v="na"/>
    <n v="78"/>
    <n v="0.88082389937106897"/>
    <n v="10"/>
    <n v="9"/>
    <n v="11"/>
    <n v="8.5"/>
    <e v="#NAME?"/>
    <n v="82"/>
    <n v="0.88104166666666595"/>
    <m/>
    <n v="82"/>
    <n v="0.88104166666666595"/>
    <m/>
    <n v="22"/>
    <n v="9"/>
    <n v="0"/>
    <n v="12.2"/>
    <n v="95"/>
    <m/>
    <n v="0.82"/>
    <m/>
    <n v="94.833333333333329"/>
    <n v="0"/>
    <n v="89.302325581395337"/>
    <n v="0"/>
    <n v="87.5"/>
    <n v="0"/>
    <n v="51.666666666666671"/>
    <n v="1"/>
    <n v="81.666666666666671"/>
    <n v="81.666666666666671"/>
    <n v="0.82704166666666601"/>
    <n v="0.82704166666666601"/>
    <n v="80.825581395348834"/>
    <n v="1"/>
    <n v="79.67307692307692"/>
    <m/>
    <m/>
    <m/>
  </r>
  <r>
    <x v="19"/>
    <s v="m"/>
    <s v="10"/>
    <n v="15"/>
    <n v="13"/>
    <n v="10.84"/>
    <e v="#NAME?"/>
    <n v="92"/>
    <n v="0.94567088607594896"/>
    <s v="lost data"/>
    <n v="92"/>
    <n v="0.94567088607594896"/>
    <n v="18"/>
    <n v="12"/>
    <n v="8.6999999999999993"/>
    <e v="#NAME?"/>
    <n v="82"/>
    <n v="0.91413836477987398"/>
    <s v="na"/>
    <n v="82"/>
    <n v="0.91413836477987398"/>
    <n v="7.75"/>
    <n v="9"/>
    <n v="10"/>
    <n v="9.5"/>
    <e v="#NAME?"/>
    <n v="75"/>
    <n v="0.88852083333333298"/>
    <n v="82"/>
    <n v="82"/>
    <n v="0.90252083333333299"/>
    <m/>
    <n v="19.8"/>
    <n v="9"/>
    <n v="23.5"/>
    <n v="10.220000000000001"/>
    <n v="88"/>
    <m/>
    <n v="0.88"/>
    <m/>
    <n v="92.476190476190496"/>
    <n v="0"/>
    <n v="90"/>
    <n v="0"/>
    <n v="82.38636363636364"/>
    <n v="0"/>
    <n v="87.166666666666671"/>
    <n v="0"/>
    <n v="83"/>
    <n v="85.333333333333329"/>
    <n v="0.86652083333333296"/>
    <n v="0.85252083333333295"/>
    <n v="88.007305194805198"/>
    <n v="0"/>
    <n v="75.5"/>
    <m/>
    <m/>
    <m/>
  </r>
  <r>
    <x v="20"/>
    <s v="f"/>
    <s v="9"/>
    <n v="15"/>
    <n v="14"/>
    <n v="10.5"/>
    <e v="#NAME?"/>
    <n v="95"/>
    <n v="0.964936708860759"/>
    <s v="lost data"/>
    <n v="95"/>
    <n v="0.964936708860759"/>
    <n v="18"/>
    <n v="12"/>
    <n v="12"/>
    <e v="#NAME?"/>
    <n v="88"/>
    <n v="0.94491194968553405"/>
    <s v="na"/>
    <n v="88"/>
    <n v="0.94491194968553405"/>
    <n v="10"/>
    <n v="10"/>
    <n v="11"/>
    <n v="9"/>
    <e v="#NAME?"/>
    <n v="82"/>
    <n v="0.92416666666666603"/>
    <m/>
    <n v="82"/>
    <n v="0.92416666666666603"/>
    <m/>
    <n v="22"/>
    <n v="10"/>
    <n v="28"/>
    <n v="13"/>
    <n v="100"/>
    <m/>
    <n v="0.92"/>
    <m/>
    <n v="94.047619047619051"/>
    <n v="0"/>
    <n v="97.674418604651152"/>
    <n v="0"/>
    <n v="90.909090909090907"/>
    <n v="0"/>
    <n v="100"/>
    <n v="0"/>
    <n v="88.333333333333329"/>
    <n v="88.333333333333329"/>
    <n v="0.900166666666666"/>
    <n v="0.900166666666666"/>
    <n v="95.657782140340288"/>
    <n v="0"/>
    <n v="85.576923076923066"/>
    <m/>
    <m/>
    <m/>
  </r>
  <r>
    <x v="21"/>
    <s v="m"/>
    <s v="10"/>
    <n v="14.5"/>
    <n v="15"/>
    <n v="11"/>
    <e v="#NAME?"/>
    <n v="92"/>
    <n v="0.94756962025316405"/>
    <s v="lost data"/>
    <n v="92"/>
    <n v="0.94756962025316405"/>
    <n v="18"/>
    <n v="12"/>
    <n v="13"/>
    <e v="#NAME?"/>
    <n v="72"/>
    <n v="0.88979874213836396"/>
    <n v="83"/>
    <n v="83"/>
    <n v="0.92279874213836399"/>
    <n v="10"/>
    <n v="10"/>
    <n v="9"/>
    <n v="10.5"/>
    <e v="#NAME?"/>
    <n v="80"/>
    <n v="0.90604166666666597"/>
    <n v="85"/>
    <n v="80"/>
    <n v="0.90604166666666597"/>
    <m/>
    <n v="22"/>
    <n v="10"/>
    <n v="21"/>
    <n v="13"/>
    <n v="100"/>
    <m/>
    <n v="0.88"/>
    <m/>
    <n v="96.428571428571431"/>
    <n v="0"/>
    <n v="100"/>
    <n v="0"/>
    <n v="89.772727272727266"/>
    <n v="0"/>
    <n v="88.333333333333343"/>
    <n v="0"/>
    <n v="81.333333333333329"/>
    <n v="85"/>
    <n v="0.87004166666666605"/>
    <n v="0.84804166666666603"/>
    <n v="93.633658008658017"/>
    <n v="0"/>
    <n v="91.34615384615384"/>
    <m/>
    <m/>
    <m/>
  </r>
  <r>
    <x v="22"/>
    <s v="f"/>
    <s v="11"/>
    <n v="13"/>
    <n v="6"/>
    <n v="5.17"/>
    <e v="#NAME?"/>
    <n v="72"/>
    <n v="0.80162025316455598"/>
    <s v="lost data"/>
    <n v="72"/>
    <n v="0.80162025316455598"/>
    <n v="1"/>
    <n v="0"/>
    <n v="6"/>
    <e v="#NAME?"/>
    <n v="62"/>
    <n v="0.76080503144653999"/>
    <m/>
    <n v="62"/>
    <n v="0.76080503144653999"/>
    <n v="9"/>
    <n v="10"/>
    <n v="11"/>
    <n v="9"/>
    <e v="#NAME?"/>
    <n v="72"/>
    <n v="0.78116666666666601"/>
    <m/>
    <n v="72"/>
    <n v="0.78116666666666601"/>
    <m/>
    <n v="22"/>
    <n v="10"/>
    <n v="28"/>
    <n v="9.19"/>
    <n v="85"/>
    <m/>
    <n v="0.62"/>
    <m/>
    <n v="57.547619047619051"/>
    <n v="0"/>
    <n v="16.279069767441861"/>
    <n v="1"/>
    <n v="88.63636363636364"/>
    <n v="0"/>
    <n v="100"/>
    <n v="0"/>
    <n v="68.666666666666671"/>
    <n v="68.666666666666671"/>
    <n v="0.66716666666666602"/>
    <n v="0.66716666666666602"/>
    <n v="65.615763112856143"/>
    <n v="1"/>
    <n v="56.46153846153846"/>
    <m/>
    <m/>
    <m/>
  </r>
  <r>
    <x v="23"/>
    <s v="f"/>
    <s v="10"/>
    <n v="15"/>
    <n v="4"/>
    <n v="9.33"/>
    <e v="#NAME?"/>
    <n v="62"/>
    <n v="0.74984810126582202"/>
    <s v="lost data"/>
    <n v="62"/>
    <n v="0.74984810126582202"/>
    <n v="16"/>
    <n v="11"/>
    <n v="8.1"/>
    <e v="#NAME?"/>
    <n v="65"/>
    <n v="0.76244654088050301"/>
    <m/>
    <n v="65"/>
    <n v="0.76244654088050301"/>
    <n v="9"/>
    <n v="10"/>
    <n v="9"/>
    <n v="0.5"/>
    <e v="#NAME?"/>
    <n v="65"/>
    <n v="0.75587499999999996"/>
    <m/>
    <n v="65"/>
    <n v="0.75587499999999996"/>
    <m/>
    <n v="0"/>
    <n v="10"/>
    <n v="0"/>
    <n v="13"/>
    <n v="100"/>
    <m/>
    <n v="0.65"/>
    <m/>
    <n v="67.452380952380949"/>
    <n v="0"/>
    <n v="81.627906976744185"/>
    <n v="0"/>
    <n v="64.772727272727266"/>
    <n v="0"/>
    <n v="16.666666666666668"/>
    <n v="2"/>
    <n v="64"/>
    <n v="64"/>
    <n v="0.65087499999999998"/>
    <n v="0.65087499999999998"/>
    <n v="57.629920467129757"/>
    <n v="2"/>
    <n v="59.480769230769226"/>
    <m/>
    <m/>
    <m/>
  </r>
  <r>
    <x v="24"/>
    <s v="f"/>
    <s v="10"/>
    <n v="15"/>
    <n v="7"/>
    <n v="9.66"/>
    <e v="#NAME?"/>
    <n v="75"/>
    <n v="0.83354430379746802"/>
    <n v="78"/>
    <n v="78"/>
    <n v="0.85154430379746804"/>
    <n v="9"/>
    <n v="0"/>
    <n v="0"/>
    <e v="#NAME?"/>
    <n v="62"/>
    <n v="0.76716981132075401"/>
    <n v="78"/>
    <n v="78"/>
    <n v="0.81516981132075395"/>
    <n v="7"/>
    <n v="8"/>
    <n v="9"/>
    <n v="5.5"/>
    <e v="#NAME?"/>
    <n v="68"/>
    <n v="0.80487500000000001"/>
    <n v="72"/>
    <n v="68"/>
    <n v="0.80487500000000001"/>
    <s v="na"/>
    <n v="22"/>
    <n v="5"/>
    <n v="0"/>
    <n v="13"/>
    <n v="100"/>
    <m/>
    <n v="0.72"/>
    <m/>
    <n v="75.38095238095238"/>
    <n v="0"/>
    <n v="20.930232558139533"/>
    <n v="2"/>
    <n v="67.045454545454547"/>
    <n v="0"/>
    <n v="45"/>
    <n v="1"/>
    <n v="68.333333333333329"/>
    <n v="74.666666666666671"/>
    <n v="0.72087499999999904"/>
    <n v="0.68287500000000001"/>
    <n v="52.089159871136616"/>
    <n v="3"/>
    <n v="54.153846153846153"/>
    <m/>
    <m/>
    <m/>
  </r>
  <r>
    <x v="25"/>
    <s v="m"/>
    <s v="10"/>
    <n v="13.5"/>
    <n v="14"/>
    <n v="9.66"/>
    <e v="#NAME?"/>
    <n v="72"/>
    <n v="0.82250632911392396"/>
    <s v="na"/>
    <n v="72"/>
    <n v="0.82250632911392396"/>
    <n v="17"/>
    <n v="12"/>
    <n v="12.4"/>
    <e v="#NAME?"/>
    <n v="72"/>
    <n v="0.82508176100628905"/>
    <s v="na"/>
    <n v="72"/>
    <n v="0.82508176100628905"/>
    <n v="10"/>
    <n v="9"/>
    <n v="11"/>
    <n v="3"/>
    <e v="#NAME?"/>
    <n v="68"/>
    <n v="0.81170833333333303"/>
    <s v="na"/>
    <n v="68"/>
    <n v="0.81170833333333303"/>
    <s v="na"/>
    <n v="21"/>
    <n v="9"/>
    <n v="26"/>
    <n v="9.9"/>
    <n v="88"/>
    <m/>
    <n v="0.65"/>
    <m/>
    <n v="88.476190476190467"/>
    <n v="0"/>
    <n v="96.279069767441854"/>
    <n v="0"/>
    <n v="75"/>
    <n v="0"/>
    <n v="93.333333333333329"/>
    <n v="0"/>
    <n v="70.666666666666671"/>
    <n v="70.666666666666671"/>
    <n v="0.70670833333333305"/>
    <n v="0.70670833333333305"/>
    <n v="88.272148394241412"/>
    <n v="0"/>
    <n v="67.230769230769226"/>
    <m/>
    <m/>
    <m/>
  </r>
  <r>
    <x v="26"/>
    <s v="f"/>
    <s v="10"/>
    <n v="15"/>
    <n v="14"/>
    <n v="11"/>
    <e v="#NAME?"/>
    <n v="95"/>
    <n v="0.964936708860759"/>
    <s v="na"/>
    <n v="95"/>
    <n v="0.964936708860759"/>
    <n v="18"/>
    <n v="12"/>
    <n v="10"/>
    <e v="#NAME?"/>
    <n v="82"/>
    <n v="0.92471069182389898"/>
    <n v="95"/>
    <n v="95"/>
    <n v="0.96371069182389901"/>
    <n v="10"/>
    <n v="10"/>
    <n v="11"/>
    <n v="11"/>
    <e v="#NAME?"/>
    <n v="100"/>
    <n v="0.97416666666666596"/>
    <s v="na"/>
    <n v="100"/>
    <n v="0.97416666666666596"/>
    <s v="na"/>
    <n v="22"/>
    <n v="9.5"/>
    <n v="24"/>
    <n v="11"/>
    <n v="92"/>
    <m/>
    <n v="0.95"/>
    <m/>
    <n v="95.238095238095227"/>
    <n v="0"/>
    <n v="93.023255813953483"/>
    <n v="0"/>
    <n v="95.454545454545453"/>
    <n v="0"/>
    <n v="92.5"/>
    <n v="0"/>
    <n v="92.333333333333329"/>
    <n v="96.666666666666671"/>
    <n v="0.95916666666666595"/>
    <n v="0.93316666666666603"/>
    <n v="94.053974126648541"/>
    <n v="0"/>
    <n v="82.692307692307693"/>
    <m/>
    <m/>
    <m/>
  </r>
  <r>
    <x v="27"/>
    <s v="m"/>
    <s v="10"/>
    <n v="13"/>
    <n v="6.5"/>
    <n v="9.67"/>
    <e v="#NAME?"/>
    <n v="65"/>
    <n v="0.77037974683544297"/>
    <s v="na"/>
    <n v="65"/>
    <n v="0.77037974683544297"/>
    <n v="16"/>
    <n v="0"/>
    <n v="0"/>
    <e v="#NAME?"/>
    <n v="62"/>
    <n v="0.73099999999999998"/>
    <s v="na"/>
    <n v="62"/>
    <n v="0.73099999999999998"/>
    <n v="0"/>
    <n v="0"/>
    <n v="11"/>
    <n v="4.5"/>
    <e v="#NAME?"/>
    <n v="65"/>
    <n v="0.73670833333333297"/>
    <n v="68"/>
    <n v="68"/>
    <n v="0.74270833333333297"/>
    <s v="na"/>
    <n v="21"/>
    <n v="4"/>
    <n v="0"/>
    <n v="12.8"/>
    <n v="100"/>
    <m/>
    <n v="0.62"/>
    <m/>
    <n v="69.452380952380949"/>
    <n v="0"/>
    <n v="37.20930232558139"/>
    <n v="2"/>
    <n v="35.227272727272727"/>
    <n v="2"/>
    <n v="41.666666666666671"/>
    <n v="1"/>
    <n v="64"/>
    <n v="65"/>
    <n v="0.62870833333333298"/>
    <n v="0.62270833333333298"/>
    <n v="45.888905667975436"/>
    <n v="5"/>
    <n v="51.865384615384613"/>
    <m/>
    <m/>
    <m/>
  </r>
  <r>
    <x v="28"/>
    <s v="m"/>
    <s v="10"/>
    <n v="5"/>
    <n v="1"/>
    <n v="8"/>
    <e v="#NAME?"/>
    <n v="85"/>
    <n v="0.86949367088607499"/>
    <s v="na"/>
    <n v="85"/>
    <n v="0.86949367088607499"/>
    <n v="18"/>
    <n v="12"/>
    <n v="10"/>
    <e v="#NAME?"/>
    <n v="75"/>
    <n v="0.85610062893081695"/>
    <n v="95"/>
    <n v="95"/>
    <n v="0.91610062893081701"/>
    <n v="10"/>
    <n v="10"/>
    <n v="10"/>
    <n v="5.5"/>
    <e v="#NAME?"/>
    <n v="75"/>
    <n v="0.88854166666666601"/>
    <n v="75"/>
    <n v="75"/>
    <n v="0.88854166666666601"/>
    <s v="na"/>
    <n v="21"/>
    <n v="9"/>
    <n v="14"/>
    <n v="13"/>
    <n v="100"/>
    <m/>
    <n v="0.82"/>
    <m/>
    <n v="33.333333333333329"/>
    <n v="0"/>
    <n v="93.023255813953483"/>
    <n v="0"/>
    <n v="80.681818181818173"/>
    <n v="0"/>
    <n v="73.333333333333329"/>
    <n v="0"/>
    <n v="78.333333333333329"/>
    <n v="85"/>
    <n v="0.83454166666666596"/>
    <n v="0.79454166666666604"/>
    <n v="70.092935165609575"/>
    <n v="0"/>
    <n v="70.192307692307693"/>
    <m/>
    <m/>
    <m/>
  </r>
  <r>
    <x v="29"/>
    <s v="m"/>
    <s v="10"/>
    <n v="14"/>
    <n v="12"/>
    <n v="8.16"/>
    <e v="#NAME?"/>
    <n v="100"/>
    <n v="0.98481012658227796"/>
    <s v="na"/>
    <n v="100"/>
    <n v="0.98481012658227796"/>
    <n v="17"/>
    <n v="12"/>
    <n v="10"/>
    <e v="#NAME?"/>
    <n v="92"/>
    <n v="0.96405031446540801"/>
    <s v="na"/>
    <n v="92"/>
    <n v="0.96405031446540801"/>
    <n v="9"/>
    <n v="10"/>
    <n v="11"/>
    <n v="10"/>
    <e v="#NAME?"/>
    <n v="82"/>
    <n v="0.93716666666666604"/>
    <s v="na"/>
    <n v="82"/>
    <n v="0.93716666666666604"/>
    <s v="na"/>
    <n v="22"/>
    <n v="10"/>
    <n v="0"/>
    <n v="13"/>
    <n v="100"/>
    <m/>
    <n v="0.78"/>
    <m/>
    <n v="81.333333333333329"/>
    <n v="0"/>
    <n v="90.697674418604649"/>
    <n v="0"/>
    <n v="90.909090909090907"/>
    <n v="0"/>
    <n v="53.333333333333336"/>
    <n v="1"/>
    <n v="91.333333333333329"/>
    <n v="91.333333333333329"/>
    <n v="0.87116666666666598"/>
    <n v="0.87116666666666598"/>
    <n v="79.068357998590542"/>
    <n v="1"/>
    <n v="79.153846153846146"/>
    <m/>
    <m/>
    <m/>
  </r>
  <r>
    <x v="30"/>
    <s v="f"/>
    <s v="11"/>
    <n v="12.5"/>
    <n v="7"/>
    <n v="8.5"/>
    <e v="#NAME?"/>
    <n v="30"/>
    <n v="0.55848101265822703"/>
    <n v="62"/>
    <n v="62"/>
    <n v="0.75048101265822698"/>
    <n v="16"/>
    <n v="0"/>
    <n v="8.4"/>
    <e v="#NAME?"/>
    <n v="30"/>
    <n v="0.65084276729559698"/>
    <n v="62"/>
    <n v="62"/>
    <n v="0.74684276729559695"/>
    <n v="10"/>
    <n v="9"/>
    <n v="6"/>
    <n v="4.5"/>
    <e v="#NAME?"/>
    <n v="68"/>
    <n v="0.75900000000000001"/>
    <s v="na"/>
    <n v="68"/>
    <n v="0.75900000000000001"/>
    <s v="no data"/>
    <n v="12"/>
    <n v="0"/>
    <n v="0"/>
    <n v="10.47"/>
    <n v="88"/>
    <m/>
    <n v="0.62"/>
    <m/>
    <n v="66.666666666666657"/>
    <n v="0"/>
    <n v="56.744186046511622"/>
    <n v="1"/>
    <n v="67.045454545454547"/>
    <n v="0"/>
    <n v="20"/>
    <n v="2"/>
    <n v="42.666666666666664"/>
    <n v="64"/>
    <n v="0.64500000000000002"/>
    <n v="0.51700000000000002"/>
    <n v="52.614076814658205"/>
    <n v="3"/>
    <n v="61.288461538461533"/>
    <m/>
    <m/>
    <m/>
  </r>
  <r>
    <x v="31"/>
    <s v="f"/>
    <s v="10"/>
    <n v="15"/>
    <n v="14"/>
    <n v="11"/>
    <e v="#NAME?"/>
    <n v="100"/>
    <n v="0.99493670886075902"/>
    <s v="na"/>
    <n v="100"/>
    <n v="0.99493670886075902"/>
    <n v="17"/>
    <n v="12"/>
    <n v="10"/>
    <e v="#NAME?"/>
    <n v="82"/>
    <n v="0.93908176100628904"/>
    <n v="95"/>
    <n v="95"/>
    <n v="0.97808176100628896"/>
    <n v="10"/>
    <n v="10"/>
    <n v="11"/>
    <n v="11"/>
    <e v="#NAME?"/>
    <n v="82"/>
    <n v="0.94774999999999898"/>
    <s v="na"/>
    <n v="82"/>
    <n v="0.94774999999999898"/>
    <s v="no data"/>
    <n v="22"/>
    <n v="10"/>
    <n v="27"/>
    <n v="13"/>
    <n v="100"/>
    <m/>
    <n v="0.82"/>
    <m/>
    <n v="95.238095238095227"/>
    <n v="0"/>
    <n v="90.697674418604649"/>
    <n v="0"/>
    <n v="95.454545454545453"/>
    <n v="0"/>
    <n v="98.333333333333343"/>
    <n v="0"/>
    <n v="88"/>
    <n v="92.333333333333329"/>
    <n v="0.89374999999999905"/>
    <n v="0.86775000000000002"/>
    <n v="94.930912111144664"/>
    <n v="0"/>
    <n v="86.538461538461547"/>
    <m/>
    <m/>
    <m/>
  </r>
  <r>
    <x v="32"/>
    <s v="m"/>
    <s v="9"/>
    <n v="14.5"/>
    <n v="12.25"/>
    <n v="9.16"/>
    <e v="#NAME?"/>
    <n v="98"/>
    <n v="0.97565822784810097"/>
    <s v="na"/>
    <n v="98"/>
    <n v="0.97565822784810097"/>
    <n v="18"/>
    <n v="12"/>
    <n v="7.75"/>
    <e v="#NAME?"/>
    <n v="85"/>
    <n v="0.93720754716981103"/>
    <s v="na"/>
    <n v="85"/>
    <n v="0.93720754716981103"/>
    <n v="10"/>
    <n v="10"/>
    <n v="11"/>
    <n v="12.5"/>
    <e v="#NAME?"/>
    <n v="78"/>
    <n v="0.91418749999999904"/>
    <s v="na"/>
    <n v="78"/>
    <n v="0.91418749999999904"/>
    <s v="no data"/>
    <n v="21"/>
    <n v="9.4"/>
    <n v="22"/>
    <n v="11"/>
    <n v="92"/>
    <m/>
    <n v="0.95"/>
    <m/>
    <n v="85.499999999999986"/>
    <n v="0"/>
    <n v="87.79069767441861"/>
    <n v="0"/>
    <n v="98.86363636363636"/>
    <n v="0"/>
    <n v="87.333333333333329"/>
    <n v="0"/>
    <n v="87"/>
    <n v="87"/>
    <n v="0.89918750000000003"/>
    <n v="0.89918750000000003"/>
    <n v="89.871916842847071"/>
    <n v="0"/>
    <n v="77.711538461538453"/>
    <m/>
    <m/>
    <m/>
  </r>
  <r>
    <x v="33"/>
    <s v="m"/>
    <s v="11"/>
    <n v="15"/>
    <n v="1"/>
    <n v="10.83"/>
    <e v="#NAME?"/>
    <n v="88"/>
    <n v="0.906481012658227"/>
    <s v="na"/>
    <n v="88"/>
    <n v="0.906481012658227"/>
    <n v="17"/>
    <n v="12"/>
    <n v="12"/>
    <e v="#NAME?"/>
    <n v="85"/>
    <n v="0.90610691823899303"/>
    <s v="na"/>
    <n v="85"/>
    <n v="0.90610691823899303"/>
    <n v="10"/>
    <n v="10"/>
    <n v="11"/>
    <n v="0"/>
    <e v="#NAME?"/>
    <n v="78"/>
    <n v="0.87262499999999998"/>
    <s v="na"/>
    <n v="78"/>
    <n v="0.87262499999999998"/>
    <s v="no data"/>
    <n v="19.600000000000001"/>
    <n v="9.8000000000000007"/>
    <n v="0"/>
    <n v="10.8"/>
    <n v="92"/>
    <m/>
    <n v="0.78"/>
    <m/>
    <n v="63.880952380952372"/>
    <n v="0"/>
    <n v="95.348837209302317"/>
    <n v="0"/>
    <n v="70.454545454545453"/>
    <n v="1"/>
    <n v="49.000000000000007"/>
    <n v="1"/>
    <n v="83.666666666666671"/>
    <n v="83.666666666666671"/>
    <n v="0.80662500000000004"/>
    <n v="0.80662500000000004"/>
    <n v="69.671083761200038"/>
    <n v="2"/>
    <n v="64.673076923076906"/>
    <m/>
    <m/>
    <m/>
  </r>
  <r>
    <x v="34"/>
    <s v="f"/>
    <s v="10"/>
    <n v="13"/>
    <n v="13"/>
    <n v="10.83"/>
    <e v="#NAME?"/>
    <n v="65"/>
    <n v="0.78113924050632899"/>
    <n v="68"/>
    <n v="68"/>
    <n v="0.79913924050632901"/>
    <n v="13"/>
    <n v="0"/>
    <n v="10"/>
    <e v="#NAME?"/>
    <n v="30"/>
    <n v="0.67513207547169796"/>
    <n v="72"/>
    <n v="72"/>
    <n v="0.80113207547169796"/>
    <n v="10"/>
    <n v="10"/>
    <n v="0"/>
    <n v="3"/>
    <e v="#NAME?"/>
    <n v="68"/>
    <n v="0.79162500000000002"/>
    <n v="75"/>
    <n v="68"/>
    <n v="0.79162500000000002"/>
    <s v="no data"/>
    <n v="19.8"/>
    <n v="8.5"/>
    <n v="0"/>
    <n v="10.33"/>
    <n v="88"/>
    <m/>
    <n v="0.85"/>
    <m/>
    <n v="87.69047619047619"/>
    <n v="0"/>
    <n v="53.488372093023251"/>
    <n v="1"/>
    <n v="52.272727272727273"/>
    <n v="1"/>
    <n v="47.166666666666671"/>
    <n v="1"/>
    <n v="54.333333333333336"/>
    <n v="69.333333333333329"/>
    <n v="0.74662499999999998"/>
    <n v="0.65662500000000001"/>
    <n v="60.15456055572335"/>
    <n v="3"/>
    <n v="65.692307692307679"/>
    <m/>
    <m/>
    <m/>
  </r>
  <r>
    <x v="35"/>
    <s v="f"/>
    <s v="11"/>
    <n v="7"/>
    <n v="13"/>
    <n v="8.16"/>
    <e v="#NAME?"/>
    <n v="85"/>
    <n v="0.88721518987341697"/>
    <s v="na"/>
    <n v="85"/>
    <n v="0.88721518987341697"/>
    <n v="14"/>
    <n v="11"/>
    <n v="10"/>
    <e v="#NAME?"/>
    <n v="68"/>
    <n v="0.84076100628930805"/>
    <s v="na"/>
    <n v="68"/>
    <n v="0.84076100628930805"/>
    <n v="7"/>
    <n v="9"/>
    <n v="10"/>
    <n v="8"/>
    <e v="#NAME?"/>
    <n v="72"/>
    <n v="0.83208333333333295"/>
    <s v="na"/>
    <n v="72"/>
    <n v="0.83208333333333295"/>
    <s v="no data"/>
    <n v="0"/>
    <n v="0"/>
    <n v="0"/>
    <n v="10.26"/>
    <n v="88"/>
    <m/>
    <n v="0.68"/>
    <m/>
    <n v="67.047619047619051"/>
    <n v="0"/>
    <n v="81.395348837209298"/>
    <n v="0"/>
    <n v="77.272727272727266"/>
    <n v="0"/>
    <n v="0"/>
    <n v="3"/>
    <n v="75"/>
    <n v="75"/>
    <n v="0.73608333333333298"/>
    <n v="0.73608333333333298"/>
    <n v="56.428923789388904"/>
    <n v="3"/>
    <n v="70.038461538461533"/>
    <m/>
    <m/>
    <m/>
  </r>
  <r>
    <x v="36"/>
    <s v="f"/>
    <s v="10"/>
    <s v="na"/>
    <n v="14"/>
    <n v="8.49"/>
    <e v="#NAME?"/>
    <n v="85"/>
    <n v="0.87962025316455605"/>
    <s v="na"/>
    <n v="85"/>
    <n v="0.87962025316455605"/>
    <n v="18"/>
    <n v="8"/>
    <n v="12"/>
    <e v="#NAME?"/>
    <n v="78"/>
    <n v="0.86981761006289204"/>
    <n v="85"/>
    <n v="85"/>
    <n v="0.89081761006289295"/>
    <n v="9"/>
    <n v="10"/>
    <n v="11"/>
    <n v="8"/>
    <e v="#NAME?"/>
    <n v="75"/>
    <n v="0.87312499999999904"/>
    <s v="na"/>
    <n v="75"/>
    <n v="0.87312499999999904"/>
    <s v="no data"/>
    <n v="22"/>
    <n v="4"/>
    <n v="0"/>
    <n v="10.8"/>
    <n v="92"/>
    <m/>
    <n v="0.85"/>
    <m/>
    <n v="53.547619047619058"/>
    <n v="0"/>
    <n v="88.3720930232558"/>
    <n v="0"/>
    <n v="86.36363636363636"/>
    <n v="0"/>
    <n v="43.333333333333329"/>
    <n v="1"/>
    <n v="79.333333333333329"/>
    <n v="81.666666666666671"/>
    <n v="0.828125"/>
    <n v="0.81412499999999999"/>
    <n v="67.904170441961128"/>
    <n v="1"/>
    <n v="75.557692307692321"/>
    <m/>
    <m/>
    <m/>
  </r>
  <r>
    <x v="37"/>
    <s v="m"/>
    <s v="10"/>
    <n v="13.5"/>
    <n v="12.5"/>
    <n v="0"/>
    <e v="#NAME?"/>
    <n v="30"/>
    <n v="0.512911392405063"/>
    <n v="30"/>
    <n v="30"/>
    <n v="0.512911392405063"/>
    <n v="13"/>
    <n v="10"/>
    <n v="9"/>
    <e v="#NAME?"/>
    <n v="30"/>
    <n v="0.53754716981132"/>
    <n v="65"/>
    <n v="65"/>
    <n v="0.64254716981131998"/>
    <n v="0"/>
    <n v="10"/>
    <n v="0"/>
    <n v="7"/>
    <e v="#NAME?"/>
    <n v="65"/>
    <n v="0.67854166666666604"/>
    <s v="na"/>
    <n v="65"/>
    <n v="0.67854166666666604"/>
    <s v="no data"/>
    <n v="0"/>
    <n v="9"/>
    <n v="0"/>
    <n v="4.53"/>
    <n v="72"/>
    <m/>
    <n v="0.3"/>
    <m/>
    <n v="61.904761904761905"/>
    <n v="1"/>
    <n v="74.418604651162781"/>
    <n v="0"/>
    <n v="38.636363636363633"/>
    <n v="2"/>
    <n v="15"/>
    <n v="2"/>
    <n v="41.666666666666664"/>
    <n v="53.333333333333336"/>
    <n v="0.46854166666666602"/>
    <n v="0.39854166666666602"/>
    <n v="47.489932548072076"/>
    <n v="5"/>
    <n v="39.480769230769234"/>
    <m/>
    <m/>
    <m/>
  </r>
  <r>
    <x v="38"/>
    <s v="m"/>
    <s v="10"/>
    <n v="13"/>
    <n v="13"/>
    <n v="7.16"/>
    <e v="#NAME?"/>
    <n v="82"/>
    <n v="0.87427848101265804"/>
    <s v="na"/>
    <n v="82"/>
    <n v="0.87427848101265804"/>
    <n v="18"/>
    <n v="12"/>
    <n v="9.6999999999999993"/>
    <e v="#NAME?"/>
    <n v="78"/>
    <n v="0.86742138364779797"/>
    <n v="100"/>
    <n v="100"/>
    <n v="0.93342138364779803"/>
    <n v="10"/>
    <n v="10"/>
    <n v="9"/>
    <n v="10.5"/>
    <e v="#NAME?"/>
    <n v="85"/>
    <n v="0.92316666666666602"/>
    <s v="na"/>
    <n v="85"/>
    <n v="0.92316666666666602"/>
    <s v="no data"/>
    <n v="22"/>
    <n v="10"/>
    <n v="20"/>
    <n v="13"/>
    <n v="100"/>
    <m/>
    <n v="0.95"/>
    <m/>
    <n v="78.952380952380935"/>
    <n v="0"/>
    <n v="92.325581395348848"/>
    <n v="0"/>
    <n v="89.772727272727266"/>
    <n v="0"/>
    <n v="86.666666666666657"/>
    <n v="0"/>
    <n v="81.666666666666671"/>
    <n v="89"/>
    <n v="0.90816666666666601"/>
    <n v="0.86416666666666597"/>
    <n v="86.92933907178093"/>
    <n v="0"/>
    <n v="77.615384615384613"/>
    <m/>
    <m/>
    <m/>
  </r>
  <r>
    <x v="39"/>
    <s v="m"/>
    <s v="10"/>
    <n v="15"/>
    <n v="15"/>
    <n v="10"/>
    <e v="#NAME?"/>
    <n v="95"/>
    <n v="0.96367088607594897"/>
    <s v="na"/>
    <n v="95"/>
    <n v="0.96367088607594897"/>
    <n v="15"/>
    <n v="11"/>
    <n v="6"/>
    <e v="#NAME?"/>
    <n v="100"/>
    <n v="0.97147798742138303"/>
    <s v="na"/>
    <n v="100"/>
    <n v="0.97147798742138303"/>
    <n v="10"/>
    <n v="10"/>
    <n v="11"/>
    <n v="11.5"/>
    <e v="#NAME?"/>
    <n v="100"/>
    <n v="0.98"/>
    <s v="na"/>
    <n v="100"/>
    <n v="0.98"/>
    <s v="no data"/>
    <n v="22"/>
    <n v="10"/>
    <n v="0"/>
    <n v="13"/>
    <n v="100"/>
    <m/>
    <n v="0.95"/>
    <m/>
    <n v="95.238095238095227"/>
    <n v="0"/>
    <n v="74.418604651162781"/>
    <n v="0"/>
    <n v="96.590909090909093"/>
    <n v="0"/>
    <n v="53.333333333333336"/>
    <n v="1"/>
    <n v="98.333333333333329"/>
    <n v="98.333333333333329"/>
    <n v="0.96499999999999897"/>
    <n v="0.96499999999999897"/>
    <n v="79.895235578375107"/>
    <n v="1"/>
    <n v="77.884615384615387"/>
    <m/>
    <m/>
    <m/>
  </r>
  <r>
    <x v="40"/>
    <s v="m"/>
    <s v="10"/>
    <n v="15"/>
    <n v="12"/>
    <n v="9.17"/>
    <e v="#NAME?"/>
    <n v="85"/>
    <n v="0.89797468354430299"/>
    <s v="na"/>
    <n v="85"/>
    <n v="0.89797468354430299"/>
    <n v="18"/>
    <n v="11"/>
    <n v="10"/>
    <e v="#NAME?"/>
    <n v="85"/>
    <n v="0.89962264150943305"/>
    <s v="na"/>
    <n v="85"/>
    <n v="0.89962264150943305"/>
    <n v="10"/>
    <n v="0"/>
    <n v="0"/>
    <n v="0"/>
    <e v="#NAME?"/>
    <n v="82"/>
    <n v="0.86754166666666599"/>
    <s v="na"/>
    <n v="82"/>
    <n v="0.86754166666666599"/>
    <s v="no data"/>
    <n v="20.8"/>
    <n v="8"/>
    <n v="0"/>
    <n v="10.64"/>
    <n v="92"/>
    <m/>
    <n v="0.82"/>
    <m/>
    <n v="86.119047619047635"/>
    <n v="0"/>
    <n v="90.697674418604649"/>
    <n v="0"/>
    <n v="22.727272727272727"/>
    <n v="3"/>
    <n v="48"/>
    <n v="1"/>
    <n v="84"/>
    <n v="84"/>
    <n v="0.81354166666666605"/>
    <n v="0.81354166666666605"/>
    <n v="61.885998691231251"/>
    <n v="4"/>
    <n v="57.326923076923087"/>
    <m/>
    <m/>
    <m/>
  </r>
  <r>
    <x v="41"/>
    <s v="m"/>
    <s v="10"/>
    <n v="12.5"/>
    <n v="5"/>
    <n v="8.66"/>
    <e v="#NAME?"/>
    <n v="65"/>
    <n v="0.76594936708860695"/>
    <s v="na"/>
    <n v="65"/>
    <n v="0.76594936708860695"/>
    <n v="17"/>
    <n v="4"/>
    <n v="9.4"/>
    <e v="#NAME?"/>
    <n v="65"/>
    <n v="0.76767295597484198"/>
    <n v="72"/>
    <n v="72"/>
    <n v="0.78867295597484199"/>
    <n v="9"/>
    <n v="9"/>
    <n v="11"/>
    <n v="7.5"/>
    <e v="#NAME?"/>
    <n v="62"/>
    <n v="0.77862499999999901"/>
    <n v="68"/>
    <n v="62"/>
    <n v="0.77862499999999901"/>
    <s v="no data"/>
    <n v="14.4"/>
    <n v="6"/>
    <n v="0"/>
    <n v="6.3"/>
    <n v="75"/>
    <m/>
    <n v="0.72"/>
    <m/>
    <n v="62.285714285714292"/>
    <n v="0"/>
    <n v="70.697674418604649"/>
    <n v="0"/>
    <n v="82.954545454545453"/>
    <n v="0"/>
    <n v="34"/>
    <n v="1"/>
    <n v="64"/>
    <n v="66.333333333333329"/>
    <n v="0.69462499999999905"/>
    <n v="0.68062500000000004"/>
    <n v="62.484483539716095"/>
    <n v="1"/>
    <n v="61.269230769230774"/>
    <m/>
    <m/>
    <m/>
  </r>
  <r>
    <x v="42"/>
    <s v="f"/>
    <s v="10"/>
    <n v="13"/>
    <n v="0.5"/>
    <n v="2.16"/>
    <e v="#NAME?"/>
    <n v="65"/>
    <n v="0.74632911392404999"/>
    <n v="72"/>
    <n v="72"/>
    <n v="0.78832911392405003"/>
    <n v="0"/>
    <s v="NA"/>
    <n v="10"/>
    <e v="#NAME?"/>
    <s v="NA"/>
    <n v="0.57166037735848996"/>
    <m/>
    <s v="NA"/>
    <n v="0.57166037735848996"/>
    <s v="NA"/>
    <s v="NA"/>
    <s v="NA"/>
    <s v="NA"/>
    <s v="na"/>
    <s v="NA"/>
    <n v="0.480875"/>
    <s v="na"/>
    <s v="NA"/>
    <n v="0.480875"/>
    <s v="no data"/>
    <s v="NA"/>
    <s v="NA"/>
    <s v="NA"/>
    <s v="NA"/>
    <s v="NA"/>
    <m/>
    <s v="na"/>
    <m/>
    <n v="37.285714285714292"/>
    <n v="0"/>
    <n v="34.883720930232556"/>
    <n v="1"/>
    <n v="0"/>
    <n v="0"/>
    <n v="0"/>
    <n v="0"/>
    <n v="65"/>
    <n v="72"/>
    <s v="#VALUE!"/>
    <s v="#VALUE!"/>
    <n v="0"/>
    <n v="1"/>
    <n v="46.769230769230766"/>
    <m/>
    <m/>
    <m/>
  </r>
  <r>
    <x v="43"/>
    <s v="m"/>
    <s v="10"/>
    <n v="15"/>
    <n v="14"/>
    <n v="8"/>
    <e v="#NAME?"/>
    <n v="85"/>
    <n v="0.89860759493670805"/>
    <s v="na"/>
    <n v="85"/>
    <n v="0.89860759493670805"/>
    <n v="18"/>
    <n v="12"/>
    <n v="9.4"/>
    <e v="#NAME?"/>
    <n v="85"/>
    <n v="0.89962264150943305"/>
    <s v="na"/>
    <n v="85"/>
    <n v="0.89962264150943305"/>
    <n v="10"/>
    <n v="10"/>
    <n v="11"/>
    <n v="11.5"/>
    <e v="#NAME?"/>
    <n v="72"/>
    <n v="0.87608333333333299"/>
    <n v="82"/>
    <n v="82"/>
    <n v="0.89608333333333301"/>
    <s v="no data"/>
    <n v="22"/>
    <n v="10"/>
    <n v="0"/>
    <n v="10.8"/>
    <n v="92"/>
    <m/>
    <n v="0.82"/>
    <m/>
    <n v="88.095238095238088"/>
    <n v="0"/>
    <n v="91.627906976744171"/>
    <n v="0"/>
    <n v="96.590909090909093"/>
    <n v="0"/>
    <n v="53.333333333333336"/>
    <n v="1"/>
    <n v="80.666666666666671"/>
    <n v="84"/>
    <n v="0.84208333333333296"/>
    <n v="0.82208333333333306"/>
    <n v="82.411846874056167"/>
    <n v="1"/>
    <n v="76.346153846153854"/>
    <m/>
    <m/>
    <m/>
  </r>
  <r>
    <x v="44"/>
    <s v="f"/>
    <s v="11"/>
    <n v="14.5"/>
    <n v="0"/>
    <n v="5.33"/>
    <e v="#NAME?"/>
    <n v="78"/>
    <n v="0.83192405063291097"/>
    <s v="na"/>
    <n v="78"/>
    <n v="0.83192405063291097"/>
    <n v="16"/>
    <n v="12"/>
    <n v="12"/>
    <e v="#NAME?"/>
    <n v="92"/>
    <n v="0.88924528301886796"/>
    <s v="na"/>
    <n v="92"/>
    <n v="0.88924528301886796"/>
    <n v="0"/>
    <n v="0"/>
    <n v="0"/>
    <n v="9"/>
    <e v="#NAME?"/>
    <n v="72"/>
    <n v="0.85420833333333301"/>
    <s v="na"/>
    <n v="72"/>
    <n v="0.85420833333333301"/>
    <s v="no data"/>
    <n v="19.8"/>
    <n v="0"/>
    <n v="0"/>
    <n v="11.2"/>
    <n v="92"/>
    <m/>
    <n v="0.75"/>
    <m/>
    <n v="47.214285714285708"/>
    <n v="1"/>
    <n v="93.023255813953483"/>
    <n v="0"/>
    <n v="20.454545454545457"/>
    <n v="3"/>
    <n v="33"/>
    <n v="2"/>
    <n v="80.666666666666671"/>
    <n v="80.666666666666671"/>
    <n v="0.77920833333333295"/>
    <n v="0.77920833333333295"/>
    <n v="48.423021745696168"/>
    <n v="6"/>
    <n v="72.173076923076934"/>
    <m/>
    <m/>
    <m/>
  </r>
  <r>
    <x v="45"/>
    <s v="m"/>
    <s v="10"/>
    <n v="14.5"/>
    <n v="11.25"/>
    <n v="0"/>
    <e v="#NAME?"/>
    <n v="62"/>
    <n v="0.70459493670885998"/>
    <s v="na"/>
    <n v="62"/>
    <n v="0.70459493670885998"/>
    <n v="18"/>
    <n v="0"/>
    <n v="10"/>
    <e v="#NAME?"/>
    <n v="30"/>
    <n v="0.63118867924528299"/>
    <n v="75"/>
    <n v="75"/>
    <n v="0.766188679245283"/>
    <n v="9"/>
    <n v="8"/>
    <n v="11"/>
    <n v="3"/>
    <e v="#NAME?"/>
    <n v="72"/>
    <n v="0.77977083333333297"/>
    <s v="na"/>
    <n v="72"/>
    <n v="0.77977083333333297"/>
    <s v="no data"/>
    <n v="21.4"/>
    <n v="9"/>
    <n v="26"/>
    <n v="12.14"/>
    <n v="95"/>
    <m/>
    <n v="0.68"/>
    <m/>
    <n v="61.30952380952381"/>
    <n v="1"/>
    <n v="65.116279069767444"/>
    <n v="1"/>
    <n v="70.454545454545453"/>
    <n v="0"/>
    <n v="94"/>
    <n v="0"/>
    <n v="54.666666666666664"/>
    <n v="69.666666666666671"/>
    <n v="0.68377083333333299"/>
    <n v="0.59377083333333303"/>
    <n v="72.720087083459177"/>
    <n v="2"/>
    <n v="48.346153846153847"/>
    <m/>
    <m/>
    <m/>
  </r>
  <r>
    <x v="46"/>
    <s v="f"/>
    <s v="10"/>
    <n v="0"/>
    <n v="1"/>
    <n v="10.67"/>
    <e v="#NAME?"/>
    <n v="78"/>
    <n v="0.82749367088607495"/>
    <s v="na"/>
    <n v="78"/>
    <n v="0.82749367088607495"/>
    <n v="17"/>
    <n v="12"/>
    <n v="9.4"/>
    <e v="#NAME?"/>
    <n v="68"/>
    <n v="0.81252830188679204"/>
    <n v="65"/>
    <n v="68"/>
    <n v="0.81252830188679204"/>
    <n v="0"/>
    <n v="9"/>
    <n v="7"/>
    <n v="4.5"/>
    <e v="#NAME?"/>
    <n v="68"/>
    <n v="0.79904166666666598"/>
    <s v="na"/>
    <n v="68"/>
    <n v="0.79904166666666598"/>
    <s v="no data"/>
    <n v="22"/>
    <n v="9.8000000000000007"/>
    <n v="0"/>
    <n v="0"/>
    <n v="0"/>
    <m/>
    <n v="0.72"/>
    <m/>
    <n v="27.785714285714285"/>
    <n v="1"/>
    <n v="89.302325581395337"/>
    <n v="0"/>
    <n v="46.590909090909086"/>
    <n v="1"/>
    <n v="53"/>
    <n v="1"/>
    <n v="71.333333333333329"/>
    <n v="71.333333333333329"/>
    <n v="0.71504166666666602"/>
    <n v="0.71504166666666602"/>
    <n v="54.169737239504677"/>
    <n v="3"/>
    <n v="47.25"/>
    <m/>
    <m/>
    <m/>
  </r>
  <r>
    <x v="47"/>
    <s v="m"/>
    <s v="10"/>
    <m/>
    <n v="1"/>
    <n v="6.17"/>
    <e v="#NAME?"/>
    <n v="30"/>
    <n v="0.52873417721518901"/>
    <s v="na"/>
    <n v="30"/>
    <n v="0.52873417721518901"/>
    <n v="18"/>
    <n v="0"/>
    <n v="0"/>
    <e v="#NAME?"/>
    <n v="30"/>
    <n v="0.51553459119496803"/>
    <n v="62"/>
    <n v="62"/>
    <n v="0.611534591194968"/>
    <n v="10"/>
    <n v="10"/>
    <n v="11"/>
    <n v="9.5"/>
    <e v="#NAME?"/>
    <n v="68"/>
    <n v="0.67479166666666601"/>
    <s v="na"/>
    <n v="68"/>
    <n v="0.67479166666666601"/>
    <s v="no data"/>
    <n v="22"/>
    <n v="10"/>
    <n v="0"/>
    <n v="12.75"/>
    <n v="100"/>
    <m/>
    <n v="0.62"/>
    <m/>
    <n v="17.071428571428569"/>
    <n v="0"/>
    <n v="41.860465116279066"/>
    <n v="2"/>
    <n v="92.045454545454547"/>
    <n v="0"/>
    <n v="53.333333333333336"/>
    <n v="1"/>
    <n v="42.666666666666664"/>
    <n v="53.333333333333336"/>
    <n v="0.56079166666666602"/>
    <n v="0.49679166666666602"/>
    <n v="51.077670391623883"/>
    <n v="3"/>
    <n v="54.653846153846153"/>
    <m/>
    <m/>
    <m/>
  </r>
  <r>
    <x v="48"/>
    <s v="m"/>
    <s v="9"/>
    <n v="15"/>
    <n v="14"/>
    <n v="11"/>
    <e v="#NAME?"/>
    <n v="92"/>
    <n v="0.94693670886075898"/>
    <s v="na"/>
    <n v="92"/>
    <n v="0.94693670886075898"/>
    <n v="18"/>
    <n v="12"/>
    <n v="10"/>
    <e v="#NAME?"/>
    <n v="88"/>
    <n v="0.93371069182389899"/>
    <s v="na"/>
    <n v="88"/>
    <n v="0.93371069182389899"/>
    <n v="10"/>
    <n v="10"/>
    <n v="11"/>
    <n v="12"/>
    <e v="#NAME?"/>
    <n v="92"/>
    <n v="0.93879166666666602"/>
    <s v="na"/>
    <n v="92"/>
    <n v="0.93879166666666602"/>
    <s v="no data"/>
    <n v="22"/>
    <n v="10"/>
    <n v="27"/>
    <n v="13"/>
    <n v="100"/>
    <m/>
    <n v="0.95"/>
    <m/>
    <n v="95.238095238095227"/>
    <n v="0"/>
    <n v="93.023255813953483"/>
    <n v="0"/>
    <n v="97.727272727272734"/>
    <n v="0"/>
    <n v="98.333333333333343"/>
    <n v="0"/>
    <n v="90.666666666666671"/>
    <n v="90.666666666666671"/>
    <n v="0.92379166666666601"/>
    <n v="0.92379166666666601"/>
    <n v="96.080489278163697"/>
    <n v="0"/>
    <n v="88.461538461538453"/>
    <m/>
    <m/>
    <m/>
  </r>
  <r>
    <x v="49"/>
    <s v="m"/>
    <s v="10"/>
    <n v="15"/>
    <n v="15"/>
    <n v="13"/>
    <e v="#NAME?"/>
    <n v="95"/>
    <n v="0.97126582278481"/>
    <s v="na"/>
    <n v="95"/>
    <n v="0.97126582278481"/>
    <n v="18"/>
    <n v="12"/>
    <n v="12"/>
    <e v="#NAME?"/>
    <n v="82"/>
    <n v="0.93005660377358401"/>
    <s v="na"/>
    <n v="82"/>
    <n v="0.93005660377358401"/>
    <n v="10"/>
    <n v="10"/>
    <n v="11"/>
    <n v="10.5"/>
    <e v="#NAME?"/>
    <n v="82"/>
    <n v="0.91570833333333301"/>
    <s v="na"/>
    <n v="82"/>
    <n v="0.91570833333333301"/>
    <s v="no data"/>
    <n v="22"/>
    <n v="9.5"/>
    <n v="0"/>
    <n v="13"/>
    <n v="100"/>
    <m/>
    <n v="0.85"/>
    <m/>
    <n v="102.38095238095238"/>
    <n v="0"/>
    <n v="97.674418604651152"/>
    <n v="0"/>
    <n v="94.318181818181827"/>
    <n v="0"/>
    <n v="52.5"/>
    <n v="1"/>
    <n v="86.333333333333329"/>
    <n v="86.333333333333329"/>
    <n v="0.87070833333333297"/>
    <n v="0.87070833333333297"/>
    <n v="86.718388200946336"/>
    <n v="1"/>
    <n v="93.269230769230774"/>
    <m/>
    <m/>
    <m/>
  </r>
  <r>
    <x v="50"/>
    <s v="m"/>
    <s v="10"/>
    <n v="12.5"/>
    <n v="2"/>
    <n v="6.17"/>
    <e v="#NAME?"/>
    <n v="65"/>
    <n v="0.75582278481012599"/>
    <s v="na"/>
    <n v="65"/>
    <n v="0.75582278481012599"/>
    <n v="18"/>
    <n v="8.6999999999999993"/>
    <n v="12"/>
    <e v="#NAME?"/>
    <n v="66"/>
    <n v="0.77237106918238996"/>
    <n v="75"/>
    <n v="75"/>
    <n v="0.79937106918238898"/>
    <n v="10"/>
    <n v="10"/>
    <n v="11"/>
    <n v="8"/>
    <e v="#NAME?"/>
    <n v="68"/>
    <n v="0.79858333333333298"/>
    <n v="68"/>
    <n v="68"/>
    <n v="0.79858333333333298"/>
    <s v="no data"/>
    <n v="0"/>
    <n v="0"/>
    <n v="0"/>
    <n v="11"/>
    <n v="92"/>
    <m/>
    <n v="0.62"/>
    <m/>
    <n v="49.214285714285715"/>
    <n v="0"/>
    <n v="90"/>
    <n v="0"/>
    <n v="88.63636363636364"/>
    <n v="0"/>
    <n v="0"/>
    <n v="3"/>
    <n v="66.333333333333329"/>
    <n v="69.333333333333329"/>
    <n v="0.68458333333333299"/>
    <n v="0.66658333333333297"/>
    <n v="56.962662337662337"/>
    <n v="3"/>
    <n v="71.480769230769241"/>
    <m/>
    <m/>
    <m/>
  </r>
  <r>
    <x v="51"/>
    <s v="m"/>
    <s v="10"/>
    <n v="4"/>
    <n v="4"/>
    <n v="0.17"/>
    <e v="#NAME?"/>
    <n v="75"/>
    <n v="0.76012658227848096"/>
    <s v="na"/>
    <n v="75"/>
    <n v="0.76012658227848096"/>
    <n v="16"/>
    <n v="11"/>
    <n v="12"/>
    <e v="#NAME?"/>
    <n v="30"/>
    <n v="0.66688679245283"/>
    <s v="na"/>
    <n v="30"/>
    <n v="0.66688679245283"/>
    <n v="10"/>
    <n v="0"/>
    <n v="0"/>
    <n v="0"/>
    <e v="#NAME?"/>
    <n v="0"/>
    <n v="0.54854166666666604"/>
    <s v="na"/>
    <n v="0"/>
    <n v="0.54854166666666604"/>
    <s v="no data"/>
    <n v="0"/>
    <n v="0"/>
    <n v="0"/>
    <n v="0"/>
    <n v="0"/>
    <m/>
    <n v="0"/>
    <m/>
    <n v="19.452380952380953"/>
    <n v="0"/>
    <n v="90.697674418604649"/>
    <n v="0"/>
    <n v="22.727272727272727"/>
    <n v="3"/>
    <n v="0"/>
    <n v="3"/>
    <n v="35"/>
    <n v="35"/>
    <n v="0.24854166666666599"/>
    <n v="0.24854166666666599"/>
    <n v="33.219332024564579"/>
    <n v="6"/>
    <n v="23.403846153846153"/>
    <m/>
    <m/>
    <m/>
  </r>
  <r>
    <x v="52"/>
    <s v="m"/>
    <s v="10"/>
    <n v="14.5"/>
    <n v="14.5"/>
    <n v="9.67"/>
    <e v="#NAME?"/>
    <n v="82"/>
    <n v="0.88440506329113899"/>
    <s v="na"/>
    <n v="82"/>
    <n v="0.88440506329113899"/>
    <n v="18"/>
    <n v="10.4"/>
    <n v="12"/>
    <e v="#NAME?"/>
    <n v="68"/>
    <n v="0.84364779874213802"/>
    <n v="82"/>
    <n v="82"/>
    <n v="0.88564779874213795"/>
    <n v="10"/>
    <n v="10"/>
    <n v="11"/>
    <n v="11"/>
    <e v="#NAME?"/>
    <n v="68"/>
    <n v="0.85812500000000003"/>
    <n v="75"/>
    <n v="68"/>
    <n v="0.85812500000000003"/>
    <s v="no data"/>
    <n v="21.8"/>
    <n v="8"/>
    <n v="24.7"/>
    <n v="12.56"/>
    <n v="100"/>
    <m/>
    <n v="0.62"/>
    <m/>
    <n v="92.071428571428569"/>
    <n v="0"/>
    <n v="93.95348837209302"/>
    <n v="0"/>
    <n v="95.454545454545453"/>
    <n v="0"/>
    <n v="90.833333333333343"/>
    <n v="0"/>
    <n v="72.666666666666671"/>
    <n v="77.333333333333329"/>
    <n v="0.74412499999999904"/>
    <n v="0.71612499999999901"/>
    <n v="93.078198932850086"/>
    <n v="0"/>
    <n v="86.980769230769241"/>
    <m/>
    <m/>
    <m/>
  </r>
  <r>
    <x v="53"/>
    <s v="m"/>
    <s v="11"/>
    <n v="10"/>
    <n v="10"/>
    <n v="1.17"/>
    <e v="#NAME?"/>
    <n v="65"/>
    <n v="0.73430379746835395"/>
    <s v="na"/>
    <n v="65"/>
    <n v="0.73430379746835395"/>
    <n v="18"/>
    <n v="9"/>
    <n v="12"/>
    <e v="#NAME?"/>
    <n v="30"/>
    <n v="0.653867924528301"/>
    <s v="na"/>
    <n v="30"/>
    <n v="0.653867924528301"/>
    <n v="10"/>
    <n v="7"/>
    <n v="10.5"/>
    <n v="7"/>
    <e v="#NAME?"/>
    <n v="65"/>
    <n v="0.69333333333333302"/>
    <s v="na"/>
    <n v="65"/>
    <n v="0.69333333333333302"/>
    <s v="no data"/>
    <n v="21"/>
    <n v="5.5"/>
    <n v="23"/>
    <n v="8"/>
    <n v="82"/>
    <m/>
    <n v="0.65"/>
    <m/>
    <n v="50.404761904761905"/>
    <n v="0"/>
    <n v="90.697674418604649"/>
    <n v="0"/>
    <n v="78.409090909090907"/>
    <n v="0"/>
    <n v="82.5"/>
    <n v="0"/>
    <n v="53.333333333333336"/>
    <n v="53.333333333333336"/>
    <n v="0.58833333333333304"/>
    <n v="0.58833333333333304"/>
    <n v="75.502881808114367"/>
    <n v="0"/>
    <n v="54.173076923076927"/>
    <m/>
    <m/>
    <m/>
  </r>
  <r>
    <x v="54"/>
    <s v="m"/>
    <s v="10"/>
    <n v="15"/>
    <n v="15"/>
    <n v="10"/>
    <e v="#NAME?"/>
    <n v="92"/>
    <n v="0.94567088607594896"/>
    <s v="na"/>
    <n v="92"/>
    <n v="0.94567088607594896"/>
    <n v="18"/>
    <n v="11"/>
    <n v="12"/>
    <e v="#NAME?"/>
    <n v="85"/>
    <n v="0.92565408805031402"/>
    <s v="na"/>
    <n v="85"/>
    <n v="0.92565408805031402"/>
    <n v="10"/>
    <n v="10"/>
    <n v="11"/>
    <n v="11"/>
    <e v="#NAME?"/>
    <n v="85"/>
    <n v="0.91879166666666601"/>
    <s v="na"/>
    <n v="85"/>
    <n v="0.91879166666666601"/>
    <s v="no data"/>
    <n v="22"/>
    <n v="10"/>
    <n v="28"/>
    <n v="13"/>
    <n v="100"/>
    <m/>
    <n v="0.95"/>
    <m/>
    <n v="95.238095238095227"/>
    <n v="0"/>
    <n v="95.348837209302317"/>
    <n v="0"/>
    <n v="95.454545454545453"/>
    <n v="0"/>
    <n v="100"/>
    <n v="0"/>
    <n v="87.333333333333329"/>
    <n v="87.333333333333329"/>
    <n v="0.90379166666666599"/>
    <n v="0.90379166666666599"/>
    <n v="96.510369475485746"/>
    <n v="0"/>
    <n v="88.461538461538453"/>
    <m/>
    <m/>
    <m/>
  </r>
  <r>
    <x v="55"/>
    <s v="f"/>
    <s v="10"/>
    <n v="15"/>
    <n v="15"/>
    <n v="7.66"/>
    <e v="#NAME?"/>
    <n v="82"/>
    <n v="0.88187341772151795"/>
    <s v="na"/>
    <n v="82"/>
    <n v="0.88187341772151795"/>
    <n v="17"/>
    <n v="11"/>
    <n v="12"/>
    <e v="#NAME?"/>
    <n v="72"/>
    <n v="0.85413836477987404"/>
    <s v="na"/>
    <n v="72"/>
    <n v="0.85413836477987404"/>
    <n v="10"/>
    <n v="9"/>
    <n v="11"/>
    <n v="10"/>
    <e v="#NAME?"/>
    <n v="68"/>
    <n v="0.83587499999999904"/>
    <s v="na"/>
    <n v="68"/>
    <n v="0.83587499999999904"/>
    <s v="no data"/>
    <n v="21"/>
    <n v="6.5"/>
    <n v="19"/>
    <n v="13"/>
    <n v="100"/>
    <m/>
    <n v="0.75"/>
    <m/>
    <n v="89.666666666666657"/>
    <n v="0"/>
    <n v="93.023255813953483"/>
    <n v="0"/>
    <n v="90.909090909090907"/>
    <n v="0"/>
    <n v="77.5"/>
    <n v="0"/>
    <n v="74"/>
    <n v="74"/>
    <n v="0.76087499999999997"/>
    <n v="0.76087499999999997"/>
    <n v="87.774753347427762"/>
    <n v="0"/>
    <n v="82.038461538461533"/>
    <m/>
    <m/>
    <m/>
  </r>
  <r>
    <x v="56"/>
    <s v="f"/>
    <s v="9"/>
    <s v="na"/>
    <s v="na"/>
    <s v="na"/>
    <s v="na"/>
    <n v="92"/>
    <n v="0.85199999999999998"/>
    <s v="na"/>
    <n v="92"/>
    <n v="0.85199999999999998"/>
    <n v="15"/>
    <n v="4.7"/>
    <n v="12"/>
    <e v="#NAME?"/>
    <n v="92"/>
    <n v="0.89426415094339595"/>
    <s v="na"/>
    <n v="92"/>
    <n v="0.89426415094339595"/>
    <n v="10"/>
    <n v="10"/>
    <n v="11"/>
    <n v="12"/>
    <e v="#NAME?"/>
    <n v="95"/>
    <n v="0.91870833333333302"/>
    <s v="na"/>
    <n v="95"/>
    <n v="0.91870833333333302"/>
    <s v="no data"/>
    <n v="22"/>
    <n v="10"/>
    <n v="27"/>
    <n v="12.8"/>
    <n v="100"/>
    <m/>
    <n v="0.92"/>
    <m/>
    <n v="0"/>
    <n v="0"/>
    <n v="73.720930232558132"/>
    <n v="0"/>
    <n v="97.727272727272734"/>
    <n v="0"/>
    <n v="98.333333333333343"/>
    <n v="0"/>
    <n v="93"/>
    <n v="93"/>
    <n v="0.89470833333333299"/>
    <n v="0.89470833333333299"/>
    <n v="67.445384073291052"/>
    <n v="0"/>
    <n v="94.358974358974351"/>
    <m/>
    <m/>
    <m/>
  </r>
  <r>
    <x v="57"/>
    <s v="f"/>
    <s v="10"/>
    <n v="14.5"/>
    <n v="14.5"/>
    <n v="10.67"/>
    <e v="#NAME?"/>
    <n v="78"/>
    <n v="0.86293670886075902"/>
    <s v="na"/>
    <n v="78"/>
    <n v="0.86293670886075902"/>
    <n v="18"/>
    <n v="10"/>
    <n v="12"/>
    <e v="#NAME?"/>
    <n v="82"/>
    <n v="0.87465408805031397"/>
    <s v="na"/>
    <n v="82"/>
    <n v="0.87465408805031397"/>
    <n v="10"/>
    <n v="10"/>
    <n v="11"/>
    <n v="11"/>
    <e v="#NAME?"/>
    <n v="78"/>
    <n v="0.87079166666666596"/>
    <s v="na"/>
    <n v="78"/>
    <n v="0.87079166666666596"/>
    <s v="no data"/>
    <n v="22"/>
    <n v="10"/>
    <n v="27"/>
    <n v="13"/>
    <n v="100"/>
    <m/>
    <n v="0.92"/>
    <m/>
    <n v="94.452380952380949"/>
    <n v="0"/>
    <n v="93.023255813953483"/>
    <n v="0"/>
    <n v="95.454545454545453"/>
    <n v="0"/>
    <n v="98.333333333333343"/>
    <n v="0"/>
    <n v="79.333333333333329"/>
    <n v="79.333333333333329"/>
    <n v="0.84679166666666605"/>
    <n v="0.84679166666666605"/>
    <n v="95.3158788885533"/>
    <n v="0"/>
    <n v="89.750000000000014"/>
    <m/>
    <m/>
    <m/>
  </r>
  <r>
    <x v="58"/>
    <s v="m"/>
    <s v="10"/>
    <n v="12.5"/>
    <n v="12.5"/>
    <n v="8"/>
    <e v="#NAME?"/>
    <n v="78"/>
    <n v="0.85154430379746804"/>
    <s v="na"/>
    <n v="78"/>
    <n v="0.85154430379746804"/>
    <n v="9"/>
    <n v="10"/>
    <n v="12"/>
    <e v="#NAME?"/>
    <n v="68"/>
    <n v="0.82133333333333303"/>
    <n v="72"/>
    <n v="72"/>
    <n v="0.83333333333333304"/>
    <n v="10"/>
    <n v="10"/>
    <n v="11"/>
    <n v="6"/>
    <e v="#NAME?"/>
    <n v="72"/>
    <n v="0.82774999999999999"/>
    <n v="72"/>
    <n v="72"/>
    <n v="0.82774999999999999"/>
    <s v="no data"/>
    <n v="16"/>
    <n v="6.5"/>
    <n v="0"/>
    <n v="0"/>
    <n v="0"/>
    <m/>
    <n v="0.78"/>
    <m/>
    <n v="78.571428571428569"/>
    <n v="0"/>
    <n v="72.093023255813961"/>
    <n v="0"/>
    <n v="84.090909090909093"/>
    <n v="0"/>
    <n v="37.5"/>
    <n v="1"/>
    <n v="72.666666666666671"/>
    <n v="74"/>
    <n v="0.76175000000000004"/>
    <n v="0.75375000000000003"/>
    <n v="68.063840229537902"/>
    <n v="1"/>
    <n v="50"/>
    <m/>
    <m/>
    <m/>
  </r>
  <r>
    <x v="59"/>
    <s v="m"/>
    <s v="10"/>
    <n v="14.5"/>
    <n v="14.5"/>
    <n v="11.5"/>
    <e v="#NAME?"/>
    <n v="92"/>
    <n v="0.94883544303797396"/>
    <s v="na"/>
    <n v="92"/>
    <n v="0.94883544303797396"/>
    <n v="18"/>
    <n v="12"/>
    <n v="12"/>
    <e v="#NAME?"/>
    <n v="92"/>
    <n v="0.94885534591194898"/>
    <n v="100"/>
    <n v="100"/>
    <n v="0.972855345911949"/>
    <n v="10"/>
    <n v="10"/>
    <n v="11"/>
    <n v="11"/>
    <e v="#NAME?"/>
    <n v="95"/>
    <n v="0.97024999999999995"/>
    <s v="na"/>
    <n v="95"/>
    <n v="0.97024999999999995"/>
    <s v="no data"/>
    <n v="22"/>
    <n v="9.5"/>
    <n v="28"/>
    <n v="12.42"/>
    <n v="95"/>
    <m/>
    <n v="1"/>
    <m/>
    <n v="96.428571428571431"/>
    <n v="0"/>
    <n v="97.674418604651152"/>
    <n v="0"/>
    <n v="95.454545454545453"/>
    <n v="0"/>
    <n v="99.166666666666657"/>
    <n v="0"/>
    <n v="93"/>
    <n v="95.666666666666671"/>
    <n v="0.97024999999999995"/>
    <n v="0.95425000000000004"/>
    <n v="97.181050538608673"/>
    <n v="0"/>
    <n v="90.230769230769241"/>
    <m/>
    <m/>
    <m/>
  </r>
  <r>
    <x v="60"/>
    <s v="m"/>
    <s v="10"/>
    <n v="14"/>
    <n v="14"/>
    <n v="10.5"/>
    <e v="#NAME?"/>
    <n v="78"/>
    <n v="0.86167088607594899"/>
    <s v="na"/>
    <n v="78"/>
    <n v="0.86167088607594899"/>
    <n v="0"/>
    <n v="9"/>
    <n v="0"/>
    <e v="#NAME?"/>
    <n v="78"/>
    <n v="0.820201257861635"/>
    <s v="na"/>
    <n v="78"/>
    <n v="0.820201257861635"/>
    <n v="10"/>
    <n v="10"/>
    <n v="11"/>
    <n v="9"/>
    <e v="#NAME?"/>
    <n v="75"/>
    <n v="0.82720833333333299"/>
    <s v="na"/>
    <n v="75"/>
    <n v="0.82720833333333299"/>
    <s v="no data"/>
    <n v="21"/>
    <n v="0"/>
    <n v="0"/>
    <n v="12.36"/>
    <n v="95"/>
    <m/>
    <n v="0.65"/>
    <m/>
    <n v="91.666666666666657"/>
    <n v="0"/>
    <n v="20.930232558139533"/>
    <n v="2"/>
    <n v="90.909090909090907"/>
    <n v="0"/>
    <n v="35"/>
    <n v="2"/>
    <n v="77"/>
    <n v="77"/>
    <n v="0.72220833333333301"/>
    <n v="0.72220833333333301"/>
    <n v="59.626497533474279"/>
    <n v="4"/>
    <n v="61.269230769230766"/>
    <m/>
    <m/>
    <m/>
  </r>
  <r>
    <x v="61"/>
    <s v="f"/>
    <s v="10"/>
    <m/>
    <m/>
    <n v="10"/>
    <e v="#NAME?"/>
    <n v="88"/>
    <n v="0.88369620253164505"/>
    <s v="na"/>
    <n v="88"/>
    <n v="0.88369620253164505"/>
    <n v="18"/>
    <n v="10"/>
    <n v="12"/>
    <e v="#NAME?"/>
    <n v="85"/>
    <n v="0.89415723270440195"/>
    <s v="na"/>
    <n v="85"/>
    <n v="0.89415723270440195"/>
    <n v="10"/>
    <n v="10"/>
    <n v="11"/>
    <n v="11"/>
    <e v="#NAME?"/>
    <n v="95"/>
    <n v="0.917875"/>
    <s v="na"/>
    <n v="95"/>
    <n v="0.917875"/>
    <s v="no data"/>
    <n v="21"/>
    <n v="9"/>
    <n v="27.5"/>
    <n v="12.3"/>
    <n v="95"/>
    <m/>
    <n v="0.92"/>
    <m/>
    <n v="23.809523809523807"/>
    <n v="0"/>
    <n v="93.023255813953483"/>
    <n v="0"/>
    <n v="95.454545454545453"/>
    <n v="0"/>
    <n v="95.833333333333343"/>
    <n v="0"/>
    <n v="89.333333333333329"/>
    <n v="89.333333333333329"/>
    <n v="0.89387499999999998"/>
    <n v="0.89387499999999998"/>
    <n v="77.030164602839022"/>
    <n v="0"/>
    <n v="87.115384615384599"/>
    <m/>
    <m/>
    <m/>
  </r>
  <r>
    <x v="62"/>
    <s v="m"/>
    <s v="10"/>
    <n v="13"/>
    <n v="13"/>
    <n v="0"/>
    <e v="#NAME?"/>
    <n v="92"/>
    <n v="0.884911392405063"/>
    <s v="na"/>
    <n v="92"/>
    <n v="0.884911392405063"/>
    <n v="17"/>
    <n v="9.9499999999999993"/>
    <n v="10"/>
    <e v="#NAME?"/>
    <n v="78"/>
    <n v="0.87097484276729498"/>
    <s v="na"/>
    <n v="78"/>
    <n v="0.87097484276729498"/>
    <n v="10"/>
    <n v="10"/>
    <n v="8"/>
    <n v="4"/>
    <e v="#NAME?"/>
    <n v="68"/>
    <n v="0.84222916666666603"/>
    <n v="72"/>
    <n v="72"/>
    <n v="0.85022916666666604"/>
    <s v="no data"/>
    <n v="22"/>
    <n v="8"/>
    <n v="27.5"/>
    <n v="12.33"/>
    <n v="95"/>
    <m/>
    <n v="0.85"/>
    <m/>
    <n v="61.904761904761905"/>
    <n v="1"/>
    <n v="85.930232558139537"/>
    <n v="0"/>
    <n v="72.727272727272734"/>
    <n v="0"/>
    <n v="95.833333333333343"/>
    <n v="0"/>
    <n v="79.333333333333329"/>
    <n v="80.666666666666671"/>
    <n v="0.805229166666666"/>
    <n v="0.79722916666666599"/>
    <n v="79.098900130876871"/>
    <n v="1"/>
    <n v="50.63461538461538"/>
    <m/>
    <m/>
    <m/>
  </r>
  <r>
    <x v="63"/>
    <s v="f"/>
    <s v="9"/>
    <n v="15"/>
    <n v="15"/>
    <n v="11"/>
    <e v="#NAME?"/>
    <n v="92"/>
    <n v="0.948202531645569"/>
    <s v="na"/>
    <n v="92"/>
    <n v="0.948202531645569"/>
    <n v="18"/>
    <n v="13"/>
    <n v="12"/>
    <e v="#NAME?"/>
    <n v="92"/>
    <n v="0.94916981132075395"/>
    <s v="na"/>
    <n v="92"/>
    <n v="0.94916981132075395"/>
    <n v="10"/>
    <n v="10"/>
    <n v="11"/>
    <n v="11"/>
    <e v="#NAME?"/>
    <n v="100"/>
    <n v="0.96445833333333297"/>
    <s v="na"/>
    <n v="100"/>
    <n v="0.96445833333333297"/>
    <s v="no data"/>
    <n v="22"/>
    <n v="10"/>
    <n v="28"/>
    <n v="12"/>
    <n v="95"/>
    <m/>
    <n v="1"/>
    <m/>
    <n v="97.61904761904762"/>
    <n v="0"/>
    <n v="100"/>
    <n v="0"/>
    <n v="95.454545454545453"/>
    <n v="0"/>
    <n v="100"/>
    <n v="0"/>
    <n v="94.666666666666671"/>
    <n v="94.666666666666671"/>
    <n v="0.96445833333333297"/>
    <n v="0.96445833333333297"/>
    <n v="98.268398268398272"/>
    <n v="0"/>
    <n v="88.461538461538453"/>
    <m/>
    <m/>
    <m/>
  </r>
  <r>
    <x v="64"/>
    <s v="f"/>
    <s v="10"/>
    <n v="6.5"/>
    <n v="6.5"/>
    <n v="8.33"/>
    <e v="#NAME?"/>
    <n v="85"/>
    <n v="0.87835443037974603"/>
    <s v="na"/>
    <n v="85"/>
    <n v="0.87835443037974603"/>
    <n v="18"/>
    <n v="9.6999999999999993"/>
    <n v="12"/>
    <e v="#NAME?"/>
    <n v="75"/>
    <n v="0.86125786163522"/>
    <n v="92"/>
    <n v="92"/>
    <n v="0.91225786163522005"/>
    <n v="10"/>
    <n v="10"/>
    <n v="11"/>
    <n v="11"/>
    <e v="#NAME?"/>
    <n v="75"/>
    <n v="0.88991666666666602"/>
    <n v="75"/>
    <n v="75"/>
    <n v="0.88991666666666602"/>
    <s v="no data"/>
    <n v="21.8"/>
    <n v="9.25"/>
    <n v="17"/>
    <n v="13"/>
    <n v="100"/>
    <m/>
    <n v="0.82"/>
    <m/>
    <n v="50.785714285714278"/>
    <n v="0"/>
    <n v="92.325581395348848"/>
    <n v="0"/>
    <n v="95.454545454545453"/>
    <n v="0"/>
    <n v="80.083333333333329"/>
    <n v="0"/>
    <n v="78.333333333333329"/>
    <n v="84"/>
    <n v="0.83591666666666598"/>
    <n v="0.80191666666666594"/>
    <n v="79.662293617235477"/>
    <n v="0"/>
    <n v="85.249999999999986"/>
    <m/>
    <m/>
    <m/>
  </r>
  <r>
    <x v="65"/>
    <s v="m"/>
    <s v="10"/>
    <n v="10.5"/>
    <n v="10.5"/>
    <n v="8.5"/>
    <e v="#NAME?"/>
    <n v="75"/>
    <n v="0.83037974683544302"/>
    <s v="na"/>
    <n v="75"/>
    <n v="0.83037974683544302"/>
    <n v="16"/>
    <n v="8.1"/>
    <n v="12"/>
    <e v="#NAME?"/>
    <n v="72"/>
    <n v="0.82596855345911901"/>
    <n v="85"/>
    <n v="85"/>
    <n v="0.86496855345911905"/>
    <n v="10"/>
    <n v="8"/>
    <n v="10"/>
    <n v="10"/>
    <e v="#NAME?"/>
    <n v="75"/>
    <n v="0.85629166666666601"/>
    <s v="na"/>
    <n v="75"/>
    <n v="0.85629166666666601"/>
    <s v="no data"/>
    <n v="21"/>
    <n v="8"/>
    <n v="27"/>
    <n v="11.83"/>
    <n v="95"/>
    <m/>
    <n v="0.72"/>
    <m/>
    <n v="70.238095238095227"/>
    <n v="0"/>
    <n v="83.95348837209302"/>
    <n v="0"/>
    <n v="86.36363636363636"/>
    <n v="0"/>
    <n v="93.333333333333329"/>
    <n v="0"/>
    <n v="74"/>
    <n v="78.333333333333329"/>
    <n v="0.77229166666666604"/>
    <n v="0.74629166666666602"/>
    <n v="83.472138326789477"/>
    <n v="0"/>
    <n v="81.40384615384614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 Table 2" cacheId="4" applyNumberFormats="0" applyBorderFormats="0" applyFontFormats="0" applyPatternFormats="0" applyAlignmentFormats="0" applyWidthHeightFormats="0" dataCaption="" updatedVersion="8" compact="0" compactData="0">
  <location ref="A1:N69" firstHeaderRow="1" firstDataRow="2" firstDataCol="1"/>
  <pivotFields count="58">
    <pivotField name="Name" axis="axisRow" compact="0" numFmtId="49" outline="0" multipleItemSelectionAllowed="1" showAll="0" sortType="ascending">
      <items count="67">
        <item x="24"/>
        <item x="25"/>
        <item x="0"/>
        <item x="50"/>
        <item x="1"/>
        <item x="26"/>
        <item x="2"/>
        <item x="3"/>
        <item x="4"/>
        <item x="51"/>
        <item x="27"/>
        <item x="5"/>
        <item x="6"/>
        <item x="52"/>
        <item x="28"/>
        <item x="29"/>
        <item x="7"/>
        <item x="8"/>
        <item x="53"/>
        <item x="30"/>
        <item x="31"/>
        <item x="9"/>
        <item x="10"/>
        <item x="11"/>
        <item x="12"/>
        <item x="54"/>
        <item x="32"/>
        <item x="33"/>
        <item x="13"/>
        <item x="14"/>
        <item x="34"/>
        <item x="55"/>
        <item x="35"/>
        <item x="56"/>
        <item x="57"/>
        <item x="15"/>
        <item x="58"/>
        <item x="36"/>
        <item x="16"/>
        <item x="59"/>
        <item x="37"/>
        <item x="17"/>
        <item x="18"/>
        <item x="38"/>
        <item x="60"/>
        <item x="39"/>
        <item x="19"/>
        <item x="40"/>
        <item x="20"/>
        <item x="61"/>
        <item x="41"/>
        <item x="42"/>
        <item x="43"/>
        <item x="62"/>
        <item x="21"/>
        <item x="44"/>
        <item x="22"/>
        <item x="45"/>
        <item x="63"/>
        <item x="64"/>
        <item x="46"/>
        <item x="23"/>
        <item x="47"/>
        <item x="48"/>
        <item x="65"/>
        <item x="49"/>
        <item t="default"/>
      </items>
    </pivotField>
    <pivotField name="Gender" compact="0" numFmtId="49" outline="0" multipleItemSelectionAllowed="1" showAll="0"/>
    <pivotField name="Grade" compact="0" numFmtId="49" outline="0" multipleItemSelectionAllowed="1" showAll="0"/>
    <pivotField name="Unit 1 Weekly Assignment 1 out of 15" compact="0" outline="0" multipleItemSelectionAllowed="1" showAll="0"/>
    <pivotField name="Unit 1 Weekly Assignment 2 out of 14" compact="0" outline="0" multipleItemSelectionAllowed="1" showAll="0"/>
    <pivotField name="Unit 1: Group Quiz RAW out of 13" dataField="1" compact="0" outline="0" multipleItemSelectionAllowed="1" showAll="0"/>
    <pivotField name="Unit 1 Group Quiz Scaled (out of 50)" compact="0" outline="0" multipleItemSelectionAllowed="1" showAll="0"/>
    <pivotField name="Unit 1 Mastery" dataField="1" compact="0" numFmtId="4" outline="0" multipleItemSelectionAllowed="1" showAll="0"/>
    <pivotField name="Grade after Unit 1 Test (before retake)" compact="0" numFmtId="10" outline="0" multipleItemSelectionAllowed="1" showAll="0"/>
    <pivotField name="Unit 1 Mastery Retake" dataField="1" compact="0" outline="0" multipleItemSelectionAllowed="1" showAll="0"/>
    <pivotField name="Unit 1 Mastery Final Score" dataField="1" compact="0" numFmtId="4" outline="0" multipleItemSelectionAllowed="1" showAll="0"/>
    <pivotField name="Grade after Unit 1 Test Retake" compact="0" numFmtId="10" outline="0" multipleItemSelectionAllowed="1" showAll="0"/>
    <pivotField name="Unit 2 Weekly Assignment 1 (out of 18 points)" compact="0" numFmtId="4" outline="0" multipleItemSelectionAllowed="1" showAll="0"/>
    <pivotField name="Unit 2 Weekly Assignment 2 (out of 12 points)" compact="0" outline="0" multipleItemSelectionAllowed="1" showAll="0"/>
    <pivotField name="Unit 2: Group Quiz RAW out of 13" dataField="1" compact="0" numFmtId="4" outline="0" multipleItemSelectionAllowed="1" showAll="0"/>
    <pivotField name="Unit 2 Group Quiz Scaled (out of 50)" compact="0" numFmtId="4" outline="0" multipleItemSelectionAllowed="1" showAll="0"/>
    <pivotField name="Unit 2 Mastery" dataField="1" compact="0" outline="0" multipleItemSelectionAllowed="1" showAll="0"/>
    <pivotField name="Grade after Unit 2 Test (before retake)" compact="0" numFmtId="10" outline="0" multipleItemSelectionAllowed="1" showAll="0"/>
    <pivotField name="Unit 2 Mastery Retake" dataField="1" compact="0" outline="0" multipleItemSelectionAllowed="1" showAll="0"/>
    <pivotField name="Unit 2 Mastery Final Score" dataField="1" compact="0" outline="0" multipleItemSelectionAllowed="1" showAll="0"/>
    <pivotField name="Grade after Unit 2 Test Retake" compact="0" numFmtId="10" outline="0" multipleItemSelectionAllowed="1" showAll="0"/>
    <pivotField name="Unit 3 Weekly Assignment 1 (out of 10 points)" compact="0" outline="0" multipleItemSelectionAllowed="1" showAll="0"/>
    <pivotField name="Unit 3 Weekly Assignment 2 (out of 10 points)" compact="0" outline="0" multipleItemSelectionAllowed="1" showAll="0"/>
    <pivotField name="Unit 3 Weekly Assignment 3 (out of 11 points)" compact="0" outline="0" multipleItemSelectionAllowed="1" showAll="0"/>
    <pivotField name="Unit 3: Group Quiz RAW out of 13" dataField="1" compact="0" outline="0" multipleItemSelectionAllowed="1" showAll="0"/>
    <pivotField name="Unit 3 Group Quiz Scaled (out of 50)" compact="0" outline="0" multipleItemSelectionAllowed="1" showAll="0"/>
    <pivotField name="Unit 3 Mastery" dataField="1" compact="0" outline="0" multipleItemSelectionAllowed="1" showAll="0"/>
    <pivotField name="Grade before Unit 3 Test Retake" compact="0" numFmtId="10" outline="0" multipleItemSelectionAllowed="1" showAll="0"/>
    <pivotField name="Unit 3 Mastery Retake" dataField="1" compact="0" outline="0" multipleItemSelectionAllowed="1" showAll="0"/>
    <pivotField name="Unit 3 Mastery Final Score" dataField="1" compact="0" outline="0" multipleItemSelectionAllowed="1" showAll="0"/>
    <pivotField name="Grade after Unit 3 Test Retake" compact="0" numFmtId="10" outline="0" multipleItemSelectionAllowed="1" showAll="0"/>
    <pivotField name="Final Review Assignment 1 Transformations (out of 24 points)" compact="0" outline="0" multipleItemSelectionAllowed="1" showAll="0"/>
    <pivotField name="Final Review Assignment 2 Angles Relations (out of 22 points)" compact="0" outline="0" multipleItemSelectionAllowed="1" showAll="0"/>
    <pivotField name="Final Review Assignment 3 Triangle Angles (out of 10 points)" compact="0" outline="0" multipleItemSelectionAllowed="1" showAll="0"/>
    <pivotField name="Final Review Assignment 4 Proofs (out of 28 points)" compact="0" outline="0" multipleItemSelectionAllowed="1" showAll="0"/>
    <pivotField name="Final Group Quiz 13 points" compact="0" outline="0" multipleItemSelectionAllowed="1" showAll="0"/>
    <pivotField name="Final Group Quiz 50 pts" compact="0" outline="0" multipleItemSelectionAllowed="1" showAll="0"/>
    <pivotField name="Final Raw 20 pts" compact="0" outline="0" multipleItemSelectionAllowed="1" showAll="0"/>
    <pivotField name="Final Score" compact="0" outline="0" multipleItemSelectionAllowed="1" showAll="0"/>
    <pivotField name=" " compact="0" outline="0" multipleItemSelectionAllowed="1" showAll="0"/>
    <pivotField name="Unit 1 Assignments Average" compact="0" numFmtId="164" outline="0" multipleItemSelectionAllowed="1" showAll="0"/>
    <pivotField name="Unit 1 Missing Assignment Count" dataField="1" compact="0" outline="0" multipleItemSelectionAllowed="1" showAll="0"/>
    <pivotField name="Unit 2 Assignments Average" compact="0" numFmtId="164" outline="0" multipleItemSelectionAllowed="1" showAll="0"/>
    <pivotField name="Unit 2 Missing Assignment Count" compact="0" outline="0" multipleItemSelectionAllowed="1" showAll="0"/>
    <pivotField name="Unit 3 Assignments Average" compact="0" numFmtId="164" outline="0" multipleItemSelectionAllowed="1" showAll="0"/>
    <pivotField name="Unit 3 Missing Assignment Count" compact="0" outline="0" multipleItemSelectionAllowed="1" showAll="0"/>
    <pivotField name="Final Reveiw Assignments Average" compact="0" numFmtId="164" outline="0" multipleItemSelectionAllowed="1" showAll="0"/>
    <pivotField name="Final Review Missing Assignment Count" compact="0" outline="0" multipleItemSelectionAllowed="1" showAll="0"/>
    <pivotField name="Average test Score Before Retake" compact="0" numFmtId="4" outline="0" multipleItemSelectionAllowed="1" showAll="0"/>
    <pivotField name="Average Test Score After retake" compact="0" numFmtId="4" outline="0" multipleItemSelectionAllowed="1" showAll="0"/>
    <pivotField name="Overall Grade (with retakes)" compact="0" outline="0" multipleItemSelectionAllowed="1" showAll="0"/>
    <pivotField name="Overal Grade (without retake)" compact="0" outline="0" multipleItemSelectionAllowed="1" showAll="0"/>
    <pivotField name="Average Assignments Score" compact="0" numFmtId="164" outline="0" multipleItemSelectionAllowed="1" showAll="0"/>
    <pivotField name="Total Number Of Missing Assignments" compact="0" outline="0" multipleItemSelectionAllowed="1" showAll="0"/>
    <pivotField name="Average Group Quiz Score" compact="0" numFmtId="164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AVERAGE of Unit 1: Group Quiz RAW out of 13" fld="5" subtotal="average" baseField="0"/>
    <dataField name="SUM of Unit 1 Missing Assignment Count" fld="41" baseField="0"/>
    <dataField name="AVERAGE of Unit 1 Mastery" fld="7" subtotal="average" baseField="0"/>
    <dataField name="AVERAGE of Unit 1 Mastery Retake" fld="9" subtotal="average" baseField="0"/>
    <dataField name="AVERAGE of Unit 1 Mastery Final Score" fld="10" subtotal="average" baseField="0"/>
    <dataField name="AVERAGE of Unit 2: Group Quiz RAW out of 13" fld="14" subtotal="average" baseField="0"/>
    <dataField name="AVERAGE of Unit 2 Mastery" fld="16" subtotal="average" baseField="0"/>
    <dataField name="AVERAGE of Unit 2 Mastery Retake" fld="18" subtotal="average" baseField="0"/>
    <dataField name="AVERAGE of Unit 2 Mastery Final Score" fld="19" subtotal="average" baseField="0"/>
    <dataField name="AVERAGE of Unit 3: Group Quiz RAW out of 13" fld="24" subtotal="average" baseField="0"/>
    <dataField name="AVERAGE of Unit 3 Mastery" fld="26" subtotal="average" baseField="0"/>
    <dataField name="AVERAGE of Unit 3 Mastery Retake" fld="28" subtotal="average" baseField="0"/>
    <dataField name="AVERAGE of Unit 3 Mastery Final Score" fld="29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3"/>
  <sheetViews>
    <sheetView workbookViewId="0"/>
  </sheetViews>
  <sheetFormatPr defaultColWidth="14.42578125" defaultRowHeight="15" customHeight="1" x14ac:dyDescent="0.2"/>
  <cols>
    <col min="1" max="1" width="30.85546875" customWidth="1"/>
    <col min="2" max="2" width="5.140625" customWidth="1"/>
    <col min="3" max="26" width="6.85546875" customWidth="1"/>
    <col min="27" max="27" width="6.42578125" customWidth="1"/>
  </cols>
  <sheetData>
    <row r="1" spans="1:27" ht="12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Z1" s="2" t="s">
        <v>20</v>
      </c>
      <c r="AA1" s="2" t="s">
        <v>21</v>
      </c>
    </row>
    <row r="2" spans="1:27" ht="12.75" customHeight="1" x14ac:dyDescent="0.2">
      <c r="A2" s="1" t="s">
        <v>22</v>
      </c>
      <c r="C2" s="2" t="s">
        <v>13</v>
      </c>
      <c r="D2" s="2" t="s">
        <v>13</v>
      </c>
      <c r="E2" s="2" t="s">
        <v>11</v>
      </c>
      <c r="F2" s="2" t="s">
        <v>23</v>
      </c>
      <c r="G2" s="2" t="s">
        <v>16</v>
      </c>
      <c r="H2" s="2" t="s">
        <v>11</v>
      </c>
      <c r="I2" s="2" t="s">
        <v>10</v>
      </c>
      <c r="J2" s="2" t="s">
        <v>23</v>
      </c>
      <c r="K2" s="2" t="s">
        <v>8</v>
      </c>
      <c r="L2" s="2" t="s">
        <v>8</v>
      </c>
      <c r="M2" s="2" t="s">
        <v>12</v>
      </c>
      <c r="N2" s="2" t="s">
        <v>9</v>
      </c>
      <c r="O2" s="2" t="s">
        <v>23</v>
      </c>
      <c r="P2" s="2" t="s">
        <v>23</v>
      </c>
      <c r="Q2" s="2" t="s">
        <v>24</v>
      </c>
      <c r="R2" s="2" t="s">
        <v>11</v>
      </c>
      <c r="S2" s="2" t="s">
        <v>25</v>
      </c>
      <c r="T2" s="2" t="s">
        <v>8</v>
      </c>
    </row>
    <row r="3" spans="1:27" ht="12.75" customHeight="1" x14ac:dyDescent="0.2">
      <c r="A3" s="1" t="s">
        <v>26</v>
      </c>
      <c r="C3" s="2" t="s">
        <v>27</v>
      </c>
      <c r="D3" s="2" t="s">
        <v>27</v>
      </c>
      <c r="E3" s="2" t="s">
        <v>27</v>
      </c>
      <c r="F3" s="2" t="s">
        <v>27</v>
      </c>
      <c r="G3" s="2" t="s">
        <v>28</v>
      </c>
      <c r="H3" s="2" t="s">
        <v>28</v>
      </c>
      <c r="I3" s="2" t="s">
        <v>28</v>
      </c>
      <c r="J3" s="2" t="s">
        <v>27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27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</row>
    <row r="4" spans="1:27" ht="12.75" customHeight="1" x14ac:dyDescent="0.2">
      <c r="A4" s="3" t="s">
        <v>29</v>
      </c>
      <c r="B4" s="4">
        <v>9</v>
      </c>
      <c r="C4" s="5">
        <v>15</v>
      </c>
      <c r="D4" s="5">
        <v>14</v>
      </c>
      <c r="E4" s="5">
        <v>8.83</v>
      </c>
      <c r="F4" s="5">
        <v>85</v>
      </c>
      <c r="G4" s="5">
        <v>11</v>
      </c>
      <c r="H4" s="5">
        <v>10</v>
      </c>
      <c r="I4" s="5">
        <v>12</v>
      </c>
      <c r="J4" s="5">
        <v>85</v>
      </c>
      <c r="K4" s="5">
        <v>10</v>
      </c>
      <c r="L4" s="5">
        <v>9.75</v>
      </c>
      <c r="M4" s="5">
        <v>9.5</v>
      </c>
      <c r="N4" s="5">
        <v>11</v>
      </c>
      <c r="O4" s="5">
        <v>100</v>
      </c>
      <c r="P4" s="5"/>
      <c r="Q4" s="5">
        <v>5.5</v>
      </c>
      <c r="R4" s="5">
        <v>11.56</v>
      </c>
      <c r="S4" s="5">
        <v>22</v>
      </c>
      <c r="T4" s="5">
        <v>9.0500000000000007</v>
      </c>
      <c r="U4" s="6"/>
      <c r="V4" s="6"/>
      <c r="W4" s="6"/>
      <c r="X4" s="6"/>
      <c r="Y4" s="6"/>
      <c r="Z4" s="7" t="s">
        <v>30</v>
      </c>
      <c r="AA4" s="3" t="s">
        <v>31</v>
      </c>
    </row>
    <row r="5" spans="1:27" ht="12.75" customHeight="1" x14ac:dyDescent="0.2">
      <c r="A5" s="3" t="s">
        <v>32</v>
      </c>
      <c r="B5" s="4">
        <v>11</v>
      </c>
      <c r="C5" s="5">
        <v>15</v>
      </c>
      <c r="D5" s="5">
        <v>0</v>
      </c>
      <c r="E5" s="5">
        <v>9</v>
      </c>
      <c r="F5" s="5">
        <v>82</v>
      </c>
      <c r="G5" s="5">
        <v>12</v>
      </c>
      <c r="H5" s="5">
        <v>9.6999999999999993</v>
      </c>
      <c r="I5" s="5">
        <v>12</v>
      </c>
      <c r="J5" s="5">
        <v>78</v>
      </c>
      <c r="K5" s="5">
        <v>9</v>
      </c>
      <c r="L5" s="5">
        <v>9.75</v>
      </c>
      <c r="M5" s="5">
        <v>7</v>
      </c>
      <c r="N5" s="5">
        <v>9</v>
      </c>
      <c r="O5" s="5">
        <v>75</v>
      </c>
      <c r="P5" s="5"/>
      <c r="Q5" s="5">
        <v>0</v>
      </c>
      <c r="R5" s="5">
        <v>0</v>
      </c>
      <c r="S5" s="5">
        <v>0</v>
      </c>
      <c r="T5" s="5">
        <v>0</v>
      </c>
      <c r="U5" s="6"/>
      <c r="V5" s="6"/>
      <c r="W5" s="6"/>
      <c r="X5" s="6"/>
      <c r="Y5" s="6"/>
      <c r="Z5" s="7" t="s">
        <v>33</v>
      </c>
      <c r="AA5" s="3" t="s">
        <v>34</v>
      </c>
    </row>
    <row r="6" spans="1:27" ht="12.75" customHeight="1" x14ac:dyDescent="0.2">
      <c r="A6" s="3" t="s">
        <v>35</v>
      </c>
      <c r="B6" s="4">
        <v>10</v>
      </c>
      <c r="C6" s="5">
        <v>14</v>
      </c>
      <c r="D6" s="5">
        <v>13.75</v>
      </c>
      <c r="E6" s="5">
        <v>7.16</v>
      </c>
      <c r="F6" s="5">
        <v>95</v>
      </c>
      <c r="G6" s="5">
        <v>15</v>
      </c>
      <c r="H6" s="5">
        <v>12.4</v>
      </c>
      <c r="I6" s="5">
        <v>10</v>
      </c>
      <c r="J6" s="5">
        <v>85</v>
      </c>
      <c r="K6" s="5">
        <v>10</v>
      </c>
      <c r="L6" s="5">
        <v>9</v>
      </c>
      <c r="M6" s="5">
        <v>7.5</v>
      </c>
      <c r="N6" s="5">
        <v>10</v>
      </c>
      <c r="O6" s="5">
        <v>85</v>
      </c>
      <c r="P6" s="5"/>
      <c r="Q6" s="5">
        <v>21</v>
      </c>
      <c r="R6" s="5">
        <v>12.47</v>
      </c>
      <c r="S6" s="5">
        <v>20</v>
      </c>
      <c r="T6" s="5">
        <v>8.35</v>
      </c>
      <c r="U6" s="6"/>
      <c r="V6" s="6"/>
      <c r="W6" s="6"/>
      <c r="X6" s="6"/>
      <c r="Y6" s="6"/>
      <c r="Z6" s="7" t="s">
        <v>36</v>
      </c>
      <c r="AA6" s="3" t="s">
        <v>31</v>
      </c>
    </row>
    <row r="7" spans="1:27" ht="12.75" customHeight="1" x14ac:dyDescent="0.2">
      <c r="A7" s="3" t="s">
        <v>37</v>
      </c>
      <c r="B7" s="4">
        <v>10</v>
      </c>
      <c r="C7" s="5">
        <v>14</v>
      </c>
      <c r="D7" s="5">
        <v>14</v>
      </c>
      <c r="E7" s="5">
        <v>11</v>
      </c>
      <c r="F7" s="5">
        <v>82</v>
      </c>
      <c r="G7" s="5">
        <v>15</v>
      </c>
      <c r="H7" s="5">
        <v>7.7</v>
      </c>
      <c r="I7" s="5">
        <v>10</v>
      </c>
      <c r="J7" s="5">
        <v>88</v>
      </c>
      <c r="K7" s="5">
        <v>10</v>
      </c>
      <c r="L7" s="5">
        <v>8.5</v>
      </c>
      <c r="M7" s="5">
        <v>8</v>
      </c>
      <c r="N7" s="5">
        <v>10</v>
      </c>
      <c r="O7" s="5">
        <v>78</v>
      </c>
      <c r="P7" s="5"/>
      <c r="Q7" s="5">
        <v>0</v>
      </c>
      <c r="R7" s="5">
        <v>9.01</v>
      </c>
      <c r="S7" s="5">
        <v>22</v>
      </c>
      <c r="T7" s="5">
        <v>9</v>
      </c>
      <c r="U7" s="6"/>
      <c r="V7" s="6"/>
      <c r="W7" s="6"/>
      <c r="X7" s="6"/>
      <c r="Y7" s="6"/>
      <c r="Z7" s="7" t="s">
        <v>38</v>
      </c>
      <c r="AA7" s="3" t="s">
        <v>39</v>
      </c>
    </row>
    <row r="8" spans="1:27" ht="12.75" customHeight="1" x14ac:dyDescent="0.2">
      <c r="A8" s="3" t="s">
        <v>40</v>
      </c>
      <c r="B8" s="4">
        <v>10</v>
      </c>
      <c r="C8" s="5"/>
      <c r="D8" s="5"/>
      <c r="E8" s="5"/>
      <c r="F8" s="5">
        <v>92</v>
      </c>
      <c r="G8" s="5">
        <v>18</v>
      </c>
      <c r="H8" s="5">
        <v>10</v>
      </c>
      <c r="I8" s="5">
        <v>12</v>
      </c>
      <c r="J8" s="5">
        <v>95</v>
      </c>
      <c r="K8" s="5">
        <v>10</v>
      </c>
      <c r="L8" s="5">
        <v>10</v>
      </c>
      <c r="M8" s="5">
        <v>10.5</v>
      </c>
      <c r="N8" s="5">
        <v>11</v>
      </c>
      <c r="O8" s="5">
        <v>100</v>
      </c>
      <c r="P8" s="5"/>
      <c r="Q8" s="5">
        <v>28</v>
      </c>
      <c r="R8" s="5">
        <v>12</v>
      </c>
      <c r="S8" s="5">
        <v>22</v>
      </c>
      <c r="T8" s="5">
        <v>10</v>
      </c>
      <c r="U8" s="6"/>
      <c r="V8" s="6"/>
      <c r="W8" s="6"/>
      <c r="X8" s="6"/>
      <c r="Y8" s="6"/>
      <c r="Z8" s="7" t="s">
        <v>41</v>
      </c>
      <c r="AA8" s="3" t="s">
        <v>42</v>
      </c>
    </row>
    <row r="9" spans="1:27" ht="12.75" customHeight="1" x14ac:dyDescent="0.2">
      <c r="A9" s="3" t="s">
        <v>43</v>
      </c>
      <c r="B9" s="4">
        <v>10</v>
      </c>
      <c r="C9" s="5">
        <v>8</v>
      </c>
      <c r="D9" s="5">
        <v>12</v>
      </c>
      <c r="E9" s="5">
        <v>7</v>
      </c>
      <c r="F9" s="5">
        <v>85</v>
      </c>
      <c r="G9" s="5">
        <v>17</v>
      </c>
      <c r="H9" s="5">
        <v>11.1</v>
      </c>
      <c r="I9" s="5">
        <v>12</v>
      </c>
      <c r="J9" s="5">
        <v>100</v>
      </c>
      <c r="K9" s="5">
        <v>10</v>
      </c>
      <c r="L9" s="5">
        <v>9</v>
      </c>
      <c r="M9" s="5">
        <v>9</v>
      </c>
      <c r="N9" s="5">
        <v>9</v>
      </c>
      <c r="O9" s="5">
        <v>78</v>
      </c>
      <c r="P9" s="5"/>
      <c r="Q9" s="5">
        <v>0</v>
      </c>
      <c r="R9" s="5">
        <v>11</v>
      </c>
      <c r="S9" s="5">
        <v>0</v>
      </c>
      <c r="T9" s="5">
        <v>6</v>
      </c>
      <c r="U9" s="6"/>
      <c r="V9" s="6"/>
      <c r="W9" s="6"/>
      <c r="X9" s="6"/>
      <c r="Y9" s="6"/>
      <c r="Z9" s="7" t="s">
        <v>44</v>
      </c>
      <c r="AA9" s="3" t="s">
        <v>45</v>
      </c>
    </row>
    <row r="10" spans="1:27" ht="12.75" customHeight="1" x14ac:dyDescent="0.2">
      <c r="A10" s="3" t="s">
        <v>46</v>
      </c>
      <c r="B10" s="4">
        <v>11</v>
      </c>
      <c r="C10" s="5">
        <v>10</v>
      </c>
      <c r="D10" s="5">
        <v>12</v>
      </c>
      <c r="E10" s="5">
        <v>10.66</v>
      </c>
      <c r="F10" s="5">
        <v>85</v>
      </c>
      <c r="G10" s="5">
        <v>18</v>
      </c>
      <c r="H10" s="5">
        <v>9.4</v>
      </c>
      <c r="I10" s="5">
        <v>10</v>
      </c>
      <c r="J10" s="5">
        <v>80</v>
      </c>
      <c r="K10" s="5">
        <v>10</v>
      </c>
      <c r="L10" s="5">
        <v>8</v>
      </c>
      <c r="M10" s="5">
        <v>9.5</v>
      </c>
      <c r="N10" s="5">
        <v>10</v>
      </c>
      <c r="O10" s="5">
        <v>75</v>
      </c>
      <c r="P10" s="5"/>
      <c r="Q10" s="5">
        <v>26</v>
      </c>
      <c r="R10" s="5">
        <v>11.47</v>
      </c>
      <c r="S10" s="5">
        <v>22</v>
      </c>
      <c r="T10" s="5">
        <v>10</v>
      </c>
      <c r="U10" s="6"/>
      <c r="V10" s="6"/>
      <c r="W10" s="6"/>
      <c r="X10" s="6"/>
      <c r="Y10" s="6"/>
      <c r="Z10" s="7" t="s">
        <v>47</v>
      </c>
      <c r="AA10" s="3" t="s">
        <v>39</v>
      </c>
    </row>
    <row r="11" spans="1:27" ht="12.75" customHeight="1" x14ac:dyDescent="0.2">
      <c r="A11" s="3" t="s">
        <v>48</v>
      </c>
      <c r="B11" s="4">
        <v>10</v>
      </c>
      <c r="C11" s="5">
        <v>7</v>
      </c>
      <c r="D11" s="5">
        <v>7.5</v>
      </c>
      <c r="E11" s="5">
        <v>10</v>
      </c>
      <c r="F11" s="5">
        <v>65</v>
      </c>
      <c r="G11" s="5">
        <v>16</v>
      </c>
      <c r="H11" s="5">
        <v>10</v>
      </c>
      <c r="I11" s="5">
        <v>1</v>
      </c>
      <c r="J11" s="5">
        <v>65</v>
      </c>
      <c r="K11" s="5">
        <v>10</v>
      </c>
      <c r="L11" s="5">
        <v>4</v>
      </c>
      <c r="M11" s="5">
        <v>9</v>
      </c>
      <c r="N11" s="5">
        <v>11</v>
      </c>
      <c r="O11" s="5">
        <v>65</v>
      </c>
      <c r="P11" s="5"/>
      <c r="Q11" s="5">
        <v>0</v>
      </c>
      <c r="R11" s="5">
        <v>0.73</v>
      </c>
      <c r="S11" s="5">
        <v>19.2</v>
      </c>
      <c r="T11" s="5">
        <v>0</v>
      </c>
      <c r="U11" s="6"/>
      <c r="V11" s="6"/>
      <c r="W11" s="6"/>
      <c r="X11" s="6"/>
      <c r="Y11" s="6"/>
      <c r="Z11" s="7" t="s">
        <v>49</v>
      </c>
      <c r="AA11" s="3" t="s">
        <v>50</v>
      </c>
    </row>
    <row r="12" spans="1:27" ht="12.75" customHeight="1" x14ac:dyDescent="0.2">
      <c r="A12" s="3" t="s">
        <v>51</v>
      </c>
      <c r="B12" s="4">
        <v>10</v>
      </c>
      <c r="C12" s="5">
        <v>8.5</v>
      </c>
      <c r="D12" s="5">
        <v>5.25</v>
      </c>
      <c r="E12" s="5">
        <v>5.16</v>
      </c>
      <c r="F12" s="5">
        <v>75</v>
      </c>
      <c r="G12" s="5">
        <v>13</v>
      </c>
      <c r="H12" s="5">
        <v>8</v>
      </c>
      <c r="I12" s="5">
        <v>12</v>
      </c>
      <c r="J12" s="5">
        <v>68</v>
      </c>
      <c r="K12" s="5">
        <v>10</v>
      </c>
      <c r="L12" s="5">
        <v>10</v>
      </c>
      <c r="M12" s="5">
        <v>8.5</v>
      </c>
      <c r="N12" s="5">
        <v>11</v>
      </c>
      <c r="O12" s="5">
        <v>68</v>
      </c>
      <c r="P12" s="5"/>
      <c r="Q12" s="5">
        <v>24</v>
      </c>
      <c r="R12" s="5">
        <v>6.84</v>
      </c>
      <c r="S12" s="5">
        <v>16</v>
      </c>
      <c r="T12" s="5">
        <v>9.25</v>
      </c>
      <c r="U12" s="6"/>
      <c r="V12" s="6"/>
      <c r="W12" s="6"/>
      <c r="X12" s="6"/>
      <c r="Y12" s="6"/>
      <c r="Z12" s="7" t="s">
        <v>52</v>
      </c>
      <c r="AA12" s="3" t="s">
        <v>53</v>
      </c>
    </row>
    <row r="13" spans="1:27" ht="12.75" customHeight="1" x14ac:dyDescent="0.2">
      <c r="A13" s="3" t="s">
        <v>54</v>
      </c>
      <c r="B13" s="4">
        <v>9</v>
      </c>
      <c r="C13" s="5">
        <v>14.5</v>
      </c>
      <c r="D13" s="5">
        <v>10</v>
      </c>
      <c r="E13" s="5">
        <v>9.83</v>
      </c>
      <c r="F13" s="5">
        <v>88</v>
      </c>
      <c r="G13" s="5">
        <v>15</v>
      </c>
      <c r="H13" s="5">
        <v>11.7</v>
      </c>
      <c r="I13" s="5">
        <v>10</v>
      </c>
      <c r="J13" s="5">
        <v>82</v>
      </c>
      <c r="K13" s="5">
        <v>10</v>
      </c>
      <c r="L13" s="5">
        <v>10</v>
      </c>
      <c r="M13" s="5">
        <v>9.5</v>
      </c>
      <c r="N13" s="5">
        <v>0</v>
      </c>
      <c r="O13" s="5">
        <v>84</v>
      </c>
      <c r="P13" s="5"/>
      <c r="Q13" s="5">
        <v>0</v>
      </c>
      <c r="R13" s="5">
        <v>13</v>
      </c>
      <c r="S13" s="5">
        <v>0</v>
      </c>
      <c r="T13" s="5">
        <v>0</v>
      </c>
      <c r="U13" s="6"/>
      <c r="V13" s="6"/>
      <c r="W13" s="6"/>
      <c r="X13" s="6"/>
      <c r="Y13" s="6"/>
      <c r="Z13" s="7" t="s">
        <v>55</v>
      </c>
      <c r="AA13" s="3" t="s">
        <v>39</v>
      </c>
    </row>
    <row r="14" spans="1:27" ht="12.75" customHeight="1" x14ac:dyDescent="0.2">
      <c r="A14" s="3" t="s">
        <v>56</v>
      </c>
      <c r="B14" s="4">
        <v>10</v>
      </c>
      <c r="C14" s="5">
        <v>2</v>
      </c>
      <c r="D14" s="5">
        <v>0</v>
      </c>
      <c r="E14" s="5">
        <v>3.83</v>
      </c>
      <c r="F14" s="5">
        <v>30</v>
      </c>
      <c r="G14" s="5">
        <v>18</v>
      </c>
      <c r="H14" s="5">
        <v>6.65</v>
      </c>
      <c r="I14" s="5">
        <v>6</v>
      </c>
      <c r="J14" s="5">
        <v>72</v>
      </c>
      <c r="K14" s="5">
        <v>9</v>
      </c>
      <c r="L14" s="5">
        <v>9</v>
      </c>
      <c r="M14" s="5">
        <v>8.5</v>
      </c>
      <c r="N14" s="5">
        <v>10</v>
      </c>
      <c r="O14" s="5">
        <v>68</v>
      </c>
      <c r="P14" s="5"/>
      <c r="Q14" s="5">
        <v>26</v>
      </c>
      <c r="R14" s="5">
        <v>7.6</v>
      </c>
      <c r="S14" s="5">
        <v>20.2</v>
      </c>
      <c r="T14" s="5">
        <v>1</v>
      </c>
      <c r="U14" s="6"/>
      <c r="V14" s="6"/>
      <c r="W14" s="6"/>
      <c r="X14" s="6"/>
      <c r="Y14" s="6"/>
      <c r="Z14" s="7" t="s">
        <v>57</v>
      </c>
      <c r="AA14" s="3" t="s">
        <v>58</v>
      </c>
    </row>
    <row r="15" spans="1:27" ht="12.75" customHeight="1" x14ac:dyDescent="0.2">
      <c r="A15" s="3" t="s">
        <v>59</v>
      </c>
      <c r="B15" s="4">
        <v>10</v>
      </c>
      <c r="C15" s="5">
        <v>15</v>
      </c>
      <c r="D15" s="5">
        <v>10.75</v>
      </c>
      <c r="E15" s="5">
        <v>6.49</v>
      </c>
      <c r="F15" s="5">
        <v>82</v>
      </c>
      <c r="G15" s="5">
        <v>16</v>
      </c>
      <c r="H15" s="5">
        <v>8</v>
      </c>
      <c r="I15" s="5">
        <v>12</v>
      </c>
      <c r="J15" s="5">
        <v>72</v>
      </c>
      <c r="K15" s="5">
        <v>10</v>
      </c>
      <c r="L15" s="5">
        <v>7</v>
      </c>
      <c r="M15" s="5">
        <v>8.5</v>
      </c>
      <c r="N15" s="5">
        <v>11</v>
      </c>
      <c r="O15" s="5">
        <v>85</v>
      </c>
      <c r="P15" s="5"/>
      <c r="Q15" s="5">
        <v>0</v>
      </c>
      <c r="R15" s="5">
        <v>0</v>
      </c>
      <c r="S15" s="5">
        <v>0</v>
      </c>
      <c r="T15" s="5">
        <v>0</v>
      </c>
      <c r="U15" s="6"/>
      <c r="V15" s="6"/>
      <c r="W15" s="6"/>
      <c r="X15" s="6"/>
      <c r="Y15" s="6"/>
      <c r="Z15" s="7" t="s">
        <v>60</v>
      </c>
      <c r="AA15" s="3" t="s">
        <v>34</v>
      </c>
    </row>
    <row r="16" spans="1:27" ht="12.75" customHeight="1" x14ac:dyDescent="0.2">
      <c r="A16" s="3" t="s">
        <v>61</v>
      </c>
      <c r="B16" s="4">
        <v>11</v>
      </c>
      <c r="C16" s="5">
        <v>4</v>
      </c>
      <c r="D16" s="5">
        <v>4</v>
      </c>
      <c r="E16" s="5">
        <v>4.66</v>
      </c>
      <c r="F16" s="5">
        <v>83</v>
      </c>
      <c r="G16" s="5">
        <v>7</v>
      </c>
      <c r="H16" s="5">
        <v>9.1</v>
      </c>
      <c r="I16" s="5">
        <v>0</v>
      </c>
      <c r="J16" s="5">
        <v>68</v>
      </c>
      <c r="K16" s="5">
        <v>10</v>
      </c>
      <c r="L16" s="5">
        <v>6</v>
      </c>
      <c r="M16" s="5">
        <v>7</v>
      </c>
      <c r="N16" s="5">
        <v>8</v>
      </c>
      <c r="O16" s="5">
        <v>78</v>
      </c>
      <c r="P16" s="5"/>
      <c r="Q16" s="5">
        <v>0</v>
      </c>
      <c r="R16" s="5">
        <v>10.220000000000001</v>
      </c>
      <c r="S16" s="5">
        <v>21</v>
      </c>
      <c r="T16" s="5">
        <v>0</v>
      </c>
      <c r="U16" s="6"/>
      <c r="V16" s="6"/>
      <c r="W16" s="6"/>
      <c r="X16" s="6"/>
      <c r="Y16" s="6"/>
      <c r="Z16" s="7" t="s">
        <v>62</v>
      </c>
      <c r="AA16" s="3" t="s">
        <v>53</v>
      </c>
    </row>
    <row r="17" spans="1:27" ht="12.75" customHeight="1" x14ac:dyDescent="0.2">
      <c r="A17" s="3" t="s">
        <v>63</v>
      </c>
      <c r="B17" s="4">
        <v>9</v>
      </c>
      <c r="C17" s="5">
        <v>15</v>
      </c>
      <c r="D17" s="5">
        <v>14</v>
      </c>
      <c r="E17" s="5">
        <v>11</v>
      </c>
      <c r="F17" s="5">
        <v>92</v>
      </c>
      <c r="G17" s="5">
        <v>18</v>
      </c>
      <c r="H17" s="5">
        <v>10</v>
      </c>
      <c r="I17" s="5">
        <v>12</v>
      </c>
      <c r="J17" s="5">
        <v>95</v>
      </c>
      <c r="K17" s="5">
        <v>9</v>
      </c>
      <c r="L17" s="5">
        <v>10</v>
      </c>
      <c r="M17" s="5">
        <v>9.5</v>
      </c>
      <c r="N17" s="5">
        <v>11</v>
      </c>
      <c r="O17" s="5">
        <v>100</v>
      </c>
      <c r="P17" s="5"/>
      <c r="Q17" s="5">
        <v>23</v>
      </c>
      <c r="R17" s="5">
        <v>12.34</v>
      </c>
      <c r="S17" s="5">
        <v>22</v>
      </c>
      <c r="T17" s="5">
        <v>10</v>
      </c>
      <c r="U17" s="6"/>
      <c r="V17" s="6"/>
      <c r="W17" s="6"/>
      <c r="X17" s="6"/>
      <c r="Y17" s="6"/>
      <c r="Z17" s="7" t="s">
        <v>64</v>
      </c>
      <c r="AA17" s="3" t="s">
        <v>42</v>
      </c>
    </row>
    <row r="18" spans="1:27" ht="12.75" customHeight="1" x14ac:dyDescent="0.2">
      <c r="A18" s="3" t="s">
        <v>65</v>
      </c>
      <c r="B18" s="4">
        <v>11</v>
      </c>
      <c r="C18" s="5">
        <v>13</v>
      </c>
      <c r="D18" s="5">
        <v>14.5</v>
      </c>
      <c r="E18" s="5">
        <v>11.17</v>
      </c>
      <c r="F18" s="5">
        <v>80</v>
      </c>
      <c r="G18" s="5">
        <v>9</v>
      </c>
      <c r="H18" s="5">
        <v>10</v>
      </c>
      <c r="I18" s="5">
        <v>0</v>
      </c>
      <c r="J18" s="5">
        <v>68</v>
      </c>
      <c r="K18" s="5">
        <v>9</v>
      </c>
      <c r="L18" s="5">
        <v>9</v>
      </c>
      <c r="M18" s="5">
        <v>0</v>
      </c>
      <c r="N18" s="5">
        <v>11</v>
      </c>
      <c r="O18" s="5">
        <v>65</v>
      </c>
      <c r="P18" s="5"/>
      <c r="Q18" s="5">
        <v>0</v>
      </c>
      <c r="R18" s="5">
        <v>8.0500000000000007</v>
      </c>
      <c r="S18" s="5">
        <v>22</v>
      </c>
      <c r="T18" s="5">
        <v>9</v>
      </c>
      <c r="U18" s="6"/>
      <c r="V18" s="6"/>
      <c r="W18" s="6"/>
      <c r="X18" s="6"/>
      <c r="Y18" s="6"/>
      <c r="Z18" s="7" t="s">
        <v>66</v>
      </c>
      <c r="AA18" s="3" t="s">
        <v>67</v>
      </c>
    </row>
    <row r="19" spans="1:27" ht="12.75" customHeight="1" x14ac:dyDescent="0.2">
      <c r="A19" s="3" t="s">
        <v>68</v>
      </c>
      <c r="B19" s="4">
        <v>10</v>
      </c>
      <c r="C19" s="5"/>
      <c r="D19" s="5"/>
      <c r="E19" s="5"/>
      <c r="F19" s="5">
        <v>92</v>
      </c>
      <c r="G19" s="5">
        <v>18</v>
      </c>
      <c r="H19" s="5">
        <v>13</v>
      </c>
      <c r="I19" s="5">
        <v>12</v>
      </c>
      <c r="J19" s="5">
        <v>95</v>
      </c>
      <c r="K19" s="5">
        <v>10</v>
      </c>
      <c r="L19" s="5">
        <v>10</v>
      </c>
      <c r="M19" s="5">
        <v>7</v>
      </c>
      <c r="N19" s="5">
        <v>11</v>
      </c>
      <c r="O19" s="5">
        <v>82</v>
      </c>
      <c r="P19" s="5"/>
      <c r="Q19" s="5">
        <v>27</v>
      </c>
      <c r="R19" s="5">
        <v>13</v>
      </c>
      <c r="S19" s="5">
        <v>22</v>
      </c>
      <c r="T19" s="5">
        <v>10</v>
      </c>
      <c r="U19" s="6"/>
      <c r="V19" s="6"/>
      <c r="W19" s="6"/>
      <c r="X19" s="6"/>
      <c r="Y19" s="6"/>
      <c r="Z19" s="7" t="s">
        <v>69</v>
      </c>
      <c r="AA19" s="3" t="s">
        <v>70</v>
      </c>
    </row>
    <row r="20" spans="1:27" ht="12.75" customHeight="1" x14ac:dyDescent="0.2">
      <c r="A20" s="3" t="s">
        <v>71</v>
      </c>
      <c r="B20" s="4">
        <v>10</v>
      </c>
      <c r="C20" s="5"/>
      <c r="D20" s="5"/>
      <c r="E20" s="5"/>
      <c r="F20" s="5">
        <v>62</v>
      </c>
      <c r="G20" s="5">
        <v>17</v>
      </c>
      <c r="H20" s="5">
        <v>13</v>
      </c>
      <c r="I20" s="5">
        <v>9</v>
      </c>
      <c r="J20" s="5">
        <v>30</v>
      </c>
      <c r="K20" s="5">
        <v>10</v>
      </c>
      <c r="L20" s="5">
        <v>8</v>
      </c>
      <c r="M20" s="5">
        <v>7.5</v>
      </c>
      <c r="N20" s="5">
        <v>8</v>
      </c>
      <c r="O20" s="5">
        <v>72</v>
      </c>
      <c r="P20" s="5"/>
      <c r="Q20" s="5">
        <v>0</v>
      </c>
      <c r="R20" s="5">
        <v>7.27</v>
      </c>
      <c r="S20" s="5">
        <v>22</v>
      </c>
      <c r="T20" s="5">
        <v>2</v>
      </c>
      <c r="U20" s="6"/>
      <c r="V20" s="6"/>
      <c r="W20" s="6"/>
      <c r="X20" s="6"/>
      <c r="Y20" s="6"/>
      <c r="Z20" s="7" t="s">
        <v>72</v>
      </c>
      <c r="AA20" s="3" t="s">
        <v>58</v>
      </c>
    </row>
    <row r="21" spans="1:27" ht="12.75" customHeight="1" x14ac:dyDescent="0.2">
      <c r="A21" s="3" t="s">
        <v>73</v>
      </c>
      <c r="B21" s="4">
        <v>10</v>
      </c>
      <c r="C21" s="5">
        <v>14.5</v>
      </c>
      <c r="D21" s="5">
        <v>13.25</v>
      </c>
      <c r="E21" s="5">
        <v>10.17</v>
      </c>
      <c r="F21" s="5">
        <v>95</v>
      </c>
      <c r="G21" s="5">
        <v>18</v>
      </c>
      <c r="H21" s="5">
        <v>10.7</v>
      </c>
      <c r="I21" s="5">
        <v>12</v>
      </c>
      <c r="J21" s="5">
        <v>95</v>
      </c>
      <c r="K21" s="5">
        <v>10</v>
      </c>
      <c r="L21" s="5">
        <v>9</v>
      </c>
      <c r="M21" s="5">
        <v>10.5</v>
      </c>
      <c r="N21" s="5">
        <v>11</v>
      </c>
      <c r="O21" s="5">
        <v>85</v>
      </c>
      <c r="P21" s="5"/>
      <c r="Q21" s="5">
        <v>21</v>
      </c>
      <c r="R21" s="5">
        <v>12.2</v>
      </c>
      <c r="S21" s="5">
        <v>22</v>
      </c>
      <c r="T21" s="5">
        <v>9</v>
      </c>
      <c r="U21" s="6"/>
      <c r="V21" s="6"/>
      <c r="W21" s="6"/>
      <c r="X21" s="6"/>
      <c r="Y21" s="6"/>
      <c r="Z21" s="7" t="s">
        <v>74</v>
      </c>
      <c r="AA21" s="3" t="s">
        <v>70</v>
      </c>
    </row>
    <row r="22" spans="1:27" ht="12.75" customHeight="1" x14ac:dyDescent="0.2">
      <c r="A22" s="3" t="s">
        <v>75</v>
      </c>
      <c r="B22" s="4">
        <v>10</v>
      </c>
      <c r="C22" s="5">
        <v>13.5</v>
      </c>
      <c r="D22" s="5">
        <v>15</v>
      </c>
      <c r="E22" s="5">
        <v>11.33</v>
      </c>
      <c r="F22" s="5">
        <v>85</v>
      </c>
      <c r="G22" s="5">
        <v>17</v>
      </c>
      <c r="H22" s="5">
        <v>9.4</v>
      </c>
      <c r="I22" s="5">
        <v>12</v>
      </c>
      <c r="J22" s="5">
        <v>78</v>
      </c>
      <c r="K22" s="5">
        <v>9</v>
      </c>
      <c r="L22" s="5">
        <v>10</v>
      </c>
      <c r="M22" s="5">
        <v>8.5</v>
      </c>
      <c r="N22" s="5">
        <v>11</v>
      </c>
      <c r="O22" s="5">
        <v>82</v>
      </c>
      <c r="P22" s="5"/>
      <c r="Q22" s="5">
        <v>0</v>
      </c>
      <c r="R22" s="5">
        <v>12.2</v>
      </c>
      <c r="S22" s="5">
        <v>22</v>
      </c>
      <c r="T22" s="5">
        <v>9</v>
      </c>
      <c r="U22" s="6"/>
      <c r="V22" s="6"/>
      <c r="W22" s="6"/>
      <c r="X22" s="6"/>
      <c r="Y22" s="6"/>
      <c r="Z22" s="7" t="s">
        <v>76</v>
      </c>
      <c r="AA22" s="3" t="s">
        <v>39</v>
      </c>
    </row>
    <row r="23" spans="1:27" ht="12.75" customHeight="1" x14ac:dyDescent="0.2">
      <c r="A23" s="3" t="s">
        <v>77</v>
      </c>
      <c r="B23" s="4">
        <v>10</v>
      </c>
      <c r="C23" s="5">
        <v>15</v>
      </c>
      <c r="D23" s="5">
        <v>13</v>
      </c>
      <c r="E23" s="5">
        <v>10.84</v>
      </c>
      <c r="F23" s="5">
        <v>92</v>
      </c>
      <c r="G23" s="5">
        <v>18</v>
      </c>
      <c r="H23" s="5">
        <v>8.6999999999999993</v>
      </c>
      <c r="I23" s="5">
        <v>12</v>
      </c>
      <c r="J23" s="5">
        <v>82</v>
      </c>
      <c r="K23" s="5">
        <v>9</v>
      </c>
      <c r="L23" s="5">
        <v>7.75</v>
      </c>
      <c r="M23" s="5">
        <v>9.5</v>
      </c>
      <c r="N23" s="5">
        <v>10</v>
      </c>
      <c r="O23" s="5">
        <v>82</v>
      </c>
      <c r="P23" s="5"/>
      <c r="Q23" s="5">
        <v>23.5</v>
      </c>
      <c r="R23" s="5">
        <v>10.220000000000001</v>
      </c>
      <c r="S23" s="5">
        <v>19.8</v>
      </c>
      <c r="T23" s="5">
        <v>9</v>
      </c>
      <c r="U23" s="6"/>
      <c r="V23" s="6"/>
      <c r="W23" s="6"/>
      <c r="X23" s="6"/>
      <c r="Y23" s="6"/>
      <c r="Z23" s="7" t="s">
        <v>78</v>
      </c>
      <c r="AA23" s="3" t="s">
        <v>45</v>
      </c>
    </row>
    <row r="24" spans="1:27" ht="12.75" customHeight="1" x14ac:dyDescent="0.2">
      <c r="A24" s="3" t="s">
        <v>79</v>
      </c>
      <c r="B24" s="4">
        <v>9</v>
      </c>
      <c r="C24" s="5">
        <v>15</v>
      </c>
      <c r="D24" s="5">
        <v>14</v>
      </c>
      <c r="E24" s="5">
        <v>10.5</v>
      </c>
      <c r="F24" s="5">
        <v>95</v>
      </c>
      <c r="G24" s="5">
        <v>18</v>
      </c>
      <c r="H24" s="5">
        <v>12</v>
      </c>
      <c r="I24" s="5">
        <v>12</v>
      </c>
      <c r="J24" s="5">
        <v>88</v>
      </c>
      <c r="K24" s="5">
        <v>10</v>
      </c>
      <c r="L24" s="5">
        <v>10</v>
      </c>
      <c r="M24" s="5">
        <v>9</v>
      </c>
      <c r="N24" s="5">
        <v>11</v>
      </c>
      <c r="O24" s="5">
        <v>82</v>
      </c>
      <c r="P24" s="5"/>
      <c r="Q24" s="5">
        <v>28</v>
      </c>
      <c r="R24" s="5">
        <v>13</v>
      </c>
      <c r="S24" s="5">
        <v>22</v>
      </c>
      <c r="T24" s="5">
        <v>10</v>
      </c>
      <c r="U24" s="6"/>
      <c r="V24" s="6"/>
      <c r="W24" s="6"/>
      <c r="X24" s="6"/>
      <c r="Y24" s="6"/>
      <c r="Z24" s="7" t="s">
        <v>80</v>
      </c>
      <c r="AA24" s="3" t="s">
        <v>31</v>
      </c>
    </row>
    <row r="25" spans="1:27" ht="12.75" customHeight="1" x14ac:dyDescent="0.2">
      <c r="A25" s="3" t="s">
        <v>81</v>
      </c>
      <c r="B25" s="4">
        <v>10</v>
      </c>
      <c r="C25" s="5">
        <v>14.5</v>
      </c>
      <c r="D25" s="5">
        <v>15</v>
      </c>
      <c r="E25" s="5">
        <v>11</v>
      </c>
      <c r="F25" s="5">
        <v>92</v>
      </c>
      <c r="G25" s="5">
        <v>18</v>
      </c>
      <c r="H25" s="5">
        <v>13</v>
      </c>
      <c r="I25" s="5">
        <v>12</v>
      </c>
      <c r="J25" s="5">
        <v>83</v>
      </c>
      <c r="K25" s="5">
        <v>10</v>
      </c>
      <c r="L25" s="5">
        <v>10</v>
      </c>
      <c r="M25" s="5">
        <v>10.5</v>
      </c>
      <c r="N25" s="5">
        <v>9</v>
      </c>
      <c r="O25" s="5">
        <v>80</v>
      </c>
      <c r="P25" s="5"/>
      <c r="Q25" s="5">
        <v>21</v>
      </c>
      <c r="R25" s="5">
        <v>13</v>
      </c>
      <c r="S25" s="5">
        <v>22</v>
      </c>
      <c r="T25" s="5">
        <v>10</v>
      </c>
      <c r="U25" s="6"/>
      <c r="V25" s="6"/>
      <c r="W25" s="6"/>
      <c r="X25" s="6"/>
      <c r="Y25" s="6"/>
      <c r="Z25" s="7" t="s">
        <v>82</v>
      </c>
      <c r="AA25" s="3" t="s">
        <v>45</v>
      </c>
    </row>
    <row r="26" spans="1:27" ht="12.75" customHeight="1" x14ac:dyDescent="0.2">
      <c r="A26" s="3" t="s">
        <v>83</v>
      </c>
      <c r="B26" s="4">
        <v>11</v>
      </c>
      <c r="C26" s="5">
        <v>13</v>
      </c>
      <c r="D26" s="5">
        <v>6</v>
      </c>
      <c r="E26" s="5">
        <v>5.17</v>
      </c>
      <c r="F26" s="5">
        <v>72</v>
      </c>
      <c r="G26" s="5">
        <v>1</v>
      </c>
      <c r="H26" s="5">
        <v>6</v>
      </c>
      <c r="I26" s="5">
        <v>0</v>
      </c>
      <c r="J26" s="5">
        <v>62</v>
      </c>
      <c r="K26" s="5">
        <v>10</v>
      </c>
      <c r="L26" s="5">
        <v>9</v>
      </c>
      <c r="M26" s="5">
        <v>9</v>
      </c>
      <c r="N26" s="5">
        <v>11</v>
      </c>
      <c r="O26" s="5">
        <v>72</v>
      </c>
      <c r="P26" s="5"/>
      <c r="Q26" s="5">
        <v>28</v>
      </c>
      <c r="R26" s="5">
        <v>9.19</v>
      </c>
      <c r="S26" s="5">
        <v>22</v>
      </c>
      <c r="T26" s="5">
        <v>10</v>
      </c>
      <c r="U26" s="6"/>
      <c r="V26" s="6"/>
      <c r="W26" s="6"/>
      <c r="X26" s="6"/>
      <c r="Y26" s="6"/>
      <c r="Z26" s="7" t="s">
        <v>84</v>
      </c>
      <c r="AA26" s="3" t="s">
        <v>67</v>
      </c>
    </row>
    <row r="27" spans="1:27" ht="12.75" customHeight="1" x14ac:dyDescent="0.2">
      <c r="A27" s="3" t="s">
        <v>85</v>
      </c>
      <c r="B27" s="4">
        <v>10</v>
      </c>
      <c r="C27" s="5">
        <v>15</v>
      </c>
      <c r="D27" s="5">
        <v>4</v>
      </c>
      <c r="E27" s="5">
        <v>9.33</v>
      </c>
      <c r="F27" s="5">
        <v>62</v>
      </c>
      <c r="G27" s="5">
        <v>16</v>
      </c>
      <c r="H27" s="5">
        <v>8.1</v>
      </c>
      <c r="I27" s="5">
        <v>11</v>
      </c>
      <c r="J27" s="5">
        <v>65</v>
      </c>
      <c r="K27" s="5">
        <v>10</v>
      </c>
      <c r="L27" s="5">
        <v>9</v>
      </c>
      <c r="M27" s="5">
        <v>0.5</v>
      </c>
      <c r="N27" s="5">
        <v>9</v>
      </c>
      <c r="O27" s="5">
        <v>65</v>
      </c>
      <c r="P27" s="5"/>
      <c r="Q27" s="5">
        <v>0</v>
      </c>
      <c r="R27" s="5">
        <v>13</v>
      </c>
      <c r="S27" s="5">
        <v>0</v>
      </c>
      <c r="T27" s="5">
        <v>10</v>
      </c>
      <c r="U27" s="6"/>
      <c r="V27" s="6"/>
      <c r="W27" s="6"/>
      <c r="X27" s="6"/>
      <c r="Y27" s="6"/>
      <c r="Z27" s="7" t="s">
        <v>86</v>
      </c>
      <c r="AA27" s="3" t="s">
        <v>87</v>
      </c>
    </row>
    <row r="28" spans="1:27" ht="12.75" customHeight="1" x14ac:dyDescent="0.2">
      <c r="A28" s="8" t="s">
        <v>88</v>
      </c>
      <c r="B28" s="9"/>
      <c r="C28" s="10" t="s">
        <v>89</v>
      </c>
      <c r="D28" s="10" t="s">
        <v>90</v>
      </c>
      <c r="E28" s="10" t="s">
        <v>91</v>
      </c>
      <c r="F28" s="10" t="s">
        <v>92</v>
      </c>
      <c r="G28" s="10" t="s">
        <v>93</v>
      </c>
      <c r="H28" s="10" t="s">
        <v>94</v>
      </c>
      <c r="I28" s="10" t="s">
        <v>95</v>
      </c>
      <c r="J28" s="10" t="s">
        <v>96</v>
      </c>
      <c r="K28" s="10" t="s">
        <v>97</v>
      </c>
      <c r="L28" s="10" t="s">
        <v>98</v>
      </c>
      <c r="M28" s="10" t="s">
        <v>99</v>
      </c>
      <c r="N28" s="10" t="s">
        <v>100</v>
      </c>
      <c r="O28" s="10" t="s">
        <v>101</v>
      </c>
      <c r="P28" s="10" t="s">
        <v>102</v>
      </c>
      <c r="Q28" s="10" t="s">
        <v>103</v>
      </c>
      <c r="R28" s="10" t="s">
        <v>104</v>
      </c>
      <c r="S28" s="10" t="s">
        <v>105</v>
      </c>
      <c r="T28" s="10" t="s">
        <v>106</v>
      </c>
      <c r="U28" s="11"/>
      <c r="V28" s="11"/>
      <c r="W28" s="11"/>
      <c r="X28" s="11"/>
      <c r="Y28" s="11"/>
      <c r="Z28" s="12" t="s">
        <v>107</v>
      </c>
      <c r="AA28" s="8" t="s">
        <v>108</v>
      </c>
    </row>
    <row r="29" spans="1:27" ht="12.75" customHeight="1" x14ac:dyDescent="0.2">
      <c r="A29" s="1" t="s">
        <v>109</v>
      </c>
    </row>
    <row r="30" spans="1:27" ht="12.75" customHeight="1" x14ac:dyDescent="0.2">
      <c r="A30" s="1" t="s">
        <v>110</v>
      </c>
    </row>
    <row r="31" spans="1:27" ht="12.75" customHeight="1" x14ac:dyDescent="0.2">
      <c r="A31" s="1" t="s">
        <v>111</v>
      </c>
    </row>
    <row r="32" spans="1:27" ht="12.75" customHeight="1" x14ac:dyDescent="0.2">
      <c r="A32" s="1" t="s">
        <v>112</v>
      </c>
    </row>
    <row r="33" spans="1:27" ht="12.75" customHeight="1" x14ac:dyDescent="0.2">
      <c r="A33" s="1" t="s">
        <v>0</v>
      </c>
      <c r="B33" s="2" t="s">
        <v>1</v>
      </c>
      <c r="C33" s="2" t="s">
        <v>113</v>
      </c>
      <c r="D33" s="2" t="s">
        <v>114</v>
      </c>
      <c r="E33" s="2" t="s">
        <v>115</v>
      </c>
      <c r="F33" s="2" t="s">
        <v>2</v>
      </c>
      <c r="G33" s="2" t="s">
        <v>3</v>
      </c>
      <c r="H33" s="2" t="s">
        <v>4</v>
      </c>
      <c r="I33" s="2" t="s">
        <v>5</v>
      </c>
      <c r="J33" s="2" t="s">
        <v>6</v>
      </c>
      <c r="K33" s="2" t="s">
        <v>7</v>
      </c>
      <c r="L33" s="2" t="s">
        <v>8</v>
      </c>
      <c r="M33" s="2" t="s">
        <v>9</v>
      </c>
      <c r="N33" s="2" t="s">
        <v>10</v>
      </c>
      <c r="O33" s="2" t="s">
        <v>14</v>
      </c>
      <c r="P33" s="2" t="s">
        <v>16</v>
      </c>
      <c r="Q33" s="2" t="s">
        <v>17</v>
      </c>
      <c r="R33" s="2" t="s">
        <v>18</v>
      </c>
      <c r="S33" s="2" t="s">
        <v>19</v>
      </c>
      <c r="T33" s="2" t="s">
        <v>25</v>
      </c>
      <c r="U33" s="2" t="s">
        <v>116</v>
      </c>
      <c r="V33" s="2" t="s">
        <v>117</v>
      </c>
      <c r="W33" s="2" t="s">
        <v>118</v>
      </c>
      <c r="X33" s="2" t="s">
        <v>119</v>
      </c>
      <c r="Y33" s="2" t="s">
        <v>24</v>
      </c>
      <c r="Z33" s="2" t="s">
        <v>20</v>
      </c>
      <c r="AA33" s="2" t="s">
        <v>21</v>
      </c>
    </row>
    <row r="34" spans="1:27" ht="12.75" customHeight="1" x14ac:dyDescent="0.2">
      <c r="A34" s="1" t="s">
        <v>22</v>
      </c>
      <c r="C34" s="2" t="s">
        <v>3</v>
      </c>
      <c r="D34" s="2" t="s">
        <v>120</v>
      </c>
      <c r="E34" s="2" t="s">
        <v>113</v>
      </c>
      <c r="F34" s="2" t="s">
        <v>113</v>
      </c>
      <c r="G34" s="2" t="s">
        <v>113</v>
      </c>
      <c r="H34" s="2" t="s">
        <v>23</v>
      </c>
      <c r="I34" s="2" t="s">
        <v>113</v>
      </c>
      <c r="J34" s="2" t="s">
        <v>113</v>
      </c>
      <c r="K34" s="2" t="s">
        <v>113</v>
      </c>
      <c r="L34" s="2" t="s">
        <v>3</v>
      </c>
      <c r="M34" s="2" t="s">
        <v>113</v>
      </c>
      <c r="N34" s="2" t="s">
        <v>113</v>
      </c>
      <c r="O34" s="2" t="s">
        <v>120</v>
      </c>
      <c r="P34" s="2" t="s">
        <v>23</v>
      </c>
      <c r="Q34" s="2" t="s">
        <v>3</v>
      </c>
      <c r="R34" s="2" t="s">
        <v>3</v>
      </c>
      <c r="S34" s="2" t="s">
        <v>3</v>
      </c>
      <c r="T34" s="2" t="s">
        <v>3</v>
      </c>
      <c r="U34" s="2" t="s">
        <v>23</v>
      </c>
      <c r="V34" s="2" t="s">
        <v>3</v>
      </c>
      <c r="W34" s="2" t="s">
        <v>120</v>
      </c>
      <c r="X34" s="2" t="s">
        <v>3</v>
      </c>
      <c r="Y34" s="2" t="s">
        <v>23</v>
      </c>
    </row>
    <row r="35" spans="1:27" ht="12.75" customHeight="1" x14ac:dyDescent="0.2">
      <c r="A35" s="1" t="s">
        <v>26</v>
      </c>
      <c r="C35" s="2" t="s">
        <v>27</v>
      </c>
      <c r="D35" s="2" t="s">
        <v>27</v>
      </c>
      <c r="E35" s="2" t="s">
        <v>27</v>
      </c>
      <c r="F35" s="2" t="s">
        <v>27</v>
      </c>
      <c r="G35" s="2" t="s">
        <v>27</v>
      </c>
      <c r="H35" s="2" t="s">
        <v>27</v>
      </c>
      <c r="I35" s="2" t="s">
        <v>27</v>
      </c>
      <c r="J35" s="2" t="s">
        <v>27</v>
      </c>
      <c r="K35" s="2" t="s">
        <v>27</v>
      </c>
      <c r="L35" s="2" t="s">
        <v>28</v>
      </c>
      <c r="M35" s="2" t="s">
        <v>28</v>
      </c>
      <c r="N35" s="2" t="s">
        <v>28</v>
      </c>
      <c r="O35" s="2" t="s">
        <v>28</v>
      </c>
      <c r="P35" s="2" t="s">
        <v>28</v>
      </c>
      <c r="Q35" s="2" t="s">
        <v>28</v>
      </c>
      <c r="R35" s="2" t="s">
        <v>28</v>
      </c>
      <c r="S35" s="2" t="s">
        <v>28</v>
      </c>
      <c r="T35" s="2" t="s">
        <v>28</v>
      </c>
      <c r="U35" s="2" t="s">
        <v>27</v>
      </c>
      <c r="V35" s="2" t="s">
        <v>28</v>
      </c>
      <c r="W35" s="2" t="s">
        <v>28</v>
      </c>
      <c r="X35" s="2" t="s">
        <v>28</v>
      </c>
      <c r="Y35" s="2" t="s">
        <v>28</v>
      </c>
    </row>
    <row r="36" spans="1:27" ht="12.75" customHeight="1" x14ac:dyDescent="0.2">
      <c r="A36" s="3" t="s">
        <v>121</v>
      </c>
      <c r="B36" s="4">
        <v>11</v>
      </c>
      <c r="C36" s="5">
        <v>5</v>
      </c>
      <c r="D36" s="5">
        <v>44</v>
      </c>
      <c r="E36" s="5">
        <v>1</v>
      </c>
      <c r="F36" s="5">
        <v>0.5</v>
      </c>
      <c r="G36" s="5">
        <v>0.5</v>
      </c>
      <c r="H36" s="5">
        <v>70</v>
      </c>
      <c r="I36" s="5">
        <v>1</v>
      </c>
      <c r="J36" s="5">
        <v>0</v>
      </c>
      <c r="K36" s="5">
        <v>0</v>
      </c>
      <c r="L36" s="5">
        <v>5</v>
      </c>
      <c r="M36" s="5">
        <v>0</v>
      </c>
      <c r="N36" s="5">
        <v>0</v>
      </c>
      <c r="O36" s="5">
        <v>44</v>
      </c>
      <c r="P36" s="5">
        <v>66</v>
      </c>
      <c r="Q36" s="5">
        <v>0</v>
      </c>
      <c r="R36" s="5">
        <v>0</v>
      </c>
      <c r="S36" s="5">
        <v>0</v>
      </c>
      <c r="T36" s="5">
        <v>0</v>
      </c>
      <c r="U36" s="5">
        <v>68</v>
      </c>
      <c r="V36" s="5">
        <v>0</v>
      </c>
      <c r="W36" s="5">
        <v>50</v>
      </c>
      <c r="X36" s="5">
        <v>0</v>
      </c>
      <c r="Y36" s="6"/>
      <c r="Z36" s="7" t="s">
        <v>122</v>
      </c>
      <c r="AA36" s="3" t="s">
        <v>67</v>
      </c>
    </row>
    <row r="37" spans="1:27" ht="12.75" customHeight="1" x14ac:dyDescent="0.2">
      <c r="A37" s="3" t="s">
        <v>123</v>
      </c>
      <c r="B37" s="4">
        <v>11</v>
      </c>
      <c r="C37" s="5">
        <v>5</v>
      </c>
      <c r="D37" s="5">
        <v>35</v>
      </c>
      <c r="E37" s="5">
        <v>1</v>
      </c>
      <c r="F37" s="5">
        <v>0</v>
      </c>
      <c r="G37" s="5">
        <v>1</v>
      </c>
      <c r="H37" s="5">
        <v>78</v>
      </c>
      <c r="I37" s="5">
        <v>0</v>
      </c>
      <c r="J37" s="5">
        <v>0</v>
      </c>
      <c r="K37" s="5">
        <v>0</v>
      </c>
      <c r="L37" s="5">
        <v>5</v>
      </c>
      <c r="M37" s="5">
        <v>0</v>
      </c>
      <c r="N37" s="5">
        <v>1</v>
      </c>
      <c r="O37" s="5">
        <v>49.5</v>
      </c>
      <c r="P37" s="5">
        <v>73</v>
      </c>
      <c r="Q37" s="5">
        <v>5</v>
      </c>
      <c r="R37" s="5">
        <v>5</v>
      </c>
      <c r="S37" s="5">
        <v>5</v>
      </c>
      <c r="T37" s="5">
        <v>5</v>
      </c>
      <c r="U37" s="5">
        <v>78</v>
      </c>
      <c r="V37" s="5">
        <v>0</v>
      </c>
      <c r="W37" s="5">
        <v>44</v>
      </c>
      <c r="X37" s="5">
        <v>0</v>
      </c>
      <c r="Y37" s="6"/>
      <c r="Z37" s="7" t="s">
        <v>124</v>
      </c>
      <c r="AA37" s="3" t="s">
        <v>108</v>
      </c>
    </row>
    <row r="38" spans="1:27" ht="12.75" customHeight="1" x14ac:dyDescent="0.2">
      <c r="A38" s="3" t="s">
        <v>125</v>
      </c>
      <c r="B38" s="4">
        <v>11</v>
      </c>
      <c r="C38" s="5">
        <v>5</v>
      </c>
      <c r="D38" s="5">
        <v>45</v>
      </c>
      <c r="E38" s="5">
        <v>1</v>
      </c>
      <c r="F38" s="5">
        <v>1</v>
      </c>
      <c r="G38" s="5">
        <v>1</v>
      </c>
      <c r="H38" s="5">
        <v>68</v>
      </c>
      <c r="I38" s="5">
        <v>1</v>
      </c>
      <c r="J38" s="5">
        <v>1</v>
      </c>
      <c r="K38" s="5">
        <v>1</v>
      </c>
      <c r="L38" s="5">
        <v>5</v>
      </c>
      <c r="M38" s="5">
        <v>1</v>
      </c>
      <c r="N38" s="5">
        <v>1</v>
      </c>
      <c r="O38" s="5">
        <v>49.5</v>
      </c>
      <c r="P38" s="5">
        <v>70</v>
      </c>
      <c r="Q38" s="5">
        <v>5</v>
      </c>
      <c r="R38" s="5">
        <v>5</v>
      </c>
      <c r="S38" s="5">
        <v>5</v>
      </c>
      <c r="T38" s="5">
        <v>5</v>
      </c>
      <c r="U38" s="5">
        <v>65</v>
      </c>
      <c r="V38" s="5">
        <v>5</v>
      </c>
      <c r="W38" s="5">
        <v>46</v>
      </c>
      <c r="X38" s="5">
        <v>5</v>
      </c>
      <c r="Y38" s="6"/>
      <c r="Z38" s="7" t="s">
        <v>126</v>
      </c>
      <c r="AA38" s="3" t="s">
        <v>53</v>
      </c>
    </row>
    <row r="39" spans="1:27" ht="12.75" customHeight="1" x14ac:dyDescent="0.2">
      <c r="A39" s="3" t="s">
        <v>127</v>
      </c>
      <c r="B39" s="4">
        <v>11</v>
      </c>
      <c r="C39" s="5"/>
      <c r="D39" s="5"/>
      <c r="E39" s="5"/>
      <c r="F39" s="5"/>
      <c r="G39" s="5"/>
      <c r="H39" s="5">
        <v>85</v>
      </c>
      <c r="I39" s="5"/>
      <c r="J39" s="5"/>
      <c r="K39" s="5"/>
      <c r="L39" s="5">
        <v>5</v>
      </c>
      <c r="M39" s="5">
        <v>0</v>
      </c>
      <c r="N39" s="5">
        <v>0</v>
      </c>
      <c r="O39" s="5">
        <v>45.5</v>
      </c>
      <c r="P39" s="5">
        <v>78</v>
      </c>
      <c r="Q39" s="5">
        <v>5</v>
      </c>
      <c r="R39" s="5">
        <v>5</v>
      </c>
      <c r="S39" s="5">
        <v>5</v>
      </c>
      <c r="T39" s="5">
        <v>0</v>
      </c>
      <c r="U39" s="5">
        <v>75</v>
      </c>
      <c r="V39" s="5">
        <v>0</v>
      </c>
      <c r="W39" s="5">
        <v>50</v>
      </c>
      <c r="X39" s="5">
        <v>0</v>
      </c>
      <c r="Y39" s="6"/>
      <c r="Z39" s="7" t="s">
        <v>128</v>
      </c>
      <c r="AA39" s="3" t="s">
        <v>39</v>
      </c>
    </row>
    <row r="40" spans="1:27" ht="12.75" customHeight="1" x14ac:dyDescent="0.2">
      <c r="A40" s="3" t="s">
        <v>129</v>
      </c>
      <c r="B40" s="4">
        <v>11</v>
      </c>
      <c r="C40" s="5"/>
      <c r="D40" s="5"/>
      <c r="E40" s="5"/>
      <c r="F40" s="5"/>
      <c r="G40" s="5"/>
      <c r="H40" s="5">
        <v>78</v>
      </c>
      <c r="I40" s="5"/>
      <c r="J40" s="5"/>
      <c r="K40" s="5"/>
      <c r="L40" s="5">
        <v>5</v>
      </c>
      <c r="M40" s="5">
        <v>1</v>
      </c>
      <c r="N40" s="5">
        <v>1</v>
      </c>
      <c r="O40" s="5">
        <v>45</v>
      </c>
      <c r="P40" s="5">
        <v>83</v>
      </c>
      <c r="Q40" s="5">
        <v>0</v>
      </c>
      <c r="R40" s="5">
        <v>5</v>
      </c>
      <c r="S40" s="5">
        <v>5</v>
      </c>
      <c r="T40" s="5">
        <v>5</v>
      </c>
      <c r="U40" s="5">
        <v>78</v>
      </c>
      <c r="V40" s="5">
        <v>0</v>
      </c>
      <c r="W40" s="5">
        <v>50</v>
      </c>
      <c r="X40" s="5">
        <v>0</v>
      </c>
      <c r="Y40" s="6"/>
      <c r="Z40" s="7" t="s">
        <v>130</v>
      </c>
      <c r="AA40" s="3" t="s">
        <v>39</v>
      </c>
    </row>
    <row r="41" spans="1:27" ht="12.75" customHeight="1" x14ac:dyDescent="0.2">
      <c r="A41" s="3" t="s">
        <v>131</v>
      </c>
      <c r="B41" s="4">
        <v>12</v>
      </c>
      <c r="C41" s="5">
        <v>5</v>
      </c>
      <c r="D41" s="5">
        <v>43</v>
      </c>
      <c r="E41" s="5">
        <v>1</v>
      </c>
      <c r="F41" s="5">
        <v>1</v>
      </c>
      <c r="G41" s="5">
        <v>1</v>
      </c>
      <c r="H41" s="5">
        <v>60</v>
      </c>
      <c r="I41" s="5">
        <v>1</v>
      </c>
      <c r="J41" s="5">
        <v>0</v>
      </c>
      <c r="K41" s="5">
        <v>0</v>
      </c>
      <c r="L41" s="5">
        <v>5</v>
      </c>
      <c r="M41" s="5">
        <v>1</v>
      </c>
      <c r="N41" s="5">
        <v>0</v>
      </c>
      <c r="O41" s="5">
        <v>39.5</v>
      </c>
      <c r="P41" s="5">
        <v>86</v>
      </c>
      <c r="Q41" s="5">
        <v>0</v>
      </c>
      <c r="R41" s="5">
        <v>5</v>
      </c>
      <c r="S41" s="5">
        <v>5</v>
      </c>
      <c r="T41" s="5">
        <v>5</v>
      </c>
      <c r="U41" s="5">
        <v>72</v>
      </c>
      <c r="V41" s="5">
        <v>5</v>
      </c>
      <c r="W41" s="5">
        <v>50</v>
      </c>
      <c r="X41" s="5">
        <v>5</v>
      </c>
      <c r="Y41" s="6"/>
      <c r="Z41" s="7" t="s">
        <v>132</v>
      </c>
      <c r="AA41" s="3" t="s">
        <v>34</v>
      </c>
    </row>
    <row r="42" spans="1:27" ht="12.75" customHeight="1" x14ac:dyDescent="0.2">
      <c r="A42" s="3" t="s">
        <v>133</v>
      </c>
      <c r="B42" s="4">
        <v>11</v>
      </c>
      <c r="C42" s="5">
        <v>5</v>
      </c>
      <c r="D42" s="5">
        <v>35</v>
      </c>
      <c r="E42" s="5">
        <v>1</v>
      </c>
      <c r="F42" s="5">
        <v>1</v>
      </c>
      <c r="G42" s="5">
        <v>0.5</v>
      </c>
      <c r="H42" s="5">
        <v>85</v>
      </c>
      <c r="I42" s="5">
        <v>1</v>
      </c>
      <c r="J42" s="5">
        <v>1</v>
      </c>
      <c r="K42" s="5">
        <v>0</v>
      </c>
      <c r="L42" s="5">
        <v>5</v>
      </c>
      <c r="M42" s="5">
        <v>1</v>
      </c>
      <c r="N42" s="5">
        <v>1</v>
      </c>
      <c r="O42" s="5">
        <v>38.5</v>
      </c>
      <c r="P42" s="5">
        <v>73</v>
      </c>
      <c r="Q42" s="5">
        <v>5</v>
      </c>
      <c r="R42" s="5">
        <v>0</v>
      </c>
      <c r="S42" s="5">
        <v>5</v>
      </c>
      <c r="T42" s="5">
        <v>5</v>
      </c>
      <c r="U42" s="5">
        <v>85</v>
      </c>
      <c r="V42" s="5">
        <v>0</v>
      </c>
      <c r="W42" s="5">
        <v>41</v>
      </c>
      <c r="X42" s="5">
        <v>0</v>
      </c>
      <c r="Y42" s="6"/>
      <c r="Z42" s="7" t="s">
        <v>134</v>
      </c>
      <c r="AA42" s="3" t="s">
        <v>108</v>
      </c>
    </row>
    <row r="43" spans="1:27" ht="12.75" customHeight="1" x14ac:dyDescent="0.2">
      <c r="A43" s="3" t="s">
        <v>135</v>
      </c>
      <c r="B43" s="4">
        <v>10</v>
      </c>
      <c r="C43" s="5">
        <v>5</v>
      </c>
      <c r="D43" s="5">
        <v>48</v>
      </c>
      <c r="E43" s="5">
        <v>1</v>
      </c>
      <c r="F43" s="5">
        <v>1</v>
      </c>
      <c r="G43" s="5">
        <v>1</v>
      </c>
      <c r="H43" s="5">
        <v>95</v>
      </c>
      <c r="I43" s="5">
        <v>1</v>
      </c>
      <c r="J43" s="5">
        <v>1</v>
      </c>
      <c r="K43" s="5">
        <v>1</v>
      </c>
      <c r="L43" s="5">
        <v>5</v>
      </c>
      <c r="M43" s="5">
        <v>1</v>
      </c>
      <c r="N43" s="5">
        <v>1</v>
      </c>
      <c r="O43" s="5">
        <v>50</v>
      </c>
      <c r="P43" s="5">
        <v>92</v>
      </c>
      <c r="Q43" s="5">
        <v>5</v>
      </c>
      <c r="R43" s="5">
        <v>5</v>
      </c>
      <c r="S43" s="5">
        <v>5</v>
      </c>
      <c r="T43" s="5">
        <v>5</v>
      </c>
      <c r="U43" s="5">
        <v>88</v>
      </c>
      <c r="V43" s="5">
        <v>5</v>
      </c>
      <c r="W43" s="5">
        <v>50</v>
      </c>
      <c r="X43" s="5">
        <v>5</v>
      </c>
      <c r="Y43" s="6"/>
      <c r="Z43" s="7" t="s">
        <v>136</v>
      </c>
      <c r="AA43" s="3" t="s">
        <v>70</v>
      </c>
    </row>
    <row r="44" spans="1:27" ht="12.75" customHeight="1" x14ac:dyDescent="0.2">
      <c r="A44" s="3" t="s">
        <v>137</v>
      </c>
      <c r="B44" s="4">
        <v>11</v>
      </c>
      <c r="C44" s="5">
        <v>5</v>
      </c>
      <c r="D44" s="5">
        <v>48</v>
      </c>
      <c r="E44" s="5">
        <v>1</v>
      </c>
      <c r="F44" s="5">
        <v>1</v>
      </c>
      <c r="G44" s="5">
        <v>1</v>
      </c>
      <c r="H44" s="5">
        <v>92</v>
      </c>
      <c r="I44" s="5">
        <v>1</v>
      </c>
      <c r="J44" s="5">
        <v>1</v>
      </c>
      <c r="K44" s="5">
        <v>1</v>
      </c>
      <c r="L44" s="5">
        <v>5</v>
      </c>
      <c r="M44" s="5">
        <v>1</v>
      </c>
      <c r="N44" s="5">
        <v>1</v>
      </c>
      <c r="O44" s="5">
        <v>50</v>
      </c>
      <c r="P44" s="5">
        <v>93</v>
      </c>
      <c r="Q44" s="5">
        <v>5</v>
      </c>
      <c r="R44" s="5">
        <v>5</v>
      </c>
      <c r="S44" s="5">
        <v>5</v>
      </c>
      <c r="T44" s="5">
        <v>5</v>
      </c>
      <c r="U44" s="5">
        <v>92</v>
      </c>
      <c r="V44" s="5">
        <v>5</v>
      </c>
      <c r="W44" s="5">
        <v>50</v>
      </c>
      <c r="X44" s="5">
        <v>5</v>
      </c>
      <c r="Y44" s="6"/>
      <c r="Z44" s="7" t="s">
        <v>138</v>
      </c>
      <c r="AA44" s="3" t="s">
        <v>42</v>
      </c>
    </row>
    <row r="45" spans="1:27" ht="12.75" customHeight="1" x14ac:dyDescent="0.2">
      <c r="A45" s="3" t="s">
        <v>139</v>
      </c>
      <c r="B45" s="4">
        <v>10</v>
      </c>
      <c r="C45" s="5">
        <v>5</v>
      </c>
      <c r="D45" s="5">
        <v>47</v>
      </c>
      <c r="E45" s="5">
        <v>1</v>
      </c>
      <c r="F45" s="5">
        <v>1</v>
      </c>
      <c r="G45" s="5">
        <v>1</v>
      </c>
      <c r="H45" s="5">
        <v>100</v>
      </c>
      <c r="I45" s="5">
        <v>1</v>
      </c>
      <c r="J45" s="5">
        <v>1</v>
      </c>
      <c r="K45" s="5">
        <v>1</v>
      </c>
      <c r="L45" s="5">
        <v>5</v>
      </c>
      <c r="M45" s="5">
        <v>1</v>
      </c>
      <c r="N45" s="5">
        <v>1</v>
      </c>
      <c r="O45" s="5">
        <v>50</v>
      </c>
      <c r="P45" s="5">
        <v>86</v>
      </c>
      <c r="Q45" s="5">
        <v>5</v>
      </c>
      <c r="R45" s="5">
        <v>5</v>
      </c>
      <c r="S45" s="5">
        <v>5</v>
      </c>
      <c r="T45" s="5">
        <v>5</v>
      </c>
      <c r="U45" s="5">
        <v>95</v>
      </c>
      <c r="V45" s="5">
        <v>5</v>
      </c>
      <c r="W45" s="5">
        <v>50</v>
      </c>
      <c r="X45" s="5">
        <v>5</v>
      </c>
      <c r="Y45" s="6"/>
      <c r="Z45" s="7" t="s">
        <v>140</v>
      </c>
      <c r="AA45" s="3" t="s">
        <v>42</v>
      </c>
    </row>
    <row r="46" spans="1:27" ht="12.75" customHeight="1" x14ac:dyDescent="0.2">
      <c r="A46" s="3" t="s">
        <v>141</v>
      </c>
      <c r="B46" s="4">
        <v>11</v>
      </c>
      <c r="C46" s="5">
        <v>0</v>
      </c>
      <c r="D46" s="5">
        <v>44</v>
      </c>
      <c r="E46" s="5">
        <v>0</v>
      </c>
      <c r="F46" s="5">
        <v>0</v>
      </c>
      <c r="G46" s="5">
        <v>0</v>
      </c>
      <c r="H46" s="5">
        <v>60</v>
      </c>
      <c r="I46" s="5">
        <v>0</v>
      </c>
      <c r="J46" s="5">
        <v>0</v>
      </c>
      <c r="K46" s="5">
        <v>0</v>
      </c>
      <c r="L46" s="5">
        <v>4</v>
      </c>
      <c r="M46" s="5">
        <v>0</v>
      </c>
      <c r="N46" s="5">
        <v>0</v>
      </c>
      <c r="O46" s="5">
        <v>31.5</v>
      </c>
      <c r="P46" s="5">
        <v>78</v>
      </c>
      <c r="Q46" s="5">
        <v>0</v>
      </c>
      <c r="R46" s="5">
        <v>0</v>
      </c>
      <c r="S46" s="5">
        <v>0</v>
      </c>
      <c r="T46" s="5">
        <v>0</v>
      </c>
      <c r="U46" s="5">
        <v>30</v>
      </c>
      <c r="V46" s="5">
        <v>0</v>
      </c>
      <c r="W46" s="5">
        <v>12</v>
      </c>
      <c r="X46" s="5">
        <v>0</v>
      </c>
      <c r="Y46" s="6"/>
      <c r="Z46" s="7" t="s">
        <v>142</v>
      </c>
      <c r="AA46" s="3" t="s">
        <v>58</v>
      </c>
    </row>
    <row r="47" spans="1:27" ht="12.75" customHeight="1" x14ac:dyDescent="0.2">
      <c r="A47" s="3" t="s">
        <v>143</v>
      </c>
      <c r="B47" s="4">
        <v>11</v>
      </c>
      <c r="C47" s="5">
        <v>5</v>
      </c>
      <c r="D47" s="5">
        <v>48</v>
      </c>
      <c r="E47" s="5">
        <v>1</v>
      </c>
      <c r="F47" s="5">
        <v>1</v>
      </c>
      <c r="G47" s="5">
        <v>1</v>
      </c>
      <c r="H47" s="5">
        <v>78</v>
      </c>
      <c r="I47" s="5">
        <v>1</v>
      </c>
      <c r="J47" s="5">
        <v>0</v>
      </c>
      <c r="K47" s="5">
        <v>0</v>
      </c>
      <c r="L47" s="5">
        <v>5</v>
      </c>
      <c r="M47" s="5">
        <v>0</v>
      </c>
      <c r="N47" s="5">
        <v>0</v>
      </c>
      <c r="O47" s="5">
        <v>40</v>
      </c>
      <c r="P47" s="5">
        <v>80</v>
      </c>
      <c r="Q47" s="5">
        <v>0</v>
      </c>
      <c r="R47" s="5">
        <v>0</v>
      </c>
      <c r="S47" s="5">
        <v>0</v>
      </c>
      <c r="T47" s="5">
        <v>0</v>
      </c>
      <c r="U47" s="5">
        <v>68</v>
      </c>
      <c r="V47" s="5">
        <v>0</v>
      </c>
      <c r="W47" s="5">
        <v>50</v>
      </c>
      <c r="X47" s="5">
        <v>0</v>
      </c>
      <c r="Y47" s="6"/>
      <c r="Z47" s="7" t="s">
        <v>144</v>
      </c>
      <c r="AA47" s="3" t="s">
        <v>34</v>
      </c>
    </row>
    <row r="48" spans="1:27" ht="12.75" customHeight="1" x14ac:dyDescent="0.2">
      <c r="A48" s="3" t="s">
        <v>145</v>
      </c>
      <c r="B48" s="4">
        <v>10</v>
      </c>
      <c r="C48" s="5">
        <v>5</v>
      </c>
      <c r="D48" s="5">
        <v>48</v>
      </c>
      <c r="E48" s="5">
        <v>1</v>
      </c>
      <c r="F48" s="5">
        <v>1</v>
      </c>
      <c r="G48" s="5">
        <v>1</v>
      </c>
      <c r="H48" s="5">
        <v>78</v>
      </c>
      <c r="I48" s="5">
        <v>1</v>
      </c>
      <c r="J48" s="5">
        <v>1</v>
      </c>
      <c r="K48" s="5">
        <v>0</v>
      </c>
      <c r="L48" s="5">
        <v>5</v>
      </c>
      <c r="M48" s="5">
        <v>1</v>
      </c>
      <c r="N48" s="5">
        <v>0</v>
      </c>
      <c r="O48" s="5">
        <v>50</v>
      </c>
      <c r="P48" s="5">
        <v>88</v>
      </c>
      <c r="Q48" s="5">
        <v>0</v>
      </c>
      <c r="R48" s="5">
        <v>0</v>
      </c>
      <c r="S48" s="5">
        <v>0</v>
      </c>
      <c r="T48" s="5">
        <v>0</v>
      </c>
      <c r="U48" s="5">
        <v>65</v>
      </c>
      <c r="V48" s="5">
        <v>0</v>
      </c>
      <c r="W48" s="5">
        <v>47</v>
      </c>
      <c r="X48" s="5">
        <v>0</v>
      </c>
      <c r="Y48" s="6"/>
      <c r="Z48" s="7" t="s">
        <v>146</v>
      </c>
      <c r="AA48" s="3" t="s">
        <v>108</v>
      </c>
    </row>
    <row r="49" spans="1:27" ht="12.75" customHeight="1" x14ac:dyDescent="0.2">
      <c r="A49" s="3" t="s">
        <v>147</v>
      </c>
      <c r="B49" s="4">
        <v>11</v>
      </c>
      <c r="C49" s="5">
        <v>5</v>
      </c>
      <c r="D49" s="5">
        <v>48</v>
      </c>
      <c r="E49" s="5">
        <v>1</v>
      </c>
      <c r="F49" s="5">
        <v>1</v>
      </c>
      <c r="G49" s="5">
        <v>1</v>
      </c>
      <c r="H49" s="5">
        <v>72</v>
      </c>
      <c r="I49" s="5">
        <v>1</v>
      </c>
      <c r="J49" s="5">
        <v>0</v>
      </c>
      <c r="K49" s="5">
        <v>0</v>
      </c>
      <c r="L49" s="5">
        <v>5</v>
      </c>
      <c r="M49" s="5">
        <v>0</v>
      </c>
      <c r="N49" s="5">
        <v>0</v>
      </c>
      <c r="O49" s="5">
        <v>29</v>
      </c>
      <c r="P49" s="5">
        <v>67</v>
      </c>
      <c r="Q49" s="5">
        <v>0</v>
      </c>
      <c r="R49" s="5">
        <v>0</v>
      </c>
      <c r="S49" s="5">
        <v>0</v>
      </c>
      <c r="T49" s="5">
        <v>0</v>
      </c>
      <c r="U49" s="5">
        <v>76</v>
      </c>
      <c r="V49" s="5">
        <v>0</v>
      </c>
      <c r="W49" s="5">
        <v>47</v>
      </c>
      <c r="X49" s="5">
        <v>0</v>
      </c>
      <c r="Y49" s="6"/>
      <c r="Z49" s="7" t="s">
        <v>148</v>
      </c>
      <c r="AA49" s="3" t="s">
        <v>53</v>
      </c>
    </row>
    <row r="50" spans="1:27" ht="12.75" customHeight="1" x14ac:dyDescent="0.2">
      <c r="A50" s="3" t="s">
        <v>149</v>
      </c>
      <c r="B50" s="4">
        <v>10</v>
      </c>
      <c r="C50" s="5"/>
      <c r="D50" s="5" t="s">
        <v>150</v>
      </c>
      <c r="E50" s="5"/>
      <c r="F50" s="5"/>
      <c r="G50" s="5"/>
      <c r="H50" s="5">
        <v>92</v>
      </c>
      <c r="I50" s="5"/>
      <c r="J50" s="5"/>
      <c r="K50" s="5">
        <v>0</v>
      </c>
      <c r="L50" s="5">
        <v>5</v>
      </c>
      <c r="M50" s="5">
        <v>1</v>
      </c>
      <c r="N50" s="5">
        <v>1</v>
      </c>
      <c r="O50" s="5">
        <v>44</v>
      </c>
      <c r="P50" s="5">
        <v>93</v>
      </c>
      <c r="Q50" s="5">
        <v>5</v>
      </c>
      <c r="R50" s="5">
        <v>5</v>
      </c>
      <c r="S50" s="5">
        <v>5</v>
      </c>
      <c r="T50" s="5">
        <v>5</v>
      </c>
      <c r="U50" s="5">
        <v>92</v>
      </c>
      <c r="V50" s="5">
        <v>0</v>
      </c>
      <c r="W50" s="5">
        <v>47</v>
      </c>
      <c r="X50" s="5">
        <v>5</v>
      </c>
      <c r="Y50" s="6"/>
      <c r="Z50" s="7" t="s">
        <v>151</v>
      </c>
      <c r="AA50" s="3" t="s">
        <v>70</v>
      </c>
    </row>
    <row r="51" spans="1:27" ht="12.75" customHeight="1" x14ac:dyDescent="0.2">
      <c r="A51" s="3" t="s">
        <v>152</v>
      </c>
      <c r="B51" s="4">
        <v>11</v>
      </c>
      <c r="C51" s="5">
        <v>0</v>
      </c>
      <c r="D51" s="5">
        <v>44</v>
      </c>
      <c r="E51" s="5"/>
      <c r="F51" s="5"/>
      <c r="G51" s="5">
        <v>0</v>
      </c>
      <c r="H51" s="5">
        <v>60</v>
      </c>
      <c r="I51" s="5">
        <v>0</v>
      </c>
      <c r="J51" s="5">
        <v>0</v>
      </c>
      <c r="K51" s="5">
        <v>0</v>
      </c>
      <c r="L51" s="5">
        <v>2.5</v>
      </c>
      <c r="M51" s="5">
        <v>0</v>
      </c>
      <c r="N51" s="5">
        <v>0</v>
      </c>
      <c r="O51" s="5">
        <v>49.5</v>
      </c>
      <c r="P51" s="5">
        <v>63</v>
      </c>
      <c r="Q51" s="5">
        <v>0</v>
      </c>
      <c r="R51" s="5">
        <v>0</v>
      </c>
      <c r="S51" s="5">
        <v>0</v>
      </c>
      <c r="T51" s="5">
        <v>0</v>
      </c>
      <c r="U51" s="5">
        <v>62</v>
      </c>
      <c r="V51" s="5">
        <v>0</v>
      </c>
      <c r="W51" s="5">
        <v>50</v>
      </c>
      <c r="X51" s="5">
        <v>0</v>
      </c>
      <c r="Y51" s="6"/>
      <c r="Z51" s="7" t="s">
        <v>153</v>
      </c>
      <c r="AA51" s="3" t="s">
        <v>50</v>
      </c>
    </row>
    <row r="52" spans="1:27" ht="12.75" customHeight="1" x14ac:dyDescent="0.2">
      <c r="A52" s="3" t="s">
        <v>154</v>
      </c>
      <c r="B52" s="4">
        <v>11</v>
      </c>
      <c r="C52" s="5">
        <v>5</v>
      </c>
      <c r="D52" s="5">
        <v>48</v>
      </c>
      <c r="E52" s="5">
        <v>1</v>
      </c>
      <c r="F52" s="5">
        <v>1</v>
      </c>
      <c r="G52" s="5">
        <v>1</v>
      </c>
      <c r="H52" s="5">
        <v>88</v>
      </c>
      <c r="I52" s="5">
        <v>1</v>
      </c>
      <c r="J52" s="5">
        <v>1</v>
      </c>
      <c r="K52" s="5">
        <v>0</v>
      </c>
      <c r="L52" s="5">
        <v>5</v>
      </c>
      <c r="M52" s="5">
        <v>1</v>
      </c>
      <c r="N52" s="5">
        <v>1</v>
      </c>
      <c r="O52" s="5">
        <v>50</v>
      </c>
      <c r="P52" s="5">
        <v>86</v>
      </c>
      <c r="Q52" s="5">
        <v>5</v>
      </c>
      <c r="R52" s="5">
        <v>5</v>
      </c>
      <c r="S52" s="5">
        <v>5</v>
      </c>
      <c r="T52" s="5">
        <v>5</v>
      </c>
      <c r="U52" s="5">
        <v>88</v>
      </c>
      <c r="V52" s="5">
        <v>5</v>
      </c>
      <c r="W52" s="5">
        <v>50</v>
      </c>
      <c r="X52" s="5">
        <v>5</v>
      </c>
      <c r="Y52" s="6"/>
      <c r="Z52" s="7" t="s">
        <v>155</v>
      </c>
      <c r="AA52" s="3" t="s">
        <v>31</v>
      </c>
    </row>
    <row r="53" spans="1:27" ht="12.75" customHeight="1" x14ac:dyDescent="0.2">
      <c r="A53" s="3" t="s">
        <v>156</v>
      </c>
      <c r="B53" s="4">
        <v>11</v>
      </c>
      <c r="C53" s="5"/>
      <c r="D53" s="5"/>
      <c r="E53" s="5"/>
      <c r="F53" s="5"/>
      <c r="G53" s="5"/>
      <c r="H53" s="5">
        <v>72</v>
      </c>
      <c r="I53" s="5"/>
      <c r="J53" s="5"/>
      <c r="K53" s="5"/>
      <c r="L53" s="5">
        <v>5</v>
      </c>
      <c r="M53" s="5">
        <v>1</v>
      </c>
      <c r="N53" s="5">
        <v>1</v>
      </c>
      <c r="O53" s="5">
        <v>50</v>
      </c>
      <c r="P53" s="5">
        <v>95</v>
      </c>
      <c r="Q53" s="5">
        <v>5</v>
      </c>
      <c r="R53" s="5">
        <v>5</v>
      </c>
      <c r="S53" s="5">
        <v>5</v>
      </c>
      <c r="T53" s="5">
        <v>5</v>
      </c>
      <c r="U53" s="5">
        <v>95</v>
      </c>
      <c r="V53" s="5">
        <v>5</v>
      </c>
      <c r="W53" s="5">
        <v>50</v>
      </c>
      <c r="X53" s="5">
        <v>5</v>
      </c>
      <c r="Y53" s="6"/>
      <c r="Z53" s="7" t="s">
        <v>157</v>
      </c>
      <c r="AA53" s="3" t="s">
        <v>31</v>
      </c>
    </row>
    <row r="54" spans="1:27" ht="12.75" customHeight="1" x14ac:dyDescent="0.2">
      <c r="A54" s="3" t="s">
        <v>158</v>
      </c>
      <c r="B54" s="4">
        <v>11</v>
      </c>
      <c r="C54" s="5">
        <v>5</v>
      </c>
      <c r="D54" s="5">
        <v>39</v>
      </c>
      <c r="E54" s="5">
        <v>1</v>
      </c>
      <c r="F54" s="5">
        <v>1</v>
      </c>
      <c r="G54" s="5">
        <v>1</v>
      </c>
      <c r="H54" s="5">
        <v>90</v>
      </c>
      <c r="I54" s="5">
        <v>1</v>
      </c>
      <c r="J54" s="5">
        <v>1</v>
      </c>
      <c r="K54" s="5">
        <v>0</v>
      </c>
      <c r="L54" s="5">
        <v>5</v>
      </c>
      <c r="M54" s="5">
        <v>1</v>
      </c>
      <c r="N54" s="5">
        <v>0</v>
      </c>
      <c r="O54" s="5">
        <v>44</v>
      </c>
      <c r="P54" s="5">
        <v>76</v>
      </c>
      <c r="Q54" s="5">
        <v>5</v>
      </c>
      <c r="R54" s="5">
        <v>5</v>
      </c>
      <c r="S54" s="5">
        <v>5</v>
      </c>
      <c r="T54" s="5">
        <v>5</v>
      </c>
      <c r="U54" s="5">
        <v>82</v>
      </c>
      <c r="V54" s="5">
        <v>5</v>
      </c>
      <c r="W54" s="5">
        <v>48</v>
      </c>
      <c r="X54" s="5">
        <v>0</v>
      </c>
      <c r="Y54" s="6"/>
      <c r="Z54" s="7" t="s">
        <v>159</v>
      </c>
      <c r="AA54" s="3" t="s">
        <v>45</v>
      </c>
    </row>
    <row r="55" spans="1:27" ht="12.75" customHeight="1" x14ac:dyDescent="0.2">
      <c r="A55" s="3" t="s">
        <v>160</v>
      </c>
      <c r="B55" s="4">
        <v>10</v>
      </c>
      <c r="C55" s="5">
        <v>5</v>
      </c>
      <c r="D55" s="5">
        <v>47</v>
      </c>
      <c r="E55" s="5">
        <v>1</v>
      </c>
      <c r="F55" s="5">
        <v>1</v>
      </c>
      <c r="G55" s="5">
        <v>1</v>
      </c>
      <c r="H55" s="5">
        <v>92</v>
      </c>
      <c r="I55" s="5">
        <v>1</v>
      </c>
      <c r="J55" s="5">
        <v>0</v>
      </c>
      <c r="K55" s="5">
        <v>0</v>
      </c>
      <c r="L55" s="5">
        <v>5</v>
      </c>
      <c r="M55" s="5">
        <v>1</v>
      </c>
      <c r="N55" s="5">
        <v>1</v>
      </c>
      <c r="O55" s="5" t="s">
        <v>150</v>
      </c>
      <c r="P55" s="5">
        <v>85</v>
      </c>
      <c r="Q55" s="5">
        <v>5</v>
      </c>
      <c r="R55" s="5">
        <v>0</v>
      </c>
      <c r="S55" s="5">
        <v>0</v>
      </c>
      <c r="T55" s="5">
        <v>5</v>
      </c>
      <c r="U55" s="5">
        <v>78</v>
      </c>
      <c r="V55" s="5">
        <v>5</v>
      </c>
      <c r="W55" s="5">
        <v>50</v>
      </c>
      <c r="X55" s="5">
        <v>0</v>
      </c>
      <c r="Y55" s="6"/>
      <c r="Z55" s="7" t="s">
        <v>161</v>
      </c>
      <c r="AA55" s="3" t="s">
        <v>45</v>
      </c>
    </row>
    <row r="56" spans="1:27" ht="12.75" customHeight="1" x14ac:dyDescent="0.2">
      <c r="A56" s="3" t="s">
        <v>162</v>
      </c>
      <c r="B56" s="4">
        <v>11</v>
      </c>
      <c r="C56" s="5">
        <v>5</v>
      </c>
      <c r="D56" s="5">
        <v>32</v>
      </c>
      <c r="E56" s="5">
        <v>0</v>
      </c>
      <c r="F56" s="5">
        <v>0</v>
      </c>
      <c r="G56" s="5">
        <v>0</v>
      </c>
      <c r="H56" s="5">
        <v>82</v>
      </c>
      <c r="I56" s="5">
        <v>0</v>
      </c>
      <c r="J56" s="5">
        <v>0</v>
      </c>
      <c r="K56" s="5">
        <v>0</v>
      </c>
      <c r="L56" s="5">
        <v>5</v>
      </c>
      <c r="M56" s="5">
        <v>0</v>
      </c>
      <c r="N56" s="5">
        <v>0</v>
      </c>
      <c r="O56" s="5">
        <v>32</v>
      </c>
      <c r="P56" s="5">
        <v>78</v>
      </c>
      <c r="Q56" s="5">
        <v>0</v>
      </c>
      <c r="R56" s="5">
        <v>0</v>
      </c>
      <c r="S56" s="5">
        <v>0</v>
      </c>
      <c r="T56" s="5">
        <v>0</v>
      </c>
      <c r="U56" s="5">
        <v>72</v>
      </c>
      <c r="V56" s="5">
        <v>0</v>
      </c>
      <c r="W56" s="5">
        <v>20</v>
      </c>
      <c r="X56" s="5">
        <v>0</v>
      </c>
      <c r="Y56" s="6"/>
      <c r="Z56" s="7" t="s">
        <v>163</v>
      </c>
      <c r="AA56" s="3" t="s">
        <v>34</v>
      </c>
    </row>
    <row r="57" spans="1:27" ht="12.75" customHeight="1" x14ac:dyDescent="0.2">
      <c r="A57" s="3" t="s">
        <v>164</v>
      </c>
      <c r="B57" s="4">
        <v>11</v>
      </c>
      <c r="C57" s="5"/>
      <c r="D57" s="5"/>
      <c r="E57" s="5"/>
      <c r="F57" s="5"/>
      <c r="G57" s="5"/>
      <c r="H57" s="5">
        <v>68</v>
      </c>
      <c r="I57" s="5"/>
      <c r="J57" s="5"/>
      <c r="K57" s="5"/>
      <c r="L57" s="5">
        <v>5</v>
      </c>
      <c r="M57" s="5">
        <v>1</v>
      </c>
      <c r="N57" s="5">
        <v>0</v>
      </c>
      <c r="O57" s="5">
        <v>43</v>
      </c>
      <c r="P57" s="5">
        <v>72</v>
      </c>
      <c r="Q57" s="5">
        <v>5</v>
      </c>
      <c r="R57" s="5">
        <v>3</v>
      </c>
      <c r="S57" s="5">
        <v>5</v>
      </c>
      <c r="T57" s="5">
        <v>1</v>
      </c>
      <c r="U57" s="5">
        <v>78</v>
      </c>
      <c r="V57" s="5">
        <v>0</v>
      </c>
      <c r="W57" s="5">
        <v>44</v>
      </c>
      <c r="X57" s="5">
        <v>0</v>
      </c>
      <c r="Y57" s="6"/>
      <c r="Z57" s="7" t="s">
        <v>165</v>
      </c>
      <c r="AA57" s="3" t="s">
        <v>34</v>
      </c>
    </row>
    <row r="58" spans="1:27" ht="12.75" customHeight="1" x14ac:dyDescent="0.2">
      <c r="A58" s="3" t="s">
        <v>166</v>
      </c>
      <c r="B58" s="4">
        <v>12</v>
      </c>
      <c r="C58" s="5">
        <v>5</v>
      </c>
      <c r="D58" s="5">
        <v>48</v>
      </c>
      <c r="E58" s="5">
        <v>0</v>
      </c>
      <c r="F58" s="5">
        <v>1</v>
      </c>
      <c r="G58" s="5">
        <v>0</v>
      </c>
      <c r="H58" s="5">
        <v>60</v>
      </c>
      <c r="I58" s="5">
        <v>0</v>
      </c>
      <c r="J58" s="5">
        <v>0</v>
      </c>
      <c r="K58" s="5">
        <v>0</v>
      </c>
      <c r="L58" s="5">
        <v>5</v>
      </c>
      <c r="M58" s="5">
        <v>1</v>
      </c>
      <c r="N58" s="5">
        <v>1</v>
      </c>
      <c r="O58" s="5">
        <v>50</v>
      </c>
      <c r="P58" s="5">
        <v>65</v>
      </c>
      <c r="Q58" s="5">
        <v>0</v>
      </c>
      <c r="R58" s="5">
        <v>0</v>
      </c>
      <c r="S58" s="5">
        <v>0</v>
      </c>
      <c r="T58" s="5">
        <v>0</v>
      </c>
      <c r="U58" s="5">
        <v>65</v>
      </c>
      <c r="V58" s="5">
        <v>0</v>
      </c>
      <c r="W58" s="5">
        <v>50</v>
      </c>
      <c r="X58" s="5">
        <v>0</v>
      </c>
      <c r="Y58" s="6"/>
      <c r="Z58" s="7" t="s">
        <v>167</v>
      </c>
      <c r="AA58" s="3" t="s">
        <v>50</v>
      </c>
    </row>
    <row r="59" spans="1:27" ht="12.75" customHeight="1" x14ac:dyDescent="0.2">
      <c r="A59" s="3" t="s">
        <v>168</v>
      </c>
      <c r="B59" s="4">
        <v>10</v>
      </c>
      <c r="C59" s="5">
        <v>5</v>
      </c>
      <c r="D59" s="5">
        <v>0</v>
      </c>
      <c r="E59" s="5">
        <v>0</v>
      </c>
      <c r="F59" s="5">
        <v>0</v>
      </c>
      <c r="G59" s="5">
        <v>0</v>
      </c>
      <c r="H59" s="5" t="s">
        <v>150</v>
      </c>
      <c r="I59" s="5">
        <v>0</v>
      </c>
      <c r="J59" s="5">
        <v>0</v>
      </c>
      <c r="K59" s="5">
        <v>0</v>
      </c>
      <c r="L59" s="5">
        <v>5</v>
      </c>
      <c r="M59" s="5">
        <v>0</v>
      </c>
      <c r="N59" s="5">
        <v>0</v>
      </c>
      <c r="O59" s="5">
        <v>50</v>
      </c>
      <c r="P59" s="5">
        <v>75</v>
      </c>
      <c r="Q59" s="5">
        <v>0</v>
      </c>
      <c r="R59" s="5">
        <v>0</v>
      </c>
      <c r="S59" s="5">
        <v>0</v>
      </c>
      <c r="T59" s="5">
        <v>0</v>
      </c>
      <c r="U59" s="5">
        <v>68</v>
      </c>
      <c r="V59" s="5">
        <v>5</v>
      </c>
      <c r="W59" s="5">
        <v>50</v>
      </c>
      <c r="X59" s="5">
        <v>5</v>
      </c>
      <c r="Y59" s="6"/>
      <c r="Z59" s="7" t="s">
        <v>169</v>
      </c>
      <c r="AA59" s="3" t="s">
        <v>67</v>
      </c>
    </row>
    <row r="60" spans="1:27" ht="12.75" customHeight="1" x14ac:dyDescent="0.2">
      <c r="A60" s="3" t="s">
        <v>170</v>
      </c>
      <c r="B60" s="4">
        <v>12</v>
      </c>
      <c r="C60" s="5">
        <v>5</v>
      </c>
      <c r="D60" s="5">
        <v>47</v>
      </c>
      <c r="E60" s="5">
        <v>1</v>
      </c>
      <c r="F60" s="5">
        <v>1</v>
      </c>
      <c r="G60" s="5">
        <v>0.5</v>
      </c>
      <c r="H60" s="5">
        <v>66</v>
      </c>
      <c r="I60" s="5">
        <v>1</v>
      </c>
      <c r="J60" s="5">
        <v>1</v>
      </c>
      <c r="K60" s="5">
        <v>0</v>
      </c>
      <c r="L60" s="5">
        <v>5</v>
      </c>
      <c r="M60" s="5">
        <v>1</v>
      </c>
      <c r="N60" s="5">
        <v>1</v>
      </c>
      <c r="O60" s="5">
        <v>50</v>
      </c>
      <c r="P60" s="5">
        <v>73</v>
      </c>
      <c r="Q60" s="5">
        <v>3</v>
      </c>
      <c r="R60" s="5">
        <v>5</v>
      </c>
      <c r="S60" s="5">
        <v>5</v>
      </c>
      <c r="T60" s="5">
        <v>5</v>
      </c>
      <c r="U60" s="5">
        <v>62</v>
      </c>
      <c r="V60" s="5">
        <v>2</v>
      </c>
      <c r="W60" s="5">
        <v>50</v>
      </c>
      <c r="X60" s="5">
        <v>5</v>
      </c>
      <c r="Y60" s="6"/>
      <c r="Z60" s="7" t="s">
        <v>171</v>
      </c>
      <c r="AA60" s="3" t="s">
        <v>53</v>
      </c>
    </row>
    <row r="61" spans="1:27" ht="12.75" customHeight="1" x14ac:dyDescent="0.2">
      <c r="A61" s="3" t="s">
        <v>172</v>
      </c>
      <c r="B61" s="4">
        <v>11</v>
      </c>
      <c r="C61" s="5">
        <v>5</v>
      </c>
      <c r="D61" s="5">
        <v>31</v>
      </c>
      <c r="E61" s="5">
        <v>0</v>
      </c>
      <c r="F61" s="5">
        <v>1</v>
      </c>
      <c r="G61" s="5">
        <v>0</v>
      </c>
      <c r="H61" s="5">
        <v>78</v>
      </c>
      <c r="I61" s="5">
        <v>0</v>
      </c>
      <c r="J61" s="5">
        <v>0</v>
      </c>
      <c r="K61" s="5">
        <v>0</v>
      </c>
      <c r="L61" s="5">
        <v>5</v>
      </c>
      <c r="M61" s="5">
        <v>0</v>
      </c>
      <c r="N61" s="5">
        <v>0</v>
      </c>
      <c r="O61" s="5">
        <v>42</v>
      </c>
      <c r="P61" s="5">
        <v>65</v>
      </c>
      <c r="Q61" s="5">
        <v>0</v>
      </c>
      <c r="R61" s="5">
        <v>0</v>
      </c>
      <c r="S61" s="5">
        <v>0</v>
      </c>
      <c r="T61" s="5">
        <v>0</v>
      </c>
      <c r="U61" s="5">
        <v>68</v>
      </c>
      <c r="V61" s="5">
        <v>0</v>
      </c>
      <c r="W61" s="5">
        <v>34</v>
      </c>
      <c r="X61" s="5">
        <v>0</v>
      </c>
      <c r="Y61" s="6"/>
      <c r="Z61" s="7" t="s">
        <v>173</v>
      </c>
      <c r="AA61" s="3" t="s">
        <v>67</v>
      </c>
    </row>
    <row r="62" spans="1:27" ht="12.75" customHeight="1" x14ac:dyDescent="0.2">
      <c r="A62" s="3" t="s">
        <v>174</v>
      </c>
      <c r="B62" s="4">
        <v>10</v>
      </c>
      <c r="C62" s="5"/>
      <c r="D62" s="5">
        <v>48</v>
      </c>
      <c r="E62" s="5"/>
      <c r="F62" s="5"/>
      <c r="G62" s="5"/>
      <c r="H62" s="5">
        <v>96</v>
      </c>
      <c r="I62" s="5"/>
      <c r="J62" s="5"/>
      <c r="K62" s="5">
        <v>0</v>
      </c>
      <c r="L62" s="5">
        <v>5</v>
      </c>
      <c r="M62" s="5">
        <v>1</v>
      </c>
      <c r="N62" s="5">
        <v>1</v>
      </c>
      <c r="O62" s="5">
        <v>50</v>
      </c>
      <c r="P62" s="5">
        <v>92</v>
      </c>
      <c r="Q62" s="5">
        <v>5</v>
      </c>
      <c r="R62" s="5">
        <v>5</v>
      </c>
      <c r="S62" s="5">
        <v>5</v>
      </c>
      <c r="T62" s="5">
        <v>5</v>
      </c>
      <c r="U62" s="5">
        <v>88</v>
      </c>
      <c r="V62" s="5">
        <v>5</v>
      </c>
      <c r="W62" s="5">
        <v>50</v>
      </c>
      <c r="X62" s="5">
        <v>5</v>
      </c>
      <c r="Y62" s="6"/>
      <c r="Z62" s="7" t="s">
        <v>175</v>
      </c>
      <c r="AA62" s="3" t="s">
        <v>70</v>
      </c>
    </row>
    <row r="63" spans="1:27" ht="12.75" customHeight="1" x14ac:dyDescent="0.2">
      <c r="A63" s="3" t="s">
        <v>176</v>
      </c>
      <c r="B63" s="4">
        <v>10</v>
      </c>
      <c r="C63" s="5"/>
      <c r="D63" s="5"/>
      <c r="E63" s="5"/>
      <c r="F63" s="5"/>
      <c r="G63" s="5"/>
      <c r="H63" s="5">
        <v>88</v>
      </c>
      <c r="I63" s="5"/>
      <c r="J63" s="5"/>
      <c r="K63" s="5"/>
      <c r="L63" s="5">
        <v>5</v>
      </c>
      <c r="M63" s="5">
        <v>1</v>
      </c>
      <c r="N63" s="5">
        <v>1</v>
      </c>
      <c r="O63" s="5">
        <v>49.5</v>
      </c>
      <c r="P63" s="5">
        <v>92</v>
      </c>
      <c r="Q63" s="5">
        <v>5</v>
      </c>
      <c r="R63" s="5">
        <v>5</v>
      </c>
      <c r="S63" s="5">
        <v>5</v>
      </c>
      <c r="T63" s="5">
        <v>5</v>
      </c>
      <c r="U63" s="5">
        <v>95</v>
      </c>
      <c r="V63" s="5">
        <v>0</v>
      </c>
      <c r="W63" s="5">
        <v>50</v>
      </c>
      <c r="X63" s="5">
        <v>0</v>
      </c>
      <c r="Y63" s="6"/>
      <c r="Z63" s="7" t="s">
        <v>177</v>
      </c>
      <c r="AA63" s="3" t="s">
        <v>70</v>
      </c>
    </row>
    <row r="64" spans="1:27" ht="12.75" customHeight="1" x14ac:dyDescent="0.2">
      <c r="A64" s="3" t="s">
        <v>178</v>
      </c>
      <c r="B64" s="4">
        <v>11</v>
      </c>
      <c r="C64" s="5">
        <v>5</v>
      </c>
      <c r="D64" s="5">
        <v>47</v>
      </c>
      <c r="E64" s="5">
        <v>1</v>
      </c>
      <c r="F64" s="5">
        <v>1</v>
      </c>
      <c r="G64" s="5">
        <v>0</v>
      </c>
      <c r="H64" s="5">
        <v>75</v>
      </c>
      <c r="I64" s="5">
        <v>0</v>
      </c>
      <c r="J64" s="5">
        <v>1</v>
      </c>
      <c r="K64" s="5">
        <v>0</v>
      </c>
      <c r="L64" s="5">
        <v>5</v>
      </c>
      <c r="M64" s="5">
        <v>1</v>
      </c>
      <c r="N64" s="5">
        <v>1</v>
      </c>
      <c r="O64" s="5">
        <v>49.5</v>
      </c>
      <c r="P64" s="5">
        <v>65</v>
      </c>
      <c r="Q64" s="5">
        <v>5</v>
      </c>
      <c r="R64" s="5">
        <v>5</v>
      </c>
      <c r="S64" s="5">
        <v>5</v>
      </c>
      <c r="T64" s="5">
        <v>5</v>
      </c>
      <c r="U64" s="5">
        <v>65</v>
      </c>
      <c r="V64" s="5">
        <v>0</v>
      </c>
      <c r="W64" s="5">
        <v>32</v>
      </c>
      <c r="X64" s="5">
        <v>0</v>
      </c>
      <c r="Y64" s="6"/>
      <c r="Z64" s="7" t="s">
        <v>179</v>
      </c>
      <c r="AA64" s="3" t="s">
        <v>53</v>
      </c>
    </row>
    <row r="65" spans="1:27" ht="12.75" customHeight="1" x14ac:dyDescent="0.2">
      <c r="A65" s="3" t="s">
        <v>180</v>
      </c>
      <c r="B65" s="4">
        <v>10</v>
      </c>
      <c r="C65" s="5">
        <v>5</v>
      </c>
      <c r="D65" s="5">
        <v>49</v>
      </c>
      <c r="E65" s="5">
        <v>1</v>
      </c>
      <c r="F65" s="5">
        <v>1</v>
      </c>
      <c r="G65" s="5">
        <v>1</v>
      </c>
      <c r="H65" s="5">
        <v>95</v>
      </c>
      <c r="I65" s="5">
        <v>1</v>
      </c>
      <c r="J65" s="5">
        <v>1</v>
      </c>
      <c r="K65" s="5">
        <v>1</v>
      </c>
      <c r="L65" s="5">
        <v>5</v>
      </c>
      <c r="M65" s="5">
        <v>1</v>
      </c>
      <c r="N65" s="5">
        <v>1</v>
      </c>
      <c r="O65" s="5">
        <v>50</v>
      </c>
      <c r="P65" s="5">
        <v>88</v>
      </c>
      <c r="Q65" s="5">
        <v>5</v>
      </c>
      <c r="R65" s="5">
        <v>5</v>
      </c>
      <c r="S65" s="5">
        <v>5</v>
      </c>
      <c r="T65" s="5">
        <v>5</v>
      </c>
      <c r="U65" s="5">
        <v>92</v>
      </c>
      <c r="V65" s="5">
        <v>5</v>
      </c>
      <c r="W65" s="5">
        <v>50</v>
      </c>
      <c r="X65" s="5">
        <v>5</v>
      </c>
      <c r="Y65" s="6"/>
      <c r="Z65" s="7" t="s">
        <v>181</v>
      </c>
      <c r="AA65" s="3" t="s">
        <v>70</v>
      </c>
    </row>
    <row r="66" spans="1:27" ht="12.75" customHeight="1" x14ac:dyDescent="0.2">
      <c r="A66" s="3" t="s">
        <v>182</v>
      </c>
      <c r="B66" s="4">
        <v>11</v>
      </c>
      <c r="C66" s="5">
        <v>5</v>
      </c>
      <c r="D66" s="5">
        <v>36</v>
      </c>
      <c r="E66" s="5">
        <v>0</v>
      </c>
      <c r="F66" s="5">
        <v>0</v>
      </c>
      <c r="G66" s="5">
        <v>0</v>
      </c>
      <c r="H66" s="5">
        <v>85</v>
      </c>
      <c r="I66" s="5">
        <v>0</v>
      </c>
      <c r="J66" s="5">
        <v>0</v>
      </c>
      <c r="K66" s="5">
        <v>0</v>
      </c>
      <c r="L66" s="5">
        <v>5</v>
      </c>
      <c r="M66" s="5">
        <v>0</v>
      </c>
      <c r="N66" s="5">
        <v>0</v>
      </c>
      <c r="O66" s="5">
        <v>24</v>
      </c>
      <c r="P66" s="5">
        <v>76</v>
      </c>
      <c r="Q66" s="5">
        <v>0</v>
      </c>
      <c r="R66" s="5">
        <v>0</v>
      </c>
      <c r="S66" s="5">
        <v>0</v>
      </c>
      <c r="T66" s="5">
        <v>0</v>
      </c>
      <c r="U66" s="5">
        <v>68</v>
      </c>
      <c r="V66" s="5">
        <v>0</v>
      </c>
      <c r="W66" s="5">
        <v>9</v>
      </c>
      <c r="X66" s="5">
        <v>0</v>
      </c>
      <c r="Y66" s="6"/>
      <c r="Z66" s="7" t="s">
        <v>183</v>
      </c>
      <c r="AA66" s="3" t="s">
        <v>53</v>
      </c>
    </row>
    <row r="67" spans="1:27" ht="12.75" customHeight="1" x14ac:dyDescent="0.2">
      <c r="A67" s="3" t="s">
        <v>184</v>
      </c>
      <c r="B67" s="4">
        <v>10</v>
      </c>
      <c r="C67" s="5"/>
      <c r="D67" s="5"/>
      <c r="E67" s="5"/>
      <c r="F67" s="5"/>
      <c r="G67" s="5"/>
      <c r="H67" s="5">
        <v>92</v>
      </c>
      <c r="I67" s="5"/>
      <c r="J67" s="5"/>
      <c r="K67" s="5"/>
      <c r="L67" s="5">
        <v>5</v>
      </c>
      <c r="M67" s="5">
        <v>1</v>
      </c>
      <c r="N67" s="5">
        <v>1</v>
      </c>
      <c r="O67" s="5">
        <v>50</v>
      </c>
      <c r="P67" s="5">
        <v>92</v>
      </c>
      <c r="Q67" s="5">
        <v>5</v>
      </c>
      <c r="R67" s="5">
        <v>5</v>
      </c>
      <c r="S67" s="5">
        <v>5</v>
      </c>
      <c r="T67" s="5">
        <v>5</v>
      </c>
      <c r="U67" s="5">
        <v>92</v>
      </c>
      <c r="V67" s="5">
        <v>5</v>
      </c>
      <c r="W67" s="5">
        <v>50</v>
      </c>
      <c r="X67" s="5">
        <v>5</v>
      </c>
      <c r="Y67" s="6"/>
      <c r="Z67" s="7" t="s">
        <v>185</v>
      </c>
      <c r="AA67" s="3" t="s">
        <v>42</v>
      </c>
    </row>
    <row r="68" spans="1:27" ht="12.75" customHeight="1" x14ac:dyDescent="0.2">
      <c r="A68" s="3" t="s">
        <v>186</v>
      </c>
      <c r="B68" s="4">
        <v>11</v>
      </c>
      <c r="C68" s="5"/>
      <c r="D68" s="5"/>
      <c r="E68" s="5"/>
      <c r="F68" s="5"/>
      <c r="G68" s="5"/>
      <c r="H68" s="5">
        <v>75</v>
      </c>
      <c r="I68" s="5"/>
      <c r="J68" s="5"/>
      <c r="K68" s="5"/>
      <c r="L68" s="5">
        <v>5</v>
      </c>
      <c r="M68" s="5">
        <v>0</v>
      </c>
      <c r="N68" s="5">
        <v>0</v>
      </c>
      <c r="O68" s="5">
        <v>27</v>
      </c>
      <c r="P68" s="5">
        <v>82</v>
      </c>
      <c r="Q68" s="5">
        <v>0</v>
      </c>
      <c r="R68" s="5">
        <v>0</v>
      </c>
      <c r="S68" s="5">
        <v>0</v>
      </c>
      <c r="T68" s="5">
        <v>0</v>
      </c>
      <c r="U68" s="5">
        <v>75</v>
      </c>
      <c r="V68" s="5">
        <v>0</v>
      </c>
      <c r="W68" s="5">
        <v>25</v>
      </c>
      <c r="X68" s="5">
        <v>0</v>
      </c>
      <c r="Y68" s="6"/>
      <c r="Z68" s="7" t="s">
        <v>187</v>
      </c>
      <c r="AA68" s="3" t="s">
        <v>53</v>
      </c>
    </row>
    <row r="69" spans="1:27" ht="12.75" customHeight="1" x14ac:dyDescent="0.2">
      <c r="A69" s="3" t="s">
        <v>188</v>
      </c>
      <c r="B69" s="4">
        <v>11</v>
      </c>
      <c r="C69" s="5">
        <v>5</v>
      </c>
      <c r="D69" s="5">
        <v>48</v>
      </c>
      <c r="E69" s="5">
        <v>1</v>
      </c>
      <c r="F69" s="5">
        <v>1</v>
      </c>
      <c r="G69" s="5">
        <v>1</v>
      </c>
      <c r="H69" s="5">
        <v>73</v>
      </c>
      <c r="I69" s="5">
        <v>1</v>
      </c>
      <c r="J69" s="5">
        <v>1</v>
      </c>
      <c r="K69" s="5">
        <v>0</v>
      </c>
      <c r="L69" s="5">
        <v>5</v>
      </c>
      <c r="M69" s="5">
        <v>1</v>
      </c>
      <c r="N69" s="5">
        <v>1</v>
      </c>
      <c r="O69" s="5">
        <v>50</v>
      </c>
      <c r="P69" s="5">
        <v>68</v>
      </c>
      <c r="Q69" s="5">
        <v>5</v>
      </c>
      <c r="R69" s="5">
        <v>5</v>
      </c>
      <c r="S69" s="5">
        <v>5</v>
      </c>
      <c r="T69" s="5">
        <v>5</v>
      </c>
      <c r="U69" s="5">
        <v>72</v>
      </c>
      <c r="V69" s="5">
        <v>5</v>
      </c>
      <c r="W69" s="5">
        <v>50</v>
      </c>
      <c r="X69" s="5">
        <v>0</v>
      </c>
      <c r="Y69" s="6"/>
      <c r="Z69" s="7" t="s">
        <v>189</v>
      </c>
      <c r="AA69" s="3" t="s">
        <v>34</v>
      </c>
    </row>
    <row r="70" spans="1:27" ht="12.75" customHeight="1" x14ac:dyDescent="0.2">
      <c r="A70" s="3" t="s">
        <v>190</v>
      </c>
      <c r="B70" s="4">
        <v>10</v>
      </c>
      <c r="C70" s="5">
        <v>5</v>
      </c>
      <c r="D70" s="5">
        <v>44</v>
      </c>
      <c r="E70" s="5">
        <v>0</v>
      </c>
      <c r="F70" s="5">
        <v>0</v>
      </c>
      <c r="G70" s="5">
        <v>0</v>
      </c>
      <c r="H70" s="5">
        <v>88</v>
      </c>
      <c r="I70" s="5">
        <v>0</v>
      </c>
      <c r="J70" s="5">
        <v>0</v>
      </c>
      <c r="K70" s="5">
        <v>0</v>
      </c>
      <c r="L70" s="5">
        <v>5</v>
      </c>
      <c r="M70" s="5">
        <v>0</v>
      </c>
      <c r="N70" s="5">
        <v>1</v>
      </c>
      <c r="O70" s="5">
        <v>50</v>
      </c>
      <c r="P70" s="5">
        <v>93</v>
      </c>
      <c r="Q70" s="5">
        <v>5</v>
      </c>
      <c r="R70" s="5">
        <v>5</v>
      </c>
      <c r="S70" s="5">
        <v>5</v>
      </c>
      <c r="T70" s="5">
        <v>0</v>
      </c>
      <c r="U70" s="5">
        <v>95</v>
      </c>
      <c r="V70" s="5">
        <v>0</v>
      </c>
      <c r="W70" s="5">
        <v>50</v>
      </c>
      <c r="X70" s="5">
        <v>0</v>
      </c>
      <c r="Y70" s="6"/>
      <c r="Z70" s="7" t="s">
        <v>191</v>
      </c>
      <c r="AA70" s="3" t="s">
        <v>70</v>
      </c>
    </row>
    <row r="71" spans="1:27" ht="12.75" customHeight="1" x14ac:dyDescent="0.2">
      <c r="A71" s="8" t="s">
        <v>88</v>
      </c>
      <c r="B71" s="9"/>
      <c r="C71" s="10" t="s">
        <v>192</v>
      </c>
      <c r="D71" s="10" t="s">
        <v>193</v>
      </c>
      <c r="E71" s="10" t="s">
        <v>194</v>
      </c>
      <c r="F71" s="10" t="s">
        <v>195</v>
      </c>
      <c r="G71" s="10" t="s">
        <v>196</v>
      </c>
      <c r="H71" s="10" t="s">
        <v>197</v>
      </c>
      <c r="I71" s="10" t="s">
        <v>198</v>
      </c>
      <c r="J71" s="10" t="s">
        <v>199</v>
      </c>
      <c r="K71" s="10" t="s">
        <v>200</v>
      </c>
      <c r="L71" s="10" t="s">
        <v>201</v>
      </c>
      <c r="M71" s="10" t="s">
        <v>202</v>
      </c>
      <c r="N71" s="10" t="s">
        <v>203</v>
      </c>
      <c r="O71" s="10" t="s">
        <v>204</v>
      </c>
      <c r="P71" s="10" t="s">
        <v>205</v>
      </c>
      <c r="Q71" s="10" t="s">
        <v>206</v>
      </c>
      <c r="R71" s="10" t="s">
        <v>206</v>
      </c>
      <c r="S71" s="10" t="s">
        <v>207</v>
      </c>
      <c r="T71" s="10" t="s">
        <v>208</v>
      </c>
      <c r="U71" s="10" t="s">
        <v>209</v>
      </c>
      <c r="V71" s="10" t="s">
        <v>210</v>
      </c>
      <c r="W71" s="10" t="s">
        <v>211</v>
      </c>
      <c r="X71" s="10" t="s">
        <v>212</v>
      </c>
      <c r="Y71" s="10" t="s">
        <v>102</v>
      </c>
      <c r="Z71" s="12" t="s">
        <v>213</v>
      </c>
      <c r="AA71" s="8" t="s">
        <v>108</v>
      </c>
    </row>
    <row r="72" spans="1:27" ht="12.75" customHeight="1" x14ac:dyDescent="0.2">
      <c r="A72" s="1" t="s">
        <v>109</v>
      </c>
    </row>
    <row r="73" spans="1:27" ht="12.75" customHeight="1" x14ac:dyDescent="0.2">
      <c r="A73" s="1" t="s">
        <v>214</v>
      </c>
    </row>
    <row r="74" spans="1:27" ht="12.75" customHeight="1" x14ac:dyDescent="0.2">
      <c r="A74" s="1" t="s">
        <v>111</v>
      </c>
    </row>
    <row r="75" spans="1:27" ht="12.75" customHeight="1" x14ac:dyDescent="0.2">
      <c r="A75" s="1" t="s">
        <v>112</v>
      </c>
    </row>
    <row r="76" spans="1:27" ht="12.75" customHeight="1" x14ac:dyDescent="0.2">
      <c r="A76" s="1" t="s">
        <v>0</v>
      </c>
      <c r="B76" s="2" t="s">
        <v>1</v>
      </c>
      <c r="C76" s="2" t="s">
        <v>113</v>
      </c>
      <c r="D76" s="2" t="s">
        <v>114</v>
      </c>
      <c r="E76" s="2" t="s">
        <v>115</v>
      </c>
      <c r="F76" s="2" t="s">
        <v>2</v>
      </c>
      <c r="G76" s="2" t="s">
        <v>3</v>
      </c>
      <c r="H76" s="2" t="s">
        <v>4</v>
      </c>
      <c r="I76" s="2" t="s">
        <v>5</v>
      </c>
      <c r="J76" s="2" t="s">
        <v>6</v>
      </c>
      <c r="K76" s="2" t="s">
        <v>7</v>
      </c>
      <c r="L76" s="2" t="s">
        <v>8</v>
      </c>
      <c r="M76" s="2" t="s">
        <v>9</v>
      </c>
      <c r="N76" s="2" t="s">
        <v>10</v>
      </c>
      <c r="O76" s="2" t="s">
        <v>14</v>
      </c>
      <c r="P76" s="2" t="s">
        <v>15</v>
      </c>
      <c r="Q76" s="2" t="s">
        <v>16</v>
      </c>
      <c r="R76" s="2" t="s">
        <v>17</v>
      </c>
      <c r="S76" s="2" t="s">
        <v>18</v>
      </c>
      <c r="T76" s="2" t="s">
        <v>19</v>
      </c>
      <c r="U76" s="2" t="s">
        <v>25</v>
      </c>
      <c r="V76" s="2" t="s">
        <v>116</v>
      </c>
      <c r="W76" s="2" t="s">
        <v>117</v>
      </c>
      <c r="X76" s="2" t="s">
        <v>118</v>
      </c>
      <c r="Y76" s="2" t="s">
        <v>24</v>
      </c>
      <c r="Z76" s="2" t="s">
        <v>20</v>
      </c>
      <c r="AA76" s="2" t="s">
        <v>21</v>
      </c>
    </row>
    <row r="77" spans="1:27" ht="12.75" customHeight="1" x14ac:dyDescent="0.2">
      <c r="A77" s="1" t="s">
        <v>22</v>
      </c>
      <c r="C77" s="2" t="s">
        <v>3</v>
      </c>
      <c r="D77" s="2" t="s">
        <v>113</v>
      </c>
      <c r="E77" s="2" t="s">
        <v>113</v>
      </c>
      <c r="F77" s="2" t="s">
        <v>120</v>
      </c>
      <c r="G77" s="2" t="s">
        <v>113</v>
      </c>
      <c r="H77" s="2" t="s">
        <v>23</v>
      </c>
      <c r="I77" s="2" t="s">
        <v>113</v>
      </c>
      <c r="J77" s="2" t="s">
        <v>113</v>
      </c>
      <c r="K77" s="2" t="s">
        <v>113</v>
      </c>
      <c r="L77" s="2" t="s">
        <v>3</v>
      </c>
      <c r="M77" s="2" t="s">
        <v>113</v>
      </c>
      <c r="N77" s="2" t="s">
        <v>113</v>
      </c>
      <c r="O77" s="2" t="s">
        <v>120</v>
      </c>
      <c r="P77" s="2" t="s">
        <v>3</v>
      </c>
      <c r="Q77" s="2" t="s">
        <v>23</v>
      </c>
      <c r="R77" s="2" t="s">
        <v>3</v>
      </c>
      <c r="S77" s="2" t="s">
        <v>3</v>
      </c>
      <c r="T77" s="2" t="s">
        <v>3</v>
      </c>
      <c r="U77" s="2" t="s">
        <v>3</v>
      </c>
      <c r="V77" s="2" t="s">
        <v>23</v>
      </c>
      <c r="W77" s="2" t="s">
        <v>120</v>
      </c>
      <c r="X77" s="2" t="s">
        <v>3</v>
      </c>
      <c r="Y77" s="2" t="s">
        <v>23</v>
      </c>
    </row>
    <row r="78" spans="1:27" ht="12.75" customHeight="1" x14ac:dyDescent="0.2">
      <c r="A78" s="1" t="s">
        <v>26</v>
      </c>
      <c r="C78" s="2" t="s">
        <v>27</v>
      </c>
      <c r="D78" s="2" t="s">
        <v>27</v>
      </c>
      <c r="E78" s="2" t="s">
        <v>27</v>
      </c>
      <c r="F78" s="2" t="s">
        <v>27</v>
      </c>
      <c r="G78" s="2" t="s">
        <v>27</v>
      </c>
      <c r="H78" s="2" t="s">
        <v>27</v>
      </c>
      <c r="I78" s="2" t="s">
        <v>27</v>
      </c>
      <c r="J78" s="2" t="s">
        <v>27</v>
      </c>
      <c r="K78" s="2" t="s">
        <v>27</v>
      </c>
      <c r="L78" s="2" t="s">
        <v>28</v>
      </c>
      <c r="M78" s="2" t="s">
        <v>28</v>
      </c>
      <c r="N78" s="2" t="s">
        <v>28</v>
      </c>
      <c r="O78" s="2" t="s">
        <v>28</v>
      </c>
      <c r="P78" s="2" t="s">
        <v>28</v>
      </c>
      <c r="Q78" s="2" t="s">
        <v>28</v>
      </c>
      <c r="R78" s="2" t="s">
        <v>28</v>
      </c>
      <c r="S78" s="2" t="s">
        <v>28</v>
      </c>
      <c r="T78" s="2" t="s">
        <v>28</v>
      </c>
      <c r="U78" s="2" t="s">
        <v>28</v>
      </c>
      <c r="V78" s="2" t="s">
        <v>27</v>
      </c>
      <c r="W78" s="2" t="s">
        <v>28</v>
      </c>
      <c r="X78" s="2" t="s">
        <v>28</v>
      </c>
      <c r="Y78" s="2" t="s">
        <v>28</v>
      </c>
    </row>
    <row r="79" spans="1:27" ht="12.75" customHeight="1" x14ac:dyDescent="0.2">
      <c r="A79" s="3" t="s">
        <v>215</v>
      </c>
      <c r="B79" s="4">
        <v>11</v>
      </c>
      <c r="C79" s="5">
        <v>5</v>
      </c>
      <c r="D79" s="5">
        <v>1</v>
      </c>
      <c r="E79" s="5">
        <v>1</v>
      </c>
      <c r="F79" s="5">
        <v>39</v>
      </c>
      <c r="G79" s="5">
        <v>0</v>
      </c>
      <c r="H79" s="5">
        <v>72</v>
      </c>
      <c r="I79" s="5">
        <v>0</v>
      </c>
      <c r="J79" s="5">
        <v>0</v>
      </c>
      <c r="K79" s="5">
        <v>0</v>
      </c>
      <c r="L79" s="5">
        <v>0</v>
      </c>
      <c r="M79" s="5">
        <v>1</v>
      </c>
      <c r="N79" s="5">
        <v>0</v>
      </c>
      <c r="O79" s="5">
        <v>42</v>
      </c>
      <c r="P79" s="5">
        <v>5</v>
      </c>
      <c r="Q79" s="5">
        <v>68</v>
      </c>
      <c r="R79" s="5">
        <v>5</v>
      </c>
      <c r="S79" s="5">
        <v>5</v>
      </c>
      <c r="T79" s="5">
        <v>5</v>
      </c>
      <c r="U79" s="5">
        <v>5</v>
      </c>
      <c r="V79" s="5">
        <v>72</v>
      </c>
      <c r="W79" s="5">
        <v>50</v>
      </c>
      <c r="X79" s="5">
        <v>0</v>
      </c>
      <c r="Y79" s="6"/>
      <c r="Z79" s="7" t="s">
        <v>216</v>
      </c>
      <c r="AA79" s="3" t="s">
        <v>53</v>
      </c>
    </row>
    <row r="80" spans="1:27" ht="12.75" customHeight="1" x14ac:dyDescent="0.2">
      <c r="A80" s="3" t="s">
        <v>217</v>
      </c>
      <c r="B80" s="4">
        <v>11</v>
      </c>
      <c r="C80" s="5">
        <v>5</v>
      </c>
      <c r="D80" s="5">
        <v>1</v>
      </c>
      <c r="E80" s="5">
        <v>1</v>
      </c>
      <c r="F80" s="5">
        <v>50</v>
      </c>
      <c r="G80" s="5">
        <v>0</v>
      </c>
      <c r="H80" s="5">
        <v>78</v>
      </c>
      <c r="I80" s="5">
        <v>0</v>
      </c>
      <c r="J80" s="5">
        <v>0</v>
      </c>
      <c r="K80" s="5">
        <v>1</v>
      </c>
      <c r="L80" s="5">
        <v>5</v>
      </c>
      <c r="M80" s="5">
        <v>0</v>
      </c>
      <c r="N80" s="5">
        <v>0</v>
      </c>
      <c r="O80" s="5">
        <v>42</v>
      </c>
      <c r="P80" s="5">
        <v>0</v>
      </c>
      <c r="Q80" s="5">
        <v>85</v>
      </c>
      <c r="R80" s="5">
        <v>0</v>
      </c>
      <c r="S80" s="5">
        <v>0</v>
      </c>
      <c r="T80" s="5">
        <v>0</v>
      </c>
      <c r="U80" s="5">
        <v>0</v>
      </c>
      <c r="V80" s="5">
        <v>88</v>
      </c>
      <c r="W80" s="5">
        <v>48</v>
      </c>
      <c r="X80" s="5">
        <v>0</v>
      </c>
      <c r="Y80" s="6"/>
      <c r="Z80" s="7" t="s">
        <v>218</v>
      </c>
      <c r="AA80" s="3" t="s">
        <v>39</v>
      </c>
    </row>
    <row r="81" spans="1:27" ht="12.75" customHeight="1" x14ac:dyDescent="0.2">
      <c r="A81" s="3" t="s">
        <v>219</v>
      </c>
      <c r="B81" s="4">
        <v>11</v>
      </c>
      <c r="C81" s="5">
        <v>5</v>
      </c>
      <c r="D81" s="5">
        <v>0</v>
      </c>
      <c r="E81" s="5">
        <v>0</v>
      </c>
      <c r="F81" s="5">
        <v>50</v>
      </c>
      <c r="G81" s="5">
        <v>0</v>
      </c>
      <c r="H81" s="5">
        <v>82</v>
      </c>
      <c r="I81" s="5">
        <v>0</v>
      </c>
      <c r="J81" s="5">
        <v>0</v>
      </c>
      <c r="K81" s="5">
        <v>0</v>
      </c>
      <c r="L81" s="5">
        <v>5</v>
      </c>
      <c r="M81" s="5">
        <v>0</v>
      </c>
      <c r="N81" s="5">
        <v>0</v>
      </c>
      <c r="O81" s="5">
        <v>48.5</v>
      </c>
      <c r="P81" s="5">
        <v>0</v>
      </c>
      <c r="Q81" s="5">
        <v>62</v>
      </c>
      <c r="R81" s="5">
        <v>0</v>
      </c>
      <c r="S81" s="5">
        <v>0</v>
      </c>
      <c r="T81" s="5">
        <v>0</v>
      </c>
      <c r="U81" s="5">
        <v>0</v>
      </c>
      <c r="V81" s="5">
        <v>65</v>
      </c>
      <c r="W81" s="5">
        <v>43</v>
      </c>
      <c r="X81" s="5">
        <v>0</v>
      </c>
      <c r="Y81" s="6"/>
      <c r="Z81" s="7" t="s">
        <v>220</v>
      </c>
      <c r="AA81" s="3" t="s">
        <v>53</v>
      </c>
    </row>
    <row r="82" spans="1:27" ht="12.75" customHeight="1" x14ac:dyDescent="0.2">
      <c r="A82" s="3" t="s">
        <v>221</v>
      </c>
      <c r="B82" s="4">
        <v>11</v>
      </c>
      <c r="C82" s="5">
        <v>5</v>
      </c>
      <c r="D82" s="5">
        <v>1</v>
      </c>
      <c r="E82" s="5">
        <v>1</v>
      </c>
      <c r="F82" s="5">
        <v>50</v>
      </c>
      <c r="G82" s="5">
        <v>1</v>
      </c>
      <c r="H82" s="5">
        <v>72</v>
      </c>
      <c r="I82" s="5">
        <v>0</v>
      </c>
      <c r="J82" s="5">
        <v>0</v>
      </c>
      <c r="K82" s="5">
        <v>1</v>
      </c>
      <c r="L82" s="5">
        <v>5</v>
      </c>
      <c r="M82" s="5">
        <v>1</v>
      </c>
      <c r="N82" s="5">
        <v>1</v>
      </c>
      <c r="O82" s="5">
        <v>46</v>
      </c>
      <c r="P82" s="5">
        <v>0</v>
      </c>
      <c r="Q82" s="5">
        <v>85</v>
      </c>
      <c r="R82" s="5">
        <v>5</v>
      </c>
      <c r="S82" s="5">
        <v>5</v>
      </c>
      <c r="T82" s="5">
        <v>5</v>
      </c>
      <c r="U82" s="5">
        <v>5</v>
      </c>
      <c r="V82" s="5">
        <v>68</v>
      </c>
      <c r="W82" s="5">
        <v>50</v>
      </c>
      <c r="X82" s="5">
        <v>0</v>
      </c>
      <c r="Y82" s="6"/>
      <c r="Z82" s="7" t="s">
        <v>222</v>
      </c>
      <c r="AA82" s="3" t="s">
        <v>108</v>
      </c>
    </row>
    <row r="83" spans="1:27" ht="12.75" customHeight="1" x14ac:dyDescent="0.2">
      <c r="A83" s="3" t="s">
        <v>223</v>
      </c>
      <c r="B83" s="4">
        <v>10</v>
      </c>
      <c r="C83" s="5">
        <v>5</v>
      </c>
      <c r="D83" s="5">
        <v>1</v>
      </c>
      <c r="E83" s="5">
        <v>1</v>
      </c>
      <c r="F83" s="5">
        <v>48</v>
      </c>
      <c r="G83" s="5">
        <v>1</v>
      </c>
      <c r="H83" s="5">
        <v>93</v>
      </c>
      <c r="I83" s="5">
        <v>1</v>
      </c>
      <c r="J83" s="5">
        <v>0</v>
      </c>
      <c r="K83" s="5">
        <v>1</v>
      </c>
      <c r="L83" s="5">
        <v>5</v>
      </c>
      <c r="M83" s="5">
        <v>1</v>
      </c>
      <c r="N83" s="5">
        <v>0</v>
      </c>
      <c r="O83" s="5">
        <v>49</v>
      </c>
      <c r="P83" s="5">
        <v>0</v>
      </c>
      <c r="Q83" s="5">
        <v>95</v>
      </c>
      <c r="R83" s="5">
        <v>0</v>
      </c>
      <c r="S83" s="5">
        <v>5</v>
      </c>
      <c r="T83" s="5">
        <v>5</v>
      </c>
      <c r="U83" s="5">
        <v>5</v>
      </c>
      <c r="V83" s="5">
        <v>92</v>
      </c>
      <c r="W83" s="5">
        <v>50</v>
      </c>
      <c r="X83" s="5">
        <v>0</v>
      </c>
      <c r="Y83" s="6"/>
      <c r="Z83" s="7" t="s">
        <v>224</v>
      </c>
      <c r="AA83" s="3" t="s">
        <v>70</v>
      </c>
    </row>
    <row r="84" spans="1:27" ht="12.75" customHeight="1" x14ac:dyDescent="0.2">
      <c r="A84" s="3" t="s">
        <v>225</v>
      </c>
      <c r="B84" s="4">
        <v>11</v>
      </c>
      <c r="C84" s="5">
        <v>5</v>
      </c>
      <c r="D84" s="5">
        <v>0</v>
      </c>
      <c r="E84" s="5">
        <v>0</v>
      </c>
      <c r="F84" s="5">
        <v>47</v>
      </c>
      <c r="G84" s="5">
        <v>0</v>
      </c>
      <c r="H84" s="5">
        <v>76</v>
      </c>
      <c r="I84" s="5">
        <v>0</v>
      </c>
      <c r="J84" s="5">
        <v>0</v>
      </c>
      <c r="K84" s="5">
        <v>0</v>
      </c>
      <c r="L84" s="5">
        <v>5</v>
      </c>
      <c r="M84" s="5">
        <v>0</v>
      </c>
      <c r="N84" s="5">
        <v>0</v>
      </c>
      <c r="O84" s="5">
        <v>50</v>
      </c>
      <c r="P84" s="5">
        <v>0</v>
      </c>
      <c r="Q84" s="5">
        <v>67</v>
      </c>
      <c r="R84" s="5">
        <v>0</v>
      </c>
      <c r="S84" s="5">
        <v>0</v>
      </c>
      <c r="T84" s="5">
        <v>0</v>
      </c>
      <c r="U84" s="5">
        <v>0</v>
      </c>
      <c r="V84" s="5">
        <v>68</v>
      </c>
      <c r="W84" s="5">
        <v>47</v>
      </c>
      <c r="X84" s="5">
        <v>0</v>
      </c>
      <c r="Y84" s="6"/>
      <c r="Z84" s="7" t="s">
        <v>226</v>
      </c>
      <c r="AA84" s="3" t="s">
        <v>53</v>
      </c>
    </row>
    <row r="85" spans="1:27" ht="12.75" customHeight="1" x14ac:dyDescent="0.2">
      <c r="A85" s="3" t="s">
        <v>227</v>
      </c>
      <c r="B85" s="4">
        <v>11</v>
      </c>
      <c r="C85" s="5">
        <v>5</v>
      </c>
      <c r="D85" s="5">
        <v>1</v>
      </c>
      <c r="E85" s="5">
        <v>1</v>
      </c>
      <c r="F85" s="5">
        <v>50</v>
      </c>
      <c r="G85" s="5">
        <v>1</v>
      </c>
      <c r="H85" s="5">
        <v>99</v>
      </c>
      <c r="I85" s="5">
        <v>0.5</v>
      </c>
      <c r="J85" s="5">
        <v>1</v>
      </c>
      <c r="K85" s="5">
        <v>1</v>
      </c>
      <c r="L85" s="5">
        <v>5</v>
      </c>
      <c r="M85" s="5">
        <v>1</v>
      </c>
      <c r="N85" s="5">
        <v>1</v>
      </c>
      <c r="O85" s="5">
        <v>43.5</v>
      </c>
      <c r="P85" s="5">
        <v>0</v>
      </c>
      <c r="Q85" s="5">
        <v>78</v>
      </c>
      <c r="R85" s="5">
        <v>5</v>
      </c>
      <c r="S85" s="5">
        <v>5</v>
      </c>
      <c r="T85" s="5">
        <v>5</v>
      </c>
      <c r="U85" s="5">
        <v>5</v>
      </c>
      <c r="V85" s="5">
        <v>85</v>
      </c>
      <c r="W85" s="5">
        <v>50</v>
      </c>
      <c r="X85" s="5">
        <v>5</v>
      </c>
      <c r="Y85" s="6"/>
      <c r="Z85" s="7" t="s">
        <v>228</v>
      </c>
      <c r="AA85" s="3" t="s">
        <v>31</v>
      </c>
    </row>
    <row r="86" spans="1:27" ht="12.75" customHeight="1" x14ac:dyDescent="0.2">
      <c r="A86" s="3" t="s">
        <v>229</v>
      </c>
      <c r="B86" s="4">
        <v>11</v>
      </c>
      <c r="C86" s="5">
        <v>5</v>
      </c>
      <c r="D86" s="5">
        <v>0</v>
      </c>
      <c r="E86" s="5">
        <v>0</v>
      </c>
      <c r="F86" s="5">
        <v>44</v>
      </c>
      <c r="G86" s="5">
        <v>0</v>
      </c>
      <c r="H86" s="5">
        <v>83</v>
      </c>
      <c r="I86" s="5">
        <v>1</v>
      </c>
      <c r="J86" s="5">
        <v>0</v>
      </c>
      <c r="K86" s="5">
        <v>1</v>
      </c>
      <c r="L86" s="5">
        <v>5</v>
      </c>
      <c r="M86" s="5">
        <v>1</v>
      </c>
      <c r="N86" s="5">
        <v>1</v>
      </c>
      <c r="O86" s="5">
        <v>39</v>
      </c>
      <c r="P86" s="5">
        <v>0</v>
      </c>
      <c r="Q86" s="5">
        <v>80</v>
      </c>
      <c r="R86" s="5">
        <v>5</v>
      </c>
      <c r="S86" s="5">
        <v>5</v>
      </c>
      <c r="T86" s="5">
        <v>5</v>
      </c>
      <c r="U86" s="5">
        <v>5</v>
      </c>
      <c r="V86" s="5">
        <v>82</v>
      </c>
      <c r="W86" s="5">
        <v>50</v>
      </c>
      <c r="X86" s="5">
        <v>0</v>
      </c>
      <c r="Y86" s="6"/>
      <c r="Z86" s="7" t="s">
        <v>230</v>
      </c>
      <c r="AA86" s="3" t="s">
        <v>39</v>
      </c>
    </row>
    <row r="87" spans="1:27" ht="12.75" customHeight="1" x14ac:dyDescent="0.2">
      <c r="A87" s="3" t="s">
        <v>231</v>
      </c>
      <c r="B87" s="4">
        <v>11</v>
      </c>
      <c r="C87" s="5">
        <v>5</v>
      </c>
      <c r="D87" s="5">
        <v>1</v>
      </c>
      <c r="E87" s="5">
        <v>1</v>
      </c>
      <c r="F87" s="5">
        <v>50</v>
      </c>
      <c r="G87" s="5">
        <v>1</v>
      </c>
      <c r="H87" s="5">
        <v>63</v>
      </c>
      <c r="I87" s="5">
        <v>0</v>
      </c>
      <c r="J87" s="5">
        <v>0</v>
      </c>
      <c r="K87" s="5">
        <v>1</v>
      </c>
      <c r="L87" s="5">
        <v>5</v>
      </c>
      <c r="M87" s="5">
        <v>1</v>
      </c>
      <c r="N87" s="5">
        <v>0</v>
      </c>
      <c r="O87" s="5">
        <v>48.5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62</v>
      </c>
      <c r="W87" s="5">
        <v>45</v>
      </c>
      <c r="X87" s="5">
        <v>0</v>
      </c>
      <c r="Y87" s="6"/>
      <c r="Z87" s="7" t="s">
        <v>232</v>
      </c>
      <c r="AA87" s="3" t="s">
        <v>58</v>
      </c>
    </row>
    <row r="88" spans="1:27" ht="12.75" customHeight="1" x14ac:dyDescent="0.2">
      <c r="A88" s="3" t="s">
        <v>233</v>
      </c>
      <c r="B88" s="4">
        <v>11</v>
      </c>
      <c r="C88" s="5">
        <v>5</v>
      </c>
      <c r="D88" s="5">
        <v>1</v>
      </c>
      <c r="E88" s="5">
        <v>1</v>
      </c>
      <c r="F88" s="5">
        <v>48</v>
      </c>
      <c r="G88" s="5">
        <v>1</v>
      </c>
      <c r="H88" s="5">
        <v>78</v>
      </c>
      <c r="I88" s="5">
        <v>0</v>
      </c>
      <c r="J88" s="5">
        <v>0</v>
      </c>
      <c r="K88" s="5">
        <v>1</v>
      </c>
      <c r="L88" s="5">
        <v>5</v>
      </c>
      <c r="M88" s="5">
        <v>1</v>
      </c>
      <c r="N88" s="5">
        <v>1</v>
      </c>
      <c r="O88" s="5">
        <v>49.5</v>
      </c>
      <c r="P88" s="5">
        <v>0</v>
      </c>
      <c r="Q88" s="5">
        <v>75</v>
      </c>
      <c r="R88" s="5">
        <v>5</v>
      </c>
      <c r="S88" s="5">
        <v>0</v>
      </c>
      <c r="T88" s="5">
        <v>5</v>
      </c>
      <c r="U88" s="5">
        <v>5</v>
      </c>
      <c r="V88" s="5">
        <v>78</v>
      </c>
      <c r="W88" s="5">
        <v>50</v>
      </c>
      <c r="X88" s="5">
        <v>0</v>
      </c>
      <c r="Y88" s="6"/>
      <c r="Z88" s="7" t="s">
        <v>234</v>
      </c>
      <c r="AA88" s="3" t="s">
        <v>108</v>
      </c>
    </row>
    <row r="89" spans="1:27" ht="12.75" customHeight="1" x14ac:dyDescent="0.2">
      <c r="A89" s="3" t="s">
        <v>235</v>
      </c>
      <c r="B89" s="4">
        <v>11</v>
      </c>
      <c r="C89" s="5">
        <v>5</v>
      </c>
      <c r="D89" s="5">
        <v>0</v>
      </c>
      <c r="E89" s="5">
        <v>1</v>
      </c>
      <c r="F89" s="5">
        <v>42</v>
      </c>
      <c r="G89" s="5">
        <v>1</v>
      </c>
      <c r="H89" s="5">
        <v>93</v>
      </c>
      <c r="I89" s="5">
        <v>1</v>
      </c>
      <c r="J89" s="5">
        <v>1</v>
      </c>
      <c r="K89" s="5">
        <v>1</v>
      </c>
      <c r="L89" s="5">
        <v>5</v>
      </c>
      <c r="M89" s="5">
        <v>1</v>
      </c>
      <c r="N89" s="5">
        <v>1</v>
      </c>
      <c r="O89" s="5">
        <v>41</v>
      </c>
      <c r="P89" s="5">
        <v>0</v>
      </c>
      <c r="Q89" s="5">
        <v>86</v>
      </c>
      <c r="R89" s="5">
        <v>0</v>
      </c>
      <c r="S89" s="5">
        <v>0</v>
      </c>
      <c r="T89" s="5">
        <v>0</v>
      </c>
      <c r="U89" s="5">
        <v>0</v>
      </c>
      <c r="V89" s="5">
        <v>82</v>
      </c>
      <c r="W89" s="5">
        <v>46</v>
      </c>
      <c r="X89" s="5">
        <v>0</v>
      </c>
      <c r="Y89" s="6"/>
      <c r="Z89" s="7" t="s">
        <v>236</v>
      </c>
      <c r="AA89" s="3" t="s">
        <v>45</v>
      </c>
    </row>
    <row r="90" spans="1:27" ht="12.75" customHeight="1" x14ac:dyDescent="0.2">
      <c r="A90" s="3" t="s">
        <v>237</v>
      </c>
      <c r="B90" s="4">
        <v>10</v>
      </c>
      <c r="C90" s="5">
        <v>5</v>
      </c>
      <c r="D90" s="5">
        <v>1</v>
      </c>
      <c r="E90" s="5">
        <v>1</v>
      </c>
      <c r="F90" s="5">
        <v>48</v>
      </c>
      <c r="G90" s="5">
        <v>1</v>
      </c>
      <c r="H90" s="5">
        <v>100</v>
      </c>
      <c r="I90" s="5">
        <v>1</v>
      </c>
      <c r="J90" s="5">
        <v>1</v>
      </c>
      <c r="K90" s="5">
        <v>1</v>
      </c>
      <c r="L90" s="5">
        <v>5</v>
      </c>
      <c r="M90" s="5">
        <v>1</v>
      </c>
      <c r="N90" s="5">
        <v>1</v>
      </c>
      <c r="O90" s="5">
        <v>50</v>
      </c>
      <c r="P90" s="5">
        <v>5</v>
      </c>
      <c r="Q90" s="5">
        <v>86</v>
      </c>
      <c r="R90" s="5">
        <v>5</v>
      </c>
      <c r="S90" s="5">
        <v>5</v>
      </c>
      <c r="T90" s="5">
        <v>5</v>
      </c>
      <c r="U90" s="5">
        <v>5</v>
      </c>
      <c r="V90" s="5">
        <v>92</v>
      </c>
      <c r="W90" s="5">
        <v>50</v>
      </c>
      <c r="X90" s="5">
        <v>5</v>
      </c>
      <c r="Y90" s="6"/>
      <c r="Z90" s="7" t="s">
        <v>238</v>
      </c>
      <c r="AA90" s="3" t="s">
        <v>42</v>
      </c>
    </row>
    <row r="91" spans="1:27" ht="12.75" customHeight="1" x14ac:dyDescent="0.2">
      <c r="A91" s="3" t="s">
        <v>239</v>
      </c>
      <c r="B91" s="4">
        <v>11</v>
      </c>
      <c r="C91" s="5">
        <v>5</v>
      </c>
      <c r="D91" s="5">
        <v>0</v>
      </c>
      <c r="E91" s="5">
        <v>0</v>
      </c>
      <c r="F91" s="5">
        <v>28</v>
      </c>
      <c r="G91" s="5">
        <v>0</v>
      </c>
      <c r="H91" s="5">
        <v>90</v>
      </c>
      <c r="I91" s="5">
        <v>0</v>
      </c>
      <c r="J91" s="5">
        <v>0</v>
      </c>
      <c r="K91" s="5">
        <v>0</v>
      </c>
      <c r="L91" s="5">
        <v>5</v>
      </c>
      <c r="M91" s="5">
        <v>0</v>
      </c>
      <c r="N91" s="5">
        <v>0</v>
      </c>
      <c r="O91" s="5">
        <v>39</v>
      </c>
      <c r="P91" s="5">
        <v>0</v>
      </c>
      <c r="Q91" s="5">
        <v>85</v>
      </c>
      <c r="R91" s="5">
        <v>0</v>
      </c>
      <c r="S91" s="5">
        <v>0</v>
      </c>
      <c r="T91" s="5">
        <v>0</v>
      </c>
      <c r="U91" s="5">
        <v>0</v>
      </c>
      <c r="V91" s="5">
        <v>72</v>
      </c>
      <c r="W91" s="5">
        <v>43</v>
      </c>
      <c r="X91" s="5">
        <v>0</v>
      </c>
      <c r="Y91" s="6"/>
      <c r="Z91" s="7" t="s">
        <v>240</v>
      </c>
      <c r="AA91" s="3" t="s">
        <v>108</v>
      </c>
    </row>
    <row r="92" spans="1:27" ht="12.75" customHeight="1" x14ac:dyDescent="0.2">
      <c r="A92" s="3" t="s">
        <v>241</v>
      </c>
      <c r="B92" s="4">
        <v>11</v>
      </c>
      <c r="C92" s="5">
        <v>5</v>
      </c>
      <c r="D92" s="5">
        <v>0</v>
      </c>
      <c r="E92" s="5">
        <v>0</v>
      </c>
      <c r="F92" s="5">
        <v>40</v>
      </c>
      <c r="G92" s="5">
        <v>0</v>
      </c>
      <c r="H92" s="5">
        <v>60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39</v>
      </c>
      <c r="P92" s="5">
        <v>0</v>
      </c>
      <c r="Q92" s="5">
        <v>63</v>
      </c>
      <c r="R92" s="5">
        <v>0</v>
      </c>
      <c r="S92" s="5">
        <v>0</v>
      </c>
      <c r="T92" s="5">
        <v>0</v>
      </c>
      <c r="U92" s="5">
        <v>0</v>
      </c>
      <c r="V92" s="5">
        <v>30</v>
      </c>
      <c r="W92" s="5">
        <v>44</v>
      </c>
      <c r="X92" s="5">
        <v>0</v>
      </c>
      <c r="Y92" s="6"/>
      <c r="Z92" s="7" t="s">
        <v>242</v>
      </c>
      <c r="AA92" s="3" t="s">
        <v>58</v>
      </c>
    </row>
    <row r="93" spans="1:27" ht="12.75" customHeight="1" x14ac:dyDescent="0.2">
      <c r="A93" s="3" t="s">
        <v>243</v>
      </c>
      <c r="B93" s="4">
        <v>11</v>
      </c>
      <c r="C93" s="5">
        <v>5</v>
      </c>
      <c r="D93" s="5">
        <v>1</v>
      </c>
      <c r="E93" s="5">
        <v>1</v>
      </c>
      <c r="F93" s="5">
        <v>49</v>
      </c>
      <c r="G93" s="5">
        <v>1</v>
      </c>
      <c r="H93" s="5">
        <v>76</v>
      </c>
      <c r="I93" s="5">
        <v>0</v>
      </c>
      <c r="J93" s="5">
        <v>0</v>
      </c>
      <c r="K93" s="5">
        <v>0</v>
      </c>
      <c r="L93" s="5">
        <v>5</v>
      </c>
      <c r="M93" s="5">
        <v>0</v>
      </c>
      <c r="N93" s="5">
        <v>1</v>
      </c>
      <c r="O93" s="5">
        <v>40</v>
      </c>
      <c r="P93" s="5">
        <v>0</v>
      </c>
      <c r="Q93" s="5">
        <v>82</v>
      </c>
      <c r="R93" s="5">
        <v>5</v>
      </c>
      <c r="S93" s="5">
        <v>5</v>
      </c>
      <c r="T93" s="5">
        <v>5</v>
      </c>
      <c r="U93" s="5">
        <v>5</v>
      </c>
      <c r="V93" s="5">
        <v>82</v>
      </c>
      <c r="W93" s="5">
        <v>47</v>
      </c>
      <c r="X93" s="5">
        <v>5</v>
      </c>
      <c r="Y93" s="6"/>
      <c r="Z93" s="7" t="s">
        <v>76</v>
      </c>
      <c r="AA93" s="3" t="s">
        <v>39</v>
      </c>
    </row>
    <row r="94" spans="1:27" ht="12.75" customHeight="1" x14ac:dyDescent="0.2">
      <c r="A94" s="3" t="s">
        <v>244</v>
      </c>
      <c r="B94" s="4">
        <v>11</v>
      </c>
      <c r="C94" s="5">
        <v>5</v>
      </c>
      <c r="D94" s="5">
        <v>1</v>
      </c>
      <c r="E94" s="5">
        <v>1</v>
      </c>
      <c r="F94" s="5">
        <v>47</v>
      </c>
      <c r="G94" s="5">
        <v>1</v>
      </c>
      <c r="H94" s="5">
        <v>85</v>
      </c>
      <c r="I94" s="5">
        <v>1</v>
      </c>
      <c r="J94" s="5">
        <v>1</v>
      </c>
      <c r="K94" s="5">
        <v>1</v>
      </c>
      <c r="L94" s="5">
        <v>5</v>
      </c>
      <c r="M94" s="5">
        <v>1</v>
      </c>
      <c r="N94" s="5">
        <v>1</v>
      </c>
      <c r="O94" s="5">
        <v>50</v>
      </c>
      <c r="P94" s="5">
        <v>0</v>
      </c>
      <c r="Q94" s="5">
        <v>80</v>
      </c>
      <c r="R94" s="5">
        <v>5</v>
      </c>
      <c r="S94" s="5">
        <v>5</v>
      </c>
      <c r="T94" s="5">
        <v>5</v>
      </c>
      <c r="U94" s="5">
        <v>5</v>
      </c>
      <c r="V94" s="5">
        <v>85</v>
      </c>
      <c r="W94" s="5">
        <v>50</v>
      </c>
      <c r="X94" s="5">
        <v>5</v>
      </c>
      <c r="Y94" s="6"/>
      <c r="Z94" s="7" t="s">
        <v>245</v>
      </c>
      <c r="AA94" s="3" t="s">
        <v>45</v>
      </c>
    </row>
    <row r="95" spans="1:27" ht="12.75" customHeight="1" x14ac:dyDescent="0.2">
      <c r="A95" s="3" t="s">
        <v>246</v>
      </c>
      <c r="B95" s="4">
        <v>11</v>
      </c>
      <c r="C95" s="5">
        <v>5</v>
      </c>
      <c r="D95" s="5">
        <v>0</v>
      </c>
      <c r="E95" s="5">
        <v>0</v>
      </c>
      <c r="F95" s="5">
        <v>49</v>
      </c>
      <c r="G95" s="5">
        <v>0</v>
      </c>
      <c r="H95" s="5">
        <v>68</v>
      </c>
      <c r="I95" s="5">
        <v>0</v>
      </c>
      <c r="J95" s="5">
        <v>0</v>
      </c>
      <c r="K95" s="5">
        <v>1</v>
      </c>
      <c r="L95" s="5">
        <v>5</v>
      </c>
      <c r="M95" s="5">
        <v>0</v>
      </c>
      <c r="N95" s="5">
        <v>0</v>
      </c>
      <c r="O95" s="5">
        <v>41</v>
      </c>
      <c r="P95" s="5">
        <v>0</v>
      </c>
      <c r="Q95" s="5">
        <v>66</v>
      </c>
      <c r="R95" s="5">
        <v>0</v>
      </c>
      <c r="S95" s="5">
        <v>0</v>
      </c>
      <c r="T95" s="5">
        <v>0</v>
      </c>
      <c r="U95" s="5">
        <v>0</v>
      </c>
      <c r="V95" s="5">
        <v>65</v>
      </c>
      <c r="W95" s="5">
        <v>11</v>
      </c>
      <c r="X95" s="5">
        <v>0</v>
      </c>
      <c r="Y95" s="6"/>
      <c r="Z95" s="7" t="s">
        <v>247</v>
      </c>
      <c r="AA95" s="3" t="s">
        <v>50</v>
      </c>
    </row>
    <row r="96" spans="1:27" ht="12.75" customHeight="1" x14ac:dyDescent="0.2">
      <c r="A96" s="3" t="s">
        <v>248</v>
      </c>
      <c r="B96" s="4">
        <v>11</v>
      </c>
      <c r="C96" s="5"/>
      <c r="D96" s="5">
        <v>1</v>
      </c>
      <c r="E96" s="5">
        <v>1</v>
      </c>
      <c r="F96" s="5">
        <v>50</v>
      </c>
      <c r="G96" s="5">
        <v>1</v>
      </c>
      <c r="H96" s="5">
        <v>92</v>
      </c>
      <c r="I96" s="5">
        <v>1</v>
      </c>
      <c r="J96" s="5">
        <v>0</v>
      </c>
      <c r="K96" s="5">
        <v>1</v>
      </c>
      <c r="L96" s="5">
        <v>5</v>
      </c>
      <c r="M96" s="5">
        <v>1</v>
      </c>
      <c r="N96" s="5">
        <v>1</v>
      </c>
      <c r="O96" s="5">
        <v>39</v>
      </c>
      <c r="P96" s="5">
        <v>5</v>
      </c>
      <c r="Q96" s="5">
        <v>82</v>
      </c>
      <c r="R96" s="5">
        <v>0</v>
      </c>
      <c r="S96" s="5">
        <v>3.5</v>
      </c>
      <c r="T96" s="5">
        <v>5</v>
      </c>
      <c r="U96" s="5">
        <v>5</v>
      </c>
      <c r="V96" s="5">
        <v>85</v>
      </c>
      <c r="W96" s="5">
        <v>50</v>
      </c>
      <c r="X96" s="5">
        <v>5</v>
      </c>
      <c r="Y96" s="6"/>
      <c r="Z96" s="7" t="s">
        <v>249</v>
      </c>
      <c r="AA96" s="3" t="s">
        <v>45</v>
      </c>
    </row>
    <row r="97" spans="1:27" ht="12.75" customHeight="1" x14ac:dyDescent="0.2">
      <c r="A97" s="3" t="s">
        <v>250</v>
      </c>
      <c r="B97" s="4">
        <v>12</v>
      </c>
      <c r="C97" s="5">
        <v>5</v>
      </c>
      <c r="D97" s="5">
        <v>0</v>
      </c>
      <c r="E97" s="5">
        <v>0</v>
      </c>
      <c r="F97" s="5">
        <v>40</v>
      </c>
      <c r="G97" s="5">
        <v>0</v>
      </c>
      <c r="H97" s="5">
        <v>60</v>
      </c>
      <c r="I97" s="5">
        <v>0</v>
      </c>
      <c r="J97" s="5">
        <v>0</v>
      </c>
      <c r="K97" s="5">
        <v>0</v>
      </c>
      <c r="L97" s="5">
        <v>4</v>
      </c>
      <c r="M97" s="5">
        <v>0</v>
      </c>
      <c r="N97" s="5">
        <v>0</v>
      </c>
      <c r="O97" s="5">
        <v>35.5</v>
      </c>
      <c r="P97" s="5">
        <v>0</v>
      </c>
      <c r="Q97" s="5">
        <v>62</v>
      </c>
      <c r="R97" s="5">
        <v>0</v>
      </c>
      <c r="S97" s="5">
        <v>0</v>
      </c>
      <c r="T97" s="5">
        <v>0</v>
      </c>
      <c r="U97" s="5">
        <v>0</v>
      </c>
      <c r="V97" s="5">
        <v>30</v>
      </c>
      <c r="W97" s="5">
        <v>11</v>
      </c>
      <c r="X97" s="5">
        <v>0</v>
      </c>
      <c r="Y97" s="6"/>
      <c r="Z97" s="7" t="s">
        <v>251</v>
      </c>
      <c r="AA97" s="3" t="s">
        <v>58</v>
      </c>
    </row>
    <row r="98" spans="1:27" ht="12.75" customHeight="1" x14ac:dyDescent="0.2">
      <c r="A98" s="3" t="s">
        <v>252</v>
      </c>
      <c r="B98" s="4">
        <v>11</v>
      </c>
      <c r="C98" s="5">
        <v>5</v>
      </c>
      <c r="D98" s="5">
        <v>1</v>
      </c>
      <c r="E98" s="5">
        <v>1</v>
      </c>
      <c r="F98" s="5">
        <v>47</v>
      </c>
      <c r="G98" s="5">
        <v>0.75</v>
      </c>
      <c r="H98" s="5">
        <v>75</v>
      </c>
      <c r="I98" s="5">
        <v>0</v>
      </c>
      <c r="J98" s="5">
        <v>0</v>
      </c>
      <c r="K98" s="5">
        <v>1</v>
      </c>
      <c r="L98" s="5">
        <v>5</v>
      </c>
      <c r="M98" s="5">
        <v>1</v>
      </c>
      <c r="N98" s="5">
        <v>0.5</v>
      </c>
      <c r="O98" s="5">
        <v>43</v>
      </c>
      <c r="P98" s="5">
        <v>0</v>
      </c>
      <c r="Q98" s="5">
        <v>80</v>
      </c>
      <c r="R98" s="5">
        <v>5</v>
      </c>
      <c r="S98" s="5">
        <v>5</v>
      </c>
      <c r="T98" s="5">
        <v>5</v>
      </c>
      <c r="U98" s="5">
        <v>5</v>
      </c>
      <c r="V98" s="5">
        <v>78</v>
      </c>
      <c r="W98" s="5">
        <v>50</v>
      </c>
      <c r="X98" s="5">
        <v>5</v>
      </c>
      <c r="Y98" s="6"/>
      <c r="Z98" s="7" t="s">
        <v>253</v>
      </c>
      <c r="AA98" s="3" t="s">
        <v>108</v>
      </c>
    </row>
    <row r="99" spans="1:27" ht="12.75" customHeight="1" x14ac:dyDescent="0.2">
      <c r="A99" s="3" t="s">
        <v>254</v>
      </c>
      <c r="B99" s="4">
        <v>10</v>
      </c>
      <c r="C99" s="5">
        <v>5</v>
      </c>
      <c r="D99" s="5">
        <v>1</v>
      </c>
      <c r="E99" s="5">
        <v>1</v>
      </c>
      <c r="F99" s="5">
        <v>50</v>
      </c>
      <c r="G99" s="5">
        <v>1</v>
      </c>
      <c r="H99" s="5">
        <v>68</v>
      </c>
      <c r="I99" s="5">
        <v>1</v>
      </c>
      <c r="J99" s="5">
        <v>0</v>
      </c>
      <c r="K99" s="5">
        <v>1</v>
      </c>
      <c r="L99" s="5">
        <v>5</v>
      </c>
      <c r="M99" s="5">
        <v>1</v>
      </c>
      <c r="N99" s="5">
        <v>1</v>
      </c>
      <c r="O99" s="5">
        <v>48.5</v>
      </c>
      <c r="P99" s="5">
        <v>0</v>
      </c>
      <c r="Q99" s="5">
        <v>72</v>
      </c>
      <c r="R99" s="5">
        <v>5</v>
      </c>
      <c r="S99" s="5">
        <v>5</v>
      </c>
      <c r="T99" s="5">
        <v>5</v>
      </c>
      <c r="U99" s="5">
        <v>5</v>
      </c>
      <c r="V99" s="5">
        <v>62</v>
      </c>
      <c r="W99" s="5">
        <v>11</v>
      </c>
      <c r="X99" s="5">
        <v>5</v>
      </c>
      <c r="Y99" s="6"/>
      <c r="Z99" s="7" t="s">
        <v>255</v>
      </c>
      <c r="AA99" s="3" t="s">
        <v>67</v>
      </c>
    </row>
    <row r="100" spans="1:27" ht="12.75" customHeight="1" x14ac:dyDescent="0.2">
      <c r="A100" s="3" t="s">
        <v>256</v>
      </c>
      <c r="B100" s="4">
        <v>11</v>
      </c>
      <c r="C100" s="5">
        <v>5</v>
      </c>
      <c r="D100" s="5">
        <v>1</v>
      </c>
      <c r="E100" s="5">
        <v>1</v>
      </c>
      <c r="F100" s="5">
        <v>48</v>
      </c>
      <c r="G100" s="5">
        <v>1</v>
      </c>
      <c r="H100" s="5">
        <v>66</v>
      </c>
      <c r="I100" s="5">
        <v>0</v>
      </c>
      <c r="J100" s="5">
        <v>0</v>
      </c>
      <c r="K100" s="5">
        <v>1</v>
      </c>
      <c r="L100" s="5">
        <v>5</v>
      </c>
      <c r="M100" s="5">
        <v>0</v>
      </c>
      <c r="N100" s="5">
        <v>1</v>
      </c>
      <c r="O100" s="5">
        <v>40</v>
      </c>
      <c r="P100" s="5">
        <v>0</v>
      </c>
      <c r="Q100" s="5">
        <v>73</v>
      </c>
      <c r="R100" s="5">
        <v>5</v>
      </c>
      <c r="S100" s="5">
        <v>5</v>
      </c>
      <c r="T100" s="5">
        <v>5</v>
      </c>
      <c r="U100" s="5">
        <v>5</v>
      </c>
      <c r="V100" s="5">
        <v>72</v>
      </c>
      <c r="W100" s="5">
        <v>44</v>
      </c>
      <c r="X100" s="5">
        <v>0</v>
      </c>
      <c r="Y100" s="6"/>
      <c r="Z100" s="7" t="s">
        <v>257</v>
      </c>
      <c r="AA100" s="3" t="s">
        <v>53</v>
      </c>
    </row>
    <row r="101" spans="1:27" ht="12.75" customHeight="1" x14ac:dyDescent="0.2">
      <c r="A101" s="3" t="s">
        <v>258</v>
      </c>
      <c r="B101" s="4">
        <v>11</v>
      </c>
      <c r="C101" s="5">
        <v>5</v>
      </c>
      <c r="D101" s="5">
        <v>1</v>
      </c>
      <c r="E101" s="5">
        <v>1</v>
      </c>
      <c r="F101" s="5">
        <v>50</v>
      </c>
      <c r="G101" s="5">
        <v>1</v>
      </c>
      <c r="H101" s="5">
        <v>75</v>
      </c>
      <c r="I101" s="5">
        <v>0</v>
      </c>
      <c r="J101" s="5">
        <v>0</v>
      </c>
      <c r="K101" s="5">
        <v>1</v>
      </c>
      <c r="L101" s="5">
        <v>5</v>
      </c>
      <c r="M101" s="5">
        <v>1</v>
      </c>
      <c r="N101" s="5">
        <v>0</v>
      </c>
      <c r="O101" s="5">
        <v>39</v>
      </c>
      <c r="P101" s="5">
        <v>0</v>
      </c>
      <c r="Q101" s="5">
        <v>80</v>
      </c>
      <c r="R101" s="5">
        <v>0</v>
      </c>
      <c r="S101" s="5">
        <v>0</v>
      </c>
      <c r="T101" s="5">
        <v>0</v>
      </c>
      <c r="U101" s="5">
        <v>0</v>
      </c>
      <c r="V101" s="5">
        <v>65</v>
      </c>
      <c r="W101" s="5">
        <v>50</v>
      </c>
      <c r="X101" s="5">
        <v>0</v>
      </c>
      <c r="Y101" s="6"/>
      <c r="Z101" s="7" t="s">
        <v>259</v>
      </c>
      <c r="AA101" s="3" t="s">
        <v>34</v>
      </c>
    </row>
    <row r="102" spans="1:27" ht="12.75" customHeight="1" x14ac:dyDescent="0.2">
      <c r="A102" s="3" t="s">
        <v>260</v>
      </c>
      <c r="B102" s="4">
        <v>10</v>
      </c>
      <c r="C102" s="5">
        <v>5</v>
      </c>
      <c r="D102" s="5">
        <v>1</v>
      </c>
      <c r="E102" s="5">
        <v>1</v>
      </c>
      <c r="F102" s="5">
        <v>50</v>
      </c>
      <c r="G102" s="5">
        <v>1</v>
      </c>
      <c r="H102" s="5">
        <v>86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34</v>
      </c>
      <c r="P102" s="5">
        <v>0</v>
      </c>
      <c r="Q102" s="5">
        <v>85</v>
      </c>
      <c r="R102" s="5">
        <v>5</v>
      </c>
      <c r="S102" s="5">
        <v>5</v>
      </c>
      <c r="T102" s="5">
        <v>5</v>
      </c>
      <c r="U102" s="5">
        <v>5</v>
      </c>
      <c r="V102" s="5">
        <v>85</v>
      </c>
      <c r="W102" s="5">
        <v>45</v>
      </c>
      <c r="X102" s="5">
        <v>5</v>
      </c>
      <c r="Y102" s="6"/>
      <c r="Z102" s="7" t="s">
        <v>261</v>
      </c>
      <c r="AA102" s="3" t="s">
        <v>45</v>
      </c>
    </row>
    <row r="103" spans="1:27" ht="12.75" customHeight="1" x14ac:dyDescent="0.2">
      <c r="A103" s="3" t="s">
        <v>262</v>
      </c>
      <c r="B103" s="4">
        <v>11</v>
      </c>
      <c r="C103" s="5">
        <v>5</v>
      </c>
      <c r="D103" s="5">
        <v>0</v>
      </c>
      <c r="E103" s="5">
        <v>0</v>
      </c>
      <c r="F103" s="5">
        <v>43</v>
      </c>
      <c r="G103" s="5">
        <v>0</v>
      </c>
      <c r="H103" s="5">
        <v>60</v>
      </c>
      <c r="I103" s="5">
        <v>0</v>
      </c>
      <c r="J103" s="5">
        <v>0</v>
      </c>
      <c r="K103" s="5">
        <v>0</v>
      </c>
      <c r="L103" s="5">
        <v>2</v>
      </c>
      <c r="M103" s="5">
        <v>0</v>
      </c>
      <c r="N103" s="5">
        <v>0</v>
      </c>
      <c r="O103" s="5">
        <v>28.5</v>
      </c>
      <c r="P103" s="5">
        <v>0</v>
      </c>
      <c r="Q103" s="5">
        <v>65</v>
      </c>
      <c r="R103" s="5">
        <v>0</v>
      </c>
      <c r="S103" s="5">
        <v>0</v>
      </c>
      <c r="T103" s="5">
        <v>0</v>
      </c>
      <c r="U103" s="5">
        <v>0</v>
      </c>
      <c r="V103" s="5">
        <v>30</v>
      </c>
      <c r="W103" s="5">
        <v>10</v>
      </c>
      <c r="X103" s="5">
        <v>0</v>
      </c>
      <c r="Y103" s="6"/>
      <c r="Z103" s="7" t="s">
        <v>263</v>
      </c>
      <c r="AA103" s="3" t="s">
        <v>58</v>
      </c>
    </row>
    <row r="104" spans="1:27" ht="12.75" customHeight="1" x14ac:dyDescent="0.2">
      <c r="A104" s="3" t="s">
        <v>264</v>
      </c>
      <c r="B104" s="4">
        <v>10</v>
      </c>
      <c r="C104" s="5">
        <v>5</v>
      </c>
      <c r="D104" s="5">
        <v>1</v>
      </c>
      <c r="E104" s="5">
        <v>1</v>
      </c>
      <c r="F104" s="5">
        <v>50</v>
      </c>
      <c r="G104" s="5">
        <v>1</v>
      </c>
      <c r="H104" s="5">
        <v>88</v>
      </c>
      <c r="I104" s="5">
        <v>0</v>
      </c>
      <c r="J104" s="5">
        <v>0</v>
      </c>
      <c r="K104" s="5">
        <v>0</v>
      </c>
      <c r="L104" s="5">
        <v>5</v>
      </c>
      <c r="M104" s="5">
        <v>0</v>
      </c>
      <c r="N104" s="5">
        <v>0</v>
      </c>
      <c r="O104" s="5">
        <v>50</v>
      </c>
      <c r="P104" s="5">
        <v>0</v>
      </c>
      <c r="Q104" s="5">
        <v>92</v>
      </c>
      <c r="R104" s="5">
        <v>5</v>
      </c>
      <c r="S104" s="5">
        <v>5</v>
      </c>
      <c r="T104" s="5">
        <v>5</v>
      </c>
      <c r="U104" s="5">
        <v>5</v>
      </c>
      <c r="V104" s="5">
        <v>82</v>
      </c>
      <c r="W104" s="5">
        <v>50</v>
      </c>
      <c r="X104" s="5">
        <v>5</v>
      </c>
      <c r="Y104" s="6"/>
      <c r="Z104" s="7" t="s">
        <v>265</v>
      </c>
      <c r="AA104" s="3" t="s">
        <v>31</v>
      </c>
    </row>
    <row r="105" spans="1:27" ht="12.75" customHeight="1" x14ac:dyDescent="0.2">
      <c r="A105" s="3" t="s">
        <v>266</v>
      </c>
      <c r="B105" s="4">
        <v>10</v>
      </c>
      <c r="C105" s="5">
        <v>5</v>
      </c>
      <c r="D105" s="5">
        <v>1</v>
      </c>
      <c r="E105" s="5">
        <v>1</v>
      </c>
      <c r="F105" s="5">
        <v>48</v>
      </c>
      <c r="G105" s="5">
        <v>1</v>
      </c>
      <c r="H105" s="5">
        <v>100</v>
      </c>
      <c r="I105" s="5">
        <v>1</v>
      </c>
      <c r="J105" s="5">
        <v>1</v>
      </c>
      <c r="K105" s="5">
        <v>1</v>
      </c>
      <c r="L105" s="5">
        <v>5</v>
      </c>
      <c r="M105" s="5">
        <v>1</v>
      </c>
      <c r="N105" s="5">
        <v>1</v>
      </c>
      <c r="O105" s="5">
        <v>44</v>
      </c>
      <c r="P105" s="5">
        <v>0</v>
      </c>
      <c r="Q105" s="5">
        <v>95</v>
      </c>
      <c r="R105" s="5">
        <v>5</v>
      </c>
      <c r="S105" s="5">
        <v>5</v>
      </c>
      <c r="T105" s="5">
        <v>5</v>
      </c>
      <c r="U105" s="5">
        <v>0</v>
      </c>
      <c r="V105" s="5">
        <v>100</v>
      </c>
      <c r="W105" s="5">
        <v>50</v>
      </c>
      <c r="X105" s="5">
        <v>5</v>
      </c>
      <c r="Y105" s="6"/>
      <c r="Z105" s="7" t="s">
        <v>267</v>
      </c>
      <c r="AA105" s="3" t="s">
        <v>268</v>
      </c>
    </row>
    <row r="106" spans="1:27" ht="12.75" customHeight="1" x14ac:dyDescent="0.2">
      <c r="A106" s="3" t="s">
        <v>269</v>
      </c>
      <c r="B106" s="4">
        <v>11</v>
      </c>
      <c r="C106" s="5">
        <v>5</v>
      </c>
      <c r="D106" s="5">
        <v>0</v>
      </c>
      <c r="E106" s="5">
        <v>0</v>
      </c>
      <c r="F106" s="5">
        <v>48</v>
      </c>
      <c r="G106" s="5">
        <v>0</v>
      </c>
      <c r="H106" s="5">
        <v>62</v>
      </c>
      <c r="I106" s="5">
        <v>0</v>
      </c>
      <c r="J106" s="5">
        <v>0</v>
      </c>
      <c r="K106" s="5">
        <v>0</v>
      </c>
      <c r="L106" s="5">
        <v>3</v>
      </c>
      <c r="M106" s="5">
        <v>0</v>
      </c>
      <c r="N106" s="5">
        <v>0</v>
      </c>
      <c r="O106" s="5">
        <v>48.5</v>
      </c>
      <c r="P106" s="5">
        <v>0</v>
      </c>
      <c r="Q106" s="5">
        <v>78</v>
      </c>
      <c r="R106" s="5">
        <v>0</v>
      </c>
      <c r="S106" s="5">
        <v>0</v>
      </c>
      <c r="T106" s="5">
        <v>0</v>
      </c>
      <c r="U106" s="5">
        <v>0</v>
      </c>
      <c r="V106" s="5">
        <v>70</v>
      </c>
      <c r="W106" s="5">
        <v>50</v>
      </c>
      <c r="X106" s="5">
        <v>0</v>
      </c>
      <c r="Y106" s="6"/>
      <c r="Z106" s="7" t="s">
        <v>270</v>
      </c>
      <c r="AA106" s="3" t="s">
        <v>53</v>
      </c>
    </row>
    <row r="107" spans="1:27" ht="12.75" customHeight="1" x14ac:dyDescent="0.2">
      <c r="A107" s="3" t="s">
        <v>271</v>
      </c>
      <c r="B107" s="4">
        <v>10</v>
      </c>
      <c r="C107" s="5">
        <v>5</v>
      </c>
      <c r="D107" s="5">
        <v>1</v>
      </c>
      <c r="E107" s="5">
        <v>1</v>
      </c>
      <c r="F107" s="5">
        <v>48</v>
      </c>
      <c r="G107" s="5">
        <v>1</v>
      </c>
      <c r="H107" s="5">
        <v>92</v>
      </c>
      <c r="I107" s="5">
        <v>1</v>
      </c>
      <c r="J107" s="5">
        <v>1</v>
      </c>
      <c r="K107" s="5">
        <v>1</v>
      </c>
      <c r="L107" s="5">
        <v>5</v>
      </c>
      <c r="M107" s="5">
        <v>1</v>
      </c>
      <c r="N107" s="5">
        <v>1</v>
      </c>
      <c r="O107" s="5">
        <v>48.5</v>
      </c>
      <c r="P107" s="5">
        <v>5</v>
      </c>
      <c r="Q107" s="5">
        <v>88</v>
      </c>
      <c r="R107" s="5">
        <v>5</v>
      </c>
      <c r="S107" s="5">
        <v>5</v>
      </c>
      <c r="T107" s="5">
        <v>5</v>
      </c>
      <c r="U107" s="5">
        <v>5</v>
      </c>
      <c r="V107" s="5">
        <v>95</v>
      </c>
      <c r="W107" s="5">
        <v>47</v>
      </c>
      <c r="X107" s="5">
        <v>5</v>
      </c>
      <c r="Y107" s="6"/>
      <c r="Z107" s="7" t="s">
        <v>272</v>
      </c>
      <c r="AA107" s="3" t="s">
        <v>70</v>
      </c>
    </row>
    <row r="108" spans="1:27" ht="12.75" customHeight="1" x14ac:dyDescent="0.2">
      <c r="A108" s="3" t="s">
        <v>273</v>
      </c>
      <c r="B108" s="4">
        <v>10</v>
      </c>
      <c r="C108" s="5">
        <v>5</v>
      </c>
      <c r="D108" s="5">
        <v>1</v>
      </c>
      <c r="E108" s="5">
        <v>1</v>
      </c>
      <c r="F108" s="5">
        <v>48</v>
      </c>
      <c r="G108" s="5">
        <v>1</v>
      </c>
      <c r="H108" s="5">
        <v>100</v>
      </c>
      <c r="I108" s="5">
        <v>1</v>
      </c>
      <c r="J108" s="5">
        <v>1</v>
      </c>
      <c r="K108" s="5">
        <v>1</v>
      </c>
      <c r="L108" s="5">
        <v>5</v>
      </c>
      <c r="M108" s="5">
        <v>1</v>
      </c>
      <c r="N108" s="5">
        <v>1</v>
      </c>
      <c r="O108" s="5">
        <v>50</v>
      </c>
      <c r="P108" s="5">
        <v>0</v>
      </c>
      <c r="Q108" s="5">
        <v>95</v>
      </c>
      <c r="R108" s="5">
        <v>5</v>
      </c>
      <c r="S108" s="5">
        <v>5</v>
      </c>
      <c r="T108" s="5">
        <v>5</v>
      </c>
      <c r="U108" s="5">
        <v>5</v>
      </c>
      <c r="V108" s="5">
        <v>92</v>
      </c>
      <c r="W108" s="5">
        <v>50</v>
      </c>
      <c r="X108" s="5">
        <v>5</v>
      </c>
      <c r="Y108" s="6"/>
      <c r="Z108" s="7" t="s">
        <v>274</v>
      </c>
      <c r="AA108" s="3" t="s">
        <v>42</v>
      </c>
    </row>
    <row r="109" spans="1:27" ht="12.75" customHeight="1" x14ac:dyDescent="0.2">
      <c r="A109" s="3" t="s">
        <v>275</v>
      </c>
      <c r="B109" s="4">
        <v>11</v>
      </c>
      <c r="C109" s="5">
        <v>5</v>
      </c>
      <c r="D109" s="5">
        <v>0</v>
      </c>
      <c r="E109" s="5">
        <v>1</v>
      </c>
      <c r="F109" s="5">
        <v>50</v>
      </c>
      <c r="G109" s="5">
        <v>1</v>
      </c>
      <c r="H109" s="5">
        <v>70</v>
      </c>
      <c r="I109" s="5">
        <v>0</v>
      </c>
      <c r="J109" s="5">
        <v>0</v>
      </c>
      <c r="K109" s="5">
        <v>1</v>
      </c>
      <c r="L109" s="5">
        <v>5</v>
      </c>
      <c r="M109" s="5">
        <v>1</v>
      </c>
      <c r="N109" s="5">
        <v>1</v>
      </c>
      <c r="O109" s="5">
        <v>50</v>
      </c>
      <c r="P109" s="5">
        <v>5</v>
      </c>
      <c r="Q109" s="5">
        <v>72</v>
      </c>
      <c r="R109" s="5">
        <v>0</v>
      </c>
      <c r="S109" s="5">
        <v>5</v>
      </c>
      <c r="T109" s="5">
        <v>5</v>
      </c>
      <c r="U109" s="5">
        <v>5</v>
      </c>
      <c r="V109" s="5">
        <v>75</v>
      </c>
      <c r="W109" s="5">
        <v>50</v>
      </c>
      <c r="X109" s="5">
        <v>0</v>
      </c>
      <c r="Y109" s="6"/>
      <c r="Z109" s="7" t="s">
        <v>276</v>
      </c>
      <c r="AA109" s="3" t="s">
        <v>34</v>
      </c>
    </row>
    <row r="110" spans="1:27" ht="12.75" customHeight="1" x14ac:dyDescent="0.2">
      <c r="A110" s="3" t="s">
        <v>277</v>
      </c>
      <c r="B110" s="4">
        <v>11</v>
      </c>
      <c r="C110" s="5">
        <v>5</v>
      </c>
      <c r="D110" s="5">
        <v>0</v>
      </c>
      <c r="E110" s="5">
        <v>0</v>
      </c>
      <c r="F110" s="5">
        <v>39</v>
      </c>
      <c r="G110" s="5">
        <v>0</v>
      </c>
      <c r="H110" s="5">
        <v>70</v>
      </c>
      <c r="I110" s="5">
        <v>0</v>
      </c>
      <c r="J110" s="5">
        <v>0</v>
      </c>
      <c r="K110" s="5">
        <v>0</v>
      </c>
      <c r="L110" s="5">
        <v>5</v>
      </c>
      <c r="M110" s="5">
        <v>0</v>
      </c>
      <c r="N110" s="5">
        <v>0</v>
      </c>
      <c r="O110" s="5">
        <v>36</v>
      </c>
      <c r="P110" s="5">
        <v>0</v>
      </c>
      <c r="Q110" s="5">
        <v>65</v>
      </c>
      <c r="R110" s="5">
        <v>0</v>
      </c>
      <c r="S110" s="5">
        <v>0</v>
      </c>
      <c r="T110" s="5">
        <v>0</v>
      </c>
      <c r="U110" s="5">
        <v>0</v>
      </c>
      <c r="V110" s="5">
        <v>62</v>
      </c>
      <c r="W110" s="5">
        <v>39</v>
      </c>
      <c r="X110" s="5">
        <v>0</v>
      </c>
      <c r="Y110" s="6"/>
      <c r="Z110" s="7" t="s">
        <v>278</v>
      </c>
      <c r="AA110" s="3" t="s">
        <v>50</v>
      </c>
    </row>
    <row r="111" spans="1:27" ht="12.75" customHeight="1" x14ac:dyDescent="0.2">
      <c r="A111" s="3" t="s">
        <v>279</v>
      </c>
      <c r="B111" s="4">
        <v>11</v>
      </c>
      <c r="C111" s="5">
        <v>5</v>
      </c>
      <c r="D111" s="5">
        <v>0</v>
      </c>
      <c r="E111" s="5">
        <v>0</v>
      </c>
      <c r="F111" s="5">
        <v>48</v>
      </c>
      <c r="G111" s="5">
        <v>0</v>
      </c>
      <c r="H111" s="5">
        <v>85</v>
      </c>
      <c r="I111" s="5">
        <v>0</v>
      </c>
      <c r="J111" s="5">
        <v>0</v>
      </c>
      <c r="K111" s="5">
        <v>0</v>
      </c>
      <c r="L111" s="5">
        <v>5</v>
      </c>
      <c r="M111" s="5">
        <v>0</v>
      </c>
      <c r="N111" s="5">
        <v>0</v>
      </c>
      <c r="O111" s="5">
        <v>38</v>
      </c>
      <c r="P111" s="5">
        <v>0</v>
      </c>
      <c r="Q111" s="5">
        <v>86</v>
      </c>
      <c r="R111" s="5">
        <v>0</v>
      </c>
      <c r="S111" s="5">
        <v>0</v>
      </c>
      <c r="T111" s="5">
        <v>0</v>
      </c>
      <c r="U111" s="5">
        <v>0</v>
      </c>
      <c r="V111" s="5">
        <v>62</v>
      </c>
      <c r="W111" s="5">
        <v>50</v>
      </c>
      <c r="X111" s="5">
        <v>0</v>
      </c>
      <c r="Y111" s="6"/>
      <c r="Z111" s="7" t="s">
        <v>280</v>
      </c>
      <c r="AA111" s="3" t="s">
        <v>108</v>
      </c>
    </row>
    <row r="112" spans="1:27" ht="12.75" customHeight="1" x14ac:dyDescent="0.2">
      <c r="A112" s="3" t="s">
        <v>281</v>
      </c>
      <c r="B112" s="4">
        <v>11</v>
      </c>
      <c r="C112" s="5">
        <v>5</v>
      </c>
      <c r="D112" s="5">
        <v>1</v>
      </c>
      <c r="E112" s="5">
        <v>1</v>
      </c>
      <c r="F112" s="5">
        <v>48</v>
      </c>
      <c r="G112" s="5">
        <v>0</v>
      </c>
      <c r="H112" s="5">
        <v>72</v>
      </c>
      <c r="I112" s="5">
        <v>1</v>
      </c>
      <c r="J112" s="5">
        <v>0</v>
      </c>
      <c r="K112" s="5">
        <v>1</v>
      </c>
      <c r="L112" s="5">
        <v>3</v>
      </c>
      <c r="M112" s="5">
        <v>0</v>
      </c>
      <c r="N112" s="5">
        <v>0</v>
      </c>
      <c r="O112" s="5">
        <v>44.5</v>
      </c>
      <c r="P112" s="5">
        <v>0</v>
      </c>
      <c r="Q112" s="5">
        <v>63</v>
      </c>
      <c r="R112" s="5">
        <v>0</v>
      </c>
      <c r="S112" s="5">
        <v>0</v>
      </c>
      <c r="T112" s="5">
        <v>0</v>
      </c>
      <c r="U112" s="5">
        <v>0</v>
      </c>
      <c r="V112" s="5">
        <v>30</v>
      </c>
      <c r="W112" s="5">
        <v>50</v>
      </c>
      <c r="X112" s="5">
        <v>0</v>
      </c>
      <c r="Y112" s="6"/>
      <c r="Z112" s="7" t="s">
        <v>282</v>
      </c>
      <c r="AA112" s="3" t="s">
        <v>58</v>
      </c>
    </row>
    <row r="113" spans="1:27" ht="12.75" customHeight="1" x14ac:dyDescent="0.2">
      <c r="A113" s="3" t="s">
        <v>283</v>
      </c>
      <c r="B113" s="4">
        <v>11</v>
      </c>
      <c r="C113" s="5"/>
      <c r="D113" s="5"/>
      <c r="E113" s="5"/>
      <c r="F113" s="5"/>
      <c r="G113" s="5"/>
      <c r="H113" s="5" t="s">
        <v>150</v>
      </c>
      <c r="I113" s="5"/>
      <c r="J113" s="5"/>
      <c r="K113" s="5"/>
      <c r="L113" s="5">
        <v>5</v>
      </c>
      <c r="M113" s="5">
        <v>0</v>
      </c>
      <c r="N113" s="5">
        <v>0</v>
      </c>
      <c r="O113" s="5">
        <v>45.5</v>
      </c>
      <c r="P113" s="5">
        <v>0</v>
      </c>
      <c r="Q113" s="5">
        <v>72</v>
      </c>
      <c r="R113" s="5">
        <v>0</v>
      </c>
      <c r="S113" s="5">
        <v>0</v>
      </c>
      <c r="T113" s="5">
        <v>0</v>
      </c>
      <c r="U113" s="5">
        <v>0</v>
      </c>
      <c r="V113" s="5">
        <v>65</v>
      </c>
      <c r="W113" s="5">
        <v>11</v>
      </c>
      <c r="X113" s="5">
        <v>0</v>
      </c>
      <c r="Y113" s="6"/>
      <c r="Z113" s="7" t="s">
        <v>284</v>
      </c>
      <c r="AA113" s="3" t="s">
        <v>50</v>
      </c>
    </row>
    <row r="114" spans="1:27" ht="12.75" customHeight="1" x14ac:dyDescent="0.2">
      <c r="A114" s="3" t="s">
        <v>285</v>
      </c>
      <c r="B114" s="4">
        <v>11</v>
      </c>
      <c r="C114" s="5">
        <v>0</v>
      </c>
      <c r="D114" s="5">
        <v>0</v>
      </c>
      <c r="E114" s="5">
        <v>0</v>
      </c>
      <c r="F114" s="5">
        <v>44</v>
      </c>
      <c r="G114" s="5">
        <v>0</v>
      </c>
      <c r="H114" s="5">
        <v>60</v>
      </c>
      <c r="I114" s="5">
        <v>0</v>
      </c>
      <c r="J114" s="5">
        <v>0</v>
      </c>
      <c r="K114" s="5">
        <v>0</v>
      </c>
      <c r="L114" s="5">
        <v>5</v>
      </c>
      <c r="M114" s="5">
        <v>1</v>
      </c>
      <c r="N114" s="5">
        <v>1</v>
      </c>
      <c r="O114" s="5">
        <v>41</v>
      </c>
      <c r="P114" s="5">
        <v>0</v>
      </c>
      <c r="Q114" s="5">
        <v>63</v>
      </c>
      <c r="R114" s="5">
        <v>0</v>
      </c>
      <c r="S114" s="5">
        <v>0</v>
      </c>
      <c r="T114" s="5">
        <v>0</v>
      </c>
      <c r="U114" s="5">
        <v>0</v>
      </c>
      <c r="V114" s="5">
        <v>68</v>
      </c>
      <c r="W114" s="5">
        <v>44</v>
      </c>
      <c r="X114" s="5">
        <v>0</v>
      </c>
      <c r="Y114" s="6"/>
      <c r="Z114" s="7" t="s">
        <v>286</v>
      </c>
      <c r="AA114" s="3" t="s">
        <v>50</v>
      </c>
    </row>
    <row r="115" spans="1:27" ht="12.75" customHeight="1" x14ac:dyDescent="0.2">
      <c r="A115" s="8" t="s">
        <v>88</v>
      </c>
      <c r="B115" s="9"/>
      <c r="C115" s="10" t="s">
        <v>287</v>
      </c>
      <c r="D115" s="10" t="s">
        <v>288</v>
      </c>
      <c r="E115" s="10" t="s">
        <v>289</v>
      </c>
      <c r="F115" s="10" t="s">
        <v>290</v>
      </c>
      <c r="G115" s="10" t="s">
        <v>291</v>
      </c>
      <c r="H115" s="10" t="s">
        <v>292</v>
      </c>
      <c r="I115" s="10" t="s">
        <v>293</v>
      </c>
      <c r="J115" s="10" t="s">
        <v>294</v>
      </c>
      <c r="K115" s="10" t="s">
        <v>288</v>
      </c>
      <c r="L115" s="10" t="s">
        <v>295</v>
      </c>
      <c r="M115" s="10" t="s">
        <v>296</v>
      </c>
      <c r="N115" s="10" t="s">
        <v>297</v>
      </c>
      <c r="O115" s="10" t="s">
        <v>298</v>
      </c>
      <c r="P115" s="10" t="s">
        <v>299</v>
      </c>
      <c r="Q115" s="10" t="s">
        <v>300</v>
      </c>
      <c r="R115" s="10" t="s">
        <v>301</v>
      </c>
      <c r="S115" s="10" t="s">
        <v>302</v>
      </c>
      <c r="T115" s="10" t="s">
        <v>303</v>
      </c>
      <c r="U115" s="10" t="s">
        <v>304</v>
      </c>
      <c r="V115" s="10" t="s">
        <v>305</v>
      </c>
      <c r="W115" s="10" t="s">
        <v>306</v>
      </c>
      <c r="X115" s="10" t="s">
        <v>307</v>
      </c>
      <c r="Y115" s="10" t="s">
        <v>102</v>
      </c>
      <c r="Z115" s="12" t="s">
        <v>308</v>
      </c>
      <c r="AA115" s="8" t="s">
        <v>34</v>
      </c>
    </row>
    <row r="116" spans="1:27" ht="12.75" customHeight="1" x14ac:dyDescent="0.2">
      <c r="A116" s="1" t="s">
        <v>109</v>
      </c>
    </row>
    <row r="117" spans="1:27" ht="12.75" customHeight="1" x14ac:dyDescent="0.2">
      <c r="A117" s="1" t="s">
        <v>309</v>
      </c>
    </row>
    <row r="118" spans="1:27" ht="12.75" customHeight="1" x14ac:dyDescent="0.2">
      <c r="A118" s="1" t="s">
        <v>111</v>
      </c>
    </row>
    <row r="119" spans="1:27" ht="12.75" customHeight="1" x14ac:dyDescent="0.2">
      <c r="A119" s="1" t="s">
        <v>310</v>
      </c>
    </row>
    <row r="120" spans="1:27" ht="12.75" customHeight="1" x14ac:dyDescent="0.2">
      <c r="A120" s="1" t="s">
        <v>0</v>
      </c>
      <c r="B120" s="2" t="s">
        <v>1</v>
      </c>
      <c r="C120" s="2" t="s">
        <v>2</v>
      </c>
      <c r="D120" s="2" t="s">
        <v>3</v>
      </c>
      <c r="E120" s="2" t="s">
        <v>4</v>
      </c>
      <c r="F120" s="2" t="s">
        <v>5</v>
      </c>
      <c r="G120" s="2" t="s">
        <v>6</v>
      </c>
      <c r="H120" s="2" t="s">
        <v>7</v>
      </c>
      <c r="I120" s="2" t="s">
        <v>8</v>
      </c>
      <c r="J120" s="2" t="s">
        <v>9</v>
      </c>
      <c r="K120" s="2" t="s">
        <v>10</v>
      </c>
      <c r="L120" s="2" t="s">
        <v>11</v>
      </c>
      <c r="M120" s="2" t="s">
        <v>12</v>
      </c>
      <c r="N120" s="2" t="s">
        <v>13</v>
      </c>
      <c r="O120" s="2" t="s">
        <v>14</v>
      </c>
      <c r="P120" s="2" t="s">
        <v>15</v>
      </c>
      <c r="Q120" s="2" t="s">
        <v>16</v>
      </c>
      <c r="R120" s="2" t="s">
        <v>17</v>
      </c>
      <c r="S120" s="2" t="s">
        <v>18</v>
      </c>
      <c r="T120" s="2" t="s">
        <v>19</v>
      </c>
      <c r="Z120" s="2" t="s">
        <v>20</v>
      </c>
      <c r="AA120" s="2" t="s">
        <v>21</v>
      </c>
    </row>
    <row r="121" spans="1:27" ht="12.75" customHeight="1" x14ac:dyDescent="0.2">
      <c r="A121" s="1" t="s">
        <v>22</v>
      </c>
      <c r="C121" s="2" t="s">
        <v>13</v>
      </c>
      <c r="D121" s="2" t="s">
        <v>13</v>
      </c>
      <c r="E121" s="2" t="s">
        <v>11</v>
      </c>
      <c r="F121" s="2" t="s">
        <v>23</v>
      </c>
      <c r="G121" s="2" t="s">
        <v>16</v>
      </c>
      <c r="H121" s="2" t="s">
        <v>11</v>
      </c>
      <c r="I121" s="2" t="s">
        <v>10</v>
      </c>
      <c r="J121" s="2" t="s">
        <v>23</v>
      </c>
      <c r="K121" s="2" t="s">
        <v>8</v>
      </c>
      <c r="L121" s="2" t="s">
        <v>8</v>
      </c>
      <c r="M121" s="2" t="s">
        <v>12</v>
      </c>
      <c r="N121" s="2" t="s">
        <v>9</v>
      </c>
      <c r="O121" s="2" t="s">
        <v>23</v>
      </c>
      <c r="P121" s="2" t="s">
        <v>23</v>
      </c>
      <c r="Q121" s="2" t="s">
        <v>25</v>
      </c>
      <c r="R121" s="2" t="s">
        <v>11</v>
      </c>
      <c r="S121" s="2" t="s">
        <v>8</v>
      </c>
      <c r="T121" s="2" t="s">
        <v>24</v>
      </c>
    </row>
    <row r="122" spans="1:27" ht="12.75" customHeight="1" x14ac:dyDescent="0.2">
      <c r="A122" s="1" t="s">
        <v>26</v>
      </c>
      <c r="C122" s="2" t="s">
        <v>27</v>
      </c>
      <c r="D122" s="2" t="s">
        <v>27</v>
      </c>
      <c r="E122" s="2" t="s">
        <v>27</v>
      </c>
      <c r="F122" s="2" t="s">
        <v>27</v>
      </c>
      <c r="G122" s="2" t="s">
        <v>28</v>
      </c>
      <c r="H122" s="2" t="s">
        <v>28</v>
      </c>
      <c r="I122" s="2" t="s">
        <v>28</v>
      </c>
      <c r="J122" s="2" t="s">
        <v>28</v>
      </c>
      <c r="K122" s="2" t="s">
        <v>28</v>
      </c>
      <c r="L122" s="2" t="s">
        <v>28</v>
      </c>
      <c r="M122" s="2" t="s">
        <v>28</v>
      </c>
      <c r="N122" s="2" t="s">
        <v>28</v>
      </c>
      <c r="O122" s="2" t="s">
        <v>28</v>
      </c>
      <c r="P122" s="2" t="s">
        <v>28</v>
      </c>
      <c r="Q122" s="2" t="s">
        <v>28</v>
      </c>
      <c r="R122" s="2" t="s">
        <v>28</v>
      </c>
      <c r="S122" s="2" t="s">
        <v>28</v>
      </c>
      <c r="T122" s="2" t="s">
        <v>28</v>
      </c>
    </row>
    <row r="123" spans="1:27" ht="12.75" customHeight="1" x14ac:dyDescent="0.2">
      <c r="A123" s="3" t="s">
        <v>311</v>
      </c>
      <c r="B123" s="4">
        <v>10</v>
      </c>
      <c r="C123" s="5">
        <v>15</v>
      </c>
      <c r="D123" s="5">
        <v>7</v>
      </c>
      <c r="E123" s="5">
        <v>9.66</v>
      </c>
      <c r="F123" s="5">
        <v>78</v>
      </c>
      <c r="G123" s="5">
        <v>9</v>
      </c>
      <c r="H123" s="5">
        <v>0</v>
      </c>
      <c r="I123" s="5">
        <v>0</v>
      </c>
      <c r="J123" s="5">
        <v>78</v>
      </c>
      <c r="K123" s="5">
        <v>8</v>
      </c>
      <c r="L123" s="5">
        <v>7</v>
      </c>
      <c r="M123" s="5">
        <v>5.5</v>
      </c>
      <c r="N123" s="5">
        <v>9</v>
      </c>
      <c r="O123" s="5">
        <v>68</v>
      </c>
      <c r="P123" s="5"/>
      <c r="Q123" s="5">
        <v>22</v>
      </c>
      <c r="R123" s="5">
        <v>13</v>
      </c>
      <c r="S123" s="5">
        <v>5</v>
      </c>
      <c r="T123" s="5">
        <v>0</v>
      </c>
      <c r="U123" s="6"/>
      <c r="V123" s="6"/>
      <c r="W123" s="6"/>
      <c r="X123" s="6"/>
      <c r="Y123" s="6"/>
      <c r="Z123" s="7" t="s">
        <v>312</v>
      </c>
      <c r="AA123" s="3" t="s">
        <v>53</v>
      </c>
    </row>
    <row r="124" spans="1:27" ht="12.75" customHeight="1" x14ac:dyDescent="0.2">
      <c r="A124" s="3" t="s">
        <v>313</v>
      </c>
      <c r="B124" s="4">
        <v>10</v>
      </c>
      <c r="C124" s="5">
        <v>13.5</v>
      </c>
      <c r="D124" s="5">
        <v>14</v>
      </c>
      <c r="E124" s="5">
        <v>9.66</v>
      </c>
      <c r="F124" s="5">
        <v>72</v>
      </c>
      <c r="G124" s="5">
        <v>17</v>
      </c>
      <c r="H124" s="5">
        <v>12.4</v>
      </c>
      <c r="I124" s="5">
        <v>12</v>
      </c>
      <c r="J124" s="5">
        <v>72</v>
      </c>
      <c r="K124" s="5">
        <v>9</v>
      </c>
      <c r="L124" s="5">
        <v>10</v>
      </c>
      <c r="M124" s="5">
        <v>3</v>
      </c>
      <c r="N124" s="5">
        <v>11</v>
      </c>
      <c r="O124" s="5">
        <v>68</v>
      </c>
      <c r="P124" s="5"/>
      <c r="Q124" s="5">
        <v>21</v>
      </c>
      <c r="R124" s="5">
        <v>9.9</v>
      </c>
      <c r="S124" s="5">
        <v>9</v>
      </c>
      <c r="T124" s="5">
        <v>26</v>
      </c>
      <c r="U124" s="6"/>
      <c r="V124" s="6"/>
      <c r="W124" s="6"/>
      <c r="X124" s="6"/>
      <c r="Y124" s="6"/>
      <c r="Z124" s="7" t="s">
        <v>314</v>
      </c>
      <c r="AA124" s="3" t="s">
        <v>34</v>
      </c>
    </row>
    <row r="125" spans="1:27" ht="12.75" customHeight="1" x14ac:dyDescent="0.2">
      <c r="A125" s="3" t="s">
        <v>315</v>
      </c>
      <c r="B125" s="4">
        <v>10</v>
      </c>
      <c r="C125" s="5">
        <v>15</v>
      </c>
      <c r="D125" s="5">
        <v>14</v>
      </c>
      <c r="E125" s="5">
        <v>11</v>
      </c>
      <c r="F125" s="5">
        <v>95</v>
      </c>
      <c r="G125" s="5">
        <v>18</v>
      </c>
      <c r="H125" s="5">
        <v>10</v>
      </c>
      <c r="I125" s="5">
        <v>12</v>
      </c>
      <c r="J125" s="5">
        <v>95</v>
      </c>
      <c r="K125" s="5">
        <v>10</v>
      </c>
      <c r="L125" s="5">
        <v>10</v>
      </c>
      <c r="M125" s="5">
        <v>11</v>
      </c>
      <c r="N125" s="5">
        <v>11</v>
      </c>
      <c r="O125" s="5">
        <v>100</v>
      </c>
      <c r="P125" s="5"/>
      <c r="Q125" s="5">
        <v>22</v>
      </c>
      <c r="R125" s="5">
        <v>11</v>
      </c>
      <c r="S125" s="5">
        <v>9.5</v>
      </c>
      <c r="T125" s="5">
        <v>24</v>
      </c>
      <c r="U125" s="6"/>
      <c r="V125" s="6"/>
      <c r="W125" s="6"/>
      <c r="X125" s="6"/>
      <c r="Y125" s="6"/>
      <c r="Z125" s="7" t="s">
        <v>316</v>
      </c>
      <c r="AA125" s="3" t="s">
        <v>42</v>
      </c>
    </row>
    <row r="126" spans="1:27" ht="12.75" customHeight="1" x14ac:dyDescent="0.2">
      <c r="A126" s="3" t="s">
        <v>317</v>
      </c>
      <c r="B126" s="4">
        <v>10</v>
      </c>
      <c r="C126" s="5">
        <v>13</v>
      </c>
      <c r="D126" s="5">
        <v>6.5</v>
      </c>
      <c r="E126" s="5">
        <v>9.67</v>
      </c>
      <c r="F126" s="5">
        <v>65</v>
      </c>
      <c r="G126" s="5">
        <v>16</v>
      </c>
      <c r="H126" s="5">
        <v>0</v>
      </c>
      <c r="I126" s="5">
        <v>0</v>
      </c>
      <c r="J126" s="5">
        <v>62</v>
      </c>
      <c r="K126" s="5">
        <v>0</v>
      </c>
      <c r="L126" s="5">
        <v>0</v>
      </c>
      <c r="M126" s="5">
        <v>4.5</v>
      </c>
      <c r="N126" s="5">
        <v>11</v>
      </c>
      <c r="O126" s="5">
        <v>68</v>
      </c>
      <c r="P126" s="5"/>
      <c r="Q126" s="5">
        <v>21</v>
      </c>
      <c r="R126" s="5">
        <v>12.8</v>
      </c>
      <c r="S126" s="5">
        <v>4</v>
      </c>
      <c r="T126" s="5">
        <v>0</v>
      </c>
      <c r="U126" s="6"/>
      <c r="V126" s="6"/>
      <c r="W126" s="6"/>
      <c r="X126" s="6"/>
      <c r="Y126" s="6"/>
      <c r="Z126" s="7" t="s">
        <v>318</v>
      </c>
      <c r="AA126" s="3" t="s">
        <v>87</v>
      </c>
    </row>
    <row r="127" spans="1:27" ht="12.75" customHeight="1" x14ac:dyDescent="0.2">
      <c r="A127" s="3" t="s">
        <v>319</v>
      </c>
      <c r="B127" s="4">
        <v>10</v>
      </c>
      <c r="C127" s="5">
        <v>5</v>
      </c>
      <c r="D127" s="5">
        <v>1</v>
      </c>
      <c r="E127" s="5">
        <v>8</v>
      </c>
      <c r="F127" s="5">
        <v>85</v>
      </c>
      <c r="G127" s="5">
        <v>18</v>
      </c>
      <c r="H127" s="5">
        <v>10</v>
      </c>
      <c r="I127" s="5">
        <v>12</v>
      </c>
      <c r="J127" s="5">
        <v>95</v>
      </c>
      <c r="K127" s="5">
        <v>10</v>
      </c>
      <c r="L127" s="5">
        <v>10</v>
      </c>
      <c r="M127" s="5">
        <v>5.5</v>
      </c>
      <c r="N127" s="5">
        <v>10</v>
      </c>
      <c r="O127" s="5">
        <v>75</v>
      </c>
      <c r="P127" s="5"/>
      <c r="Q127" s="5">
        <v>21</v>
      </c>
      <c r="R127" s="5">
        <v>13</v>
      </c>
      <c r="S127" s="5">
        <v>9</v>
      </c>
      <c r="T127" s="5">
        <v>14</v>
      </c>
      <c r="U127" s="6"/>
      <c r="V127" s="6"/>
      <c r="W127" s="6"/>
      <c r="X127" s="6"/>
      <c r="Y127" s="6"/>
      <c r="Z127" s="7" t="s">
        <v>320</v>
      </c>
      <c r="AA127" s="3" t="s">
        <v>45</v>
      </c>
    </row>
    <row r="128" spans="1:27" ht="12.75" customHeight="1" x14ac:dyDescent="0.2">
      <c r="A128" s="3" t="s">
        <v>321</v>
      </c>
      <c r="B128" s="4">
        <v>10</v>
      </c>
      <c r="C128" s="5">
        <v>14</v>
      </c>
      <c r="D128" s="5">
        <v>12</v>
      </c>
      <c r="E128" s="5">
        <v>8.16</v>
      </c>
      <c r="F128" s="5">
        <v>100</v>
      </c>
      <c r="G128" s="5">
        <v>17</v>
      </c>
      <c r="H128" s="5">
        <v>10</v>
      </c>
      <c r="I128" s="5">
        <v>12</v>
      </c>
      <c r="J128" s="5">
        <v>92</v>
      </c>
      <c r="K128" s="5">
        <v>10</v>
      </c>
      <c r="L128" s="5">
        <v>9</v>
      </c>
      <c r="M128" s="5">
        <v>10</v>
      </c>
      <c r="N128" s="5">
        <v>11</v>
      </c>
      <c r="O128" s="5">
        <v>82</v>
      </c>
      <c r="P128" s="5"/>
      <c r="Q128" s="5">
        <v>22</v>
      </c>
      <c r="R128" s="5">
        <v>13</v>
      </c>
      <c r="S128" s="5">
        <v>10</v>
      </c>
      <c r="T128" s="5">
        <v>0</v>
      </c>
      <c r="U128" s="6"/>
      <c r="V128" s="6"/>
      <c r="W128" s="6"/>
      <c r="X128" s="6"/>
      <c r="Y128" s="6"/>
      <c r="Z128" s="7" t="s">
        <v>322</v>
      </c>
      <c r="AA128" s="3" t="s">
        <v>31</v>
      </c>
    </row>
    <row r="129" spans="1:27" ht="12.75" customHeight="1" x14ac:dyDescent="0.2">
      <c r="A129" s="3" t="s">
        <v>323</v>
      </c>
      <c r="B129" s="4">
        <v>11</v>
      </c>
      <c r="C129" s="5">
        <v>12.5</v>
      </c>
      <c r="D129" s="5">
        <v>7</v>
      </c>
      <c r="E129" s="5">
        <v>8.5</v>
      </c>
      <c r="F129" s="5">
        <v>62</v>
      </c>
      <c r="G129" s="5">
        <v>16</v>
      </c>
      <c r="H129" s="5">
        <v>8.4</v>
      </c>
      <c r="I129" s="5">
        <v>0</v>
      </c>
      <c r="J129" s="5">
        <v>62</v>
      </c>
      <c r="K129" s="5">
        <v>9</v>
      </c>
      <c r="L129" s="5">
        <v>10</v>
      </c>
      <c r="M129" s="5">
        <v>4.5</v>
      </c>
      <c r="N129" s="5">
        <v>6</v>
      </c>
      <c r="O129" s="5">
        <v>68</v>
      </c>
      <c r="P129" s="5"/>
      <c r="Q129" s="5">
        <v>12</v>
      </c>
      <c r="R129" s="5">
        <v>10.47</v>
      </c>
      <c r="S129" s="5">
        <v>0</v>
      </c>
      <c r="T129" s="5">
        <v>0</v>
      </c>
      <c r="U129" s="6"/>
      <c r="V129" s="6"/>
      <c r="W129" s="6"/>
      <c r="X129" s="6"/>
      <c r="Y129" s="6"/>
      <c r="Z129" s="7" t="s">
        <v>324</v>
      </c>
      <c r="AA129" s="3" t="s">
        <v>87</v>
      </c>
    </row>
    <row r="130" spans="1:27" ht="12.75" customHeight="1" x14ac:dyDescent="0.2">
      <c r="A130" s="3" t="s">
        <v>325</v>
      </c>
      <c r="B130" s="4">
        <v>10</v>
      </c>
      <c r="C130" s="5">
        <v>15</v>
      </c>
      <c r="D130" s="5">
        <v>14</v>
      </c>
      <c r="E130" s="5">
        <v>11</v>
      </c>
      <c r="F130" s="5">
        <v>100</v>
      </c>
      <c r="G130" s="5">
        <v>17</v>
      </c>
      <c r="H130" s="5">
        <v>10</v>
      </c>
      <c r="I130" s="5">
        <v>12</v>
      </c>
      <c r="J130" s="5">
        <v>95</v>
      </c>
      <c r="K130" s="5">
        <v>10</v>
      </c>
      <c r="L130" s="5">
        <v>10</v>
      </c>
      <c r="M130" s="5">
        <v>11</v>
      </c>
      <c r="N130" s="5">
        <v>11</v>
      </c>
      <c r="O130" s="5">
        <v>82</v>
      </c>
      <c r="P130" s="5"/>
      <c r="Q130" s="5">
        <v>22</v>
      </c>
      <c r="R130" s="5">
        <v>13</v>
      </c>
      <c r="S130" s="5">
        <v>10</v>
      </c>
      <c r="T130" s="5">
        <v>27</v>
      </c>
      <c r="U130" s="6"/>
      <c r="V130" s="6"/>
      <c r="W130" s="6"/>
      <c r="X130" s="6"/>
      <c r="Y130" s="6"/>
      <c r="Z130" s="7" t="s">
        <v>326</v>
      </c>
      <c r="AA130" s="3" t="s">
        <v>70</v>
      </c>
    </row>
    <row r="131" spans="1:27" ht="12.75" customHeight="1" x14ac:dyDescent="0.2">
      <c r="A131" s="3" t="s">
        <v>327</v>
      </c>
      <c r="B131" s="4">
        <v>9</v>
      </c>
      <c r="C131" s="5">
        <v>14.5</v>
      </c>
      <c r="D131" s="5">
        <v>12.25</v>
      </c>
      <c r="E131" s="5">
        <v>9.16</v>
      </c>
      <c r="F131" s="5">
        <v>98</v>
      </c>
      <c r="G131" s="5">
        <v>18</v>
      </c>
      <c r="H131" s="5">
        <v>7.75</v>
      </c>
      <c r="I131" s="5">
        <v>12</v>
      </c>
      <c r="J131" s="5">
        <v>85</v>
      </c>
      <c r="K131" s="5">
        <v>10</v>
      </c>
      <c r="L131" s="5">
        <v>10</v>
      </c>
      <c r="M131" s="5">
        <v>12.5</v>
      </c>
      <c r="N131" s="5">
        <v>11</v>
      </c>
      <c r="O131" s="5">
        <v>78</v>
      </c>
      <c r="P131" s="5"/>
      <c r="Q131" s="5">
        <v>21</v>
      </c>
      <c r="R131" s="5">
        <v>11</v>
      </c>
      <c r="S131" s="5">
        <v>9.4</v>
      </c>
      <c r="T131" s="5">
        <v>22</v>
      </c>
      <c r="U131" s="6"/>
      <c r="V131" s="6"/>
      <c r="W131" s="6"/>
      <c r="X131" s="6"/>
      <c r="Y131" s="6"/>
      <c r="Z131" s="7" t="s">
        <v>328</v>
      </c>
      <c r="AA131" s="3" t="s">
        <v>31</v>
      </c>
    </row>
    <row r="132" spans="1:27" ht="12.75" customHeight="1" x14ac:dyDescent="0.2">
      <c r="A132" s="3" t="s">
        <v>329</v>
      </c>
      <c r="B132" s="4">
        <v>11</v>
      </c>
      <c r="C132" s="5">
        <v>15</v>
      </c>
      <c r="D132" s="5">
        <v>1</v>
      </c>
      <c r="E132" s="5">
        <v>10.83</v>
      </c>
      <c r="F132" s="5">
        <v>88</v>
      </c>
      <c r="G132" s="5">
        <v>17</v>
      </c>
      <c r="H132" s="5">
        <v>12</v>
      </c>
      <c r="I132" s="5">
        <v>12</v>
      </c>
      <c r="J132" s="5">
        <v>85</v>
      </c>
      <c r="K132" s="5">
        <v>10</v>
      </c>
      <c r="L132" s="5">
        <v>10</v>
      </c>
      <c r="M132" s="5">
        <v>0</v>
      </c>
      <c r="N132" s="5">
        <v>11</v>
      </c>
      <c r="O132" s="5">
        <v>78</v>
      </c>
      <c r="P132" s="5"/>
      <c r="Q132" s="5">
        <v>19.600000000000001</v>
      </c>
      <c r="R132" s="5">
        <v>10.8</v>
      </c>
      <c r="S132" s="5">
        <v>9.8000000000000007</v>
      </c>
      <c r="T132" s="5">
        <v>0</v>
      </c>
      <c r="U132" s="6"/>
      <c r="V132" s="6"/>
      <c r="W132" s="6"/>
      <c r="X132" s="6"/>
      <c r="Y132" s="6"/>
      <c r="Z132" s="7" t="s">
        <v>330</v>
      </c>
      <c r="AA132" s="3" t="s">
        <v>39</v>
      </c>
    </row>
    <row r="133" spans="1:27" ht="12.75" customHeight="1" x14ac:dyDescent="0.2">
      <c r="A133" s="3" t="s">
        <v>331</v>
      </c>
      <c r="B133" s="4">
        <v>10</v>
      </c>
      <c r="C133" s="5">
        <v>13</v>
      </c>
      <c r="D133" s="5">
        <v>13</v>
      </c>
      <c r="E133" s="5">
        <v>10.83</v>
      </c>
      <c r="F133" s="5">
        <v>68</v>
      </c>
      <c r="G133" s="5">
        <v>13</v>
      </c>
      <c r="H133" s="5">
        <v>10</v>
      </c>
      <c r="I133" s="5">
        <v>0</v>
      </c>
      <c r="J133" s="5">
        <v>72</v>
      </c>
      <c r="K133" s="5">
        <v>10</v>
      </c>
      <c r="L133" s="5">
        <v>10</v>
      </c>
      <c r="M133" s="5">
        <v>3</v>
      </c>
      <c r="N133" s="5">
        <v>0</v>
      </c>
      <c r="O133" s="5">
        <v>68</v>
      </c>
      <c r="P133" s="5"/>
      <c r="Q133" s="5">
        <v>19.8</v>
      </c>
      <c r="R133" s="5">
        <v>10.33</v>
      </c>
      <c r="S133" s="5">
        <v>8.5</v>
      </c>
      <c r="T133" s="5">
        <v>0</v>
      </c>
      <c r="U133" s="6"/>
      <c r="V133" s="6"/>
      <c r="W133" s="6"/>
      <c r="X133" s="6"/>
      <c r="Y133" s="6"/>
      <c r="Z133" s="7" t="s">
        <v>332</v>
      </c>
      <c r="AA133" s="3" t="s">
        <v>67</v>
      </c>
    </row>
    <row r="134" spans="1:27" ht="12.75" customHeight="1" x14ac:dyDescent="0.2">
      <c r="A134" s="3" t="s">
        <v>333</v>
      </c>
      <c r="B134" s="4">
        <v>11</v>
      </c>
      <c r="C134" s="5">
        <v>7</v>
      </c>
      <c r="D134" s="5">
        <v>13</v>
      </c>
      <c r="E134" s="5">
        <v>8.16</v>
      </c>
      <c r="F134" s="5">
        <v>85</v>
      </c>
      <c r="G134" s="5">
        <v>14</v>
      </c>
      <c r="H134" s="5">
        <v>10</v>
      </c>
      <c r="I134" s="5">
        <v>11</v>
      </c>
      <c r="J134" s="5">
        <v>68</v>
      </c>
      <c r="K134" s="5">
        <v>9</v>
      </c>
      <c r="L134" s="5">
        <v>7</v>
      </c>
      <c r="M134" s="5">
        <v>8</v>
      </c>
      <c r="N134" s="5">
        <v>10</v>
      </c>
      <c r="O134" s="5">
        <v>72</v>
      </c>
      <c r="P134" s="5"/>
      <c r="Q134" s="5">
        <v>0</v>
      </c>
      <c r="R134" s="5">
        <v>10.26</v>
      </c>
      <c r="S134" s="5">
        <v>0</v>
      </c>
      <c r="T134" s="5">
        <v>0</v>
      </c>
      <c r="U134" s="6"/>
      <c r="V134" s="6"/>
      <c r="W134" s="6"/>
      <c r="X134" s="6"/>
      <c r="Y134" s="6"/>
      <c r="Z134" s="7" t="s">
        <v>334</v>
      </c>
      <c r="AA134" s="3" t="s">
        <v>53</v>
      </c>
    </row>
    <row r="135" spans="1:27" ht="12.75" customHeight="1" x14ac:dyDescent="0.2">
      <c r="A135" s="3" t="s">
        <v>335</v>
      </c>
      <c r="B135" s="4">
        <v>10</v>
      </c>
      <c r="C135" s="5"/>
      <c r="D135" s="5">
        <v>14</v>
      </c>
      <c r="E135" s="5">
        <v>8.49</v>
      </c>
      <c r="F135" s="5">
        <v>85</v>
      </c>
      <c r="G135" s="5">
        <v>18</v>
      </c>
      <c r="H135" s="5">
        <v>12</v>
      </c>
      <c r="I135" s="5">
        <v>8</v>
      </c>
      <c r="J135" s="5">
        <v>85</v>
      </c>
      <c r="K135" s="5">
        <v>10</v>
      </c>
      <c r="L135" s="5">
        <v>9</v>
      </c>
      <c r="M135" s="5">
        <v>8</v>
      </c>
      <c r="N135" s="5">
        <v>11</v>
      </c>
      <c r="O135" s="5">
        <v>75</v>
      </c>
      <c r="P135" s="5"/>
      <c r="Q135" s="5">
        <v>22</v>
      </c>
      <c r="R135" s="5">
        <v>10.8</v>
      </c>
      <c r="S135" s="5">
        <v>4</v>
      </c>
      <c r="T135" s="5">
        <v>0</v>
      </c>
      <c r="U135" s="6"/>
      <c r="V135" s="6"/>
      <c r="W135" s="6"/>
      <c r="X135" s="6"/>
      <c r="Y135" s="6"/>
      <c r="Z135" s="7" t="s">
        <v>336</v>
      </c>
      <c r="AA135" s="3" t="s">
        <v>39</v>
      </c>
    </row>
    <row r="136" spans="1:27" ht="12.75" customHeight="1" x14ac:dyDescent="0.2">
      <c r="A136" s="3" t="s">
        <v>337</v>
      </c>
      <c r="B136" s="4">
        <v>10</v>
      </c>
      <c r="C136" s="5">
        <v>13.5</v>
      </c>
      <c r="D136" s="5">
        <v>12.5</v>
      </c>
      <c r="E136" s="5">
        <v>0</v>
      </c>
      <c r="F136" s="5">
        <v>30</v>
      </c>
      <c r="G136" s="5">
        <v>13</v>
      </c>
      <c r="H136" s="5">
        <v>9</v>
      </c>
      <c r="I136" s="5">
        <v>10</v>
      </c>
      <c r="J136" s="5">
        <v>65</v>
      </c>
      <c r="K136" s="5">
        <v>10</v>
      </c>
      <c r="L136" s="5">
        <v>0</v>
      </c>
      <c r="M136" s="5">
        <v>7</v>
      </c>
      <c r="N136" s="5">
        <v>0</v>
      </c>
      <c r="O136" s="5">
        <v>65</v>
      </c>
      <c r="P136" s="5"/>
      <c r="Q136" s="5">
        <v>0</v>
      </c>
      <c r="R136" s="5">
        <v>4.53</v>
      </c>
      <c r="S136" s="5">
        <v>9</v>
      </c>
      <c r="T136" s="5">
        <v>0</v>
      </c>
      <c r="U136" s="6"/>
      <c r="V136" s="6"/>
      <c r="W136" s="6"/>
      <c r="X136" s="6"/>
      <c r="Y136" s="6"/>
      <c r="Z136" s="7" t="s">
        <v>338</v>
      </c>
      <c r="AA136" s="3" t="s">
        <v>58</v>
      </c>
    </row>
    <row r="137" spans="1:27" ht="12.75" customHeight="1" x14ac:dyDescent="0.2">
      <c r="A137" s="3" t="s">
        <v>339</v>
      </c>
      <c r="B137" s="4">
        <v>10</v>
      </c>
      <c r="C137" s="5">
        <v>13</v>
      </c>
      <c r="D137" s="5">
        <v>13</v>
      </c>
      <c r="E137" s="5">
        <v>7.16</v>
      </c>
      <c r="F137" s="5">
        <v>82</v>
      </c>
      <c r="G137" s="5">
        <v>18</v>
      </c>
      <c r="H137" s="5">
        <v>9.6999999999999993</v>
      </c>
      <c r="I137" s="5">
        <v>12</v>
      </c>
      <c r="J137" s="5">
        <v>100</v>
      </c>
      <c r="K137" s="5">
        <v>10</v>
      </c>
      <c r="L137" s="5">
        <v>10</v>
      </c>
      <c r="M137" s="5">
        <v>10.5</v>
      </c>
      <c r="N137" s="5">
        <v>9</v>
      </c>
      <c r="O137" s="5">
        <v>85</v>
      </c>
      <c r="P137" s="5"/>
      <c r="Q137" s="5">
        <v>22</v>
      </c>
      <c r="R137" s="5">
        <v>13</v>
      </c>
      <c r="S137" s="5">
        <v>10</v>
      </c>
      <c r="T137" s="5">
        <v>20</v>
      </c>
      <c r="U137" s="6"/>
      <c r="V137" s="6"/>
      <c r="W137" s="6"/>
      <c r="X137" s="6"/>
      <c r="Y137" s="6"/>
      <c r="Z137" s="7" t="s">
        <v>340</v>
      </c>
      <c r="AA137" s="3" t="s">
        <v>31</v>
      </c>
    </row>
    <row r="138" spans="1:27" ht="12.75" customHeight="1" x14ac:dyDescent="0.2">
      <c r="A138" s="3" t="s">
        <v>341</v>
      </c>
      <c r="B138" s="4">
        <v>10</v>
      </c>
      <c r="C138" s="5">
        <v>15</v>
      </c>
      <c r="D138" s="5">
        <v>15</v>
      </c>
      <c r="E138" s="5">
        <v>10</v>
      </c>
      <c r="F138" s="5">
        <v>95</v>
      </c>
      <c r="G138" s="5">
        <v>15</v>
      </c>
      <c r="H138" s="5">
        <v>6</v>
      </c>
      <c r="I138" s="5">
        <v>11</v>
      </c>
      <c r="J138" s="5">
        <v>100</v>
      </c>
      <c r="K138" s="5">
        <v>10</v>
      </c>
      <c r="L138" s="5">
        <v>10</v>
      </c>
      <c r="M138" s="5">
        <v>11.5</v>
      </c>
      <c r="N138" s="5">
        <v>11</v>
      </c>
      <c r="O138" s="5">
        <v>100</v>
      </c>
      <c r="P138" s="5"/>
      <c r="Q138" s="5">
        <v>22</v>
      </c>
      <c r="R138" s="5">
        <v>13</v>
      </c>
      <c r="S138" s="5">
        <v>10</v>
      </c>
      <c r="T138" s="5">
        <v>0</v>
      </c>
      <c r="U138" s="6"/>
      <c r="V138" s="6"/>
      <c r="W138" s="6"/>
      <c r="X138" s="6"/>
      <c r="Y138" s="6"/>
      <c r="Z138" s="7" t="s">
        <v>342</v>
      </c>
      <c r="AA138" s="3" t="s">
        <v>42</v>
      </c>
    </row>
    <row r="139" spans="1:27" ht="12.75" customHeight="1" x14ac:dyDescent="0.2">
      <c r="A139" s="3" t="s">
        <v>343</v>
      </c>
      <c r="B139" s="4">
        <v>10</v>
      </c>
      <c r="C139" s="5">
        <v>15</v>
      </c>
      <c r="D139" s="5">
        <v>12</v>
      </c>
      <c r="E139" s="5">
        <v>9.17</v>
      </c>
      <c r="F139" s="5">
        <v>85</v>
      </c>
      <c r="G139" s="5">
        <v>18</v>
      </c>
      <c r="H139" s="5">
        <v>10</v>
      </c>
      <c r="I139" s="5">
        <v>11</v>
      </c>
      <c r="J139" s="5">
        <v>85</v>
      </c>
      <c r="K139" s="5">
        <v>0</v>
      </c>
      <c r="L139" s="5">
        <v>10</v>
      </c>
      <c r="M139" s="5">
        <v>0</v>
      </c>
      <c r="N139" s="5">
        <v>0</v>
      </c>
      <c r="O139" s="5">
        <v>82</v>
      </c>
      <c r="P139" s="5"/>
      <c r="Q139" s="5">
        <v>20.8</v>
      </c>
      <c r="R139" s="5">
        <v>10.64</v>
      </c>
      <c r="S139" s="5">
        <v>8</v>
      </c>
      <c r="T139" s="5">
        <v>0</v>
      </c>
      <c r="U139" s="6"/>
      <c r="V139" s="6"/>
      <c r="W139" s="6"/>
      <c r="X139" s="6"/>
      <c r="Y139" s="6"/>
      <c r="Z139" s="7" t="s">
        <v>344</v>
      </c>
      <c r="AA139" s="3" t="s">
        <v>39</v>
      </c>
    </row>
    <row r="140" spans="1:27" ht="12.75" customHeight="1" x14ac:dyDescent="0.2">
      <c r="A140" s="3" t="s">
        <v>345</v>
      </c>
      <c r="B140" s="4">
        <v>10</v>
      </c>
      <c r="C140" s="5">
        <v>12.5</v>
      </c>
      <c r="D140" s="5">
        <v>5</v>
      </c>
      <c r="E140" s="5">
        <v>8.66</v>
      </c>
      <c r="F140" s="5">
        <v>65</v>
      </c>
      <c r="G140" s="5">
        <v>17</v>
      </c>
      <c r="H140" s="5">
        <v>9.4</v>
      </c>
      <c r="I140" s="5">
        <v>4</v>
      </c>
      <c r="J140" s="5">
        <v>72</v>
      </c>
      <c r="K140" s="5">
        <v>9</v>
      </c>
      <c r="L140" s="5">
        <v>9</v>
      </c>
      <c r="M140" s="5">
        <v>7.5</v>
      </c>
      <c r="N140" s="5">
        <v>11</v>
      </c>
      <c r="O140" s="5">
        <v>62</v>
      </c>
      <c r="P140" s="5"/>
      <c r="Q140" s="5">
        <v>14.4</v>
      </c>
      <c r="R140" s="5">
        <v>6.3</v>
      </c>
      <c r="S140" s="5">
        <v>6</v>
      </c>
      <c r="T140" s="5">
        <v>0</v>
      </c>
      <c r="U140" s="6"/>
      <c r="V140" s="6"/>
      <c r="W140" s="6"/>
      <c r="X140" s="6"/>
      <c r="Y140" s="6"/>
      <c r="Z140" s="7" t="s">
        <v>346</v>
      </c>
      <c r="AA140" s="3" t="s">
        <v>50</v>
      </c>
    </row>
    <row r="141" spans="1:27" ht="12.75" customHeight="1" x14ac:dyDescent="0.2">
      <c r="A141" s="3" t="s">
        <v>347</v>
      </c>
      <c r="B141" s="4">
        <v>10</v>
      </c>
      <c r="C141" s="5">
        <v>13</v>
      </c>
      <c r="D141" s="5">
        <v>0.5</v>
      </c>
      <c r="E141" s="5">
        <v>2.16</v>
      </c>
      <c r="F141" s="5">
        <v>72</v>
      </c>
      <c r="G141" s="5">
        <v>0</v>
      </c>
      <c r="H141" s="5">
        <v>10</v>
      </c>
      <c r="I141" s="5" t="s">
        <v>150</v>
      </c>
      <c r="J141" s="5" t="s">
        <v>150</v>
      </c>
      <c r="K141" s="5" t="s">
        <v>150</v>
      </c>
      <c r="L141" s="5" t="s">
        <v>150</v>
      </c>
      <c r="M141" s="5" t="s">
        <v>150</v>
      </c>
      <c r="N141" s="5" t="s">
        <v>150</v>
      </c>
      <c r="O141" s="5" t="s">
        <v>150</v>
      </c>
      <c r="P141" s="5"/>
      <c r="Q141" s="5" t="s">
        <v>150</v>
      </c>
      <c r="R141" s="5" t="s">
        <v>150</v>
      </c>
      <c r="S141" s="5" t="s">
        <v>150</v>
      </c>
      <c r="T141" s="5" t="s">
        <v>150</v>
      </c>
      <c r="U141" s="6"/>
      <c r="V141" s="6"/>
      <c r="W141" s="6"/>
      <c r="X141" s="6"/>
      <c r="Y141" s="6"/>
      <c r="Z141" s="7" t="s">
        <v>348</v>
      </c>
      <c r="AA141" s="3" t="s">
        <v>50</v>
      </c>
    </row>
    <row r="142" spans="1:27" ht="12.75" customHeight="1" x14ac:dyDescent="0.2">
      <c r="A142" s="3" t="s">
        <v>349</v>
      </c>
      <c r="B142" s="4">
        <v>10</v>
      </c>
      <c r="C142" s="5">
        <v>15</v>
      </c>
      <c r="D142" s="5">
        <v>14</v>
      </c>
      <c r="E142" s="5">
        <v>8</v>
      </c>
      <c r="F142" s="5">
        <v>85</v>
      </c>
      <c r="G142" s="5">
        <v>18</v>
      </c>
      <c r="H142" s="5">
        <v>9.4</v>
      </c>
      <c r="I142" s="5">
        <v>12</v>
      </c>
      <c r="J142" s="5">
        <v>85</v>
      </c>
      <c r="K142" s="5">
        <v>10</v>
      </c>
      <c r="L142" s="5">
        <v>10</v>
      </c>
      <c r="M142" s="5">
        <v>11.5</v>
      </c>
      <c r="N142" s="5">
        <v>11</v>
      </c>
      <c r="O142" s="5">
        <v>82</v>
      </c>
      <c r="P142" s="5"/>
      <c r="Q142" s="5">
        <v>22</v>
      </c>
      <c r="R142" s="5">
        <v>10.8</v>
      </c>
      <c r="S142" s="5">
        <v>10</v>
      </c>
      <c r="T142" s="5">
        <v>0</v>
      </c>
      <c r="U142" s="6"/>
      <c r="V142" s="6"/>
      <c r="W142" s="6"/>
      <c r="X142" s="6"/>
      <c r="Y142" s="6"/>
      <c r="Z142" s="7" t="s">
        <v>350</v>
      </c>
      <c r="AA142" s="3" t="s">
        <v>45</v>
      </c>
    </row>
    <row r="143" spans="1:27" ht="12.75" customHeight="1" x14ac:dyDescent="0.2">
      <c r="A143" s="3" t="s">
        <v>351</v>
      </c>
      <c r="B143" s="4">
        <v>11</v>
      </c>
      <c r="C143" s="5">
        <v>14.5</v>
      </c>
      <c r="D143" s="5">
        <v>0</v>
      </c>
      <c r="E143" s="5">
        <v>5.33</v>
      </c>
      <c r="F143" s="5">
        <v>78</v>
      </c>
      <c r="G143" s="5">
        <v>16</v>
      </c>
      <c r="H143" s="5">
        <v>12</v>
      </c>
      <c r="I143" s="5">
        <v>12</v>
      </c>
      <c r="J143" s="5">
        <v>92</v>
      </c>
      <c r="K143" s="5">
        <v>0</v>
      </c>
      <c r="L143" s="5">
        <v>0</v>
      </c>
      <c r="M143" s="5">
        <v>9</v>
      </c>
      <c r="N143" s="5">
        <v>0</v>
      </c>
      <c r="O143" s="5">
        <v>72</v>
      </c>
      <c r="P143" s="5"/>
      <c r="Q143" s="5">
        <v>19.8</v>
      </c>
      <c r="R143" s="5">
        <v>11.2</v>
      </c>
      <c r="S143" s="5">
        <v>0</v>
      </c>
      <c r="T143" s="5">
        <v>0</v>
      </c>
      <c r="U143" s="6"/>
      <c r="V143" s="6"/>
      <c r="W143" s="6"/>
      <c r="X143" s="6"/>
      <c r="Y143" s="6"/>
      <c r="Z143" s="7" t="s">
        <v>352</v>
      </c>
      <c r="AA143" s="3" t="s">
        <v>34</v>
      </c>
    </row>
    <row r="144" spans="1:27" ht="12.75" customHeight="1" x14ac:dyDescent="0.2">
      <c r="A144" s="3" t="s">
        <v>353</v>
      </c>
      <c r="B144" s="4">
        <v>10</v>
      </c>
      <c r="C144" s="5">
        <v>14.5</v>
      </c>
      <c r="D144" s="5">
        <v>11.25</v>
      </c>
      <c r="E144" s="5">
        <v>0</v>
      </c>
      <c r="F144" s="5">
        <v>62</v>
      </c>
      <c r="G144" s="5">
        <v>18</v>
      </c>
      <c r="H144" s="5">
        <v>10</v>
      </c>
      <c r="I144" s="5">
        <v>0</v>
      </c>
      <c r="J144" s="5">
        <v>75</v>
      </c>
      <c r="K144" s="5">
        <v>8</v>
      </c>
      <c r="L144" s="5">
        <v>9</v>
      </c>
      <c r="M144" s="5">
        <v>3</v>
      </c>
      <c r="N144" s="5">
        <v>11</v>
      </c>
      <c r="O144" s="5">
        <v>72</v>
      </c>
      <c r="P144" s="5"/>
      <c r="Q144" s="5">
        <v>21.4</v>
      </c>
      <c r="R144" s="5">
        <v>12.14</v>
      </c>
      <c r="S144" s="5">
        <v>9</v>
      </c>
      <c r="T144" s="5">
        <v>26</v>
      </c>
      <c r="U144" s="6"/>
      <c r="V144" s="6"/>
      <c r="W144" s="6"/>
      <c r="X144" s="6"/>
      <c r="Y144" s="6"/>
      <c r="Z144" s="7" t="s">
        <v>354</v>
      </c>
      <c r="AA144" s="3" t="s">
        <v>53</v>
      </c>
    </row>
    <row r="145" spans="1:27" ht="12.75" customHeight="1" x14ac:dyDescent="0.2">
      <c r="A145" s="3" t="s">
        <v>355</v>
      </c>
      <c r="B145" s="4">
        <v>10</v>
      </c>
      <c r="C145" s="5">
        <v>0</v>
      </c>
      <c r="D145" s="5">
        <v>1</v>
      </c>
      <c r="E145" s="5">
        <v>10.67</v>
      </c>
      <c r="F145" s="5">
        <v>78</v>
      </c>
      <c r="G145" s="5">
        <v>17</v>
      </c>
      <c r="H145" s="5">
        <v>9.4</v>
      </c>
      <c r="I145" s="5">
        <v>12</v>
      </c>
      <c r="J145" s="5">
        <v>68</v>
      </c>
      <c r="K145" s="5">
        <v>9</v>
      </c>
      <c r="L145" s="5">
        <v>0</v>
      </c>
      <c r="M145" s="5">
        <v>4.5</v>
      </c>
      <c r="N145" s="5">
        <v>7</v>
      </c>
      <c r="O145" s="5">
        <v>68</v>
      </c>
      <c r="P145" s="5"/>
      <c r="Q145" s="5">
        <v>22</v>
      </c>
      <c r="R145" s="5">
        <v>0</v>
      </c>
      <c r="S145" s="5">
        <v>9.8000000000000007</v>
      </c>
      <c r="T145" s="5">
        <v>0</v>
      </c>
      <c r="U145" s="6"/>
      <c r="V145" s="6"/>
      <c r="W145" s="6"/>
      <c r="X145" s="6"/>
      <c r="Y145" s="6"/>
      <c r="Z145" s="7" t="s">
        <v>356</v>
      </c>
      <c r="AA145" s="3" t="s">
        <v>67</v>
      </c>
    </row>
    <row r="146" spans="1:27" ht="12.75" customHeight="1" x14ac:dyDescent="0.2">
      <c r="A146" s="3" t="s">
        <v>357</v>
      </c>
      <c r="B146" s="4">
        <v>10</v>
      </c>
      <c r="C146" s="5"/>
      <c r="D146" s="5">
        <v>1</v>
      </c>
      <c r="E146" s="5">
        <v>6.17</v>
      </c>
      <c r="F146" s="5">
        <v>30</v>
      </c>
      <c r="G146" s="5">
        <v>18</v>
      </c>
      <c r="H146" s="5">
        <v>0</v>
      </c>
      <c r="I146" s="5">
        <v>0</v>
      </c>
      <c r="J146" s="5">
        <v>62</v>
      </c>
      <c r="K146" s="5">
        <v>10</v>
      </c>
      <c r="L146" s="5">
        <v>10</v>
      </c>
      <c r="M146" s="5">
        <v>9.5</v>
      </c>
      <c r="N146" s="5">
        <v>11</v>
      </c>
      <c r="O146" s="5">
        <v>68</v>
      </c>
      <c r="P146" s="5"/>
      <c r="Q146" s="5">
        <v>22</v>
      </c>
      <c r="R146" s="5">
        <v>12.75</v>
      </c>
      <c r="S146" s="5">
        <v>10</v>
      </c>
      <c r="T146" s="5">
        <v>0</v>
      </c>
      <c r="U146" s="6"/>
      <c r="V146" s="6"/>
      <c r="W146" s="6"/>
      <c r="X146" s="6"/>
      <c r="Y146" s="6"/>
      <c r="Z146" s="7" t="s">
        <v>358</v>
      </c>
      <c r="AA146" s="3" t="s">
        <v>58</v>
      </c>
    </row>
    <row r="147" spans="1:27" ht="12.75" customHeight="1" x14ac:dyDescent="0.2">
      <c r="A147" s="3" t="s">
        <v>359</v>
      </c>
      <c r="B147" s="4">
        <v>9</v>
      </c>
      <c r="C147" s="5">
        <v>15</v>
      </c>
      <c r="D147" s="5">
        <v>14</v>
      </c>
      <c r="E147" s="5">
        <v>11</v>
      </c>
      <c r="F147" s="5">
        <v>92</v>
      </c>
      <c r="G147" s="5">
        <v>18</v>
      </c>
      <c r="H147" s="5">
        <v>10</v>
      </c>
      <c r="I147" s="5">
        <v>12</v>
      </c>
      <c r="J147" s="5">
        <v>88</v>
      </c>
      <c r="K147" s="5">
        <v>10</v>
      </c>
      <c r="L147" s="5">
        <v>10</v>
      </c>
      <c r="M147" s="5">
        <v>12</v>
      </c>
      <c r="N147" s="5">
        <v>11</v>
      </c>
      <c r="O147" s="5">
        <v>92</v>
      </c>
      <c r="P147" s="5"/>
      <c r="Q147" s="5">
        <v>22</v>
      </c>
      <c r="R147" s="5">
        <v>13</v>
      </c>
      <c r="S147" s="5">
        <v>10</v>
      </c>
      <c r="T147" s="5">
        <v>27</v>
      </c>
      <c r="U147" s="6"/>
      <c r="V147" s="6"/>
      <c r="W147" s="6"/>
      <c r="X147" s="6"/>
      <c r="Y147" s="6"/>
      <c r="Z147" s="7" t="s">
        <v>360</v>
      </c>
      <c r="AA147" s="3" t="s">
        <v>70</v>
      </c>
    </row>
    <row r="148" spans="1:27" ht="12.75" customHeight="1" x14ac:dyDescent="0.2">
      <c r="A148" s="3" t="s">
        <v>361</v>
      </c>
      <c r="B148" s="4">
        <v>10</v>
      </c>
      <c r="C148" s="5">
        <v>15</v>
      </c>
      <c r="D148" s="5">
        <v>15</v>
      </c>
      <c r="E148" s="5">
        <v>13</v>
      </c>
      <c r="F148" s="5">
        <v>95</v>
      </c>
      <c r="G148" s="5">
        <v>18</v>
      </c>
      <c r="H148" s="5">
        <v>12</v>
      </c>
      <c r="I148" s="5">
        <v>12</v>
      </c>
      <c r="J148" s="5">
        <v>82</v>
      </c>
      <c r="K148" s="5">
        <v>10</v>
      </c>
      <c r="L148" s="5">
        <v>10</v>
      </c>
      <c r="M148" s="5">
        <v>10.5</v>
      </c>
      <c r="N148" s="5">
        <v>11</v>
      </c>
      <c r="O148" s="5">
        <v>82</v>
      </c>
      <c r="P148" s="5"/>
      <c r="Q148" s="5">
        <v>22</v>
      </c>
      <c r="R148" s="5">
        <v>13</v>
      </c>
      <c r="S148" s="5">
        <v>9.5</v>
      </c>
      <c r="T148" s="5">
        <v>0</v>
      </c>
      <c r="U148" s="6"/>
      <c r="V148" s="6"/>
      <c r="W148" s="6"/>
      <c r="X148" s="6"/>
      <c r="Y148" s="6"/>
      <c r="Z148" s="7" t="s">
        <v>362</v>
      </c>
      <c r="AA148" s="3" t="s">
        <v>45</v>
      </c>
    </row>
    <row r="149" spans="1:27" ht="12.75" customHeight="1" x14ac:dyDescent="0.2">
      <c r="A149" s="8" t="s">
        <v>88</v>
      </c>
      <c r="B149" s="9"/>
      <c r="C149" s="10" t="s">
        <v>363</v>
      </c>
      <c r="D149" s="10" t="s">
        <v>364</v>
      </c>
      <c r="E149" s="10" t="s">
        <v>365</v>
      </c>
      <c r="F149" s="10" t="s">
        <v>366</v>
      </c>
      <c r="G149" s="10" t="s">
        <v>367</v>
      </c>
      <c r="H149" s="10" t="s">
        <v>368</v>
      </c>
      <c r="I149" s="10" t="s">
        <v>369</v>
      </c>
      <c r="J149" s="10" t="s">
        <v>370</v>
      </c>
      <c r="K149" s="10" t="s">
        <v>369</v>
      </c>
      <c r="L149" s="10" t="s">
        <v>371</v>
      </c>
      <c r="M149" s="10" t="s">
        <v>372</v>
      </c>
      <c r="N149" s="10" t="s">
        <v>373</v>
      </c>
      <c r="O149" s="10" t="s">
        <v>374</v>
      </c>
      <c r="P149" s="10" t="s">
        <v>102</v>
      </c>
      <c r="Q149" s="10" t="s">
        <v>375</v>
      </c>
      <c r="R149" s="10" t="s">
        <v>376</v>
      </c>
      <c r="S149" s="10" t="s">
        <v>377</v>
      </c>
      <c r="T149" s="10" t="s">
        <v>378</v>
      </c>
      <c r="U149" s="11"/>
      <c r="V149" s="11"/>
      <c r="W149" s="11"/>
      <c r="X149" s="11"/>
      <c r="Y149" s="11"/>
      <c r="Z149" s="12" t="s">
        <v>379</v>
      </c>
      <c r="AA149" s="8" t="s">
        <v>34</v>
      </c>
    </row>
    <row r="150" spans="1:27" ht="12.75" customHeight="1" x14ac:dyDescent="0.2">
      <c r="A150" s="1" t="s">
        <v>109</v>
      </c>
    </row>
    <row r="151" spans="1:27" ht="12.75" customHeight="1" x14ac:dyDescent="0.2">
      <c r="A151" s="1" t="s">
        <v>380</v>
      </c>
    </row>
    <row r="152" spans="1:27" ht="12.75" customHeight="1" x14ac:dyDescent="0.2">
      <c r="A152" s="1" t="s">
        <v>111</v>
      </c>
    </row>
    <row r="153" spans="1:27" ht="12.75" customHeight="1" x14ac:dyDescent="0.2">
      <c r="A153" s="1" t="s">
        <v>310</v>
      </c>
    </row>
    <row r="154" spans="1:27" ht="12.75" customHeight="1" x14ac:dyDescent="0.2">
      <c r="A154" s="1" t="s">
        <v>0</v>
      </c>
      <c r="B154" s="2" t="s">
        <v>1</v>
      </c>
      <c r="C154" s="2" t="s">
        <v>2</v>
      </c>
      <c r="D154" s="2" t="s">
        <v>3</v>
      </c>
      <c r="E154" s="2" t="s">
        <v>4</v>
      </c>
      <c r="F154" s="2" t="s">
        <v>5</v>
      </c>
      <c r="G154" s="2" t="s">
        <v>6</v>
      </c>
      <c r="H154" s="2" t="s">
        <v>7</v>
      </c>
      <c r="I154" s="2" t="s">
        <v>8</v>
      </c>
      <c r="J154" s="2" t="s">
        <v>9</v>
      </c>
      <c r="K154" s="2" t="s">
        <v>10</v>
      </c>
      <c r="L154" s="2" t="s">
        <v>11</v>
      </c>
      <c r="M154" s="2" t="s">
        <v>12</v>
      </c>
      <c r="N154" s="2" t="s">
        <v>13</v>
      </c>
      <c r="O154" s="2" t="s">
        <v>14</v>
      </c>
      <c r="P154" s="2" t="s">
        <v>15</v>
      </c>
      <c r="Q154" s="2" t="s">
        <v>16</v>
      </c>
      <c r="R154" s="2" t="s">
        <v>17</v>
      </c>
      <c r="S154" s="2" t="s">
        <v>18</v>
      </c>
      <c r="T154" s="2" t="s">
        <v>19</v>
      </c>
      <c r="Z154" s="2" t="s">
        <v>20</v>
      </c>
      <c r="AA154" s="2" t="s">
        <v>21</v>
      </c>
    </row>
    <row r="155" spans="1:27" ht="12.75" customHeight="1" x14ac:dyDescent="0.2">
      <c r="A155" s="1" t="s">
        <v>22</v>
      </c>
      <c r="C155" s="2" t="s">
        <v>13</v>
      </c>
      <c r="D155" s="2" t="s">
        <v>13</v>
      </c>
      <c r="E155" s="2" t="s">
        <v>11</v>
      </c>
      <c r="F155" s="2" t="s">
        <v>23</v>
      </c>
      <c r="G155" s="2" t="s">
        <v>16</v>
      </c>
      <c r="H155" s="2" t="s">
        <v>10</v>
      </c>
      <c r="I155" s="2" t="s">
        <v>11</v>
      </c>
      <c r="J155" s="2" t="s">
        <v>23</v>
      </c>
      <c r="K155" s="2" t="s">
        <v>8</v>
      </c>
      <c r="L155" s="2" t="s">
        <v>8</v>
      </c>
      <c r="M155" s="2" t="s">
        <v>12</v>
      </c>
      <c r="N155" s="2" t="s">
        <v>9</v>
      </c>
      <c r="O155" s="2" t="s">
        <v>23</v>
      </c>
      <c r="P155" s="2" t="s">
        <v>23</v>
      </c>
      <c r="Q155" s="2" t="s">
        <v>24</v>
      </c>
      <c r="R155" s="2" t="s">
        <v>25</v>
      </c>
      <c r="S155" s="2" t="s">
        <v>8</v>
      </c>
      <c r="T155" s="2" t="s">
        <v>11</v>
      </c>
    </row>
    <row r="156" spans="1:27" ht="12.75" customHeight="1" x14ac:dyDescent="0.2">
      <c r="A156" s="1" t="s">
        <v>26</v>
      </c>
      <c r="C156" s="2" t="s">
        <v>27</v>
      </c>
      <c r="D156" s="2" t="s">
        <v>27</v>
      </c>
      <c r="E156" s="2" t="s">
        <v>27</v>
      </c>
      <c r="F156" s="2" t="s">
        <v>27</v>
      </c>
      <c r="G156" s="2" t="s">
        <v>28</v>
      </c>
      <c r="H156" s="2" t="s">
        <v>28</v>
      </c>
      <c r="I156" s="2" t="s">
        <v>28</v>
      </c>
      <c r="J156" s="2" t="s">
        <v>28</v>
      </c>
      <c r="K156" s="2" t="s">
        <v>28</v>
      </c>
      <c r="L156" s="2" t="s">
        <v>28</v>
      </c>
      <c r="M156" s="2" t="s">
        <v>28</v>
      </c>
      <c r="N156" s="2" t="s">
        <v>28</v>
      </c>
      <c r="O156" s="2" t="s">
        <v>28</v>
      </c>
      <c r="P156" s="2" t="s">
        <v>28</v>
      </c>
      <c r="Q156" s="2" t="s">
        <v>28</v>
      </c>
      <c r="R156" s="2" t="s">
        <v>28</v>
      </c>
      <c r="S156" s="2" t="s">
        <v>28</v>
      </c>
      <c r="T156" s="2" t="s">
        <v>28</v>
      </c>
    </row>
    <row r="157" spans="1:27" ht="12.75" customHeight="1" x14ac:dyDescent="0.2">
      <c r="A157" s="3" t="s">
        <v>381</v>
      </c>
      <c r="B157" s="3" t="s">
        <v>8</v>
      </c>
      <c r="C157" s="5">
        <v>12.5</v>
      </c>
      <c r="D157" s="5">
        <v>2</v>
      </c>
      <c r="E157" s="5">
        <v>6.17</v>
      </c>
      <c r="F157" s="5">
        <v>65</v>
      </c>
      <c r="G157" s="5">
        <v>18</v>
      </c>
      <c r="H157" s="5">
        <v>12</v>
      </c>
      <c r="I157" s="5">
        <v>8.6999999999999993</v>
      </c>
      <c r="J157" s="5">
        <v>75</v>
      </c>
      <c r="K157" s="5">
        <v>10</v>
      </c>
      <c r="L157" s="5">
        <v>10</v>
      </c>
      <c r="M157" s="5">
        <v>8</v>
      </c>
      <c r="N157" s="5">
        <v>11</v>
      </c>
      <c r="O157" s="5">
        <v>68</v>
      </c>
      <c r="P157" s="5"/>
      <c r="Q157" s="5">
        <v>0</v>
      </c>
      <c r="R157" s="5">
        <v>0</v>
      </c>
      <c r="S157" s="5">
        <v>0</v>
      </c>
      <c r="T157" s="5">
        <v>11</v>
      </c>
      <c r="U157" s="6"/>
      <c r="V157" s="6"/>
      <c r="W157" s="6"/>
      <c r="X157" s="6"/>
      <c r="Y157" s="6"/>
      <c r="Z157" s="7" t="s">
        <v>382</v>
      </c>
      <c r="AA157" s="3" t="s">
        <v>67</v>
      </c>
    </row>
    <row r="158" spans="1:27" ht="12.75" customHeight="1" x14ac:dyDescent="0.2">
      <c r="A158" s="3" t="s">
        <v>383</v>
      </c>
      <c r="B158" s="3" t="s">
        <v>8</v>
      </c>
      <c r="C158" s="5">
        <v>4</v>
      </c>
      <c r="D158" s="5">
        <v>0</v>
      </c>
      <c r="E158" s="5">
        <v>0.17</v>
      </c>
      <c r="F158" s="5">
        <v>75</v>
      </c>
      <c r="G158" s="5">
        <v>16</v>
      </c>
      <c r="H158" s="5">
        <v>12</v>
      </c>
      <c r="I158" s="5">
        <v>11</v>
      </c>
      <c r="J158" s="5">
        <v>30</v>
      </c>
      <c r="K158" s="5">
        <v>0</v>
      </c>
      <c r="L158" s="5">
        <v>10</v>
      </c>
      <c r="M158" s="5">
        <v>0</v>
      </c>
      <c r="N158" s="5">
        <v>0</v>
      </c>
      <c r="O158" s="5">
        <v>0</v>
      </c>
      <c r="P158" s="5"/>
      <c r="Q158" s="5">
        <v>0</v>
      </c>
      <c r="R158" s="5">
        <v>0</v>
      </c>
      <c r="S158" s="5">
        <v>0</v>
      </c>
      <c r="T158" s="5">
        <v>0</v>
      </c>
      <c r="U158" s="6"/>
      <c r="V158" s="6"/>
      <c r="W158" s="6"/>
      <c r="X158" s="6"/>
      <c r="Y158" s="6"/>
      <c r="Z158" s="7" t="s">
        <v>384</v>
      </c>
      <c r="AA158" s="3" t="s">
        <v>58</v>
      </c>
    </row>
    <row r="159" spans="1:27" ht="12.75" customHeight="1" x14ac:dyDescent="0.2">
      <c r="A159" s="3" t="s">
        <v>385</v>
      </c>
      <c r="B159" s="3" t="s">
        <v>8</v>
      </c>
      <c r="C159" s="5">
        <v>14.5</v>
      </c>
      <c r="D159" s="5">
        <v>13</v>
      </c>
      <c r="E159" s="5">
        <v>9.67</v>
      </c>
      <c r="F159" s="5">
        <v>82</v>
      </c>
      <c r="G159" s="5">
        <v>18</v>
      </c>
      <c r="H159" s="5">
        <v>12</v>
      </c>
      <c r="I159" s="5">
        <v>10.4</v>
      </c>
      <c r="J159" s="5">
        <v>82</v>
      </c>
      <c r="K159" s="5">
        <v>10</v>
      </c>
      <c r="L159" s="5">
        <v>10</v>
      </c>
      <c r="M159" s="5">
        <v>10.5</v>
      </c>
      <c r="N159" s="5">
        <v>11</v>
      </c>
      <c r="O159" s="5">
        <v>68</v>
      </c>
      <c r="P159" s="5"/>
      <c r="Q159" s="5">
        <v>24.7</v>
      </c>
      <c r="R159" s="5">
        <v>21.8</v>
      </c>
      <c r="S159" s="5">
        <v>8</v>
      </c>
      <c r="T159" s="5">
        <v>12.56</v>
      </c>
      <c r="U159" s="6"/>
      <c r="V159" s="6"/>
      <c r="W159" s="6"/>
      <c r="X159" s="6"/>
      <c r="Y159" s="6"/>
      <c r="Z159" s="7" t="s">
        <v>386</v>
      </c>
      <c r="AA159" s="3" t="s">
        <v>108</v>
      </c>
    </row>
    <row r="160" spans="1:27" ht="12.75" customHeight="1" x14ac:dyDescent="0.2">
      <c r="A160" s="3" t="s">
        <v>387</v>
      </c>
      <c r="B160" s="3" t="s">
        <v>9</v>
      </c>
      <c r="C160" s="5">
        <v>10</v>
      </c>
      <c r="D160" s="5">
        <v>0</v>
      </c>
      <c r="E160" s="5">
        <v>1.17</v>
      </c>
      <c r="F160" s="5">
        <v>65</v>
      </c>
      <c r="G160" s="5">
        <v>18</v>
      </c>
      <c r="H160" s="5">
        <v>12</v>
      </c>
      <c r="I160" s="5">
        <v>9</v>
      </c>
      <c r="J160" s="5">
        <v>30</v>
      </c>
      <c r="K160" s="5">
        <v>7</v>
      </c>
      <c r="L160" s="5">
        <v>10</v>
      </c>
      <c r="M160" s="5">
        <v>6.5</v>
      </c>
      <c r="N160" s="5">
        <v>10.5</v>
      </c>
      <c r="O160" s="5">
        <v>65</v>
      </c>
      <c r="P160" s="5"/>
      <c r="Q160" s="5">
        <v>23</v>
      </c>
      <c r="R160" s="5">
        <v>21</v>
      </c>
      <c r="S160" s="5">
        <v>5.5</v>
      </c>
      <c r="T160" s="5">
        <v>8</v>
      </c>
      <c r="U160" s="6"/>
      <c r="V160" s="6"/>
      <c r="W160" s="6"/>
      <c r="X160" s="6"/>
      <c r="Y160" s="6"/>
      <c r="Z160" s="7" t="s">
        <v>388</v>
      </c>
      <c r="AA160" s="3" t="s">
        <v>58</v>
      </c>
    </row>
    <row r="161" spans="1:27" ht="12.75" customHeight="1" x14ac:dyDescent="0.2">
      <c r="A161" s="3" t="s">
        <v>389</v>
      </c>
      <c r="B161" s="3" t="s">
        <v>8</v>
      </c>
      <c r="C161" s="5">
        <v>15</v>
      </c>
      <c r="D161" s="5">
        <v>15</v>
      </c>
      <c r="E161" s="5">
        <v>10</v>
      </c>
      <c r="F161" s="5">
        <v>92</v>
      </c>
      <c r="G161" s="5">
        <v>18</v>
      </c>
      <c r="H161" s="5">
        <v>12</v>
      </c>
      <c r="I161" s="5">
        <v>11</v>
      </c>
      <c r="J161" s="5">
        <v>85</v>
      </c>
      <c r="K161" s="5">
        <v>10</v>
      </c>
      <c r="L161" s="5">
        <v>10</v>
      </c>
      <c r="M161" s="5">
        <v>10.5</v>
      </c>
      <c r="N161" s="5">
        <v>11</v>
      </c>
      <c r="O161" s="5">
        <v>85</v>
      </c>
      <c r="P161" s="5"/>
      <c r="Q161" s="5">
        <v>28</v>
      </c>
      <c r="R161" s="5">
        <v>22</v>
      </c>
      <c r="S161" s="5">
        <v>10</v>
      </c>
      <c r="T161" s="5">
        <v>13</v>
      </c>
      <c r="U161" s="6"/>
      <c r="V161" s="6"/>
      <c r="W161" s="6"/>
      <c r="X161" s="6"/>
      <c r="Y161" s="6"/>
      <c r="Z161" s="7" t="s">
        <v>390</v>
      </c>
      <c r="AA161" s="3" t="s">
        <v>31</v>
      </c>
    </row>
    <row r="162" spans="1:27" ht="12.75" customHeight="1" x14ac:dyDescent="0.2">
      <c r="A162" s="3" t="s">
        <v>391</v>
      </c>
      <c r="B162" s="3" t="s">
        <v>8</v>
      </c>
      <c r="C162" s="5">
        <v>15</v>
      </c>
      <c r="D162" s="5">
        <v>13</v>
      </c>
      <c r="E162" s="5">
        <v>7.66</v>
      </c>
      <c r="F162" s="5">
        <v>82</v>
      </c>
      <c r="G162" s="5">
        <v>17</v>
      </c>
      <c r="H162" s="5">
        <v>12</v>
      </c>
      <c r="I162" s="5">
        <v>11</v>
      </c>
      <c r="J162" s="5">
        <v>72</v>
      </c>
      <c r="K162" s="5">
        <v>9</v>
      </c>
      <c r="L162" s="5">
        <v>10</v>
      </c>
      <c r="M162" s="5">
        <v>10</v>
      </c>
      <c r="N162" s="5">
        <v>11</v>
      </c>
      <c r="O162" s="5">
        <v>68</v>
      </c>
      <c r="P162" s="5"/>
      <c r="Q162" s="5">
        <v>19</v>
      </c>
      <c r="R162" s="5">
        <v>21</v>
      </c>
      <c r="S162" s="5">
        <v>6.5</v>
      </c>
      <c r="T162" s="5">
        <v>13</v>
      </c>
      <c r="U162" s="6"/>
      <c r="V162" s="6"/>
      <c r="W162" s="6"/>
      <c r="X162" s="6"/>
      <c r="Y162" s="6"/>
      <c r="Z162" s="7" t="s">
        <v>392</v>
      </c>
      <c r="AA162" s="3" t="s">
        <v>34</v>
      </c>
    </row>
    <row r="163" spans="1:27" ht="12.75" customHeight="1" x14ac:dyDescent="0.2">
      <c r="A163" s="3" t="s">
        <v>393</v>
      </c>
      <c r="B163" s="3" t="s">
        <v>7</v>
      </c>
      <c r="C163" s="5"/>
      <c r="D163" s="5"/>
      <c r="E163" s="5"/>
      <c r="F163" s="5">
        <v>92</v>
      </c>
      <c r="G163" s="5">
        <v>15</v>
      </c>
      <c r="H163" s="5">
        <v>12</v>
      </c>
      <c r="I163" s="5">
        <v>4.7</v>
      </c>
      <c r="J163" s="5">
        <v>92</v>
      </c>
      <c r="K163" s="5">
        <v>10</v>
      </c>
      <c r="L163" s="5">
        <v>10</v>
      </c>
      <c r="M163" s="5">
        <v>11.5</v>
      </c>
      <c r="N163" s="5">
        <v>11</v>
      </c>
      <c r="O163" s="5">
        <v>95</v>
      </c>
      <c r="P163" s="5"/>
      <c r="Q163" s="5">
        <v>27</v>
      </c>
      <c r="R163" s="5">
        <v>22</v>
      </c>
      <c r="S163" s="5">
        <v>10</v>
      </c>
      <c r="T163" s="5">
        <v>12.8</v>
      </c>
      <c r="U163" s="6"/>
      <c r="V163" s="6"/>
      <c r="W163" s="6"/>
      <c r="X163" s="6"/>
      <c r="Y163" s="6"/>
      <c r="Z163" s="7" t="s">
        <v>326</v>
      </c>
      <c r="AA163" s="3" t="s">
        <v>70</v>
      </c>
    </row>
    <row r="164" spans="1:27" ht="12.75" customHeight="1" x14ac:dyDescent="0.2">
      <c r="A164" s="3" t="s">
        <v>394</v>
      </c>
      <c r="B164" s="3" t="s">
        <v>8</v>
      </c>
      <c r="C164" s="5">
        <v>14.5</v>
      </c>
      <c r="D164" s="5">
        <v>14.25</v>
      </c>
      <c r="E164" s="5">
        <v>10.67</v>
      </c>
      <c r="F164" s="5">
        <v>78</v>
      </c>
      <c r="G164" s="5">
        <v>18</v>
      </c>
      <c r="H164" s="5">
        <v>12</v>
      </c>
      <c r="I164" s="5">
        <v>10</v>
      </c>
      <c r="J164" s="5">
        <v>82</v>
      </c>
      <c r="K164" s="5">
        <v>10</v>
      </c>
      <c r="L164" s="5">
        <v>10</v>
      </c>
      <c r="M164" s="5">
        <v>11</v>
      </c>
      <c r="N164" s="5">
        <v>11</v>
      </c>
      <c r="O164" s="5">
        <v>78</v>
      </c>
      <c r="P164" s="5"/>
      <c r="Q164" s="5">
        <v>27</v>
      </c>
      <c r="R164" s="5">
        <v>22</v>
      </c>
      <c r="S164" s="5">
        <v>10</v>
      </c>
      <c r="T164" s="5">
        <v>13</v>
      </c>
      <c r="U164" s="6"/>
      <c r="V164" s="6"/>
      <c r="W164" s="6"/>
      <c r="X164" s="6"/>
      <c r="Y164" s="6"/>
      <c r="Z164" s="7" t="s">
        <v>395</v>
      </c>
      <c r="AA164" s="3" t="s">
        <v>39</v>
      </c>
    </row>
    <row r="165" spans="1:27" ht="12.75" customHeight="1" x14ac:dyDescent="0.2">
      <c r="A165" s="3" t="s">
        <v>396</v>
      </c>
      <c r="B165" s="3" t="s">
        <v>8</v>
      </c>
      <c r="C165" s="5">
        <v>12.5</v>
      </c>
      <c r="D165" s="5">
        <v>2</v>
      </c>
      <c r="E165" s="5">
        <v>8</v>
      </c>
      <c r="F165" s="5">
        <v>78</v>
      </c>
      <c r="G165" s="5">
        <v>9</v>
      </c>
      <c r="H165" s="5">
        <v>12</v>
      </c>
      <c r="I165" s="5">
        <v>10</v>
      </c>
      <c r="J165" s="5">
        <v>72</v>
      </c>
      <c r="K165" s="5">
        <v>10</v>
      </c>
      <c r="L165" s="5">
        <v>10</v>
      </c>
      <c r="M165" s="5">
        <v>5.5</v>
      </c>
      <c r="N165" s="5">
        <v>11</v>
      </c>
      <c r="O165" s="5">
        <v>72</v>
      </c>
      <c r="P165" s="5"/>
      <c r="Q165" s="5">
        <v>0</v>
      </c>
      <c r="R165" s="5">
        <v>16</v>
      </c>
      <c r="S165" s="5">
        <v>6.5</v>
      </c>
      <c r="T165" s="5">
        <v>0</v>
      </c>
      <c r="U165" s="6"/>
      <c r="V165" s="6"/>
      <c r="W165" s="6"/>
      <c r="X165" s="6"/>
      <c r="Y165" s="6"/>
      <c r="Z165" s="7" t="s">
        <v>397</v>
      </c>
      <c r="AA165" s="3" t="s">
        <v>53</v>
      </c>
    </row>
    <row r="166" spans="1:27" ht="12.75" customHeight="1" x14ac:dyDescent="0.2">
      <c r="A166" s="3" t="s">
        <v>398</v>
      </c>
      <c r="B166" s="3" t="s">
        <v>8</v>
      </c>
      <c r="C166" s="5">
        <v>14.5</v>
      </c>
      <c r="D166" s="5">
        <v>14.75</v>
      </c>
      <c r="E166" s="5">
        <v>11.5</v>
      </c>
      <c r="F166" s="5">
        <v>92</v>
      </c>
      <c r="G166" s="5">
        <v>18</v>
      </c>
      <c r="H166" s="5">
        <v>12</v>
      </c>
      <c r="I166" s="5">
        <v>12</v>
      </c>
      <c r="J166" s="5">
        <v>100</v>
      </c>
      <c r="K166" s="5">
        <v>10</v>
      </c>
      <c r="L166" s="5">
        <v>10</v>
      </c>
      <c r="M166" s="5">
        <v>10.5</v>
      </c>
      <c r="N166" s="5">
        <v>11</v>
      </c>
      <c r="O166" s="5">
        <v>95</v>
      </c>
      <c r="P166" s="5"/>
      <c r="Q166" s="5">
        <v>28</v>
      </c>
      <c r="R166" s="5">
        <v>22</v>
      </c>
      <c r="S166" s="5">
        <v>9.5</v>
      </c>
      <c r="T166" s="5">
        <v>12.42</v>
      </c>
      <c r="U166" s="6"/>
      <c r="V166" s="6"/>
      <c r="W166" s="6"/>
      <c r="X166" s="6"/>
      <c r="Y166" s="6"/>
      <c r="Z166" s="7" t="s">
        <v>399</v>
      </c>
      <c r="AA166" s="3" t="s">
        <v>42</v>
      </c>
    </row>
    <row r="167" spans="1:27" ht="12.75" customHeight="1" x14ac:dyDescent="0.2">
      <c r="A167" s="3" t="s">
        <v>400</v>
      </c>
      <c r="B167" s="3" t="s">
        <v>8</v>
      </c>
      <c r="C167" s="5">
        <v>14</v>
      </c>
      <c r="D167" s="5">
        <v>13</v>
      </c>
      <c r="E167" s="5">
        <v>10.5</v>
      </c>
      <c r="F167" s="5">
        <v>78</v>
      </c>
      <c r="G167" s="5">
        <v>0</v>
      </c>
      <c r="H167" s="5">
        <v>0</v>
      </c>
      <c r="I167" s="5">
        <v>9</v>
      </c>
      <c r="J167" s="5">
        <v>78</v>
      </c>
      <c r="K167" s="5">
        <v>10</v>
      </c>
      <c r="L167" s="5">
        <v>10</v>
      </c>
      <c r="M167" s="5">
        <v>8.5</v>
      </c>
      <c r="N167" s="5">
        <v>11</v>
      </c>
      <c r="O167" s="5">
        <v>75</v>
      </c>
      <c r="P167" s="5"/>
      <c r="Q167" s="5">
        <v>0</v>
      </c>
      <c r="R167" s="5">
        <v>21</v>
      </c>
      <c r="S167" s="5">
        <v>0</v>
      </c>
      <c r="T167" s="5">
        <v>12.36</v>
      </c>
      <c r="U167" s="6"/>
      <c r="V167" s="6"/>
      <c r="W167" s="6"/>
      <c r="X167" s="6"/>
      <c r="Y167" s="6"/>
      <c r="Z167" s="7" t="s">
        <v>401</v>
      </c>
      <c r="AA167" s="3" t="s">
        <v>34</v>
      </c>
    </row>
    <row r="168" spans="1:27" ht="12.75" customHeight="1" x14ac:dyDescent="0.2">
      <c r="A168" s="3" t="s">
        <v>402</v>
      </c>
      <c r="B168" s="3" t="s">
        <v>8</v>
      </c>
      <c r="C168" s="5"/>
      <c r="D168" s="5">
        <v>14.5</v>
      </c>
      <c r="E168" s="5">
        <v>10</v>
      </c>
      <c r="F168" s="5">
        <v>88</v>
      </c>
      <c r="G168" s="5">
        <v>18</v>
      </c>
      <c r="H168" s="5">
        <v>12</v>
      </c>
      <c r="I168" s="5">
        <v>10</v>
      </c>
      <c r="J168" s="5">
        <v>85</v>
      </c>
      <c r="K168" s="5">
        <v>10</v>
      </c>
      <c r="L168" s="5">
        <v>10</v>
      </c>
      <c r="M168" s="5">
        <v>11</v>
      </c>
      <c r="N168" s="5">
        <v>11</v>
      </c>
      <c r="O168" s="5">
        <v>95</v>
      </c>
      <c r="P168" s="5"/>
      <c r="Q168" s="5">
        <v>27.5</v>
      </c>
      <c r="R168" s="5">
        <v>21</v>
      </c>
      <c r="S168" s="5">
        <v>9</v>
      </c>
      <c r="T168" s="5">
        <v>12.3</v>
      </c>
      <c r="U168" s="6"/>
      <c r="V168" s="6"/>
      <c r="W168" s="6"/>
      <c r="X168" s="6"/>
      <c r="Y168" s="6"/>
      <c r="Z168" s="7" t="s">
        <v>403</v>
      </c>
      <c r="AA168" s="3" t="s">
        <v>31</v>
      </c>
    </row>
    <row r="169" spans="1:27" ht="12.75" customHeight="1" x14ac:dyDescent="0.2">
      <c r="A169" s="3" t="s">
        <v>404</v>
      </c>
      <c r="B169" s="3" t="s">
        <v>8</v>
      </c>
      <c r="C169" s="5">
        <v>13</v>
      </c>
      <c r="D169" s="5">
        <v>14.5</v>
      </c>
      <c r="E169" s="5">
        <v>0</v>
      </c>
      <c r="F169" s="5">
        <v>92</v>
      </c>
      <c r="G169" s="5">
        <v>17</v>
      </c>
      <c r="H169" s="5">
        <v>10</v>
      </c>
      <c r="I169" s="5">
        <v>9.9499999999999993</v>
      </c>
      <c r="J169" s="5">
        <v>78</v>
      </c>
      <c r="K169" s="5">
        <v>10</v>
      </c>
      <c r="L169" s="5">
        <v>10</v>
      </c>
      <c r="M169" s="5">
        <v>4</v>
      </c>
      <c r="N169" s="5">
        <v>8</v>
      </c>
      <c r="O169" s="5">
        <v>72</v>
      </c>
      <c r="P169" s="5"/>
      <c r="Q169" s="5">
        <v>27.5</v>
      </c>
      <c r="R169" s="5">
        <v>22</v>
      </c>
      <c r="S169" s="5">
        <v>8</v>
      </c>
      <c r="T169" s="5">
        <v>12.33</v>
      </c>
      <c r="U169" s="6"/>
      <c r="V169" s="6"/>
      <c r="W169" s="6"/>
      <c r="X169" s="6"/>
      <c r="Y169" s="6"/>
      <c r="Z169" s="7" t="s">
        <v>405</v>
      </c>
      <c r="AA169" s="3" t="s">
        <v>39</v>
      </c>
    </row>
    <row r="170" spans="1:27" ht="12.75" customHeight="1" x14ac:dyDescent="0.2">
      <c r="A170" s="3" t="s">
        <v>406</v>
      </c>
      <c r="B170" s="3" t="s">
        <v>7</v>
      </c>
      <c r="C170" s="5">
        <v>15</v>
      </c>
      <c r="D170" s="5">
        <v>15</v>
      </c>
      <c r="E170" s="5">
        <v>11</v>
      </c>
      <c r="F170" s="5">
        <v>92</v>
      </c>
      <c r="G170" s="5">
        <v>18</v>
      </c>
      <c r="H170" s="5">
        <v>12</v>
      </c>
      <c r="I170" s="5">
        <v>13</v>
      </c>
      <c r="J170" s="5">
        <v>92</v>
      </c>
      <c r="K170" s="5">
        <v>10</v>
      </c>
      <c r="L170" s="5">
        <v>10</v>
      </c>
      <c r="M170" s="5">
        <v>10.5</v>
      </c>
      <c r="N170" s="5">
        <v>11</v>
      </c>
      <c r="O170" s="5">
        <v>100</v>
      </c>
      <c r="P170" s="5"/>
      <c r="Q170" s="5">
        <v>28</v>
      </c>
      <c r="R170" s="5">
        <v>22</v>
      </c>
      <c r="S170" s="5">
        <v>10</v>
      </c>
      <c r="T170" s="5">
        <v>12</v>
      </c>
      <c r="U170" s="6"/>
      <c r="V170" s="6"/>
      <c r="W170" s="6"/>
      <c r="X170" s="6"/>
      <c r="Y170" s="6"/>
      <c r="Z170" s="7" t="s">
        <v>407</v>
      </c>
      <c r="AA170" s="3" t="s">
        <v>42</v>
      </c>
    </row>
    <row r="171" spans="1:27" ht="12.75" customHeight="1" x14ac:dyDescent="0.2">
      <c r="A171" s="3" t="s">
        <v>408</v>
      </c>
      <c r="B171" s="3" t="s">
        <v>8</v>
      </c>
      <c r="C171" s="5">
        <v>6.5</v>
      </c>
      <c r="D171" s="5">
        <v>11.5</v>
      </c>
      <c r="E171" s="5">
        <v>8.33</v>
      </c>
      <c r="F171" s="5">
        <v>85</v>
      </c>
      <c r="G171" s="5">
        <v>18</v>
      </c>
      <c r="H171" s="5">
        <v>12</v>
      </c>
      <c r="I171" s="5">
        <v>9.6999999999999993</v>
      </c>
      <c r="J171" s="5">
        <v>92</v>
      </c>
      <c r="K171" s="5">
        <v>10</v>
      </c>
      <c r="L171" s="5">
        <v>10</v>
      </c>
      <c r="M171" s="5">
        <v>10.5</v>
      </c>
      <c r="N171" s="5">
        <v>11</v>
      </c>
      <c r="O171" s="5">
        <v>75</v>
      </c>
      <c r="P171" s="5"/>
      <c r="Q171" s="5">
        <v>17</v>
      </c>
      <c r="R171" s="5">
        <v>21.8</v>
      </c>
      <c r="S171" s="5">
        <v>9.25</v>
      </c>
      <c r="T171" s="5">
        <v>13</v>
      </c>
      <c r="U171" s="6"/>
      <c r="V171" s="6"/>
      <c r="W171" s="6"/>
      <c r="X171" s="6"/>
      <c r="Y171" s="6"/>
      <c r="Z171" s="7" t="s">
        <v>409</v>
      </c>
      <c r="AA171" s="3" t="s">
        <v>45</v>
      </c>
    </row>
    <row r="172" spans="1:27" ht="12.75" customHeight="1" x14ac:dyDescent="0.2">
      <c r="A172" s="3" t="s">
        <v>410</v>
      </c>
      <c r="B172" s="3" t="s">
        <v>8</v>
      </c>
      <c r="C172" s="5">
        <v>10.5</v>
      </c>
      <c r="D172" s="5">
        <v>13.5</v>
      </c>
      <c r="E172" s="5">
        <v>8.5</v>
      </c>
      <c r="F172" s="5">
        <v>75</v>
      </c>
      <c r="G172" s="5">
        <v>16</v>
      </c>
      <c r="H172" s="5">
        <v>12</v>
      </c>
      <c r="I172" s="5">
        <v>8.1</v>
      </c>
      <c r="J172" s="5">
        <v>85</v>
      </c>
      <c r="K172" s="5">
        <v>8</v>
      </c>
      <c r="L172" s="5">
        <v>10</v>
      </c>
      <c r="M172" s="5">
        <v>10</v>
      </c>
      <c r="N172" s="5">
        <v>10</v>
      </c>
      <c r="O172" s="5">
        <v>75</v>
      </c>
      <c r="P172" s="5"/>
      <c r="Q172" s="5">
        <v>27</v>
      </c>
      <c r="R172" s="5">
        <v>21</v>
      </c>
      <c r="S172" s="5">
        <v>8</v>
      </c>
      <c r="T172" s="5">
        <v>11.83</v>
      </c>
      <c r="U172" s="6"/>
      <c r="V172" s="6"/>
      <c r="W172" s="6"/>
      <c r="X172" s="6"/>
      <c r="Y172" s="6"/>
      <c r="Z172" s="7" t="s">
        <v>411</v>
      </c>
      <c r="AA172" s="3" t="s">
        <v>108</v>
      </c>
    </row>
    <row r="173" spans="1:27" ht="12.75" customHeight="1" x14ac:dyDescent="0.2">
      <c r="A173" s="8" t="s">
        <v>88</v>
      </c>
      <c r="B173" s="9"/>
      <c r="C173" s="10" t="s">
        <v>412</v>
      </c>
      <c r="D173" s="10" t="s">
        <v>413</v>
      </c>
      <c r="E173" s="10" t="s">
        <v>414</v>
      </c>
      <c r="F173" s="10" t="s">
        <v>415</v>
      </c>
      <c r="G173" s="10" t="s">
        <v>416</v>
      </c>
      <c r="H173" s="10" t="s">
        <v>417</v>
      </c>
      <c r="I173" s="10" t="s">
        <v>418</v>
      </c>
      <c r="J173" s="10" t="s">
        <v>419</v>
      </c>
      <c r="K173" s="10" t="s">
        <v>7</v>
      </c>
      <c r="L173" s="10" t="s">
        <v>8</v>
      </c>
      <c r="M173" s="10" t="s">
        <v>420</v>
      </c>
      <c r="N173" s="10" t="s">
        <v>421</v>
      </c>
      <c r="O173" s="10" t="s">
        <v>422</v>
      </c>
      <c r="P173" s="10" t="s">
        <v>102</v>
      </c>
      <c r="Q173" s="10" t="s">
        <v>423</v>
      </c>
      <c r="R173" s="10" t="s">
        <v>424</v>
      </c>
      <c r="S173" s="10" t="s">
        <v>425</v>
      </c>
      <c r="T173" s="10" t="s">
        <v>426</v>
      </c>
      <c r="U173" s="11"/>
      <c r="V173" s="11"/>
      <c r="W173" s="11"/>
      <c r="X173" s="11"/>
      <c r="Y173" s="11"/>
      <c r="Z173" s="12" t="s">
        <v>427</v>
      </c>
      <c r="AA173" s="8" t="s">
        <v>108</v>
      </c>
    </row>
  </sheetData>
  <pageMargins left="0.25" right="0.30000000529819065" top="0.5" bottom="0.5" header="0" footer="0"/>
  <pageSetup orientation="portrait"/>
  <rowBreaks count="4" manualBreakCount="4">
    <brk id="115" man="1"/>
    <brk id="149" man="1"/>
    <brk id="71" man="1"/>
    <brk id="2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26"/>
  <sheetViews>
    <sheetView workbookViewId="0"/>
  </sheetViews>
  <sheetFormatPr defaultColWidth="14.42578125" defaultRowHeight="15" customHeight="1" x14ac:dyDescent="0.2"/>
  <sheetData>
    <row r="1" spans="1:5" ht="15" customHeight="1" x14ac:dyDescent="0.2">
      <c r="A1" s="42" t="s">
        <v>733</v>
      </c>
      <c r="B1" s="42" t="s">
        <v>734</v>
      </c>
      <c r="C1" s="41" t="s">
        <v>735</v>
      </c>
    </row>
    <row r="2" spans="1:5" ht="15" customHeight="1" x14ac:dyDescent="0.2">
      <c r="A2" s="48">
        <v>0.74224090909090912</v>
      </c>
      <c r="B2" s="48">
        <v>0.75321233766233775</v>
      </c>
      <c r="C2" s="48">
        <v>0.77386948051948024</v>
      </c>
    </row>
    <row r="5" spans="1:5" ht="15" customHeight="1" x14ac:dyDescent="0.2">
      <c r="A5" s="24" t="s">
        <v>744</v>
      </c>
    </row>
    <row r="6" spans="1:5" ht="15" customHeight="1" x14ac:dyDescent="0.2">
      <c r="A6" s="21"/>
    </row>
    <row r="7" spans="1:5" ht="15" customHeight="1" x14ac:dyDescent="0.2">
      <c r="A7" s="25" t="s">
        <v>745</v>
      </c>
      <c r="B7" s="25" t="s">
        <v>746</v>
      </c>
      <c r="C7" s="25" t="s">
        <v>747</v>
      </c>
      <c r="D7" s="25" t="s">
        <v>748</v>
      </c>
    </row>
    <row r="8" spans="1:5" ht="15" customHeight="1" x14ac:dyDescent="0.2">
      <c r="A8" s="21">
        <v>13</v>
      </c>
      <c r="B8" s="21">
        <v>20</v>
      </c>
      <c r="C8" s="21">
        <v>37</v>
      </c>
      <c r="D8" s="21">
        <v>70</v>
      </c>
    </row>
    <row r="11" spans="1:5" ht="15" customHeight="1" x14ac:dyDescent="0.2">
      <c r="A11" s="25" t="s">
        <v>761</v>
      </c>
      <c r="B11" s="25" t="s">
        <v>762</v>
      </c>
      <c r="C11" s="25" t="s">
        <v>763</v>
      </c>
      <c r="D11" s="25" t="s">
        <v>764</v>
      </c>
      <c r="E11" s="25" t="s">
        <v>765</v>
      </c>
    </row>
    <row r="12" spans="1:5" ht="15" customHeight="1" x14ac:dyDescent="0.2">
      <c r="A12" s="21">
        <v>3</v>
      </c>
      <c r="B12" s="21">
        <v>1</v>
      </c>
      <c r="C12" s="21">
        <v>5</v>
      </c>
      <c r="D12" s="21">
        <v>4</v>
      </c>
      <c r="E12" s="21">
        <f ca="1">COUNTA('All Alg 2 Simple Analysis'!N:N) - COUNT('All Alg 2 Simple Analysis'!N:N)</f>
        <v>60</v>
      </c>
    </row>
    <row r="15" spans="1:5" ht="15" customHeight="1" x14ac:dyDescent="0.2">
      <c r="A15" s="25" t="s">
        <v>761</v>
      </c>
      <c r="B15" s="25" t="s">
        <v>762</v>
      </c>
      <c r="C15" s="25" t="s">
        <v>763</v>
      </c>
      <c r="D15" s="25" t="s">
        <v>764</v>
      </c>
      <c r="E15" s="25" t="s">
        <v>765</v>
      </c>
    </row>
    <row r="16" spans="1:5" ht="15" customHeight="1" x14ac:dyDescent="0.2">
      <c r="A16" s="21">
        <v>9</v>
      </c>
      <c r="B16" s="21">
        <v>4</v>
      </c>
      <c r="C16" s="21">
        <v>6</v>
      </c>
      <c r="D16" s="21">
        <v>1</v>
      </c>
      <c r="E16" s="21">
        <f ca="1">COUNTA('All Alg 2 Simple Analysis'!W:W) - COUNT('All Alg 2 Simple Analysis'!W:W)</f>
        <v>53</v>
      </c>
    </row>
    <row r="25" spans="1:5" ht="15" customHeight="1" x14ac:dyDescent="0.2">
      <c r="A25" s="25" t="s">
        <v>761</v>
      </c>
      <c r="B25" s="25" t="s">
        <v>762</v>
      </c>
      <c r="C25" s="25" t="s">
        <v>763</v>
      </c>
      <c r="D25" s="25" t="s">
        <v>764</v>
      </c>
      <c r="E25" s="25" t="s">
        <v>765</v>
      </c>
    </row>
    <row r="26" spans="1:5" ht="15" customHeight="1" x14ac:dyDescent="0.2">
      <c r="A26" s="21">
        <v>14</v>
      </c>
      <c r="B26" s="21">
        <v>6</v>
      </c>
      <c r="C26" s="21">
        <v>8</v>
      </c>
      <c r="D26" s="21">
        <v>9</v>
      </c>
      <c r="E26" s="21">
        <f>COUNTA('All Alg 2 Simple Analysis'!AI:AI) - COUNT('All Alg 2 Simple Analysis'!AI:AI)</f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F8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" customHeight="1" x14ac:dyDescent="0.2"/>
  <cols>
    <col min="1" max="2" width="24.42578125" customWidth="1"/>
    <col min="3" max="3" width="12.7109375" customWidth="1"/>
    <col min="4" max="5" width="12.140625" customWidth="1"/>
    <col min="6" max="6" width="13.85546875" customWidth="1"/>
    <col min="7" max="7" width="13.5703125" customWidth="1"/>
    <col min="8" max="12" width="12.7109375" customWidth="1"/>
    <col min="13" max="14" width="12.140625" customWidth="1"/>
    <col min="15" max="15" width="13.85546875" customWidth="1"/>
    <col min="16" max="16" width="13.5703125" customWidth="1"/>
    <col min="17" max="21" width="12.7109375" customWidth="1"/>
    <col min="22" max="24" width="12.140625" customWidth="1"/>
    <col min="25" max="25" width="13.85546875" customWidth="1"/>
    <col min="26" max="26" width="13.5703125" customWidth="1"/>
    <col min="27" max="30" width="12.7109375" customWidth="1"/>
    <col min="31" max="32" width="13.7109375" customWidth="1"/>
    <col min="33" max="33" width="13.85546875" customWidth="1"/>
    <col min="34" max="34" width="12.7109375" customWidth="1"/>
    <col min="35" max="35" width="12.28515625" customWidth="1"/>
    <col min="36" max="37" width="13.85546875" customWidth="1"/>
    <col min="38" max="38" width="13.7109375" customWidth="1"/>
    <col min="39" max="39" width="9.42578125" customWidth="1"/>
    <col min="40" max="40" width="14" customWidth="1"/>
    <col min="41" max="41" width="11" customWidth="1"/>
    <col min="42" max="42" width="12" customWidth="1"/>
    <col min="43" max="43" width="11" customWidth="1"/>
    <col min="44" max="44" width="12" customWidth="1"/>
    <col min="45" max="45" width="11" customWidth="1"/>
    <col min="46" max="46" width="12" customWidth="1"/>
    <col min="47" max="47" width="11" customWidth="1"/>
    <col min="48" max="48" width="10.85546875" customWidth="1"/>
    <col min="49" max="50" width="11" customWidth="1"/>
    <col min="51" max="51" width="12" customWidth="1"/>
    <col min="52" max="52" width="14" customWidth="1"/>
    <col min="53" max="53" width="11" customWidth="1"/>
    <col min="54" max="54" width="14.140625" customWidth="1"/>
    <col min="55" max="58" width="12.7109375" customWidth="1"/>
  </cols>
  <sheetData>
    <row r="1" spans="1:58" ht="15" customHeight="1" x14ac:dyDescent="0.2">
      <c r="A1" s="25" t="s">
        <v>689</v>
      </c>
      <c r="B1" s="25"/>
      <c r="C1" s="25"/>
      <c r="D1" s="25" t="s">
        <v>766</v>
      </c>
      <c r="E1" s="25" t="s">
        <v>766</v>
      </c>
      <c r="F1" s="38"/>
      <c r="G1" s="25" t="s">
        <v>766</v>
      </c>
      <c r="H1" s="25" t="s">
        <v>767</v>
      </c>
      <c r="I1" s="53"/>
      <c r="J1" s="25"/>
      <c r="K1" s="25" t="s">
        <v>768</v>
      </c>
      <c r="L1" s="48"/>
      <c r="M1" s="25" t="s">
        <v>769</v>
      </c>
      <c r="N1" s="25" t="s">
        <v>769</v>
      </c>
      <c r="O1" s="25"/>
      <c r="P1" s="25" t="s">
        <v>769</v>
      </c>
      <c r="Q1" s="25" t="s">
        <v>770</v>
      </c>
      <c r="R1" s="53"/>
      <c r="S1" s="38"/>
      <c r="T1" s="25" t="s">
        <v>771</v>
      </c>
      <c r="U1" s="54"/>
      <c r="V1" s="25" t="s">
        <v>772</v>
      </c>
      <c r="W1" s="25" t="s">
        <v>772</v>
      </c>
      <c r="X1" s="25" t="s">
        <v>772</v>
      </c>
      <c r="Y1" s="25"/>
      <c r="Z1" s="25" t="s">
        <v>772</v>
      </c>
      <c r="AA1" s="25" t="s">
        <v>773</v>
      </c>
      <c r="AB1" s="53"/>
      <c r="AC1" s="38"/>
      <c r="AD1" s="25" t="s">
        <v>774</v>
      </c>
      <c r="AE1" s="38"/>
      <c r="AF1" s="38"/>
      <c r="AG1" s="25" t="s">
        <v>775</v>
      </c>
      <c r="AH1" s="25" t="s">
        <v>775</v>
      </c>
      <c r="AI1" s="25" t="s">
        <v>775</v>
      </c>
      <c r="AJ1" s="38"/>
      <c r="AK1" s="25" t="s">
        <v>775</v>
      </c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53"/>
      <c r="AZ1" s="53"/>
      <c r="BA1" s="25"/>
      <c r="BB1" s="25"/>
      <c r="BC1" s="25"/>
      <c r="BD1" s="25"/>
      <c r="BE1" s="25"/>
      <c r="BF1" s="25"/>
    </row>
    <row r="2" spans="1:58" ht="15" customHeight="1" x14ac:dyDescent="0.2">
      <c r="A2" s="25" t="s">
        <v>693</v>
      </c>
      <c r="B2" s="25" t="s">
        <v>534</v>
      </c>
      <c r="C2" s="25" t="s">
        <v>694</v>
      </c>
      <c r="D2" s="25" t="s">
        <v>776</v>
      </c>
      <c r="E2" s="25" t="s">
        <v>777</v>
      </c>
      <c r="F2" s="25" t="s">
        <v>778</v>
      </c>
      <c r="G2" s="25" t="s">
        <v>779</v>
      </c>
      <c r="H2" s="25" t="s">
        <v>703</v>
      </c>
      <c r="I2" s="53" t="s">
        <v>780</v>
      </c>
      <c r="J2" s="25" t="s">
        <v>705</v>
      </c>
      <c r="K2" s="25" t="s">
        <v>706</v>
      </c>
      <c r="L2" s="53" t="s">
        <v>781</v>
      </c>
      <c r="M2" s="25" t="s">
        <v>782</v>
      </c>
      <c r="N2" s="25" t="s">
        <v>783</v>
      </c>
      <c r="O2" s="25" t="s">
        <v>784</v>
      </c>
      <c r="P2" s="25" t="s">
        <v>785</v>
      </c>
      <c r="Q2" s="25" t="s">
        <v>712</v>
      </c>
      <c r="R2" s="53" t="s">
        <v>786</v>
      </c>
      <c r="S2" s="25" t="s">
        <v>713</v>
      </c>
      <c r="T2" s="25" t="s">
        <v>714</v>
      </c>
      <c r="U2" s="53" t="s">
        <v>787</v>
      </c>
      <c r="V2" s="25" t="s">
        <v>788</v>
      </c>
      <c r="W2" s="25" t="s">
        <v>789</v>
      </c>
      <c r="X2" s="25" t="s">
        <v>790</v>
      </c>
      <c r="Y2" s="25" t="s">
        <v>791</v>
      </c>
      <c r="Z2" s="25" t="s">
        <v>792</v>
      </c>
      <c r="AA2" s="25" t="s">
        <v>723</v>
      </c>
      <c r="AB2" s="53" t="s">
        <v>793</v>
      </c>
      <c r="AC2" s="25" t="s">
        <v>725</v>
      </c>
      <c r="AD2" s="25" t="s">
        <v>726</v>
      </c>
      <c r="AE2" s="25" t="s">
        <v>794</v>
      </c>
      <c r="AF2" s="25" t="s">
        <v>795</v>
      </c>
      <c r="AG2" s="25" t="s">
        <v>796</v>
      </c>
      <c r="AH2" s="25" t="s">
        <v>797</v>
      </c>
      <c r="AI2" s="25" t="s">
        <v>798</v>
      </c>
      <c r="AJ2" s="25" t="s">
        <v>799</v>
      </c>
      <c r="AK2" s="25" t="s">
        <v>800</v>
      </c>
      <c r="AL2" s="25" t="s">
        <v>801</v>
      </c>
      <c r="AM2" s="25" t="s">
        <v>459</v>
      </c>
      <c r="AN2" s="25" t="s">
        <v>802</v>
      </c>
      <c r="AO2" s="25" t="s">
        <v>803</v>
      </c>
      <c r="AP2" s="25" t="s">
        <v>728</v>
      </c>
      <c r="AQ2" s="25" t="s">
        <v>804</v>
      </c>
      <c r="AR2" s="25" t="s">
        <v>729</v>
      </c>
      <c r="AS2" s="25" t="s">
        <v>805</v>
      </c>
      <c r="AT2" s="25" t="s">
        <v>730</v>
      </c>
      <c r="AU2" s="25" t="s">
        <v>806</v>
      </c>
      <c r="AV2" s="25" t="s">
        <v>807</v>
      </c>
      <c r="AW2" s="25" t="s">
        <v>731</v>
      </c>
      <c r="AX2" s="25" t="s">
        <v>732</v>
      </c>
      <c r="AY2" s="53" t="s">
        <v>808</v>
      </c>
      <c r="AZ2" s="53" t="s">
        <v>809</v>
      </c>
      <c r="BA2" s="25" t="s">
        <v>736</v>
      </c>
      <c r="BB2" s="25" t="s">
        <v>737</v>
      </c>
      <c r="BC2" s="25" t="s">
        <v>738</v>
      </c>
      <c r="BD2" s="25" t="s">
        <v>802</v>
      </c>
      <c r="BE2" s="25" t="s">
        <v>802</v>
      </c>
      <c r="BF2" s="25" t="s">
        <v>802</v>
      </c>
    </row>
    <row r="3" spans="1:58" ht="15" customHeight="1" x14ac:dyDescent="0.2">
      <c r="A3" s="26" t="s">
        <v>29</v>
      </c>
      <c r="B3" s="26" t="s">
        <v>464</v>
      </c>
      <c r="C3" s="19" t="s">
        <v>7</v>
      </c>
      <c r="D3" s="20">
        <v>15</v>
      </c>
      <c r="E3" s="20">
        <v>14</v>
      </c>
      <c r="F3" s="20">
        <v>8.83</v>
      </c>
      <c r="G3" s="20" t="e">
        <f t="shared" ref="G3:G6" ca="1" si="0">CONVERT_13PT_SCALE(F3)/2</f>
        <v>#NAME?</v>
      </c>
      <c r="H3" s="20">
        <v>85</v>
      </c>
      <c r="I3" s="48">
        <f ca="1">IFERROR(__xludf.DUMMYFUNCTION("SUM( FILTER(C3:K3, ISNUMBER(SEARCH(""Practice"", $C$1:$K$1)) ) )  / 
  SUM( FILTER(C$75:K$75, ISNUMBER(SEARCH(""Practice"", $C$1:$K$1))))*0.1
+
SUM( FILTER(C3:K3, ISNUMBER(SEARCH(""BEFORE RETAKE"", $C$1:$K$1)) ) )  / 
  SUM( FILTER(C$75:K$75, ISNUMBER(SE"&amp;"ARCH(""BEFORE RETAKE"", $C$1:$K$1))))*0.6 + 0.3"),0.900506329113924)</f>
        <v>0.90050632911392403</v>
      </c>
      <c r="J3" s="20" t="s">
        <v>810</v>
      </c>
      <c r="K3" s="20">
        <v>85</v>
      </c>
      <c r="L3" s="48">
        <f ca="1">IFERROR(__xludf.DUMMYFUNCTION("SUM( FILTER(C3:K3, ISNUMBER(SEARCH(""Practice"", $C$1:$K$1)) ) )  / 
  SUM( FILTER(C$75:K$75, ISNUMBER(SEARCH(""Practice"", $C$1:$K$1))))*0.1
+
SUM( FILTER(C3:K3, ISNUMBER(SEARCH(""AFTER RETAKE"", $C$1:$K$1)) ) )  / 
  SUM( FILTER(C$75:K$75, ISNUMBER(SEA"&amp;"RCH(""AFTER RETAKE"", $C$1:$K$1))))*0.6 + 0.3
"),0.900506329113924)</f>
        <v>0.90050632911392403</v>
      </c>
      <c r="M3" s="20">
        <v>11</v>
      </c>
      <c r="N3" s="20">
        <v>12</v>
      </c>
      <c r="O3" s="20">
        <v>10</v>
      </c>
      <c r="P3" s="20" t="e">
        <f t="shared" ref="P3:P68" ca="1" si="1">CONVERT_13PT_SCALE(O3)/2</f>
        <v>#NAME?</v>
      </c>
      <c r="Q3" s="20">
        <v>85</v>
      </c>
      <c r="R3" s="48">
        <f ca="1">IFERROR(__xludf.DUMMYFUNCTION("SUM( FILTER(C3:T3, ISNUMBER(SEARCH(""Practice"", $C$1:$T$1)) ) )  / 
  SUM( FILTER(C$75:T$75, ISNUMBER(SEARCH(""Practice"", $C$1:$T$1))))*0.1
+
(SUM( FILTER(C3:K3, ISNUMBER(SEARCH(""AFTER RETAKE"", $C$1:$K$1)) ) )+SUM( FILTER(K3:T3, ISNUMBER(SEARCH(""BEF"&amp;"ORE RETAKE"", $K$1:$T$1)) ) ))  / 
  SUM( FILTER(C$75:T$75, ISNUMBER(SEARCH(""BEFORE RETAKE"", $C$1:$T$1))))*0.6 + 0.3"),0.897106918238993)</f>
        <v>0.89710691823899302</v>
      </c>
      <c r="S3" s="20" t="s">
        <v>462</v>
      </c>
      <c r="T3" s="20">
        <v>85</v>
      </c>
      <c r="U3" s="48">
        <f ca="1">IFERROR(__xludf.DUMMYFUNCTION("SUM( FILTER(C3:T3, ISNUMBER(SEARCH(""Practice"", $C$1:$T$1)) ) )  / 
  SUM( FILTER(C$75:T$75, ISNUMBER(SEARCH(""Practice"", $C$1:$T$1))))*0.1
+
SUM( FILTER(C3:T3, ISNUMBER(SEARCH(""AFTER RETAKE"", $C$1:$T$1)) ) )  / 
  SUM( FILTER(C$75:T$75, ISNUMBER(SEA"&amp;"RCH(""AFTER RETAKE"", $C$1:$T$1))))*0.6 + 0.3
"),0.897106918238993)</f>
        <v>0.89710691823899302</v>
      </c>
      <c r="V3" s="20">
        <v>9.75</v>
      </c>
      <c r="W3" s="20">
        <v>10</v>
      </c>
      <c r="X3" s="20">
        <v>11</v>
      </c>
      <c r="Y3" s="20">
        <v>9.5</v>
      </c>
      <c r="Z3" s="20" t="e">
        <f t="shared" ref="Z3:Z44" ca="1" si="2">CONVERT_13PT_SCALE(Y3)/2</f>
        <v>#NAME?</v>
      </c>
      <c r="AA3" s="20">
        <v>100</v>
      </c>
      <c r="AB3" s="48">
        <f ca="1">IFERROR(__xludf.DUMMYFUNCTION("SUM( FILTER(C3:AA3, ISNUMBER(SEARCH(""Practice"", $C$1:$AA$1)) ) )  / 
  SUM( FILTER(C$75:AA$75, ISNUMBER(SEARCH(""Practice"", $C$1:$AA$1))))*0.1
+
(SUM( FILTER(C3:T3, ISNUMBER(SEARCH(""AFTER RETAKE"", $C$1:$T$1)) ) )+SUM( FILTER(T3:AA3, ISNUMBER(SEARCH("&amp;"""BEFORE RETAKE"", $T$1:$AA$1)) ) ))  / 
  SUM( FILTER(C$75:AA$75, ISNUMBER(SEARCH(""BEFORE RETAKE"", $C$1:$AA$1))))*0.6 + 0.3"),0.928854166666666)</f>
        <v>0.92885416666666598</v>
      </c>
      <c r="AC3" s="20"/>
      <c r="AD3" s="20">
        <v>100</v>
      </c>
      <c r="AE3" s="48">
        <f ca="1">IFERROR(__xludf.DUMMYFUNCTION("SUM( FILTER(C3:AA3, ISNUMBER(SEARCH(""Practice"", $C$1:$AA$1)) ) )  / 
  SUM( FILTER(C$75:AA$75, ISNUMBER(SEARCH(""Practice"", $C$1:$AA$1))))*0.1
+
(SUM( FILTER(C3:T3, ISNUMBER(SEARCH(""AFTER RETAKE"", $C$1:$T$1)) ) )
+
SUM( FILTER(U3:AD3, ISNUMBER(SEARCH"&amp;"(""AFTER RETAKE"", $U$1:$AD$1)) ) ))  / 
  SUM( FILTER(C$75:AA$75, ISNUMBER(SEARCH(""BEFORE RETAKE"", $C$1:$AA$1))))*0.6 
+ 
0.3"),0.928854166666666)</f>
        <v>0.92885416666666598</v>
      </c>
      <c r="AF3" s="20"/>
      <c r="AG3" s="20">
        <v>22</v>
      </c>
      <c r="AH3" s="20">
        <v>9.0500000000000007</v>
      </c>
      <c r="AI3" s="20">
        <v>5.5</v>
      </c>
      <c r="AJ3" s="20">
        <v>11.56</v>
      </c>
      <c r="AK3" s="20">
        <v>95</v>
      </c>
      <c r="AM3" s="21">
        <v>0.92</v>
      </c>
      <c r="AO3" s="55">
        <f t="shared" ref="AO3:AO68" si="3">SUM(D3:F3)/SUM($D$75:$F$75)*100</f>
        <v>90.071428571428569</v>
      </c>
      <c r="AP3" s="21">
        <f t="shared" ref="AP3:AP68" si="4">COUNTIF(D3:F3, "=0")</f>
        <v>0</v>
      </c>
      <c r="AQ3" s="55">
        <f t="shared" ref="AQ3:AQ68" si="5">AVERAGE(M3:O3) / AVERAGE($M$75:$O$75) *100</f>
        <v>76.744186046511615</v>
      </c>
      <c r="AR3" s="21">
        <f t="shared" ref="AR3:AR68" si="6">COUNTIF(M3:O3, "&lt;=0")</f>
        <v>0</v>
      </c>
      <c r="AS3" s="55">
        <f t="shared" ref="AS3:AS44" si="7">AVERAGE(V3:Y3) / AVERAGE(V$75:Y$75)*100</f>
        <v>91.477272727272734</v>
      </c>
      <c r="AT3" s="21">
        <f t="shared" ref="AT3:AT68" si="8">COUNTIF(V3:Y3, "&lt;=0")</f>
        <v>0</v>
      </c>
      <c r="AU3" s="55">
        <f t="shared" ref="AU3:AU44" si="9">AVERAGE(AG3:AI3) / AVERAGE(AG$75:AI$75) *100</f>
        <v>60.916666666666664</v>
      </c>
      <c r="AV3" s="21">
        <f t="shared" ref="AV3:AV68" si="10">COUNTIF(AG3:AI3, "&lt;=0")</f>
        <v>0</v>
      </c>
      <c r="AW3" s="20">
        <f t="shared" ref="AW3:AW68" si="11">AVERAGE(H3, Q3, AA3)</f>
        <v>90</v>
      </c>
      <c r="AX3" s="20">
        <f t="shared" ref="AX3:AX68" si="12">AVERAGE(K3, T3, AD3)</f>
        <v>90</v>
      </c>
      <c r="AY3" s="48">
        <f ca="1">IFERROR(__xludf.DUMMYFUNCTION("SUM( FILTER(C3:AA3, ISNUMBER(SEARCH(""Practice"", $C$1:$AA$1)) ) )  / 
  SUM( FILTER(C$75:AA$75, ISNUMBER(SEARCH(""Practice"", $C$1:$AA$1))))*0.1
+
(SUM( FILTER(C3:T3, ISNUMBER(SEARCH(""AFTER RETAKE"", $C$1:$T$1)) ) )
+
SUM( FILTER(U3:AD3, ISNUMBER(SEARCH"&amp;"(""AFTER RETAKE"", $U$1:$AD$1)) ) ))  / 
  SUM( FILTER(C$75:AA$75, ISNUMBER(SEARCH(""BEFORE RETAKE"", $C$1:$AA$1))))*0.6 
+ 
 AM3*0.3"),0.904854166666666)</f>
        <v>0.90485416666666596</v>
      </c>
      <c r="AZ3" s="48">
        <f ca="1">IFERROR(__xludf.DUMMYFUNCTION("SUM( FILTER(C3:AA3, ISNUMBER(SEARCH(""Practice"", $C$1:$AA$1)) ) )  / 
  SUM( FILTER(C$75:AA$75, ISNUMBER(SEARCH(""Practice"", $C$1:$AA$1))))*0.1
+
(SUM( FILTER(C3:T3, ISNUMBER(SEARCH(""Before RETAKE"", $C$1:$T$1)) ) )
+
SUM( FILTER(U3:AD3, ISNUMBER(SEARC"&amp;"H(""Before RETAKE"", $U$1:$AD$1)) ) ))  / 
  SUM( FILTER(C$75:AA$75, ISNUMBER(SEARCH(""BEFORE RETAKE"", $C$1:$AA$1))))*0.6 
+ 
AM3* 0.3"),0.904854166666666)</f>
        <v>0.90485416666666596</v>
      </c>
      <c r="BA3" s="55">
        <f t="shared" ref="BA3:BA44" si="13">AVERAGE(AO3, AQ3, AS3, AU3)</f>
        <v>79.802388502969904</v>
      </c>
      <c r="BB3" s="21">
        <f t="shared" ref="BB3:BB68" si="14">SUM(AP3, AR3, AT3, AV3)</f>
        <v>0</v>
      </c>
      <c r="BC3" s="55">
        <f t="shared" ref="BC3:BC68" si="15">AVERAGE(F3, O3, Y3, AJ3)/AVERAGE(F$75, O$75, Y$75, AJ$75)*100</f>
        <v>76.711538461538467</v>
      </c>
      <c r="BD3" s="55"/>
      <c r="BE3" s="55"/>
      <c r="BF3" s="55"/>
    </row>
    <row r="4" spans="1:58" ht="15" customHeight="1" x14ac:dyDescent="0.2">
      <c r="A4" s="26" t="s">
        <v>32</v>
      </c>
      <c r="B4" s="26" t="s">
        <v>464</v>
      </c>
      <c r="C4" s="19" t="s">
        <v>9</v>
      </c>
      <c r="D4" s="20">
        <v>15</v>
      </c>
      <c r="E4" s="20">
        <v>0</v>
      </c>
      <c r="F4" s="20">
        <v>9</v>
      </c>
      <c r="G4" s="20" t="e">
        <f t="shared" ca="1" si="0"/>
        <v>#NAME?</v>
      </c>
      <c r="H4" s="20">
        <v>82</v>
      </c>
      <c r="I4" s="48">
        <f ca="1">IFERROR(__xludf.DUMMYFUNCTION("Sum(FILTER(C4:H4, $C$1:$H$1=""Unit 1 Practice""))/Sum(FILTER(C$75:H$75, $C$1:$H$1=""Unit 1 Practice""))*0.1 + Sum(FILTER(C4:H4, $C$1:$H$1=""Unit 1 Test (before retake)""))/Sum(FILTER(C$75:H$75, $C$1:$H$1=""Unit 1 Test (before retake)""))*0.6 + 0.3"),0.864784810126582)</f>
        <v>0.86478481012658204</v>
      </c>
      <c r="J4" s="20" t="s">
        <v>810</v>
      </c>
      <c r="K4" s="20">
        <v>82</v>
      </c>
      <c r="L4" s="48">
        <f ca="1">IFERROR(__xludf.DUMMYFUNCTION("SUM( FILTER(C4:K4, ISNUMBER(SEARCH(""Practice"", $C$1:$K$1)) ) )  / 
  SUM( FILTER(C$75:K$75, ISNUMBER(SEARCH(""Practice"", $C$1:$K$1))))*0.1
+
SUM( FILTER(C4:K4, ISNUMBER(SEARCH(""AFTER RETAKE"", $C$1:$K$1)) ) )  / 
  SUM( FILTER(C$75:K$75, ISNUMBER(SEA"&amp;"RCH(""AFTER RETAKE"", $C$1:$K$1))))*0.6 + 0.3
"),0.864784810126582)</f>
        <v>0.86478481012658204</v>
      </c>
      <c r="M4" s="20">
        <v>12</v>
      </c>
      <c r="N4" s="20">
        <v>12</v>
      </c>
      <c r="O4" s="20">
        <v>9.6999999999999993</v>
      </c>
      <c r="P4" s="20" t="e">
        <f t="shared" ca="1" si="1"/>
        <v>#NAME?</v>
      </c>
      <c r="Q4" s="20">
        <v>78</v>
      </c>
      <c r="R4" s="48">
        <f ca="1">IFERROR(__xludf.DUMMYFUNCTION("SUM( FILTER(C4:T4, ISNUMBER(SEARCH(""Practice"", $C$1:$T$1)) ) )  / 
  SUM( FILTER(C$75:T$75, ISNUMBER(SEARCH(""Practice"", $C$1:$T$1))))*0.1
+
(SUM( FILTER(C4:K4, ISNUMBER(SEARCH(""AFTER RETAKE"", $C$1:$K$1)) ) )+SUM( FILTER(K4:T4, ISNUMBER(SEARCH(""BEF"&amp;"ORE RETAKE"", $K$1:$T$1)) ) ))  / 
  SUM( FILTER(C$75:T$75, ISNUMBER(SEARCH(""BEFORE RETAKE"", $C$1:$T$1))))*0.6 + 0.3"),0.858930817610063)</f>
        <v>0.85893081761006296</v>
      </c>
      <c r="S4" s="20" t="s">
        <v>462</v>
      </c>
      <c r="T4" s="20">
        <v>78</v>
      </c>
      <c r="U4" s="48">
        <f ca="1">IFERROR(__xludf.DUMMYFUNCTION("SUM( FILTER(C4:T4, ISNUMBER(SEARCH(""Practice"", $C$1:$T$1)) ) )  / 
  SUM( FILTER(C$75:T$75, ISNUMBER(SEARCH(""Practice"", $C$1:$T$1))))*0.1
+
SUM( FILTER(C4:T4, ISNUMBER(SEARCH(""AFTER RETAKE"", $C$1:$T$1)) ) )  / 
  SUM( FILTER(C$75:T$75, ISNUMBER(SEA"&amp;"RCH(""AFTER RETAKE"", $C$1:$T$1))))*0.6 + 0.3
"),0.858930817610063)</f>
        <v>0.85893081761006296</v>
      </c>
      <c r="V4" s="20">
        <v>9.75</v>
      </c>
      <c r="W4" s="20">
        <v>9</v>
      </c>
      <c r="X4" s="20">
        <v>9</v>
      </c>
      <c r="Y4" s="20">
        <v>7</v>
      </c>
      <c r="Z4" s="20" t="e">
        <f t="shared" ca="1" si="2"/>
        <v>#NAME?</v>
      </c>
      <c r="AA4" s="20">
        <v>75</v>
      </c>
      <c r="AB4" s="48">
        <f ca="1">IFERROR(__xludf.DUMMYFUNCTION("SUM( FILTER(C4:AA4, ISNUMBER(SEARCH(""Practice"", $C$1:$AA$1)) ) )  / 
  SUM( FILTER(C$75:AA$75, ISNUMBER(SEARCH(""Practice"", $C$1:$AA$1))))*0.1
+
(SUM( FILTER(C4:T4, ISNUMBER(SEARCH(""AFTER RETAKE"", $C$1:$T$1)) ) )+SUM( FILTER(T4:AA4, ISNUMBER(SEARCH("&amp;"""BEFORE RETAKE"", $T$1:$AA$1)) ) ))  / 
  SUM( FILTER(C$75:AA$75, ISNUMBER(SEARCH(""BEFORE RETAKE"", $C$1:$AA$1))))*0.6 + 0.3"),0.850104166666666)</f>
        <v>0.85010416666666599</v>
      </c>
      <c r="AC4" s="20"/>
      <c r="AD4" s="20">
        <v>75</v>
      </c>
      <c r="AE4" s="48">
        <f ca="1">IFERROR(__xludf.DUMMYFUNCTION("SUM( FILTER(C4:AA4, ISNUMBER(SEARCH(""Practice"", $C$1:$AA$1)) ) )  / 
  SUM( FILTER(C$75:AA$75, ISNUMBER(SEARCH(""Practice"", $C$1:$AA$1))))*0.1
+
(SUM( FILTER(C4:T4, ISNUMBER(SEARCH(""AFTER RETAKE"", $C$1:$T$1)) ) )
+
SUM( FILTER(U4:AD4, ISNUMBER(SEARCH"&amp;"(""AFTER RETAKE"", $U$1:$AD$1)) ) ))  / 
  SUM( FILTER(C$75:AA$75, ISNUMBER(SEARCH(""BEFORE RETAKE"", $C$1:$AA$1))))*0.6 
+ 
0.3"),0.850104166666666)</f>
        <v>0.85010416666666599</v>
      </c>
      <c r="AF4" s="20"/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M4" s="21">
        <v>0</v>
      </c>
      <c r="AO4" s="55">
        <f t="shared" si="3"/>
        <v>57.142857142857139</v>
      </c>
      <c r="AP4" s="21">
        <f t="shared" si="4"/>
        <v>1</v>
      </c>
      <c r="AQ4" s="55">
        <f t="shared" si="5"/>
        <v>78.372093023255815</v>
      </c>
      <c r="AR4" s="21">
        <f t="shared" si="6"/>
        <v>0</v>
      </c>
      <c r="AS4" s="55">
        <f t="shared" si="7"/>
        <v>78.977272727272734</v>
      </c>
      <c r="AT4" s="21">
        <f t="shared" si="8"/>
        <v>0</v>
      </c>
      <c r="AU4" s="55">
        <f t="shared" si="9"/>
        <v>0</v>
      </c>
      <c r="AV4" s="21">
        <f t="shared" si="10"/>
        <v>3</v>
      </c>
      <c r="AW4" s="20">
        <f t="shared" si="11"/>
        <v>78.333333333333329</v>
      </c>
      <c r="AX4" s="20">
        <f t="shared" si="12"/>
        <v>78.333333333333329</v>
      </c>
      <c r="AY4" s="48">
        <f ca="1">IFERROR(__xludf.DUMMYFUNCTION("SUM( FILTER(C4:AA4, ISNUMBER(SEARCH(""Practice"", $C$1:$AA$1)) ) )  / 
  SUM( FILTER(C$75:AA$75, ISNUMBER(SEARCH(""Practice"", $C$1:$AA$1))))*0.1
+
(SUM( FILTER(C4:T4, ISNUMBER(SEARCH(""AFTER RETAKE"", $C$1:$T$1)) ) )
+
SUM( FILTER(U4:AD4, ISNUMBER(SEARCH"&amp;"(""AFTER RETAKE"", $U$1:$AD$1)) ) ))  / 
  SUM( FILTER(C$75:AA$75, ISNUMBER(SEARCH(""BEFORE RETAKE"", $C$1:$AA$1))))*0.6 
+ 
 AM4*0.3"),0.550104166666666)</f>
        <v>0.55010416666666595</v>
      </c>
      <c r="AZ4" s="48">
        <f ca="1">IFERROR(__xludf.DUMMYFUNCTION("SUM( FILTER(C4:AA4, ISNUMBER(SEARCH(""Practice"", $C$1:$AA$1)) ) )  / 
  SUM( FILTER(C$75:AA$75, ISNUMBER(SEARCH(""Practice"", $C$1:$AA$1))))*0.1
+
(SUM( FILTER(C4:T4, ISNUMBER(SEARCH(""Before RETAKE"", $C$1:$T$1)) ) )
+
SUM( FILTER(U4:AD4, ISNUMBER(SEARC"&amp;"H(""Before RETAKE"", $U$1:$AD$1)) ) ))  / 
  SUM( FILTER(C$75:AA$75, ISNUMBER(SEARCH(""BEFORE RETAKE"", $C$1:$AA$1))))*0.6 
+ 
AM4* 0.3"),0.550104166666666)</f>
        <v>0.55010416666666595</v>
      </c>
      <c r="BA4" s="55">
        <f t="shared" si="13"/>
        <v>53.623055723346425</v>
      </c>
      <c r="BB4" s="21">
        <f t="shared" si="14"/>
        <v>4</v>
      </c>
      <c r="BC4" s="55">
        <f t="shared" si="15"/>
        <v>49.42307692307692</v>
      </c>
      <c r="BD4" s="55"/>
      <c r="BE4" s="55"/>
      <c r="BF4" s="55"/>
    </row>
    <row r="5" spans="1:58" ht="15" customHeight="1" x14ac:dyDescent="0.2">
      <c r="A5" s="26" t="s">
        <v>35</v>
      </c>
      <c r="B5" s="26" t="s">
        <v>464</v>
      </c>
      <c r="C5" s="19" t="s">
        <v>8</v>
      </c>
      <c r="D5" s="20">
        <v>14</v>
      </c>
      <c r="E5" s="20">
        <v>13.75</v>
      </c>
      <c r="F5" s="20">
        <v>7.16</v>
      </c>
      <c r="G5" s="20" t="e">
        <f t="shared" ca="1" si="0"/>
        <v>#NAME?</v>
      </c>
      <c r="H5" s="20">
        <v>95</v>
      </c>
      <c r="I5" s="48">
        <f ca="1">IFERROR(__xludf.DUMMYFUNCTION("Sum(FILTER(C5:H5, $C$1:$H$1=""Unit 1 Practice""))/Sum(FILTER(C$75:H$75, $C$1:$H$1=""Unit 1 Practice""))*0.1 + Sum(FILTER(C5:H5, $C$1:$H$1=""Unit 1 Test (before retake)""))/Sum(FILTER(C$75:H$75, $C$1:$H$1=""Unit 1 Test (before retake)""))*0.6 + 0.3"),0.954493670886075)</f>
        <v>0.95449367088607495</v>
      </c>
      <c r="J5" s="20" t="s">
        <v>810</v>
      </c>
      <c r="K5" s="20">
        <v>95</v>
      </c>
      <c r="L5" s="48">
        <f ca="1">IFERROR(__xludf.DUMMYFUNCTION("SUM( FILTER(C5:K5, ISNUMBER(SEARCH(""Practice"", $C$1:$K$1)) ) )  / 
  SUM( FILTER(C$75:K$75, ISNUMBER(SEARCH(""Practice"", $C$1:$K$1))))*0.1
+
SUM( FILTER(C5:K5, ISNUMBER(SEARCH(""AFTER RETAKE"", $C$1:$K$1)) ) )  / 
  SUM( FILTER(C$75:K$75, ISNUMBER(SEA"&amp;"RCH(""AFTER RETAKE"", $C$1:$K$1))))*0.6 + 0.3
"),0.954493670886075)</f>
        <v>0.95449367088607495</v>
      </c>
      <c r="M5" s="20">
        <v>15</v>
      </c>
      <c r="N5" s="20">
        <v>10</v>
      </c>
      <c r="O5" s="20">
        <v>12.4</v>
      </c>
      <c r="P5" s="20" t="e">
        <f t="shared" ca="1" si="1"/>
        <v>#NAME?</v>
      </c>
      <c r="Q5" s="20">
        <v>85</v>
      </c>
      <c r="R5" s="48">
        <f ca="1">IFERROR(__xludf.DUMMYFUNCTION("SUM( FILTER(C5:T5, ISNUMBER(SEARCH(""Practice"", $C$1:$T$1)) ) )  / 
  SUM( FILTER(C$75:T$75, ISNUMBER(SEARCH(""Practice"", $C$1:$T$1))))*0.1
+
(SUM( FILTER(C5:K5, ISNUMBER(SEARCH(""AFTER RETAKE"", $C$1:$K$1)) ) )+SUM( FILTER(K5:T5, ISNUMBER(SEARCH(""BEF"&amp;"ORE RETAKE"", $K$1:$T$1)) ) ))  / 
  SUM( FILTER(C$75:T$75, ISNUMBER(SEARCH(""BEFORE RETAKE"", $C$1:$T$1))))*0.6 + 0.3"),0.927578616352201)</f>
        <v>0.92757861635220096</v>
      </c>
      <c r="S5" s="20" t="s">
        <v>462</v>
      </c>
      <c r="T5" s="20">
        <v>85</v>
      </c>
      <c r="U5" s="48">
        <f ca="1">IFERROR(__xludf.DUMMYFUNCTION("SUM( FILTER(C5:T5, ISNUMBER(SEARCH(""Practice"", $C$1:$T$1)) ) )  / 
  SUM( FILTER(C$75:T$75, ISNUMBER(SEARCH(""Practice"", $C$1:$T$1))))*0.1
+
SUM( FILTER(C5:T5, ISNUMBER(SEARCH(""AFTER RETAKE"", $C$1:$T$1)) ) )  / 
  SUM( FILTER(C$75:T$75, ISNUMBER(SEA"&amp;"RCH(""AFTER RETAKE"", $C$1:$T$1))))*0.6 + 0.3
"),0.927578616352201)</f>
        <v>0.92757861635220096</v>
      </c>
      <c r="V5" s="20">
        <v>9</v>
      </c>
      <c r="W5" s="20">
        <v>10</v>
      </c>
      <c r="X5" s="20">
        <v>10</v>
      </c>
      <c r="Y5" s="20">
        <v>7.5</v>
      </c>
      <c r="Z5" s="20" t="e">
        <f t="shared" ca="1" si="2"/>
        <v>#NAME?</v>
      </c>
      <c r="AA5" s="20">
        <v>85</v>
      </c>
      <c r="AB5" s="48">
        <f ca="1">IFERROR(__xludf.DUMMYFUNCTION("SUM( FILTER(C5:AA5, ISNUMBER(SEARCH(""Practice"", $C$1:$AA$1)) ) )  / 
  SUM( FILTER(C$75:AA$75, ISNUMBER(SEARCH(""Practice"", $C$1:$AA$1))))*0.1
+
(SUM( FILTER(C5:T5, ISNUMBER(SEARCH(""AFTER RETAKE"", $C$1:$T$1)) ) )+SUM( FILTER(T5:AA5, ISNUMBER(SEARCH("&amp;"""BEFORE RETAKE"", $T$1:$AA$1)) ) ))  / 
  SUM( FILTER(C$75:AA$75, ISNUMBER(SEARCH(""BEFORE RETAKE"", $C$1:$AA$1))))*0.6 + 0.3"),0.917187499999999)</f>
        <v>0.91718749999999905</v>
      </c>
      <c r="AC5" s="20"/>
      <c r="AD5" s="20">
        <v>85</v>
      </c>
      <c r="AE5" s="48">
        <f ca="1">IFERROR(__xludf.DUMMYFUNCTION("SUM( FILTER(C5:AA5, ISNUMBER(SEARCH(""Practice"", $C$1:$AA$1)) ) )  / 
  SUM( FILTER(C$75:AA$75, ISNUMBER(SEARCH(""Practice"", $C$1:$AA$1))))*0.1
+
(SUM( FILTER(C5:T5, ISNUMBER(SEARCH(""AFTER RETAKE"", $C$1:$T$1)) ) )
+
SUM( FILTER(U5:AD5, ISNUMBER(SEARCH"&amp;"(""AFTER RETAKE"", $U$1:$AD$1)) ) ))  / 
  SUM( FILTER(C$75:AA$75, ISNUMBER(SEARCH(""BEFORE RETAKE"", $C$1:$AA$1))))*0.6 
+ 
0.3"),0.917187499999999)</f>
        <v>0.91718749999999905</v>
      </c>
      <c r="AF5" s="20"/>
      <c r="AG5" s="20">
        <v>20</v>
      </c>
      <c r="AH5" s="20">
        <v>8.35</v>
      </c>
      <c r="AI5" s="20">
        <v>21</v>
      </c>
      <c r="AJ5" s="20">
        <v>12.47</v>
      </c>
      <c r="AK5" s="20">
        <v>95</v>
      </c>
      <c r="AM5" s="21">
        <v>0.82</v>
      </c>
      <c r="AO5" s="55">
        <f t="shared" si="3"/>
        <v>83.11904761904762</v>
      </c>
      <c r="AP5" s="21">
        <f t="shared" si="4"/>
        <v>0</v>
      </c>
      <c r="AQ5" s="55">
        <f t="shared" si="5"/>
        <v>86.976744186046503</v>
      </c>
      <c r="AR5" s="21">
        <f t="shared" si="6"/>
        <v>0</v>
      </c>
      <c r="AS5" s="55">
        <f t="shared" si="7"/>
        <v>82.954545454545453</v>
      </c>
      <c r="AT5" s="21">
        <f t="shared" si="8"/>
        <v>0</v>
      </c>
      <c r="AU5" s="55">
        <f t="shared" si="9"/>
        <v>82.25</v>
      </c>
      <c r="AV5" s="21">
        <f t="shared" si="10"/>
        <v>0</v>
      </c>
      <c r="AW5" s="20">
        <f t="shared" si="11"/>
        <v>88.333333333333329</v>
      </c>
      <c r="AX5" s="20">
        <f t="shared" si="12"/>
        <v>88.333333333333329</v>
      </c>
      <c r="AY5" s="48">
        <f ca="1">IFERROR(__xludf.DUMMYFUNCTION("SUM( FILTER(C5:AA5, ISNUMBER(SEARCH(""Practice"", $C$1:$AA$1)) ) )  / 
  SUM( FILTER(C$75:AA$75, ISNUMBER(SEARCH(""Practice"", $C$1:$AA$1))))*0.1
+
(SUM( FILTER(C5:T5, ISNUMBER(SEARCH(""AFTER RETAKE"", $C$1:$T$1)) ) )
+
SUM( FILTER(U5:AD5, ISNUMBER(SEARCH"&amp;"(""AFTER RETAKE"", $U$1:$AD$1)) ) ))  / 
  SUM( FILTER(C$75:AA$75, ISNUMBER(SEARCH(""BEFORE RETAKE"", $C$1:$AA$1))))*0.6 
+ 
 AM5*0.3"),0.863187499999999)</f>
        <v>0.863187499999999</v>
      </c>
      <c r="AZ5" s="48">
        <f ca="1">IFERROR(__xludf.DUMMYFUNCTION("SUM( FILTER(C5:AA5, ISNUMBER(SEARCH(""Practice"", $C$1:$AA$1)) ) )  / 
  SUM( FILTER(C$75:AA$75, ISNUMBER(SEARCH(""Practice"", $C$1:$AA$1))))*0.1
+
(SUM( FILTER(C5:T5, ISNUMBER(SEARCH(""Before RETAKE"", $C$1:$T$1)) ) )
+
SUM( FILTER(U5:AD5, ISNUMBER(SEARC"&amp;"H(""Before RETAKE"", $U$1:$AD$1)) ) ))  / 
  SUM( FILTER(C$75:AA$75, ISNUMBER(SEARCH(""BEFORE RETAKE"", $C$1:$AA$1))))*0.6 
+ 
AM5* 0.3"),0.863187499999999)</f>
        <v>0.863187499999999</v>
      </c>
      <c r="BA5" s="55">
        <f t="shared" si="13"/>
        <v>83.825084314909887</v>
      </c>
      <c r="BB5" s="21">
        <f t="shared" si="14"/>
        <v>0</v>
      </c>
      <c r="BC5" s="55">
        <f t="shared" si="15"/>
        <v>76.019230769230774</v>
      </c>
      <c r="BD5" s="55"/>
      <c r="BE5" s="55"/>
      <c r="BF5" s="55"/>
    </row>
    <row r="6" spans="1:58" ht="15" customHeight="1" x14ac:dyDescent="0.2">
      <c r="A6" s="26" t="s">
        <v>37</v>
      </c>
      <c r="B6" s="26" t="s">
        <v>464</v>
      </c>
      <c r="C6" s="19" t="s">
        <v>8</v>
      </c>
      <c r="D6" s="20">
        <v>14</v>
      </c>
      <c r="E6" s="20">
        <v>14</v>
      </c>
      <c r="F6" s="20">
        <v>11</v>
      </c>
      <c r="G6" s="20" t="e">
        <f t="shared" ca="1" si="0"/>
        <v>#NAME?</v>
      </c>
      <c r="H6" s="20">
        <v>82</v>
      </c>
      <c r="I6" s="48">
        <f ca="1">IFERROR(__xludf.DUMMYFUNCTION("Sum(FILTER(C6:H6, $C$1:$H$1=""Unit 1 Practice""))/Sum(FILTER(C$75:H$75, $C$1:$H$1=""Unit 1 Practice""))*0.1 + Sum(FILTER(C6:H6, $C$1:$H$1=""Unit 1 Test (before retake)""))/Sum(FILTER(C$75:H$75, $C$1:$H$1=""Unit 1 Test (before retake)""))*0.6 + 0.3"),0.885670886075949)</f>
        <v>0.88567088607594902</v>
      </c>
      <c r="J6" s="20" t="s">
        <v>810</v>
      </c>
      <c r="K6" s="20">
        <v>82</v>
      </c>
      <c r="L6" s="48">
        <f ca="1">IFERROR(__xludf.DUMMYFUNCTION("SUM( FILTER(C6:K6, ISNUMBER(SEARCH(""Practice"", $C$1:$K$1)) ) )  / 
  SUM( FILTER(C$75:K$75, ISNUMBER(SEARCH(""Practice"", $C$1:$K$1))))*0.1
+
SUM( FILTER(C6:K6, ISNUMBER(SEARCH(""AFTER RETAKE"", $C$1:$K$1)) ) )  / 
  SUM( FILTER(C$75:K$75, ISNUMBER(SEA"&amp;"RCH(""AFTER RETAKE"", $C$1:$K$1))))*0.6 + 0.3
"),0.885670886075949)</f>
        <v>0.88567088607594902</v>
      </c>
      <c r="M6" s="20">
        <v>15</v>
      </c>
      <c r="N6" s="20">
        <v>10</v>
      </c>
      <c r="O6" s="20">
        <v>7.7</v>
      </c>
      <c r="P6" s="20" t="e">
        <f t="shared" ca="1" si="1"/>
        <v>#NAME?</v>
      </c>
      <c r="Q6" s="20">
        <v>72</v>
      </c>
      <c r="R6" s="48">
        <f ca="1">IFERROR(__xludf.DUMMYFUNCTION("SUM( FILTER(C6:T6, ISNUMBER(SEARCH(""Practice"", $C$1:$T$1)) ) )  / 
  SUM( FILTER(C$75:T$75, ISNUMBER(SEARCH(""Practice"", $C$1:$T$1))))*0.1
+
(SUM( FILTER(C6:K6, ISNUMBER(SEARCH(""AFTER RETAKE"", $C$1:$K$1)) ) )+SUM( FILTER(K6:T6, ISNUMBER(SEARCH(""BEF"&amp;"ORE RETAKE"", $K$1:$T$1)) ) ))  / 
  SUM( FILTER(C$75:T$75, ISNUMBER(SEARCH(""BEFORE RETAKE"", $C$1:$T$1))))*0.6 + 0.3"),0.850050314465408)</f>
        <v>0.85005031446540802</v>
      </c>
      <c r="S6" s="20">
        <v>88</v>
      </c>
      <c r="T6" s="20">
        <v>88</v>
      </c>
      <c r="U6" s="48">
        <f ca="1">IFERROR(__xludf.DUMMYFUNCTION("SUM( FILTER(C6:T6, ISNUMBER(SEARCH(""Practice"", $C$1:$T$1)) ) )  / 
  SUM( FILTER(C$75:T$75, ISNUMBER(SEARCH(""Practice"", $C$1:$T$1))))*0.1
+
SUM( FILTER(C6:T6, ISNUMBER(SEARCH(""AFTER RETAKE"", $C$1:$T$1)) ) )  / 
  SUM( FILTER(C$75:T$75, ISNUMBER(SEA"&amp;"RCH(""AFTER RETAKE"", $C$1:$T$1))))*0.6 + 0.3
"),0.898050314465408)</f>
        <v>0.89805031446540795</v>
      </c>
      <c r="V6" s="20">
        <v>8.5</v>
      </c>
      <c r="W6" s="20">
        <v>10</v>
      </c>
      <c r="X6" s="20">
        <v>10</v>
      </c>
      <c r="Y6" s="20">
        <v>8</v>
      </c>
      <c r="Z6" s="20" t="e">
        <f t="shared" ca="1" si="2"/>
        <v>#NAME?</v>
      </c>
      <c r="AA6" s="20">
        <v>78</v>
      </c>
      <c r="AB6" s="48">
        <f ca="1">IFERROR(__xludf.DUMMYFUNCTION("SUM( FILTER(C6:AA6, ISNUMBER(SEARCH(""Practice"", $C$1:$AA$1)) ) )  / 
  SUM( FILTER(C$75:AA$75, ISNUMBER(SEARCH(""Practice"", $C$1:$AA$1))))*0.1
+
(SUM( FILTER(C6:T6, ISNUMBER(SEARCH(""AFTER RETAKE"", $C$1:$T$1)) ) )+SUM( FILTER(T6:AA6, ISNUMBER(SEARCH("&amp;"""BEFORE RETAKE"", $T$1:$AA$1)) ) ))  / 
  SUM( FILTER(C$75:AA$75, ISNUMBER(SEARCH(""BEFORE RETAKE"", $C$1:$AA$1))))*0.6 + 0.3"),0.883291666666666)</f>
        <v>0.88329166666666603</v>
      </c>
      <c r="AC6" s="20">
        <v>72</v>
      </c>
      <c r="AD6" s="20">
        <v>78</v>
      </c>
      <c r="AE6" s="48">
        <f ca="1">IFERROR(__xludf.DUMMYFUNCTION("SUM( FILTER(C6:AA6, ISNUMBER(SEARCH(""Practice"", $C$1:$AA$1)) ) )  / 
  SUM( FILTER(C$75:AA$75, ISNUMBER(SEARCH(""Practice"", $C$1:$AA$1))))*0.1
+
SUM( FILTER(C6:AD6, ISNUMBER(SEARCH(""AFTER RETAKE"", $C$1:$AD$1)) ) )
  / 
  SUM( FILTER(C$75:AD$75, ISNUM"&amp;"BER(SEARCH(""BEFORE RETAKE"", $C$1:$AD$1))))*0.6 
+ 
0.3"),0.883291666666666)</f>
        <v>0.88329166666666603</v>
      </c>
      <c r="AF6" s="20"/>
      <c r="AG6" s="20">
        <v>22</v>
      </c>
      <c r="AH6" s="20">
        <v>9</v>
      </c>
      <c r="AI6" s="20">
        <v>0</v>
      </c>
      <c r="AJ6" s="20">
        <v>9.01</v>
      </c>
      <c r="AK6" s="20">
        <v>85</v>
      </c>
      <c r="AM6" s="21">
        <v>0.92</v>
      </c>
      <c r="AO6" s="55">
        <f t="shared" si="3"/>
        <v>92.857142857142861</v>
      </c>
      <c r="AP6" s="21">
        <f t="shared" si="4"/>
        <v>0</v>
      </c>
      <c r="AQ6" s="55">
        <f t="shared" si="5"/>
        <v>76.04651162790698</v>
      </c>
      <c r="AR6" s="21">
        <f t="shared" si="6"/>
        <v>0</v>
      </c>
      <c r="AS6" s="55">
        <f t="shared" si="7"/>
        <v>82.954545454545453</v>
      </c>
      <c r="AT6" s="21">
        <f t="shared" si="8"/>
        <v>0</v>
      </c>
      <c r="AU6" s="55">
        <f t="shared" si="9"/>
        <v>51.666666666666671</v>
      </c>
      <c r="AV6" s="21">
        <f t="shared" si="10"/>
        <v>1</v>
      </c>
      <c r="AW6" s="20">
        <f t="shared" si="11"/>
        <v>77.333333333333329</v>
      </c>
      <c r="AX6" s="20">
        <f t="shared" si="12"/>
        <v>82.666666666666671</v>
      </c>
      <c r="AY6" s="48">
        <f ca="1">IFERROR(__xludf.DUMMYFUNCTION("SUM( FILTER(C6:AA6, ISNUMBER(SEARCH(""Practice"", $C$1:$AA$1)) ) )  / 
  SUM( FILTER(C$75:AA$75, ISNUMBER(SEARCH(""Practice"", $C$1:$AA$1))))*0.1
+
(SUM( FILTER(C6:T6, ISNUMBER(SEARCH(""AFTER RETAKE"", $C$1:$T$1)) ) )
+
SUM( FILTER(U6:AD6, ISNUMBER(SEARCH"&amp;"(""AFTER RETAKE"", $U$1:$AD$1)) ) ))  / 
  SUM( FILTER(C$75:AA$75, ISNUMBER(SEARCH(""BEFORE RETAKE"", $C$1:$AA$1))))*0.6 
+ 
 AM6*0.3"),0.859291666666666)</f>
        <v>0.85929166666666601</v>
      </c>
      <c r="AZ6" s="48">
        <f ca="1">IFERROR(__xludf.DUMMYFUNCTION("SUM( FILTER(C6:AA6, ISNUMBER(SEARCH(""Practice"", $C$1:$AA$1)) ) )  / 
  SUM( FILTER(C$75:AA$75, ISNUMBER(SEARCH(""Practice"", $C$1:$AA$1))))*0.1
+
(SUM( FILTER(C6:T6, ISNUMBER(SEARCH(""Before RETAKE"", $C$1:$T$1)) ) )
+
SUM( FILTER(U6:AD6, ISNUMBER(SEARC"&amp;"H(""Before RETAKE"", $U$1:$AD$1)) ) ))  / 
  SUM( FILTER(C$75:AA$75, ISNUMBER(SEARCH(""BEFORE RETAKE"", $C$1:$AA$1))))*0.6 
+ 
AM6* 0.3"),0.827291666666666)</f>
        <v>0.82729166666666598</v>
      </c>
      <c r="BA6" s="55">
        <f t="shared" si="13"/>
        <v>75.881216651565495</v>
      </c>
      <c r="BB6" s="21">
        <f t="shared" si="14"/>
        <v>1</v>
      </c>
      <c r="BC6" s="55">
        <f t="shared" si="15"/>
        <v>68.67307692307692</v>
      </c>
      <c r="BD6" s="55"/>
      <c r="BE6" s="55"/>
      <c r="BF6" s="55"/>
    </row>
    <row r="7" spans="1:58" ht="15" customHeight="1" x14ac:dyDescent="0.2">
      <c r="A7" s="26" t="s">
        <v>40</v>
      </c>
      <c r="B7" s="26" t="s">
        <v>464</v>
      </c>
      <c r="C7" s="19" t="s">
        <v>8</v>
      </c>
      <c r="D7" s="20" t="s">
        <v>462</v>
      </c>
      <c r="E7" s="20" t="s">
        <v>462</v>
      </c>
      <c r="F7" s="20" t="s">
        <v>462</v>
      </c>
      <c r="G7" s="20" t="s">
        <v>462</v>
      </c>
      <c r="H7" s="20">
        <v>92</v>
      </c>
      <c r="I7" s="48">
        <f ca="1">IFERROR(__xludf.DUMMYFUNCTION("Sum(FILTER(C7:H7, $C$1:$H$1=""Unit 1 Practice""))/Sum(FILTER(C$75:H$75, $C$1:$H$1=""Unit 1 Practice""))*0.1 + Sum(FILTER(C7:H7, $C$1:$H$1=""Unit 1 Test (before retake)""))/Sum(FILTER(C$75:H$75, $C$1:$H$1=""Unit 1 Test (before retake)""))*0.6 + 0.3"),0.852)</f>
        <v>0.85199999999999998</v>
      </c>
      <c r="J7" s="20" t="s">
        <v>810</v>
      </c>
      <c r="K7" s="20">
        <v>92</v>
      </c>
      <c r="L7" s="48">
        <f ca="1">IFERROR(__xludf.DUMMYFUNCTION("SUM( FILTER(C7:K7, ISNUMBER(SEARCH(""Practice"", $C$1:$K$1)) ) )  / 
  SUM( FILTER(C$75:K$75, ISNUMBER(SEARCH(""Practice"", $C$1:$K$1))))*0.1
+
SUM( FILTER(C7:K7, ISNUMBER(SEARCH(""AFTER RETAKE"", $C$1:$K$1)) ) )  / 
  SUM( FILTER(C$75:K$75, ISNUMBER(SEA"&amp;"RCH(""AFTER RETAKE"", $C$1:$K$1))))*0.6 + 0.3
"),0.852)</f>
        <v>0.85199999999999998</v>
      </c>
      <c r="M7" s="20">
        <v>18</v>
      </c>
      <c r="N7" s="20">
        <v>12</v>
      </c>
      <c r="O7" s="20">
        <v>10</v>
      </c>
      <c r="P7" s="20" t="e">
        <f t="shared" ca="1" si="1"/>
        <v>#NAME?</v>
      </c>
      <c r="Q7" s="20">
        <v>95</v>
      </c>
      <c r="R7" s="48">
        <f ca="1">IFERROR(__xludf.DUMMYFUNCTION("SUM( FILTER(C7:T7, ISNUMBER(SEARCH(""Practice"", $C$1:$T$1)) ) )  / 
  SUM( FILTER(C$75:T$75, ISNUMBER(SEARCH(""Practice"", $C$1:$T$1))))*0.1
+
(SUM( FILTER(C7:K7, ISNUMBER(SEARCH(""AFTER RETAKE"", $C$1:$K$1)) ) )+SUM( FILTER(K7:T7, ISNUMBER(SEARCH(""BEF"&amp;"ORE RETAKE"", $K$1:$T$1)) ) ))  / 
  SUM( FILTER(C$75:T$75, ISNUMBER(SEARCH(""BEFORE RETAKE"", $C$1:$T$1))))*0.6 + 0.3"),0.907540880503144)</f>
        <v>0.90754088050314397</v>
      </c>
      <c r="S7" s="20" t="s">
        <v>462</v>
      </c>
      <c r="T7" s="20">
        <v>95</v>
      </c>
      <c r="U7" s="48">
        <f ca="1">IFERROR(__xludf.DUMMYFUNCTION("SUM( FILTER(C7:T7, ISNUMBER(SEARCH(""Practice"", $C$1:$T$1)) ) )  / 
  SUM( FILTER(C$75:T$75, ISNUMBER(SEARCH(""Practice"", $C$1:$T$1))))*0.1
+
SUM( FILTER(C7:T7, ISNUMBER(SEARCH(""AFTER RETAKE"", $C$1:$T$1)) ) )  / 
  SUM( FILTER(C$75:T$75, ISNUMBER(SEA"&amp;"RCH(""AFTER RETAKE"", $C$1:$T$1))))*0.6 + 0.3
"),0.907540880503144)</f>
        <v>0.90754088050314397</v>
      </c>
      <c r="V7" s="20">
        <v>10</v>
      </c>
      <c r="W7" s="20">
        <v>10</v>
      </c>
      <c r="X7" s="20">
        <v>11</v>
      </c>
      <c r="Y7" s="20">
        <v>10.5</v>
      </c>
      <c r="Z7" s="20" t="e">
        <f t="shared" ca="1" si="2"/>
        <v>#NAME?</v>
      </c>
      <c r="AA7" s="20">
        <v>100</v>
      </c>
      <c r="AB7" s="48">
        <f ca="1">IFERROR(__xludf.DUMMYFUNCTION("SUM( FILTER(C7:AA7, ISNUMBER(SEARCH(""Practice"", $C$1:$AA$1)) ) )  / 
  SUM( FILTER(C$75:AA$75, ISNUMBER(SEARCH(""Practice"", $C$1:$AA$1))))*0.1
+
(SUM( FILTER(C7:T7, ISNUMBER(SEARCH(""AFTER RETAKE"", $C$1:$T$1)) ) )+SUM( FILTER(T7:AA7, ISNUMBER(SEARCH("&amp;"""BEFORE RETAKE"", $T$1:$AA$1)) ) ))  / 
  SUM( FILTER(C$75:AA$75, ISNUMBER(SEARCH(""BEFORE RETAKE"", $C$1:$AA$1))))*0.6 + 0.3"),0.936916666666666)</f>
        <v>0.93691666666666595</v>
      </c>
      <c r="AC7" s="20"/>
      <c r="AD7" s="20">
        <v>100</v>
      </c>
      <c r="AE7" s="48">
        <f ca="1">IFERROR(__xludf.DUMMYFUNCTION("SUM( FILTER(C7:AA7, ISNUMBER(SEARCH(""Practice"", $C$1:$AA$1)) ) )  / 
  SUM( FILTER(C$75:AA$75, ISNUMBER(SEARCH(""Practice"", $C$1:$AA$1))))*0.1
+
SUM( FILTER(C7:AD7, ISNUMBER(SEARCH(""AFTER RETAKE"", $C$1:$AD$1)) ) )
  / 
  SUM( FILTER(C$75:AD$75, ISNUM"&amp;"BER(SEARCH(""BEFORE RETAKE"", $C$1:$AD$1))))*0.6 
+ 
0.3"),0.936916666666666)</f>
        <v>0.93691666666666595</v>
      </c>
      <c r="AF7" s="20"/>
      <c r="AG7" s="20">
        <v>22</v>
      </c>
      <c r="AH7" s="20">
        <v>10</v>
      </c>
      <c r="AI7" s="20">
        <v>28</v>
      </c>
      <c r="AJ7" s="20">
        <v>12</v>
      </c>
      <c r="AK7" s="20">
        <v>95</v>
      </c>
      <c r="AM7" s="21">
        <v>0.92</v>
      </c>
      <c r="AO7" s="55">
        <f t="shared" si="3"/>
        <v>0</v>
      </c>
      <c r="AP7" s="21">
        <f t="shared" si="4"/>
        <v>0</v>
      </c>
      <c r="AQ7" s="55">
        <f t="shared" si="5"/>
        <v>93.023255813953483</v>
      </c>
      <c r="AR7" s="21">
        <f t="shared" si="6"/>
        <v>0</v>
      </c>
      <c r="AS7" s="55">
        <f t="shared" si="7"/>
        <v>94.318181818181827</v>
      </c>
      <c r="AT7" s="21">
        <f t="shared" si="8"/>
        <v>0</v>
      </c>
      <c r="AU7" s="55">
        <f t="shared" si="9"/>
        <v>100</v>
      </c>
      <c r="AV7" s="21">
        <f t="shared" si="10"/>
        <v>0</v>
      </c>
      <c r="AW7" s="20">
        <f t="shared" si="11"/>
        <v>95.666666666666671</v>
      </c>
      <c r="AX7" s="20">
        <f t="shared" si="12"/>
        <v>95.666666666666671</v>
      </c>
      <c r="AY7" s="48">
        <f ca="1">IFERROR(__xludf.DUMMYFUNCTION("SUM( FILTER(C7:AA7, ISNUMBER(SEARCH(""Practice"", $C$1:$AA$1)) ) )  / 
  SUM( FILTER(C$75:AA$75, ISNUMBER(SEARCH(""Practice"", $C$1:$AA$1))))*0.1
+
(SUM( FILTER(C7:T7, ISNUMBER(SEARCH(""AFTER RETAKE"", $C$1:$T$1)) ) )
+
SUM( FILTER(U7:AD7, ISNUMBER(SEARCH"&amp;"(""AFTER RETAKE"", $U$1:$AD$1)) ) ))  / 
  SUM( FILTER(C$75:AA$75, ISNUMBER(SEARCH(""BEFORE RETAKE"", $C$1:$AA$1))))*0.6 
+ 
 AM7*0.3"),0.912916666666666)</f>
        <v>0.91291666666666604</v>
      </c>
      <c r="AZ7" s="48">
        <f ca="1">IFERROR(__xludf.DUMMYFUNCTION("SUM( FILTER(C7:AA7, ISNUMBER(SEARCH(""Practice"", $C$1:$AA$1)) ) )  / 
  SUM( FILTER(C$75:AA$75, ISNUMBER(SEARCH(""Practice"", $C$1:$AA$1))))*0.1
+
(SUM( FILTER(C7:T7, ISNUMBER(SEARCH(""Before RETAKE"", $C$1:$T$1)) ) )
+
SUM( FILTER(U7:AD7, ISNUMBER(SEARC"&amp;"H(""Before RETAKE"", $U$1:$AD$1)) ) ))  / 
  SUM( FILTER(C$75:AA$75, ISNUMBER(SEARCH(""BEFORE RETAKE"", $C$1:$AA$1))))*0.6 
+ 
AM7* 0.3"),0.912916666666666)</f>
        <v>0.91291666666666604</v>
      </c>
      <c r="BA7" s="55">
        <f t="shared" si="13"/>
        <v>71.835359408033824</v>
      </c>
      <c r="BB7" s="21">
        <f t="shared" si="14"/>
        <v>0</v>
      </c>
      <c r="BC7" s="55">
        <f t="shared" si="15"/>
        <v>83.333333333333343</v>
      </c>
      <c r="BD7" s="55"/>
      <c r="BE7" s="55"/>
      <c r="BF7" s="55"/>
    </row>
    <row r="8" spans="1:58" ht="15" customHeight="1" x14ac:dyDescent="0.2">
      <c r="A8" s="26" t="s">
        <v>43</v>
      </c>
      <c r="B8" s="26" t="s">
        <v>461</v>
      </c>
      <c r="C8" s="19" t="s">
        <v>8</v>
      </c>
      <c r="D8" s="20">
        <v>8</v>
      </c>
      <c r="E8" s="20">
        <v>12</v>
      </c>
      <c r="F8" s="20">
        <v>7</v>
      </c>
      <c r="G8" s="20" t="e">
        <f t="shared" ref="G8:G17" ca="1" si="16">CONVERT_13PT_SCALE(F8)/2</f>
        <v>#NAME?</v>
      </c>
      <c r="H8" s="20">
        <v>85</v>
      </c>
      <c r="I8" s="48">
        <f ca="1">IFERROR(__xludf.DUMMYFUNCTION("Sum(FILTER(C8:H8, $C$1:$H$1=""Unit 1 Practice""))/Sum(FILTER(C$75:H$75, $C$1:$H$1=""Unit 1 Practice""))*0.1 + Sum(FILTER(C8:H8, $C$1:$H$1=""Unit 1 Test (before retake)""))/Sum(FILTER(C$75:H$75, $C$1:$H$1=""Unit 1 Test (before retake)""))*0.6 + 0.3"),0.884683544303797)</f>
        <v>0.88468354430379703</v>
      </c>
      <c r="J8" s="20" t="s">
        <v>810</v>
      </c>
      <c r="K8" s="20">
        <v>85</v>
      </c>
      <c r="L8" s="48">
        <f ca="1">IFERROR(__xludf.DUMMYFUNCTION("SUM( FILTER(C8:K8, ISNUMBER(SEARCH(""Practice"", $C$1:$K$1)) ) )  / 
  SUM( FILTER(C$75:K$75, ISNUMBER(SEARCH(""Practice"", $C$1:$K$1))))*0.1
+
SUM( FILTER(C8:K8, ISNUMBER(SEARCH(""AFTER RETAKE"", $C$1:$K$1)) ) )  / 
  SUM( FILTER(C$75:K$75, ISNUMBER(SEA"&amp;"RCH(""AFTER RETAKE"", $C$1:$K$1))))*0.6 + 0.3
"),0.884683544303797)</f>
        <v>0.88468354430379703</v>
      </c>
      <c r="M8" s="20">
        <v>17</v>
      </c>
      <c r="N8" s="20">
        <v>12</v>
      </c>
      <c r="O8" s="20">
        <v>11.1</v>
      </c>
      <c r="P8" s="20" t="e">
        <f t="shared" ca="1" si="1"/>
        <v>#NAME?</v>
      </c>
      <c r="Q8" s="20">
        <v>100</v>
      </c>
      <c r="R8" s="48">
        <f ca="1">IFERROR(__xludf.DUMMYFUNCTION("SUM( FILTER(C8:T8, ISNUMBER(SEARCH(""Practice"", $C$1:$T$1)) ) )  / 
  SUM( FILTER(C$75:T$75, ISNUMBER(SEARCH(""Practice"", $C$1:$T$1))))*0.1
+
(SUM( FILTER(C8:K8, ISNUMBER(SEARCH(""AFTER RETAKE"", $C$1:$K$1)) ) )+SUM( FILTER(K8:T8, ISNUMBER(SEARCH(""BEF"&amp;"ORE RETAKE"", $K$1:$T$1)) ) ))  / 
  SUM( FILTER(C$75:T$75, ISNUMBER(SEARCH(""BEFORE RETAKE"", $C$1:$T$1))))*0.6 + 0.3"),0.939276729559748)</f>
        <v>0.93927672955974795</v>
      </c>
      <c r="S8" s="20" t="s">
        <v>462</v>
      </c>
      <c r="T8" s="20">
        <v>100</v>
      </c>
      <c r="U8" s="48">
        <f ca="1">IFERROR(__xludf.DUMMYFUNCTION("SUM( FILTER(C8:T8, ISNUMBER(SEARCH(""Practice"", $C$1:$T$1)) ) )  / 
  SUM( FILTER(C$75:T$75, ISNUMBER(SEARCH(""Practice"", $C$1:$T$1))))*0.1
+
SUM( FILTER(C8:T8, ISNUMBER(SEARCH(""AFTER RETAKE"", $C$1:$T$1)) ) )  / 
  SUM( FILTER(C$75:T$75, ISNUMBER(SEA"&amp;"RCH(""AFTER RETAKE"", $C$1:$T$1))))*0.6 + 0.3
"),0.939276729559748)</f>
        <v>0.93927672955974795</v>
      </c>
      <c r="V8" s="20">
        <v>9</v>
      </c>
      <c r="W8" s="20">
        <v>10</v>
      </c>
      <c r="X8" s="20">
        <v>9</v>
      </c>
      <c r="Y8" s="20">
        <v>9</v>
      </c>
      <c r="Z8" s="20" t="e">
        <f t="shared" ca="1" si="2"/>
        <v>#NAME?</v>
      </c>
      <c r="AA8" s="20">
        <v>78</v>
      </c>
      <c r="AB8" s="48">
        <f ca="1">IFERROR(__xludf.DUMMYFUNCTION("SUM( FILTER(C8:AA8, ISNUMBER(SEARCH(""Practice"", $C$1:$AA$1)) ) )  / 
  SUM( FILTER(C$75:AA$75, ISNUMBER(SEARCH(""Practice"", $C$1:$AA$1))))*0.1
+
(SUM( FILTER(C8:T8, ISNUMBER(SEARCH(""AFTER RETAKE"", $C$1:$T$1)) ) )+SUM( FILTER(T8:AA8, ISNUMBER(SEARCH("&amp;"""BEFORE RETAKE"", $T$1:$AA$1)) ) ))  / 
  SUM( FILTER(C$75:AA$75, ISNUMBER(SEARCH(""BEFORE RETAKE"", $C$1:$AA$1))))*0.6 + 0.3"),0.911208333333333)</f>
        <v>0.91120833333333295</v>
      </c>
      <c r="AC8" s="20">
        <v>75</v>
      </c>
      <c r="AD8" s="20">
        <v>78</v>
      </c>
      <c r="AE8" s="48">
        <f ca="1">IFERROR(__xludf.DUMMYFUNCTION("SUM( FILTER(C8:AA8, ISNUMBER(SEARCH(""Practice"", $C$1:$AA$1)) ) )  / 
  SUM( FILTER(C$75:AA$75, ISNUMBER(SEARCH(""Practice"", $C$1:$AA$1))))*0.1
+
SUM( FILTER(C8:AD8, ISNUMBER(SEARCH(""AFTER RETAKE"", $C$1:$AD$1)) ) )
  / 
  SUM( FILTER(C$75:AD$75, ISNUM"&amp;"BER(SEARCH(""BEFORE RETAKE"", $C$1:$AD$1))))*0.6 
+ 
0.3"),0.911208333333333)</f>
        <v>0.91120833333333295</v>
      </c>
      <c r="AF8" s="20"/>
      <c r="AG8" s="20">
        <v>0</v>
      </c>
      <c r="AH8" s="20">
        <v>6</v>
      </c>
      <c r="AI8" s="20">
        <v>0</v>
      </c>
      <c r="AJ8" s="20">
        <v>11</v>
      </c>
      <c r="AK8" s="20">
        <v>92</v>
      </c>
      <c r="AM8" s="21">
        <v>0.82</v>
      </c>
      <c r="AO8" s="55">
        <f t="shared" si="3"/>
        <v>64.285714285714292</v>
      </c>
      <c r="AP8" s="21">
        <f t="shared" si="4"/>
        <v>0</v>
      </c>
      <c r="AQ8" s="55">
        <f t="shared" si="5"/>
        <v>93.255813953488371</v>
      </c>
      <c r="AR8" s="21">
        <f t="shared" si="6"/>
        <v>0</v>
      </c>
      <c r="AS8" s="55">
        <f t="shared" si="7"/>
        <v>84.090909090909093</v>
      </c>
      <c r="AT8" s="21">
        <f t="shared" si="8"/>
        <v>0</v>
      </c>
      <c r="AU8" s="55">
        <f t="shared" si="9"/>
        <v>10</v>
      </c>
      <c r="AV8" s="21">
        <f t="shared" si="10"/>
        <v>2</v>
      </c>
      <c r="AW8" s="20">
        <f t="shared" si="11"/>
        <v>87.666666666666671</v>
      </c>
      <c r="AX8" s="20">
        <f t="shared" si="12"/>
        <v>87.666666666666671</v>
      </c>
      <c r="AY8" s="48">
        <f ca="1">IFERROR(__xludf.DUMMYFUNCTION("SUM( FILTER(C8:AA8, ISNUMBER(SEARCH(""Practice"", $C$1:$AA$1)) ) )  / 
  SUM( FILTER(C$75:AA$75, ISNUMBER(SEARCH(""Practice"", $C$1:$AA$1))))*0.1
+
(SUM( FILTER(C8:T8, ISNUMBER(SEARCH(""AFTER RETAKE"", $C$1:$T$1)) ) )
+
SUM( FILTER(U8:AD8, ISNUMBER(SEARCH"&amp;"(""AFTER RETAKE"", $U$1:$AD$1)) ) ))  / 
  SUM( FILTER(C$75:AA$75, ISNUMBER(SEARCH(""BEFORE RETAKE"", $C$1:$AA$1))))*0.6 
+ 
 AM8*0.3"),0.857208333333333)</f>
        <v>0.85720833333333302</v>
      </c>
      <c r="AZ8" s="48">
        <f ca="1">IFERROR(__xludf.DUMMYFUNCTION("SUM( FILTER(C8:AA8, ISNUMBER(SEARCH(""Practice"", $C$1:$AA$1)) ) )  / 
  SUM( FILTER(C$75:AA$75, ISNUMBER(SEARCH(""Practice"", $C$1:$AA$1))))*0.1
+
(SUM( FILTER(C8:T8, ISNUMBER(SEARCH(""Before RETAKE"", $C$1:$T$1)) ) )
+
SUM( FILTER(U8:AD8, ISNUMBER(SEARC"&amp;"H(""Before RETAKE"", $U$1:$AD$1)) ) ))  / 
  SUM( FILTER(C$75:AA$75, ISNUMBER(SEARCH(""BEFORE RETAKE"", $C$1:$AA$1))))*0.6 
+ 
AM8* 0.3"),0.857208333333333)</f>
        <v>0.85720833333333302</v>
      </c>
      <c r="BA8" s="55">
        <f t="shared" si="13"/>
        <v>62.908109332527935</v>
      </c>
      <c r="BB8" s="21">
        <f t="shared" si="14"/>
        <v>2</v>
      </c>
      <c r="BC8" s="55">
        <f t="shared" si="15"/>
        <v>73.269230769230774</v>
      </c>
      <c r="BD8" s="55"/>
      <c r="BE8" s="55"/>
      <c r="BF8" s="55"/>
    </row>
    <row r="9" spans="1:58" ht="15" customHeight="1" x14ac:dyDescent="0.2">
      <c r="A9" s="26" t="s">
        <v>46</v>
      </c>
      <c r="B9" s="26" t="s">
        <v>461</v>
      </c>
      <c r="C9" s="19" t="s">
        <v>9</v>
      </c>
      <c r="D9" s="20">
        <v>10</v>
      </c>
      <c r="E9" s="20">
        <v>12</v>
      </c>
      <c r="F9" s="20">
        <v>10.66</v>
      </c>
      <c r="G9" s="20" t="e">
        <f t="shared" ca="1" si="16"/>
        <v>#NAME?</v>
      </c>
      <c r="H9" s="20">
        <v>85</v>
      </c>
      <c r="I9" s="48">
        <f ca="1">IFERROR(__xludf.DUMMYFUNCTION("Sum(FILTER(C9:H9, $C$1:$H$1=""Unit 1 Practice""))/Sum(FILTER(C$75:H$75, $C$1:$H$1=""Unit 1 Practice""))*0.1 + Sum(FILTER(C9:H9, $C$1:$H$1=""Unit 1 Test (before retake)""))/Sum(FILTER(C$75:H$75, $C$1:$H$1=""Unit 1 Test (before retake)""))*0.6 + 0.3"),0.896075949367088)</f>
        <v>0.89607594936708801</v>
      </c>
      <c r="J9" s="20" t="s">
        <v>810</v>
      </c>
      <c r="K9" s="20">
        <v>85</v>
      </c>
      <c r="L9" s="48">
        <f ca="1">IFERROR(__xludf.DUMMYFUNCTION("SUM( FILTER(C9:K9, ISNUMBER(SEARCH(""Practice"", $C$1:$K$1)) ) )  / 
  SUM( FILTER(C$75:K$75, ISNUMBER(SEARCH(""Practice"", $C$1:$K$1))))*0.1
+
SUM( FILTER(C9:K9, ISNUMBER(SEARCH(""AFTER RETAKE"", $C$1:$K$1)) ) )  / 
  SUM( FILTER(C$75:K$75, ISNUMBER(SEA"&amp;"RCH(""AFTER RETAKE"", $C$1:$K$1))))*0.6 + 0.3
"),0.896075949367088)</f>
        <v>0.89607594936708801</v>
      </c>
      <c r="M9" s="20">
        <v>18</v>
      </c>
      <c r="N9" s="20">
        <v>10</v>
      </c>
      <c r="O9" s="20">
        <v>9.4</v>
      </c>
      <c r="P9" s="20" t="e">
        <f t="shared" ca="1" si="1"/>
        <v>#NAME?</v>
      </c>
      <c r="Q9" s="20">
        <v>68</v>
      </c>
      <c r="R9" s="48">
        <f ca="1">IFERROR(__xludf.DUMMYFUNCTION("SUM( FILTER(C9:T9, ISNUMBER(SEARCH(""Practice"", $C$1:$T$1)) ) )  / 
  SUM( FILTER(C$75:T$75, ISNUMBER(SEARCH(""Practice"", $C$1:$T$1))))*0.1
+
(SUM( FILTER(C9:K9, ISNUMBER(SEARCH(""AFTER RETAKE"", $C$1:$K$1)) ) )+SUM( FILTER(K9:T9, ISNUMBER(SEARCH(""BEF"&amp;"ORE RETAKE"", $K$1:$T$1)) ) ))  / 
  SUM( FILTER(C$75:T$75, ISNUMBER(SEARCH(""BEFORE RETAKE"", $C$1:$T$1))))*0.6 + 0.3"),0.846106918238993)</f>
        <v>0.84610691823899298</v>
      </c>
      <c r="S9" s="20">
        <v>80</v>
      </c>
      <c r="T9" s="20">
        <v>80</v>
      </c>
      <c r="U9" s="48">
        <f ca="1">IFERROR(__xludf.DUMMYFUNCTION("SUM( FILTER(C9:T9, ISNUMBER(SEARCH(""Practice"", $C$1:$T$1)) ) )  / 
  SUM( FILTER(C$75:T$75, ISNUMBER(SEARCH(""Practice"", $C$1:$T$1))))*0.1
+
SUM( FILTER(C9:T9, ISNUMBER(SEARCH(""AFTER RETAKE"", $C$1:$T$1)) ) )  / 
  SUM( FILTER(C$75:T$75, ISNUMBER(SEA"&amp;"RCH(""AFTER RETAKE"", $C$1:$T$1))))*0.6 + 0.3
"),0.882106918238993)</f>
        <v>0.88210691823899301</v>
      </c>
      <c r="V9" s="20">
        <v>8</v>
      </c>
      <c r="W9" s="20">
        <v>10</v>
      </c>
      <c r="X9" s="20">
        <v>10</v>
      </c>
      <c r="Y9" s="20">
        <v>9.5</v>
      </c>
      <c r="Z9" s="20" t="e">
        <f t="shared" ca="1" si="2"/>
        <v>#NAME?</v>
      </c>
      <c r="AA9" s="20">
        <v>75</v>
      </c>
      <c r="AB9" s="48">
        <f ca="1">IFERROR(__xludf.DUMMYFUNCTION("SUM( FILTER(C9:AA9, ISNUMBER(SEARCH(""Practice"", $C$1:$AA$1)) ) )  / 
  SUM( FILTER(C$75:AA$75, ISNUMBER(SEARCH(""Practice"", $C$1:$AA$1))))*0.1
+
(SUM( FILTER(C9:T9, ISNUMBER(SEARCH(""AFTER RETAKE"", $C$1:$T$1)) ) )+SUM( FILTER(T9:AA9, ISNUMBER(SEARCH("&amp;"""BEFORE RETAKE"", $T$1:$AA$1)) ) ))  / 
  SUM( FILTER(C$75:AA$75, ISNUMBER(SEARCH(""BEFORE RETAKE"", $C$1:$AA$1))))*0.6 + 0.3"),0.867708333333333)</f>
        <v>0.86770833333333297</v>
      </c>
      <c r="AC9" s="20">
        <v>65</v>
      </c>
      <c r="AD9" s="20">
        <v>75</v>
      </c>
      <c r="AE9" s="48">
        <f ca="1">IFERROR(__xludf.DUMMYFUNCTION("SUM( FILTER(C9:AA9, ISNUMBER(SEARCH(""Practice"", $C$1:$AA$1)) ) )  / 
  SUM( FILTER(C$75:AA$75, ISNUMBER(SEARCH(""Practice"", $C$1:$AA$1))))*0.1
+
SUM( FILTER(C9:AD9, ISNUMBER(SEARCH(""AFTER RETAKE"", $C$1:$AD$1)) ) )
  / 
  SUM( FILTER(C$75:AD$75, ISNUM"&amp;"BER(SEARCH(""BEFORE RETAKE"", $C$1:$AD$1))))*0.6 
+ 
0.3"),0.867708333333333)</f>
        <v>0.86770833333333297</v>
      </c>
      <c r="AF9" s="20"/>
      <c r="AG9" s="20">
        <v>22</v>
      </c>
      <c r="AH9" s="20">
        <v>10</v>
      </c>
      <c r="AI9" s="20">
        <v>26</v>
      </c>
      <c r="AJ9" s="20">
        <v>11.47</v>
      </c>
      <c r="AK9" s="20">
        <v>92</v>
      </c>
      <c r="AM9" s="21">
        <v>0.68</v>
      </c>
      <c r="AO9" s="55">
        <f t="shared" si="3"/>
        <v>77.761904761904759</v>
      </c>
      <c r="AP9" s="21">
        <f t="shared" si="4"/>
        <v>0</v>
      </c>
      <c r="AQ9" s="55">
        <f t="shared" si="5"/>
        <v>86.976744186046503</v>
      </c>
      <c r="AR9" s="21">
        <f t="shared" si="6"/>
        <v>0</v>
      </c>
      <c r="AS9" s="55">
        <f t="shared" si="7"/>
        <v>85.227272727272734</v>
      </c>
      <c r="AT9" s="21">
        <f t="shared" si="8"/>
        <v>0</v>
      </c>
      <c r="AU9" s="55">
        <f t="shared" si="9"/>
        <v>96.666666666666657</v>
      </c>
      <c r="AV9" s="21">
        <f t="shared" si="10"/>
        <v>0</v>
      </c>
      <c r="AW9" s="20">
        <f t="shared" si="11"/>
        <v>76</v>
      </c>
      <c r="AX9" s="20">
        <f t="shared" si="12"/>
        <v>80</v>
      </c>
      <c r="AY9" s="48">
        <f ca="1">IFERROR(__xludf.DUMMYFUNCTION("SUM( FILTER(C9:AA9, ISNUMBER(SEARCH(""Practice"", $C$1:$AA$1)) ) )  / 
  SUM( FILTER(C$75:AA$75, ISNUMBER(SEARCH(""Practice"", $C$1:$AA$1))))*0.1
+
(SUM( FILTER(C9:T9, ISNUMBER(SEARCH(""AFTER RETAKE"", $C$1:$T$1)) ) )
+
SUM( FILTER(U9:AD9, ISNUMBER(SEARCH"&amp;"(""AFTER RETAKE"", $U$1:$AD$1)) ) ))  / 
  SUM( FILTER(C$75:AA$75, ISNUMBER(SEARCH(""BEFORE RETAKE"", $C$1:$AA$1))))*0.6 
+ 
 AM9*0.3"),0.771708333333333)</f>
        <v>0.771708333333333</v>
      </c>
      <c r="AZ9" s="48">
        <f ca="1">IFERROR(__xludf.DUMMYFUNCTION("SUM( FILTER(C9:AA9, ISNUMBER(SEARCH(""Practice"", $C$1:$AA$1)) ) )  / 
  SUM( FILTER(C$75:AA$75, ISNUMBER(SEARCH(""Practice"", $C$1:$AA$1))))*0.1
+
(SUM( FILTER(C9:T9, ISNUMBER(SEARCH(""Before RETAKE"", $C$1:$T$1)) ) )
+
SUM( FILTER(U9:AD9, ISNUMBER(SEARC"&amp;"H(""Before RETAKE"", $U$1:$AD$1)) ) ))  / 
  SUM( FILTER(C$75:AA$75, ISNUMBER(SEARCH(""BEFORE RETAKE"", $C$1:$AA$1))))*0.6 
+ 
AM9* 0.3"),0.747708333333333)</f>
        <v>0.74770833333333298</v>
      </c>
      <c r="BA9" s="55">
        <f t="shared" si="13"/>
        <v>86.658147085472677</v>
      </c>
      <c r="BB9" s="21">
        <f t="shared" si="14"/>
        <v>0</v>
      </c>
      <c r="BC9" s="55">
        <f t="shared" si="15"/>
        <v>78.90384615384616</v>
      </c>
      <c r="BD9" s="55"/>
      <c r="BE9" s="55"/>
      <c r="BF9" s="55"/>
    </row>
    <row r="10" spans="1:58" ht="15" customHeight="1" x14ac:dyDescent="0.2">
      <c r="A10" s="26" t="s">
        <v>48</v>
      </c>
      <c r="B10" s="26" t="s">
        <v>461</v>
      </c>
      <c r="C10" s="19" t="s">
        <v>8</v>
      </c>
      <c r="D10" s="20">
        <v>7</v>
      </c>
      <c r="E10" s="20">
        <v>7.5</v>
      </c>
      <c r="F10" s="20">
        <v>10</v>
      </c>
      <c r="G10" s="20" t="e">
        <f t="shared" ca="1" si="16"/>
        <v>#NAME?</v>
      </c>
      <c r="H10" s="20">
        <v>65</v>
      </c>
      <c r="I10" s="48">
        <f ca="1">IFERROR(__xludf.DUMMYFUNCTION("Sum(FILTER(C10:H10, $C$1:$H$1=""Unit 1 Practice""))/Sum(FILTER(C$75:H$75, $C$1:$H$1=""Unit 1 Practice""))*0.1 + Sum(FILTER(C10:H10, $C$1:$H$1=""Unit 1 Test (before retake)""))/Sum(FILTER(C$75:H$75, $C$1:$H$1=""Unit 1 Test (before retake)""))*0.6 + 0.3"),0.764050632911392)</f>
        <v>0.76405063291139197</v>
      </c>
      <c r="J10" s="20" t="s">
        <v>810</v>
      </c>
      <c r="K10" s="20">
        <v>65</v>
      </c>
      <c r="L10" s="48">
        <f ca="1">IFERROR(__xludf.DUMMYFUNCTION("SUM( FILTER(C10:K10, ISNUMBER(SEARCH(""Practice"", $C$1:$K$1)) ) )  / 
  SUM( FILTER(C$75:K$75, ISNUMBER(SEARCH(""Practice"", $C$1:$K$1))))*0.1
+
SUM( FILTER(C10:K10, ISNUMBER(SEARCH(""AFTER RETAKE"", $C$1:$K$1)) ) )  / 
  SUM( FILTER(C$75:K$75, ISNUMBER"&amp;"(SEARCH(""AFTER RETAKE"", $C$1:$K$1))))*0.6 + 0.3
"),0.764050632911392)</f>
        <v>0.76405063291139197</v>
      </c>
      <c r="M10" s="20">
        <v>16</v>
      </c>
      <c r="N10" s="20">
        <v>1</v>
      </c>
      <c r="O10" s="20">
        <v>10</v>
      </c>
      <c r="P10" s="20" t="e">
        <f t="shared" ca="1" si="1"/>
        <v>#NAME?</v>
      </c>
      <c r="Q10" s="20">
        <v>65</v>
      </c>
      <c r="R10" s="48">
        <f ca="1">IFERROR(__xludf.DUMMYFUNCTION("SUM( FILTER(C10:T10, ISNUMBER(SEARCH(""Practice"", $C$1:$T$1)) ) )  / 
  SUM( FILTER(C$75:T$75, ISNUMBER(SEARCH(""Practice"", $C$1:$T$1))))*0.1
+
(SUM( FILTER(C10:K10, ISNUMBER(SEARCH(""AFTER RETAKE"", $C$1:$K$1)) ) )+SUM( FILTER(K10:T10, ISNUMBER(SEARCH"&amp;"(""BEFORE RETAKE"", $K$1:$T$1)) ) ))  / 
  SUM( FILTER(C$75:T$75, ISNUMBER(SEARCH(""BEFORE RETAKE"", $C$1:$T$1))))*0.6 + 0.3"),0.765157232704402)</f>
        <v>0.76515723270440195</v>
      </c>
      <c r="S10" s="20" t="s">
        <v>462</v>
      </c>
      <c r="T10" s="20">
        <v>65</v>
      </c>
      <c r="U10" s="48">
        <f ca="1">IFERROR(__xludf.DUMMYFUNCTION("SUM( FILTER(C10:T10, ISNUMBER(SEARCH(""Practice"", $C$1:$T$1)) ) )  / 
  SUM( FILTER(C$75:T$75, ISNUMBER(SEARCH(""Practice"", $C$1:$T$1))))*0.1
+
SUM( FILTER(C10:T10, ISNUMBER(SEARCH(""AFTER RETAKE"", $C$1:$T$1)) ) )  / 
  SUM( FILTER(C$75:T$75, ISNUMBER"&amp;"(SEARCH(""AFTER RETAKE"", $C$1:$T$1))))*0.6 + 0.3
"),0.765157232704402)</f>
        <v>0.76515723270440195</v>
      </c>
      <c r="V10" s="20">
        <v>4</v>
      </c>
      <c r="W10" s="20">
        <v>10</v>
      </c>
      <c r="X10" s="20">
        <v>11</v>
      </c>
      <c r="Y10" s="20">
        <v>9</v>
      </c>
      <c r="Z10" s="20" t="e">
        <f t="shared" ca="1" si="2"/>
        <v>#NAME?</v>
      </c>
      <c r="AA10" s="20">
        <v>65</v>
      </c>
      <c r="AB10" s="48">
        <f ca="1">IFERROR(__xludf.DUMMYFUNCTION("SUM( FILTER(C10:AA10, ISNUMBER(SEARCH(""Practice"", $C$1:$AA$1)) ) )  / 
  SUM( FILTER(C$75:AA$75, ISNUMBER(SEARCH(""Practice"", $C$1:$AA$1))))*0.1
+
(SUM( FILTER(C10:T10, ISNUMBER(SEARCH(""AFTER RETAKE"", $C$1:$T$1)) ) )+SUM( FILTER(T10:AA10, ISNUMBER(S"&amp;"EARCH(""BEFORE RETAKE"", $T$1:$AA$1)) ) ))  / 
  SUM( FILTER(C$75:AA$75, ISNUMBER(SEARCH(""BEFORE RETAKE"", $C$1:$AA$1))))*0.6 + 0.3"),0.767916666666666)</f>
        <v>0.76791666666666603</v>
      </c>
      <c r="AC10" s="20"/>
      <c r="AD10" s="20">
        <v>65</v>
      </c>
      <c r="AE10" s="48">
        <f ca="1">IFERROR(__xludf.DUMMYFUNCTION("SUM( FILTER(C10:AA10, ISNUMBER(SEARCH(""Practice"", $C$1:$AA$1)) ) )  / 
  SUM( FILTER(C$75:AA$75, ISNUMBER(SEARCH(""Practice"", $C$1:$AA$1))))*0.1
+
SUM( FILTER(C10:AD10, ISNUMBER(SEARCH(""AFTER RETAKE"", $C$1:$AD$1)) ) )
  / 
  SUM( FILTER(C$75:AD$75, I"&amp;"SNUMBER(SEARCH(""BEFORE RETAKE"", $C$1:$AD$1))))*0.6 
+ 
0.3"),0.767916666666666)</f>
        <v>0.76791666666666603</v>
      </c>
      <c r="AF10" s="20"/>
      <c r="AG10" s="20">
        <v>19.2</v>
      </c>
      <c r="AH10" s="20">
        <v>0</v>
      </c>
      <c r="AI10" s="20">
        <v>0</v>
      </c>
      <c r="AJ10" s="20">
        <v>0.73</v>
      </c>
      <c r="AK10" s="20">
        <v>30</v>
      </c>
      <c r="AM10" s="21">
        <v>0.72</v>
      </c>
      <c r="AO10" s="55">
        <f t="shared" si="3"/>
        <v>58.333333333333336</v>
      </c>
      <c r="AP10" s="21">
        <f t="shared" si="4"/>
        <v>0</v>
      </c>
      <c r="AQ10" s="55">
        <f t="shared" si="5"/>
        <v>62.790697674418603</v>
      </c>
      <c r="AR10" s="21">
        <f t="shared" si="6"/>
        <v>0</v>
      </c>
      <c r="AS10" s="55">
        <f t="shared" si="7"/>
        <v>77.272727272727266</v>
      </c>
      <c r="AT10" s="21">
        <f t="shared" si="8"/>
        <v>0</v>
      </c>
      <c r="AU10" s="55">
        <f t="shared" si="9"/>
        <v>31.999999999999996</v>
      </c>
      <c r="AV10" s="21">
        <f t="shared" si="10"/>
        <v>2</v>
      </c>
      <c r="AW10" s="20">
        <f t="shared" si="11"/>
        <v>65</v>
      </c>
      <c r="AX10" s="20">
        <f t="shared" si="12"/>
        <v>65</v>
      </c>
      <c r="AY10" s="48">
        <f ca="1">IFERROR(__xludf.DUMMYFUNCTION("SUM( FILTER(C10:AA10, ISNUMBER(SEARCH(""Practice"", $C$1:$AA$1)) ) )  / 
  SUM( FILTER(C$75:AA$75, ISNUMBER(SEARCH(""Practice"", $C$1:$AA$1))))*0.1
+
(SUM( FILTER(C10:T10, ISNUMBER(SEARCH(""AFTER RETAKE"", $C$1:$T$1)) ) )
+
SUM( FILTER(U10:AD10, ISNUMBER("&amp;"SEARCH(""AFTER RETAKE"", $U$1:$AD$1)) ) ))  / 
  SUM( FILTER(C$75:AA$75, ISNUMBER(SEARCH(""BEFORE RETAKE"", $C$1:$AA$1))))*0.6 
+ 
 AM10*0.3"),0.683916666666666)</f>
        <v>0.68391666666666595</v>
      </c>
      <c r="AZ10" s="48">
        <f ca="1">IFERROR(__xludf.DUMMYFUNCTION("SUM( FILTER(C10:AA10, ISNUMBER(SEARCH(""Practice"", $C$1:$AA$1)) ) )  / 
  SUM( FILTER(C$75:AA$75, ISNUMBER(SEARCH(""Practice"", $C$1:$AA$1))))*0.1
+
(SUM( FILTER(C10:T10, ISNUMBER(SEARCH(""Before RETAKE"", $C$1:$T$1)) ) )
+
SUM( FILTER(U10:AD10, ISNUMBER"&amp;"(SEARCH(""Before RETAKE"", $U$1:$AD$1)) ) ))  / 
  SUM( FILTER(C$75:AA$75, ISNUMBER(SEARCH(""BEFORE RETAKE"", $C$1:$AA$1))))*0.6 
+ 
AM10* 0.3"),0.683916666666666)</f>
        <v>0.68391666666666595</v>
      </c>
      <c r="BA10" s="55">
        <f t="shared" si="13"/>
        <v>57.599189570119805</v>
      </c>
      <c r="BB10" s="21">
        <f t="shared" si="14"/>
        <v>2</v>
      </c>
      <c r="BC10" s="55">
        <f t="shared" si="15"/>
        <v>57.173076923076927</v>
      </c>
      <c r="BD10" s="55"/>
      <c r="BE10" s="55"/>
      <c r="BF10" s="55"/>
    </row>
    <row r="11" spans="1:58" ht="15" customHeight="1" x14ac:dyDescent="0.2">
      <c r="A11" s="26" t="s">
        <v>51</v>
      </c>
      <c r="B11" s="26" t="s">
        <v>464</v>
      </c>
      <c r="C11" s="19" t="s">
        <v>8</v>
      </c>
      <c r="D11" s="20">
        <v>8.5</v>
      </c>
      <c r="E11" s="20">
        <v>5.25</v>
      </c>
      <c r="F11" s="20">
        <v>5.16</v>
      </c>
      <c r="G11" s="20" t="e">
        <f t="shared" ca="1" si="16"/>
        <v>#NAME?</v>
      </c>
      <c r="H11" s="20">
        <v>75</v>
      </c>
      <c r="I11" s="48">
        <f ca="1">IFERROR(__xludf.DUMMYFUNCTION("Sum(FILTER(C11:H11, $C$1:$H$1=""Unit 1 Practice""))/Sum(FILTER(C$75:H$75, $C$1:$H$1=""Unit 1 Practice""))*0.1 + Sum(FILTER(C11:H11, $C$1:$H$1=""Unit 1 Test (before retake)""))/Sum(FILTER(C$75:H$75, $C$1:$H$1=""Unit 1 Test (before retake)""))*0.6 + 0.3"),0.812974683544303)</f>
        <v>0.81297468354430302</v>
      </c>
      <c r="J11" s="20" t="s">
        <v>810</v>
      </c>
      <c r="K11" s="20">
        <v>75</v>
      </c>
      <c r="L11" s="48">
        <f ca="1">IFERROR(__xludf.DUMMYFUNCTION("SUM( FILTER(C11:K11, ISNUMBER(SEARCH(""Practice"", $C$1:$K$1)) ) )  / 
  SUM( FILTER(C$75:K$75, ISNUMBER(SEARCH(""Practice"", $C$1:$K$1))))*0.1
+
SUM( FILTER(C11:K11, ISNUMBER(SEARCH(""AFTER RETAKE"", $C$1:$K$1)) ) )  / 
  SUM( FILTER(C$75:K$75, ISNUMBER"&amp;"(SEARCH(""AFTER RETAKE"", $C$1:$K$1))))*0.6 + 0.3
"),0.812974683544303)</f>
        <v>0.81297468354430302</v>
      </c>
      <c r="M11" s="20">
        <v>13</v>
      </c>
      <c r="N11" s="20">
        <v>12</v>
      </c>
      <c r="O11" s="20">
        <v>8</v>
      </c>
      <c r="P11" s="20" t="e">
        <f t="shared" ca="1" si="1"/>
        <v>#NAME?</v>
      </c>
      <c r="Q11" s="20">
        <v>68</v>
      </c>
      <c r="R11" s="48">
        <f ca="1">IFERROR(__xludf.DUMMYFUNCTION("SUM( FILTER(C11:T11, ISNUMBER(SEARCH(""Practice"", $C$1:$T$1)) ) )  / 
  SUM( FILTER(C$75:T$75, ISNUMBER(SEARCH(""Practice"", $C$1:$T$1))))*0.1
+
(SUM( FILTER(C11:K11, ISNUMBER(SEARCH(""AFTER RETAKE"", $C$1:$K$1)) ) )+SUM( FILTER(K11:T11, ISNUMBER(SEARCH"&amp;"(""BEFORE RETAKE"", $K$1:$T$1)) ) ))  / 
  SUM( FILTER(C$75:T$75, ISNUMBER(SEARCH(""BEFORE RETAKE"", $C$1:$T$1))))*0.6 + 0.3"),0.801798742138364)</f>
        <v>0.801798742138364</v>
      </c>
      <c r="S11" s="20" t="s">
        <v>462</v>
      </c>
      <c r="T11" s="20">
        <v>68</v>
      </c>
      <c r="U11" s="48">
        <f ca="1">IFERROR(__xludf.DUMMYFUNCTION("SUM( FILTER(C11:T11, ISNUMBER(SEARCH(""Practice"", $C$1:$T$1)) ) )  / 
  SUM( FILTER(C$75:T$75, ISNUMBER(SEARCH(""Practice"", $C$1:$T$1))))*0.1
+
SUM( FILTER(C11:T11, ISNUMBER(SEARCH(""AFTER RETAKE"", $C$1:$T$1)) ) )  / 
  SUM( FILTER(C$75:T$75, ISNUMBER"&amp;"(SEARCH(""AFTER RETAKE"", $C$1:$T$1))))*0.6 + 0.3
"),0.801798742138364)</f>
        <v>0.801798742138364</v>
      </c>
      <c r="V11" s="20">
        <v>10</v>
      </c>
      <c r="W11" s="20">
        <v>10</v>
      </c>
      <c r="X11" s="20">
        <v>11</v>
      </c>
      <c r="Y11" s="20">
        <v>8.5</v>
      </c>
      <c r="Z11" s="20" t="e">
        <f t="shared" ca="1" si="2"/>
        <v>#NAME?</v>
      </c>
      <c r="AA11" s="20">
        <v>68</v>
      </c>
      <c r="AB11" s="48">
        <f ca="1">IFERROR(__xludf.DUMMYFUNCTION("SUM( FILTER(C11:AA11, ISNUMBER(SEARCH(""Practice"", $C$1:$AA$1)) ) )  / 
  SUM( FILTER(C$75:AA$75, ISNUMBER(SEARCH(""Practice"", $C$1:$AA$1))))*0.1
+
(SUM( FILTER(C11:T11, ISNUMBER(SEARCH(""AFTER RETAKE"", $C$1:$T$1)) ) )+SUM( FILTER(T11:AA11, ISNUMBER(S"&amp;"EARCH(""BEFORE RETAKE"", $T$1:$AA$1)) ) ))  / 
  SUM( FILTER(C$75:AA$75, ISNUMBER(SEARCH(""BEFORE RETAKE"", $C$1:$AA$1))))*0.6 + 0.3"),0.800854166666666)</f>
        <v>0.80085416666666598</v>
      </c>
      <c r="AC11" s="20"/>
      <c r="AD11" s="20">
        <v>68</v>
      </c>
      <c r="AE11" s="48">
        <f ca="1">IFERROR(__xludf.DUMMYFUNCTION("SUM( FILTER(C11:AA11, ISNUMBER(SEARCH(""Practice"", $C$1:$AA$1)) ) )  / 
  SUM( FILTER(C$75:AA$75, ISNUMBER(SEARCH(""Practice"", $C$1:$AA$1))))*0.1
+
SUM( FILTER(C11:AD11, ISNUMBER(SEARCH(""AFTER RETAKE"", $C$1:$AD$1)) ) )
  / 
  SUM( FILTER(C$75:AD$75, I"&amp;"SNUMBER(SEARCH(""BEFORE RETAKE"", $C$1:$AD$1))))*0.6 
+ 
0.3"),0.800854166666666)</f>
        <v>0.80085416666666598</v>
      </c>
      <c r="AF11" s="20"/>
      <c r="AG11" s="20">
        <v>16</v>
      </c>
      <c r="AH11" s="20">
        <v>9.25</v>
      </c>
      <c r="AI11" s="20">
        <v>24</v>
      </c>
      <c r="AJ11" s="20">
        <v>6.84</v>
      </c>
      <c r="AK11" s="20">
        <v>78</v>
      </c>
      <c r="AM11" s="21">
        <v>0.73</v>
      </c>
      <c r="AO11" s="55">
        <f t="shared" si="3"/>
        <v>45.023809523809518</v>
      </c>
      <c r="AP11" s="21">
        <f t="shared" si="4"/>
        <v>0</v>
      </c>
      <c r="AQ11" s="55">
        <f t="shared" si="5"/>
        <v>76.744186046511615</v>
      </c>
      <c r="AR11" s="21">
        <f t="shared" si="6"/>
        <v>0</v>
      </c>
      <c r="AS11" s="55">
        <f t="shared" si="7"/>
        <v>89.772727272727266</v>
      </c>
      <c r="AT11" s="21">
        <f t="shared" si="8"/>
        <v>0</v>
      </c>
      <c r="AU11" s="55">
        <f t="shared" si="9"/>
        <v>82.083333333333343</v>
      </c>
      <c r="AV11" s="21">
        <f t="shared" si="10"/>
        <v>0</v>
      </c>
      <c r="AW11" s="20">
        <f t="shared" si="11"/>
        <v>70.333333333333329</v>
      </c>
      <c r="AX11" s="20">
        <f t="shared" si="12"/>
        <v>70.333333333333329</v>
      </c>
      <c r="AY11" s="48">
        <f ca="1">IFERROR(__xludf.DUMMYFUNCTION("SUM( FILTER(C11:AA11, ISNUMBER(SEARCH(""Practice"", $C$1:$AA$1)) ) )  / 
  SUM( FILTER(C$75:AA$75, ISNUMBER(SEARCH(""Practice"", $C$1:$AA$1))))*0.1
+
(SUM( FILTER(C11:T11, ISNUMBER(SEARCH(""AFTER RETAKE"", $C$1:$T$1)) ) )
+
SUM( FILTER(U11:AD11, ISNUMBER("&amp;"SEARCH(""AFTER RETAKE"", $U$1:$AD$1)) ) ))  / 
  SUM( FILTER(C$75:AA$75, ISNUMBER(SEARCH(""BEFORE RETAKE"", $C$1:$AA$1))))*0.6 
+ 
 AM11*0.3"),0.719854166666666)</f>
        <v>0.71985416666666602</v>
      </c>
      <c r="AZ11" s="48">
        <f ca="1">IFERROR(__xludf.DUMMYFUNCTION("SUM( FILTER(C11:AA11, ISNUMBER(SEARCH(""Practice"", $C$1:$AA$1)) ) )  / 
  SUM( FILTER(C$75:AA$75, ISNUMBER(SEARCH(""Practice"", $C$1:$AA$1))))*0.1
+
(SUM( FILTER(C11:T11, ISNUMBER(SEARCH(""Before RETAKE"", $C$1:$T$1)) ) )
+
SUM( FILTER(U11:AD11, ISNUMBER"&amp;"(SEARCH(""Before RETAKE"", $U$1:$AD$1)) ) ))  / 
  SUM( FILTER(C$75:AA$75, ISNUMBER(SEARCH(""BEFORE RETAKE"", $C$1:$AA$1))))*0.6 
+ 
AM11* 0.3"),0.719854166666666)</f>
        <v>0.71985416666666602</v>
      </c>
      <c r="BA11" s="55">
        <f t="shared" si="13"/>
        <v>73.406014044095429</v>
      </c>
      <c r="BB11" s="21">
        <f t="shared" si="14"/>
        <v>0</v>
      </c>
      <c r="BC11" s="55">
        <f t="shared" si="15"/>
        <v>54.807692307692314</v>
      </c>
      <c r="BD11" s="55"/>
      <c r="BE11" s="55"/>
      <c r="BF11" s="55"/>
    </row>
    <row r="12" spans="1:58" ht="15" customHeight="1" x14ac:dyDescent="0.2">
      <c r="A12" s="26" t="s">
        <v>54</v>
      </c>
      <c r="B12" s="26" t="s">
        <v>461</v>
      </c>
      <c r="C12" s="19" t="s">
        <v>7</v>
      </c>
      <c r="D12" s="20">
        <v>14.5</v>
      </c>
      <c r="E12" s="20">
        <v>10</v>
      </c>
      <c r="F12" s="20">
        <v>9.83</v>
      </c>
      <c r="G12" s="20" t="e">
        <f t="shared" ca="1" si="16"/>
        <v>#NAME?</v>
      </c>
      <c r="H12" s="20">
        <v>88</v>
      </c>
      <c r="I12" s="48">
        <f ca="1">IFERROR(__xludf.DUMMYFUNCTION("Sum(FILTER(C12:H12, $C$1:$H$1=""Unit 1 Practice""))/Sum(FILTER(C$75:H$75, $C$1:$H$1=""Unit 1 Practice""))*0.1 + Sum(FILTER(C12:H12, $C$1:$H$1=""Unit 1 Test (before retake)""))/Sum(FILTER(C$75:H$75, $C$1:$H$1=""Unit 1 Test (before retake)""))*0.6 + 0.3"),0.914708860759493)</f>
        <v>0.91470886075949298</v>
      </c>
      <c r="J12" s="20" t="s">
        <v>810</v>
      </c>
      <c r="K12" s="20">
        <v>88</v>
      </c>
      <c r="L12" s="48">
        <f ca="1">IFERROR(__xludf.DUMMYFUNCTION("SUM( FILTER(C12:K12, ISNUMBER(SEARCH(""Practice"", $C$1:$K$1)) ) )  / 
  SUM( FILTER(C$75:K$75, ISNUMBER(SEARCH(""Practice"", $C$1:$K$1))))*0.1
+
SUM( FILTER(C12:K12, ISNUMBER(SEARCH(""AFTER RETAKE"", $C$1:$K$1)) ) )  / 
  SUM( FILTER(C$75:K$75, ISNUMBER"&amp;"(SEARCH(""AFTER RETAKE"", $C$1:$K$1))))*0.6 + 0.3
"),0.914708860759493)</f>
        <v>0.91470886075949298</v>
      </c>
      <c r="M12" s="20">
        <v>15</v>
      </c>
      <c r="N12" s="20">
        <v>10</v>
      </c>
      <c r="O12" s="20">
        <v>11.7</v>
      </c>
      <c r="P12" s="20" t="e">
        <f t="shared" ca="1" si="1"/>
        <v>#NAME?</v>
      </c>
      <c r="Q12" s="20">
        <v>82</v>
      </c>
      <c r="R12" s="48">
        <f ca="1">IFERROR(__xludf.DUMMYFUNCTION("SUM( FILTER(C12:T12, ISNUMBER(SEARCH(""Practice"", $C$1:$T$1)) ) )  / 
  SUM( FILTER(C$75:T$75, ISNUMBER(SEARCH(""Practice"", $C$1:$T$1))))*0.1
+
(SUM( FILTER(C12:K12, ISNUMBER(SEARCH(""AFTER RETAKE"", $C$1:$K$1)) ) )+SUM( FILTER(K12:T12, ISNUMBER(SEARCH"&amp;"(""BEFORE RETAKE"", $K$1:$T$1)) ) ))  / 
  SUM( FILTER(C$75:T$75, ISNUMBER(SEARCH(""BEFORE RETAKE"", $C$1:$T$1))))*0.6 + 0.3"),0.898679245283018)</f>
        <v>0.89867924528301801</v>
      </c>
      <c r="S12" s="20" t="s">
        <v>462</v>
      </c>
      <c r="T12" s="20">
        <v>82</v>
      </c>
      <c r="U12" s="48">
        <f ca="1">IFERROR(__xludf.DUMMYFUNCTION("SUM( FILTER(C12:T12, ISNUMBER(SEARCH(""Practice"", $C$1:$T$1)) ) )  / 
  SUM( FILTER(C$75:T$75, ISNUMBER(SEARCH(""Practice"", $C$1:$T$1))))*0.1
+
SUM( FILTER(C12:T12, ISNUMBER(SEARCH(""AFTER RETAKE"", $C$1:$T$1)) ) )  / 
  SUM( FILTER(C$75:T$75, ISNUMBER"&amp;"(SEARCH(""AFTER RETAKE"", $C$1:$T$1))))*0.6 + 0.3
"),0.898679245283018)</f>
        <v>0.89867924528301801</v>
      </c>
      <c r="V12" s="20">
        <v>10</v>
      </c>
      <c r="W12" s="20">
        <v>10</v>
      </c>
      <c r="X12" s="20">
        <v>0</v>
      </c>
      <c r="Y12" s="20">
        <v>9.5</v>
      </c>
      <c r="Z12" s="20" t="e">
        <f t="shared" ca="1" si="2"/>
        <v>#NAME?</v>
      </c>
      <c r="AA12" s="20">
        <v>84</v>
      </c>
      <c r="AB12" s="48">
        <f ca="1">IFERROR(__xludf.DUMMYFUNCTION("SUM( FILTER(C12:AA12, ISNUMBER(SEARCH(""Practice"", $C$1:$AA$1)) ) )  / 
  SUM( FILTER(C$75:AA$75, ISNUMBER(SEARCH(""Practice"", $C$1:$AA$1))))*0.1
+
(SUM( FILTER(C12:T12, ISNUMBER(SEARCH(""AFTER RETAKE"", $C$1:$T$1)) ) )+SUM( FILTER(T12:AA12, ISNUMBER(S"&amp;"EARCH(""BEFORE RETAKE"", $T$1:$AA$1)) ) ))  / 
  SUM( FILTER(C$75:AA$75, ISNUMBER(SEARCH(""BEFORE RETAKE"", $C$1:$AA$1))))*0.6 + 0.3"),0.893416666666666)</f>
        <v>0.89341666666666597</v>
      </c>
      <c r="AC12" s="20"/>
      <c r="AD12" s="20">
        <v>84</v>
      </c>
      <c r="AE12" s="48">
        <f ca="1">IFERROR(__xludf.DUMMYFUNCTION("SUM( FILTER(C12:AA12, ISNUMBER(SEARCH(""Practice"", $C$1:$AA$1)) ) )  / 
  SUM( FILTER(C$75:AA$75, ISNUMBER(SEARCH(""Practice"", $C$1:$AA$1))))*0.1
+
SUM( FILTER(C12:AD12, ISNUMBER(SEARCH(""AFTER RETAKE"", $C$1:$AD$1)) ) )
  / 
  SUM( FILTER(C$75:AD$75, I"&amp;"SNUMBER(SEARCH(""BEFORE RETAKE"", $C$1:$AD$1))))*0.6 
+ 
0.3"),0.893416666666666)</f>
        <v>0.89341666666666597</v>
      </c>
      <c r="AF12" s="20"/>
      <c r="AG12" s="20">
        <v>0</v>
      </c>
      <c r="AH12" s="20">
        <v>0</v>
      </c>
      <c r="AI12" s="20">
        <v>0</v>
      </c>
      <c r="AJ12" s="20">
        <v>13</v>
      </c>
      <c r="AK12" s="20">
        <v>100</v>
      </c>
      <c r="AM12" s="21">
        <v>0.85</v>
      </c>
      <c r="AO12" s="55">
        <f t="shared" si="3"/>
        <v>81.738095238095227</v>
      </c>
      <c r="AP12" s="21">
        <f t="shared" si="4"/>
        <v>0</v>
      </c>
      <c r="AQ12" s="55">
        <f t="shared" si="5"/>
        <v>85.348837209302332</v>
      </c>
      <c r="AR12" s="21">
        <f t="shared" si="6"/>
        <v>0</v>
      </c>
      <c r="AS12" s="55">
        <f t="shared" si="7"/>
        <v>67.045454545454547</v>
      </c>
      <c r="AT12" s="21">
        <f t="shared" si="8"/>
        <v>1</v>
      </c>
      <c r="AU12" s="55">
        <f t="shared" si="9"/>
        <v>0</v>
      </c>
      <c r="AV12" s="21">
        <f t="shared" si="10"/>
        <v>3</v>
      </c>
      <c r="AW12" s="20">
        <f t="shared" si="11"/>
        <v>84.666666666666671</v>
      </c>
      <c r="AX12" s="20">
        <f t="shared" si="12"/>
        <v>84.666666666666671</v>
      </c>
      <c r="AY12" s="48">
        <f ca="1">IFERROR(__xludf.DUMMYFUNCTION("SUM( FILTER(C12:AA12, ISNUMBER(SEARCH(""Practice"", $C$1:$AA$1)) ) )  / 
  SUM( FILTER(C$75:AA$75, ISNUMBER(SEARCH(""Practice"", $C$1:$AA$1))))*0.1
+
(SUM( FILTER(C12:T12, ISNUMBER(SEARCH(""AFTER RETAKE"", $C$1:$T$1)) ) )
+
SUM( FILTER(U12:AD12, ISNUMBER("&amp;"SEARCH(""AFTER RETAKE"", $U$1:$AD$1)) ) ))  / 
  SUM( FILTER(C$75:AA$75, ISNUMBER(SEARCH(""BEFORE RETAKE"", $C$1:$AA$1))))*0.6 
+ 
 AM12*0.3"),0.848416666666666)</f>
        <v>0.84841666666666604</v>
      </c>
      <c r="AZ12" s="48">
        <f ca="1">IFERROR(__xludf.DUMMYFUNCTION("SUM( FILTER(C12:AA12, ISNUMBER(SEARCH(""Practice"", $C$1:$AA$1)) ) )  / 
  SUM( FILTER(C$75:AA$75, ISNUMBER(SEARCH(""Practice"", $C$1:$AA$1))))*0.1
+
(SUM( FILTER(C12:T12, ISNUMBER(SEARCH(""Before RETAKE"", $C$1:$T$1)) ) )
+
SUM( FILTER(U12:AD12, ISNUMBER"&amp;"(SEARCH(""Before RETAKE"", $U$1:$AD$1)) ) ))  / 
  SUM( FILTER(C$75:AA$75, ISNUMBER(SEARCH(""BEFORE RETAKE"", $C$1:$AA$1))))*0.6 
+ 
AM12* 0.3"),0.848416666666666)</f>
        <v>0.84841666666666604</v>
      </c>
      <c r="BA12" s="55">
        <f t="shared" si="13"/>
        <v>58.533096748213026</v>
      </c>
      <c r="BB12" s="21">
        <f t="shared" si="14"/>
        <v>4</v>
      </c>
      <c r="BC12" s="55">
        <f t="shared" si="15"/>
        <v>84.673076923076934</v>
      </c>
      <c r="BD12" s="55"/>
      <c r="BE12" s="55"/>
      <c r="BF12" s="55"/>
    </row>
    <row r="13" spans="1:58" ht="15" customHeight="1" x14ac:dyDescent="0.2">
      <c r="A13" s="26" t="s">
        <v>56</v>
      </c>
      <c r="B13" s="26" t="s">
        <v>461</v>
      </c>
      <c r="C13" s="19" t="s">
        <v>8</v>
      </c>
      <c r="D13" s="20">
        <v>2</v>
      </c>
      <c r="E13" s="20">
        <v>0</v>
      </c>
      <c r="F13" s="20">
        <v>3.83</v>
      </c>
      <c r="G13" s="20" t="e">
        <f t="shared" ca="1" si="16"/>
        <v>#NAME?</v>
      </c>
      <c r="H13" s="20">
        <v>30</v>
      </c>
      <c r="I13" s="48">
        <f ca="1">IFERROR(__xludf.DUMMYFUNCTION("Sum(FILTER(C13:H13, $C$1:$H$1=""Unit 1 Practice""))/Sum(FILTER(C$75:H$75, $C$1:$H$1=""Unit 1 Practice""))*0.1 + Sum(FILTER(C13:H13, $C$1:$H$1=""Unit 1 Test (before retake)""))/Sum(FILTER(C$75:H$75, $C$1:$H$1=""Unit 1 Test (before retake)""))*0.6 + 0.3"),0.525569620253164)</f>
        <v>0.525569620253164</v>
      </c>
      <c r="J13" s="20" t="s">
        <v>810</v>
      </c>
      <c r="K13" s="20">
        <v>30</v>
      </c>
      <c r="L13" s="48">
        <f ca="1">IFERROR(__xludf.DUMMYFUNCTION("SUM( FILTER(C13:K13, ISNUMBER(SEARCH(""Practice"", $C$1:$K$1)) ) )  / 
  SUM( FILTER(C$75:K$75, ISNUMBER(SEARCH(""Practice"", $C$1:$K$1))))*0.1
+
SUM( FILTER(C13:K13, ISNUMBER(SEARCH(""AFTER RETAKE"", $C$1:$K$1)) ) )  / 
  SUM( FILTER(C$75:K$75, ISNUMBER"&amp;"(SEARCH(""AFTER RETAKE"", $C$1:$K$1))))*0.6 + 0.3
"),0.525569620253164)</f>
        <v>0.525569620253164</v>
      </c>
      <c r="M13" s="20">
        <v>18</v>
      </c>
      <c r="N13" s="20">
        <v>6</v>
      </c>
      <c r="O13" s="20">
        <v>6.65</v>
      </c>
      <c r="P13" s="20" t="e">
        <f t="shared" ca="1" si="1"/>
        <v>#NAME?</v>
      </c>
      <c r="Q13" s="20">
        <v>62</v>
      </c>
      <c r="R13" s="48">
        <f ca="1">IFERROR(__xludf.DUMMYFUNCTION("SUM( FILTER(C13:T13, ISNUMBER(SEARCH(""Practice"", $C$1:$T$1)) ) )  / 
  SUM( FILTER(C$75:T$75, ISNUMBER(SEARCH(""Practice"", $C$1:$T$1))))*0.1
+
(SUM( FILTER(C13:K13, ISNUMBER(SEARCH(""AFTER RETAKE"", $C$1:$K$1)) ) )+SUM( FILTER(K13:T13, ISNUMBER(SEARCH"&amp;"(""BEFORE RETAKE"", $K$1:$T$1)) ) ))  / 
  SUM( FILTER(C$75:T$75, ISNUMBER(SEARCH(""BEFORE RETAKE"", $C$1:$T$1))))*0.6 + 0.3"),0.638264150943396)</f>
        <v>0.63826415094339595</v>
      </c>
      <c r="S13" s="20">
        <v>72</v>
      </c>
      <c r="T13" s="20">
        <v>72</v>
      </c>
      <c r="U13" s="48">
        <f ca="1">IFERROR(__xludf.DUMMYFUNCTION("SUM( FILTER(C13:T13, ISNUMBER(SEARCH(""Practice"", $C$1:$T$1)) ) )  / 
  SUM( FILTER(C$75:T$75, ISNUMBER(SEARCH(""Practice"", $C$1:$T$1))))*0.1
+
SUM( FILTER(C13:T13, ISNUMBER(SEARCH(""AFTER RETAKE"", $C$1:$T$1)) ) )  / 
  SUM( FILTER(C$75:T$75, ISNUMBER"&amp;"(SEARCH(""AFTER RETAKE"", $C$1:$T$1))))*0.6 + 0.3
"),0.668264150943396)</f>
        <v>0.66826415094339597</v>
      </c>
      <c r="V13" s="20">
        <v>9</v>
      </c>
      <c r="W13" s="20">
        <v>9</v>
      </c>
      <c r="X13" s="20">
        <v>10</v>
      </c>
      <c r="Y13" s="20">
        <v>8.5</v>
      </c>
      <c r="Z13" s="20" t="e">
        <f t="shared" ca="1" si="2"/>
        <v>#NAME?</v>
      </c>
      <c r="AA13" s="20">
        <v>65</v>
      </c>
      <c r="AB13" s="48">
        <f ca="1">IFERROR(__xludf.DUMMYFUNCTION("SUM( FILTER(C13:AA13, ISNUMBER(SEARCH(""Practice"", $C$1:$AA$1)) ) )  / 
  SUM( FILTER(C$75:AA$75, ISNUMBER(SEARCH(""Practice"", $C$1:$AA$1))))*0.1
+
(SUM( FILTER(C13:T13, ISNUMBER(SEARCH(""AFTER RETAKE"", $C$1:$T$1)) ) )+SUM( FILTER(T13:AA13, ISNUMBER(S"&amp;"EARCH(""BEFORE RETAKE"", $T$1:$AA$1)) ) ))  / 
  SUM( FILTER(C$75:AA$75, ISNUMBER(SEARCH(""BEFORE RETAKE"", $C$1:$AA$1))))*0.6 + 0.3"),0.704625)</f>
        <v>0.70462499999999995</v>
      </c>
      <c r="AC13" s="20">
        <v>68</v>
      </c>
      <c r="AD13" s="20">
        <v>68</v>
      </c>
      <c r="AE13" s="48">
        <f ca="1">IFERROR(__xludf.DUMMYFUNCTION("SUM( FILTER(C13:AA13, ISNUMBER(SEARCH(""Practice"", $C$1:$AA$1)) ) )  / 
  SUM( FILTER(C$75:AA$75, ISNUMBER(SEARCH(""Practice"", $C$1:$AA$1))))*0.1
+
SUM( FILTER(C13:AD13, ISNUMBER(SEARCH(""AFTER RETAKE"", $C$1:$AD$1)) ) )
  / 
  SUM( FILTER(C$75:AD$75, I"&amp;"SNUMBER(SEARCH(""BEFORE RETAKE"", $C$1:$AD$1))))*0.6 
+ 
0.3"),0.710625)</f>
        <v>0.71062499999999995</v>
      </c>
      <c r="AF13" s="20"/>
      <c r="AG13" s="20">
        <v>20.2</v>
      </c>
      <c r="AH13" s="20">
        <v>1</v>
      </c>
      <c r="AI13" s="20">
        <v>26</v>
      </c>
      <c r="AJ13" s="20">
        <v>7.6</v>
      </c>
      <c r="AK13" s="20">
        <v>82</v>
      </c>
      <c r="AM13" s="21">
        <v>0.65</v>
      </c>
      <c r="AO13" s="55">
        <f t="shared" si="3"/>
        <v>13.88095238095238</v>
      </c>
      <c r="AP13" s="21">
        <f t="shared" si="4"/>
        <v>1</v>
      </c>
      <c r="AQ13" s="55">
        <f t="shared" si="5"/>
        <v>71.279069767441854</v>
      </c>
      <c r="AR13" s="21">
        <f t="shared" si="6"/>
        <v>0</v>
      </c>
      <c r="AS13" s="55">
        <f t="shared" si="7"/>
        <v>82.954545454545453</v>
      </c>
      <c r="AT13" s="21">
        <f t="shared" si="8"/>
        <v>0</v>
      </c>
      <c r="AU13" s="55">
        <f t="shared" si="9"/>
        <v>78.666666666666671</v>
      </c>
      <c r="AV13" s="21">
        <f t="shared" si="10"/>
        <v>0</v>
      </c>
      <c r="AW13" s="20">
        <f t="shared" si="11"/>
        <v>52.333333333333336</v>
      </c>
      <c r="AX13" s="20">
        <f t="shared" si="12"/>
        <v>56.666666666666664</v>
      </c>
      <c r="AY13" s="48">
        <f ca="1">IFERROR(__xludf.DUMMYFUNCTION("SUM( FILTER(C13:AA13, ISNUMBER(SEARCH(""Practice"", $C$1:$AA$1)) ) )  / 
  SUM( FILTER(C$75:AA$75, ISNUMBER(SEARCH(""Practice"", $C$1:$AA$1))))*0.1
+
(SUM( FILTER(C13:T13, ISNUMBER(SEARCH(""AFTER RETAKE"", $C$1:$T$1)) ) )
+
SUM( FILTER(U13:AD13, ISNUMBER("&amp;"SEARCH(""AFTER RETAKE"", $U$1:$AD$1)) ) ))  / 
  SUM( FILTER(C$75:AA$75, ISNUMBER(SEARCH(""BEFORE RETAKE"", $C$1:$AA$1))))*0.6 
+ 
 AM13*0.3"),0.605625)</f>
        <v>0.60562499999999997</v>
      </c>
      <c r="AZ13" s="48">
        <f ca="1">IFERROR(__xludf.DUMMYFUNCTION("SUM( FILTER(C13:AA13, ISNUMBER(SEARCH(""Practice"", $C$1:$AA$1)) ) )  / 
  SUM( FILTER(C$75:AA$75, ISNUMBER(SEARCH(""Practice"", $C$1:$AA$1))))*0.1
+
(SUM( FILTER(C13:T13, ISNUMBER(SEARCH(""Before RETAKE"", $C$1:$T$1)) ) )
+
SUM( FILTER(U13:AD13, ISNUMBER"&amp;"(SEARCH(""Before RETAKE"", $U$1:$AD$1)) ) ))  / 
  SUM( FILTER(C$75:AA$75, ISNUMBER(SEARCH(""BEFORE RETAKE"", $C$1:$AA$1))))*0.6 
+ 
AM13* 0.3"),0.579625)</f>
        <v>0.57962499999999995</v>
      </c>
      <c r="BA13" s="55">
        <f t="shared" si="13"/>
        <v>61.695308567401597</v>
      </c>
      <c r="BB13" s="21">
        <f t="shared" si="14"/>
        <v>1</v>
      </c>
      <c r="BC13" s="55">
        <f t="shared" si="15"/>
        <v>51.115384615384606</v>
      </c>
      <c r="BD13" s="55"/>
      <c r="BE13" s="55"/>
      <c r="BF13" s="55"/>
    </row>
    <row r="14" spans="1:58" ht="15" customHeight="1" x14ac:dyDescent="0.2">
      <c r="A14" s="26" t="s">
        <v>59</v>
      </c>
      <c r="B14" s="26" t="s">
        <v>464</v>
      </c>
      <c r="C14" s="19" t="s">
        <v>8</v>
      </c>
      <c r="D14" s="20">
        <v>15</v>
      </c>
      <c r="E14" s="20">
        <v>10.75</v>
      </c>
      <c r="F14" s="20">
        <v>6.49</v>
      </c>
      <c r="G14" s="20" t="e">
        <f t="shared" ca="1" si="16"/>
        <v>#NAME?</v>
      </c>
      <c r="H14" s="20">
        <v>82</v>
      </c>
      <c r="I14" s="48">
        <f ca="1">IFERROR(__xludf.DUMMYFUNCTION("Sum(FILTER(C14:H14, $C$1:$H$1=""Unit 1 Practice""))/Sum(FILTER(C$75:H$75, $C$1:$H$1=""Unit 1 Practice""))*0.1 + Sum(FILTER(C14:H14, $C$1:$H$1=""Unit 1 Test (before retake)""))/Sum(FILTER(C$75:H$75, $C$1:$H$1=""Unit 1 Test (before retake)""))*0.6 + 0.3"),0.87206329113924)</f>
        <v>0.87206329113923997</v>
      </c>
      <c r="J14" s="20" t="s">
        <v>810</v>
      </c>
      <c r="K14" s="20">
        <v>82</v>
      </c>
      <c r="L14" s="48">
        <f ca="1">IFERROR(__xludf.DUMMYFUNCTION("SUM( FILTER(C14:K14, ISNUMBER(SEARCH(""Practice"", $C$1:$K$1)) ) )  / 
  SUM( FILTER(C$75:K$75, ISNUMBER(SEARCH(""Practice"", $C$1:$K$1))))*0.1
+
SUM( FILTER(C14:K14, ISNUMBER(SEARCH(""AFTER RETAKE"", $C$1:$K$1)) ) )  / 
  SUM( FILTER(C$75:K$75, ISNUMBER"&amp;"(SEARCH(""AFTER RETAKE"", $C$1:$K$1))))*0.6 + 0.3
"),0.87206329113924)</f>
        <v>0.87206329113923997</v>
      </c>
      <c r="M14" s="20">
        <v>16</v>
      </c>
      <c r="N14" s="20">
        <v>12</v>
      </c>
      <c r="O14" s="20">
        <v>8</v>
      </c>
      <c r="P14" s="20" t="e">
        <f t="shared" ca="1" si="1"/>
        <v>#NAME?</v>
      </c>
      <c r="Q14" s="20">
        <v>72</v>
      </c>
      <c r="R14" s="48">
        <f ca="1">IFERROR(__xludf.DUMMYFUNCTION("SUM( FILTER(C14:T14, ISNUMBER(SEARCH(""Practice"", $C$1:$T$1)) ) )  / 
  SUM( FILTER(C$75:T$75, ISNUMBER(SEARCH(""Practice"", $C$1:$T$1))))*0.1
+
(SUM( FILTER(C14:K14, ISNUMBER(SEARCH(""AFTER RETAKE"", $C$1:$K$1)) ) )+SUM( FILTER(K14:T14, ISNUMBER(SEARCH"&amp;"(""BEFORE RETAKE"", $K$1:$T$1)) ) ))  / 
  SUM( FILTER(C$75:T$75, ISNUMBER(SEARCH(""BEFORE RETAKE"", $C$1:$T$1))))*0.6 + 0.3"),0.84517610062893)</f>
        <v>0.84517610062893</v>
      </c>
      <c r="S14" s="20" t="s">
        <v>462</v>
      </c>
      <c r="T14" s="20">
        <v>72</v>
      </c>
      <c r="U14" s="48">
        <f ca="1">IFERROR(__xludf.DUMMYFUNCTION("SUM( FILTER(C14:T14, ISNUMBER(SEARCH(""Practice"", $C$1:$T$1)) ) )  / 
  SUM( FILTER(C$75:T$75, ISNUMBER(SEARCH(""Practice"", $C$1:$T$1))))*0.1
+
SUM( FILTER(C14:T14, ISNUMBER(SEARCH(""AFTER RETAKE"", $C$1:$T$1)) ) )  / 
  SUM( FILTER(C$75:T$75, ISNUMBER"&amp;"(SEARCH(""AFTER RETAKE"", $C$1:$T$1))))*0.6 + 0.3
"),0.84517610062893)</f>
        <v>0.84517610062893</v>
      </c>
      <c r="V14" s="20">
        <v>7</v>
      </c>
      <c r="W14" s="20">
        <v>10</v>
      </c>
      <c r="X14" s="20">
        <v>11</v>
      </c>
      <c r="Y14" s="20">
        <v>8.5</v>
      </c>
      <c r="Z14" s="20" t="e">
        <f t="shared" ca="1" si="2"/>
        <v>#NAME?</v>
      </c>
      <c r="AA14" s="20">
        <v>85</v>
      </c>
      <c r="AB14" s="48">
        <f ca="1">IFERROR(__xludf.DUMMYFUNCTION("SUM( FILTER(C14:AA14, ISNUMBER(SEARCH(""Practice"", $C$1:$AA$1)) ) )  / 
  SUM( FILTER(C$75:AA$75, ISNUMBER(SEARCH(""Practice"", $C$1:$AA$1))))*0.1
+
(SUM( FILTER(C14:T14, ISNUMBER(SEARCH(""AFTER RETAKE"", $C$1:$T$1)) ) )+SUM( FILTER(T14:AA14, ISNUMBER(S"&amp;"EARCH(""BEFORE RETAKE"", $T$1:$AA$1)) ) ))  / 
  SUM( FILTER(C$75:AA$75, ISNUMBER(SEARCH(""BEFORE RETAKE"", $C$1:$AA$1))))*0.6 + 0.3"),0.862479166666666)</f>
        <v>0.86247916666666602</v>
      </c>
      <c r="AC14" s="20"/>
      <c r="AD14" s="20">
        <v>85</v>
      </c>
      <c r="AE14" s="48">
        <f ca="1">IFERROR(__xludf.DUMMYFUNCTION("SUM( FILTER(C14:AA14, ISNUMBER(SEARCH(""Practice"", $C$1:$AA$1)) ) )  / 
  SUM( FILTER(C$75:AA$75, ISNUMBER(SEARCH(""Practice"", $C$1:$AA$1))))*0.1
+
SUM( FILTER(C14:AD14, ISNUMBER(SEARCH(""AFTER RETAKE"", $C$1:$AD$1)) ) )
  / 
  SUM( FILTER(C$75:AD$75, I"&amp;"SNUMBER(SEARCH(""BEFORE RETAKE"", $C$1:$AD$1))))*0.6 
+ 
0.3"),0.862479166666666)</f>
        <v>0.86247916666666602</v>
      </c>
      <c r="AF14" s="20"/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M14" s="21">
        <v>0.85</v>
      </c>
      <c r="AO14" s="55">
        <f t="shared" si="3"/>
        <v>76.761904761904759</v>
      </c>
      <c r="AP14" s="21">
        <f t="shared" si="4"/>
        <v>0</v>
      </c>
      <c r="AQ14" s="55">
        <f t="shared" si="5"/>
        <v>83.720930232558132</v>
      </c>
      <c r="AR14" s="21">
        <f t="shared" si="6"/>
        <v>0</v>
      </c>
      <c r="AS14" s="55">
        <f t="shared" si="7"/>
        <v>82.954545454545453</v>
      </c>
      <c r="AT14" s="21">
        <f t="shared" si="8"/>
        <v>0</v>
      </c>
      <c r="AU14" s="55">
        <f t="shared" si="9"/>
        <v>0</v>
      </c>
      <c r="AV14" s="21">
        <f t="shared" si="10"/>
        <v>3</v>
      </c>
      <c r="AW14" s="20">
        <f t="shared" si="11"/>
        <v>79.666666666666671</v>
      </c>
      <c r="AX14" s="20">
        <f t="shared" si="12"/>
        <v>79.666666666666671</v>
      </c>
      <c r="AY14" s="48">
        <f ca="1">IFERROR(__xludf.DUMMYFUNCTION("SUM( FILTER(C14:AA14, ISNUMBER(SEARCH(""Practice"", $C$1:$AA$1)) ) )  / 
  SUM( FILTER(C$75:AA$75, ISNUMBER(SEARCH(""Practice"", $C$1:$AA$1))))*0.1
+
(SUM( FILTER(C14:T14, ISNUMBER(SEARCH(""AFTER RETAKE"", $C$1:$T$1)) ) )
+
SUM( FILTER(U14:AD14, ISNUMBER("&amp;"SEARCH(""AFTER RETAKE"", $U$1:$AD$1)) ) ))  / 
  SUM( FILTER(C$75:AA$75, ISNUMBER(SEARCH(""BEFORE RETAKE"", $C$1:$AA$1))))*0.6 
+ 
 AM14*0.3"),0.817479166666666)</f>
        <v>0.81747916666666598</v>
      </c>
      <c r="AZ14" s="48">
        <f ca="1">IFERROR(__xludf.DUMMYFUNCTION("SUM( FILTER(C14:AA14, ISNUMBER(SEARCH(""Practice"", $C$1:$AA$1)) ) )  / 
  SUM( FILTER(C$75:AA$75, ISNUMBER(SEARCH(""Practice"", $C$1:$AA$1))))*0.1
+
(SUM( FILTER(C14:T14, ISNUMBER(SEARCH(""Before RETAKE"", $C$1:$T$1)) ) )
+
SUM( FILTER(U14:AD14, ISNUMBER"&amp;"(SEARCH(""Before RETAKE"", $U$1:$AD$1)) ) ))  / 
  SUM( FILTER(C$75:AA$75, ISNUMBER(SEARCH(""BEFORE RETAKE"", $C$1:$AA$1))))*0.6 
+ 
AM14* 0.3"),0.817479166666666)</f>
        <v>0.81747916666666598</v>
      </c>
      <c r="BA14" s="55">
        <f t="shared" si="13"/>
        <v>60.859345112252086</v>
      </c>
      <c r="BB14" s="21">
        <f t="shared" si="14"/>
        <v>3</v>
      </c>
      <c r="BC14" s="55">
        <f t="shared" si="15"/>
        <v>44.21153846153846</v>
      </c>
      <c r="BD14" s="55"/>
      <c r="BE14" s="55"/>
      <c r="BF14" s="55"/>
    </row>
    <row r="15" spans="1:58" ht="15" customHeight="1" x14ac:dyDescent="0.2">
      <c r="A15" s="26" t="s">
        <v>61</v>
      </c>
      <c r="B15" s="26" t="s">
        <v>461</v>
      </c>
      <c r="C15" s="19" t="s">
        <v>9</v>
      </c>
      <c r="D15" s="20">
        <v>4</v>
      </c>
      <c r="E15" s="20">
        <v>4</v>
      </c>
      <c r="F15" s="20">
        <v>4.66</v>
      </c>
      <c r="G15" s="20" t="e">
        <f t="shared" ca="1" si="16"/>
        <v>#NAME?</v>
      </c>
      <c r="H15" s="20">
        <v>83</v>
      </c>
      <c r="I15" s="48">
        <f ca="1">IFERROR(__xludf.DUMMYFUNCTION("Sum(FILTER(C15:H15, $C$1:$H$1=""Unit 1 Practice""))/Sum(FILTER(C$75:H$75, $C$1:$H$1=""Unit 1 Practice""))*0.1 + Sum(FILTER(C15:H15, $C$1:$H$1=""Unit 1 Test (before retake)""))/Sum(FILTER(C$75:H$75, $C$1:$H$1=""Unit 1 Test (before retake)""))*0.6 + 0.3"),0.853696202531645)</f>
        <v>0.85369620253164502</v>
      </c>
      <c r="J15" s="20" t="s">
        <v>810</v>
      </c>
      <c r="K15" s="20">
        <v>83</v>
      </c>
      <c r="L15" s="48">
        <f ca="1">IFERROR(__xludf.DUMMYFUNCTION("SUM( FILTER(C15:K15, ISNUMBER(SEARCH(""Practice"", $C$1:$K$1)) ) )  / 
  SUM( FILTER(C$75:K$75, ISNUMBER(SEARCH(""Practice"", $C$1:$K$1))))*0.1
+
SUM( FILTER(C15:K15, ISNUMBER(SEARCH(""AFTER RETAKE"", $C$1:$K$1)) ) )  / 
  SUM( FILTER(C$75:K$75, ISNUMBER"&amp;"(SEARCH(""AFTER RETAKE"", $C$1:$K$1))))*0.6 + 0.3
"),0.853696202531645)</f>
        <v>0.85369620253164502</v>
      </c>
      <c r="M15" s="20">
        <v>7</v>
      </c>
      <c r="N15" s="20">
        <v>0</v>
      </c>
      <c r="O15" s="20">
        <v>9.1</v>
      </c>
      <c r="P15" s="20" t="e">
        <f t="shared" ca="1" si="1"/>
        <v>#NAME?</v>
      </c>
      <c r="Q15" s="20">
        <v>65</v>
      </c>
      <c r="R15" s="48">
        <f ca="1">IFERROR(__xludf.DUMMYFUNCTION("SUM( FILTER(C15:T15, ISNUMBER(SEARCH(""Practice"", $C$1:$T$1)) ) )  / 
  SUM( FILTER(C$75:T$75, ISNUMBER(SEARCH(""Practice"", $C$1:$T$1))))*0.1
+
(SUM( FILTER(C15:K15, ISNUMBER(SEARCH(""AFTER RETAKE"", $C$1:$K$1)) ) )+SUM( FILTER(K15:T15, ISNUMBER(SEARCH"&amp;"(""BEFORE RETAKE"", $K$1:$T$1)) ) ))  / 
  SUM( FILTER(C$75:T$75, ISNUMBER(SEARCH(""BEFORE RETAKE"", $C$1:$T$1))))*0.6 + 0.3"),0.80280503144654)</f>
        <v>0.80280503144654003</v>
      </c>
      <c r="S15" s="20">
        <v>68</v>
      </c>
      <c r="T15" s="20">
        <v>68</v>
      </c>
      <c r="U15" s="48">
        <f ca="1">IFERROR(__xludf.DUMMYFUNCTION("SUM( FILTER(C15:T15, ISNUMBER(SEARCH(""Practice"", $C$1:$T$1)) ) )  / 
  SUM( FILTER(C$75:T$75, ISNUMBER(SEARCH(""Practice"", $C$1:$T$1))))*0.1
+
SUM( FILTER(C15:T15, ISNUMBER(SEARCH(""AFTER RETAKE"", $C$1:$T$1)) ) )  / 
  SUM( FILTER(C$75:T$75, ISNUMBER"&amp;"(SEARCH(""AFTER RETAKE"", $C$1:$T$1))))*0.6 + 0.3
"),0.81180503144654)</f>
        <v>0.81180503144654004</v>
      </c>
      <c r="V15" s="20">
        <v>6</v>
      </c>
      <c r="W15" s="20">
        <v>10</v>
      </c>
      <c r="X15" s="20">
        <v>8</v>
      </c>
      <c r="Y15" s="20">
        <v>7</v>
      </c>
      <c r="Z15" s="20" t="e">
        <f t="shared" ca="1" si="2"/>
        <v>#NAME?</v>
      </c>
      <c r="AA15" s="20">
        <v>78</v>
      </c>
      <c r="AB15" s="48">
        <f ca="1">IFERROR(__xludf.DUMMYFUNCTION("SUM( FILTER(C15:AA15, ISNUMBER(SEARCH(""Practice"", $C$1:$AA$1)) ) )  / 
  SUM( FILTER(C$75:AA$75, ISNUMBER(SEARCH(""Practice"", $C$1:$AA$1))))*0.1
+
(SUM( FILTER(C15:T15, ISNUMBER(SEARCH(""AFTER RETAKE"", $C$1:$T$1)) ) )+SUM( FILTER(T15:AA15, ISNUMBER(S"&amp;"EARCH(""BEFORE RETAKE"", $T$1:$AA$1)) ) ))  / 
  SUM( FILTER(C$75:AA$75, ISNUMBER(SEARCH(""BEFORE RETAKE"", $C$1:$AA$1))))*0.6 + 0.3"),0.823208333333333)</f>
        <v>0.82320833333333299</v>
      </c>
      <c r="AC15" s="20"/>
      <c r="AD15" s="20">
        <v>78</v>
      </c>
      <c r="AE15" s="48">
        <f ca="1">IFERROR(__xludf.DUMMYFUNCTION("SUM( FILTER(C15:AA15, ISNUMBER(SEARCH(""Practice"", $C$1:$AA$1)) ) )  / 
  SUM( FILTER(C$75:AA$75, ISNUMBER(SEARCH(""Practice"", $C$1:$AA$1))))*0.1
+
SUM( FILTER(C15:AD15, ISNUMBER(SEARCH(""AFTER RETAKE"", $C$1:$AD$1)) ) )
  / 
  SUM( FILTER(C$75:AD$75, I"&amp;"SNUMBER(SEARCH(""BEFORE RETAKE"", $C$1:$AD$1))))*0.6 
+ 
0.3"),0.823208333333333)</f>
        <v>0.82320833333333299</v>
      </c>
      <c r="AF15" s="20"/>
      <c r="AG15" s="20">
        <v>21</v>
      </c>
      <c r="AH15" s="20">
        <v>0</v>
      </c>
      <c r="AI15" s="20">
        <v>0</v>
      </c>
      <c r="AJ15" s="20">
        <v>10.220000000000001</v>
      </c>
      <c r="AK15" s="20">
        <v>88</v>
      </c>
      <c r="AM15" s="21">
        <v>0.62</v>
      </c>
      <c r="AO15" s="55">
        <f t="shared" si="3"/>
        <v>30.142857142857142</v>
      </c>
      <c r="AP15" s="21">
        <f t="shared" si="4"/>
        <v>0</v>
      </c>
      <c r="AQ15" s="55">
        <f t="shared" si="5"/>
        <v>37.441860465116285</v>
      </c>
      <c r="AR15" s="21">
        <f t="shared" si="6"/>
        <v>1</v>
      </c>
      <c r="AS15" s="55">
        <f t="shared" si="7"/>
        <v>70.454545454545453</v>
      </c>
      <c r="AT15" s="21">
        <f t="shared" si="8"/>
        <v>0</v>
      </c>
      <c r="AU15" s="55">
        <f t="shared" si="9"/>
        <v>35</v>
      </c>
      <c r="AV15" s="21">
        <f t="shared" si="10"/>
        <v>2</v>
      </c>
      <c r="AW15" s="20">
        <f t="shared" si="11"/>
        <v>75.333333333333329</v>
      </c>
      <c r="AX15" s="20">
        <f t="shared" si="12"/>
        <v>76.333333333333329</v>
      </c>
      <c r="AY15" s="48">
        <f ca="1">IFERROR(__xludf.DUMMYFUNCTION("SUM( FILTER(C15:AA15, ISNUMBER(SEARCH(""Practice"", $C$1:$AA$1)) ) )  / 
  SUM( FILTER(C$75:AA$75, ISNUMBER(SEARCH(""Practice"", $C$1:$AA$1))))*0.1
+
(SUM( FILTER(C15:T15, ISNUMBER(SEARCH(""AFTER RETAKE"", $C$1:$T$1)) ) )
+
SUM( FILTER(U15:AD15, ISNUMBER("&amp;"SEARCH(""AFTER RETAKE"", $U$1:$AD$1)) ) ))  / 
  SUM( FILTER(C$75:AA$75, ISNUMBER(SEARCH(""BEFORE RETAKE"", $C$1:$AA$1))))*0.6 
+ 
 AM15*0.3"),0.709208333333333)</f>
        <v>0.709208333333333</v>
      </c>
      <c r="AZ15" s="48">
        <f ca="1">IFERROR(__xludf.DUMMYFUNCTION("SUM( FILTER(C15:AA15, ISNUMBER(SEARCH(""Practice"", $C$1:$AA$1)) ) )  / 
  SUM( FILTER(C$75:AA$75, ISNUMBER(SEARCH(""Practice"", $C$1:$AA$1))))*0.1
+
(SUM( FILTER(C15:T15, ISNUMBER(SEARCH(""Before RETAKE"", $C$1:$T$1)) ) )
+
SUM( FILTER(U15:AD15, ISNUMBER"&amp;"(SEARCH(""Before RETAKE"", $U$1:$AD$1)) ) ))  / 
  SUM( FILTER(C$75:AA$75, ISNUMBER(SEARCH(""BEFORE RETAKE"", $C$1:$AA$1))))*0.6 
+ 
AM15* 0.3"),0.703208333333333)</f>
        <v>0.70320833333333299</v>
      </c>
      <c r="BA15" s="55">
        <f t="shared" si="13"/>
        <v>43.259815765629725</v>
      </c>
      <c r="BB15" s="21">
        <f t="shared" si="14"/>
        <v>3</v>
      </c>
      <c r="BC15" s="55">
        <f t="shared" si="15"/>
        <v>59.576923076923073</v>
      </c>
      <c r="BD15" s="55"/>
      <c r="BE15" s="55"/>
      <c r="BF15" s="55"/>
    </row>
    <row r="16" spans="1:58" ht="15" customHeight="1" x14ac:dyDescent="0.2">
      <c r="A16" s="26" t="s">
        <v>63</v>
      </c>
      <c r="B16" s="26" t="s">
        <v>464</v>
      </c>
      <c r="C16" s="19" t="s">
        <v>7</v>
      </c>
      <c r="D16" s="20">
        <v>15</v>
      </c>
      <c r="E16" s="20">
        <v>14</v>
      </c>
      <c r="F16" s="20">
        <v>11</v>
      </c>
      <c r="G16" s="20" t="e">
        <f t="shared" ca="1" si="16"/>
        <v>#NAME?</v>
      </c>
      <c r="H16" s="20">
        <v>92</v>
      </c>
      <c r="I16" s="48">
        <f ca="1">IFERROR(__xludf.DUMMYFUNCTION("Sum(FILTER(C16:H16, $C$1:$H$1=""Unit 1 Practice""))/Sum(FILTER(C$75:H$75, $C$1:$H$1=""Unit 1 Practice""))*0.1 + Sum(FILTER(C16:H16, $C$1:$H$1=""Unit 1 Test (before retake)""))/Sum(FILTER(C$75:H$75, $C$1:$H$1=""Unit 1 Test (before retake)""))*0.6 + 0.3"),0.946936708860759)</f>
        <v>0.94693670886075898</v>
      </c>
      <c r="J16" s="20" t="s">
        <v>810</v>
      </c>
      <c r="K16" s="20">
        <v>92</v>
      </c>
      <c r="L16" s="48">
        <f ca="1">IFERROR(__xludf.DUMMYFUNCTION("SUM( FILTER(C16:K16, ISNUMBER(SEARCH(""Practice"", $C$1:$K$1)) ) )  / 
  SUM( FILTER(C$75:K$75, ISNUMBER(SEARCH(""Practice"", $C$1:$K$1))))*0.1
+
SUM( FILTER(C16:K16, ISNUMBER(SEARCH(""AFTER RETAKE"", $C$1:$K$1)) ) )  / 
  SUM( FILTER(C$75:K$75, ISNUMBER"&amp;"(SEARCH(""AFTER RETAKE"", $C$1:$K$1))))*0.6 + 0.3
"),0.946936708860759)</f>
        <v>0.94693670886075898</v>
      </c>
      <c r="M16" s="20">
        <v>18</v>
      </c>
      <c r="N16" s="20">
        <v>12</v>
      </c>
      <c r="O16" s="20">
        <v>10</v>
      </c>
      <c r="P16" s="20" t="e">
        <f t="shared" ca="1" si="1"/>
        <v>#NAME?</v>
      </c>
      <c r="Q16" s="20">
        <v>95</v>
      </c>
      <c r="R16" s="48">
        <f ca="1">IFERROR(__xludf.DUMMYFUNCTION("SUM( FILTER(C16:T16, ISNUMBER(SEARCH(""Practice"", $C$1:$T$1)) ) )  / 
  SUM( FILTER(C$75:T$75, ISNUMBER(SEARCH(""Practice"", $C$1:$T$1))))*0.1
+
(SUM( FILTER(C16:K16, ISNUMBER(SEARCH(""AFTER RETAKE"", $C$1:$K$1)) ) )+SUM( FILTER(K16:T16, ISNUMBER(SEARCH"&amp;"(""BEFORE RETAKE"", $K$1:$T$1)) ) ))  / 
  SUM( FILTER(C$75:T$75, ISNUMBER(SEARCH(""BEFORE RETAKE"", $C$1:$T$1))))*0.6 + 0.3"),0.954710691823899)</f>
        <v>0.954710691823899</v>
      </c>
      <c r="S16" s="20" t="s">
        <v>462</v>
      </c>
      <c r="T16" s="20">
        <v>95</v>
      </c>
      <c r="U16" s="48">
        <f ca="1">IFERROR(__xludf.DUMMYFUNCTION("SUM( FILTER(C16:T16, ISNUMBER(SEARCH(""Practice"", $C$1:$T$1)) ) )  / 
  SUM( FILTER(C$75:T$75, ISNUMBER(SEARCH(""Practice"", $C$1:$T$1))))*0.1
+
SUM( FILTER(C16:T16, ISNUMBER(SEARCH(""AFTER RETAKE"", $C$1:$T$1)) ) )  / 
  SUM( FILTER(C$75:T$75, ISNUMBER"&amp;"(SEARCH(""AFTER RETAKE"", $C$1:$T$1))))*0.6 + 0.3
"),0.954710691823899)</f>
        <v>0.954710691823899</v>
      </c>
      <c r="V16" s="20">
        <v>10</v>
      </c>
      <c r="W16" s="20">
        <v>9</v>
      </c>
      <c r="X16" s="20">
        <v>11</v>
      </c>
      <c r="Y16" s="20">
        <v>9.5</v>
      </c>
      <c r="Z16" s="20" t="e">
        <f t="shared" ca="1" si="2"/>
        <v>#NAME?</v>
      </c>
      <c r="AA16" s="20">
        <v>100</v>
      </c>
      <c r="AB16" s="48">
        <f ca="1">IFERROR(__xludf.DUMMYFUNCTION("SUM( FILTER(C16:AA16, ISNUMBER(SEARCH(""Practice"", $C$1:$AA$1)) ) )  / 
  SUM( FILTER(C$75:AA$75, ISNUMBER(SEARCH(""Practice"", $C$1:$AA$1))))*0.1
+
(SUM( FILTER(C16:T16, ISNUMBER(SEARCH(""AFTER RETAKE"", $C$1:$T$1)) ) )+SUM( FILTER(T16:AA16, ISNUMBER(S"&amp;"EARCH(""BEFORE RETAKE"", $T$1:$AA$1)) ) ))  / 
  SUM( FILTER(C$75:AA$75, ISNUMBER(SEARCH(""BEFORE RETAKE"", $C$1:$AA$1))))*0.6 + 0.3"),0.966916666666666)</f>
        <v>0.96691666666666598</v>
      </c>
      <c r="AC16" s="20"/>
      <c r="AD16" s="20">
        <v>100</v>
      </c>
      <c r="AE16" s="48">
        <f ca="1">IFERROR(__xludf.DUMMYFUNCTION("SUM( FILTER(C16:AA16, ISNUMBER(SEARCH(""Practice"", $C$1:$AA$1)) ) )  / 
  SUM( FILTER(C$75:AA$75, ISNUMBER(SEARCH(""Practice"", $C$1:$AA$1))))*0.1
+
SUM( FILTER(C16:AD16, ISNUMBER(SEARCH(""AFTER RETAKE"", $C$1:$AD$1)) ) )
  / 
  SUM( FILTER(C$75:AD$75, I"&amp;"SNUMBER(SEARCH(""BEFORE RETAKE"", $C$1:$AD$1))))*0.6 
+ 
0.3"),0.966916666666666)</f>
        <v>0.96691666666666598</v>
      </c>
      <c r="AF16" s="20"/>
      <c r="AG16" s="20">
        <v>22</v>
      </c>
      <c r="AH16" s="20">
        <v>10</v>
      </c>
      <c r="AI16" s="20">
        <v>23</v>
      </c>
      <c r="AJ16" s="20">
        <v>12.34</v>
      </c>
      <c r="AK16" s="20">
        <v>95</v>
      </c>
      <c r="AM16" s="21">
        <v>0.92</v>
      </c>
      <c r="AO16" s="55">
        <f t="shared" si="3"/>
        <v>95.238095238095227</v>
      </c>
      <c r="AP16" s="21">
        <f t="shared" si="4"/>
        <v>0</v>
      </c>
      <c r="AQ16" s="55">
        <f t="shared" si="5"/>
        <v>93.023255813953483</v>
      </c>
      <c r="AR16" s="21">
        <f t="shared" si="6"/>
        <v>0</v>
      </c>
      <c r="AS16" s="55">
        <f t="shared" si="7"/>
        <v>89.772727272727266</v>
      </c>
      <c r="AT16" s="21">
        <f t="shared" si="8"/>
        <v>0</v>
      </c>
      <c r="AU16" s="55">
        <f t="shared" si="9"/>
        <v>91.666666666666657</v>
      </c>
      <c r="AV16" s="21">
        <f t="shared" si="10"/>
        <v>0</v>
      </c>
      <c r="AW16" s="20">
        <f t="shared" si="11"/>
        <v>95.666666666666671</v>
      </c>
      <c r="AX16" s="20">
        <f t="shared" si="12"/>
        <v>95.666666666666671</v>
      </c>
      <c r="AY16" s="48">
        <f ca="1">IFERROR(__xludf.DUMMYFUNCTION("SUM( FILTER(C16:AA16, ISNUMBER(SEARCH(""Practice"", $C$1:$AA$1)) ) )  / 
  SUM( FILTER(C$75:AA$75, ISNUMBER(SEARCH(""Practice"", $C$1:$AA$1))))*0.1
+
(SUM( FILTER(C16:T16, ISNUMBER(SEARCH(""AFTER RETAKE"", $C$1:$T$1)) ) )
+
SUM( FILTER(U16:AD16, ISNUMBER("&amp;"SEARCH(""AFTER RETAKE"", $U$1:$AD$1)) ) ))  / 
  SUM( FILTER(C$75:AA$75, ISNUMBER(SEARCH(""BEFORE RETAKE"", $C$1:$AA$1))))*0.6 
+ 
 AM16*0.3"),0.942916666666666)</f>
        <v>0.94291666666666596</v>
      </c>
      <c r="AZ16" s="48">
        <f ca="1">IFERROR(__xludf.DUMMYFUNCTION("SUM( FILTER(C16:AA16, ISNUMBER(SEARCH(""Practice"", $C$1:$AA$1)) ) )  / 
  SUM( FILTER(C$75:AA$75, ISNUMBER(SEARCH(""Practice"", $C$1:$AA$1))))*0.1
+
(SUM( FILTER(C16:T16, ISNUMBER(SEARCH(""Before RETAKE"", $C$1:$T$1)) ) )
+
SUM( FILTER(U16:AD16, ISNUMBER"&amp;"(SEARCH(""Before RETAKE"", $U$1:$AD$1)) ) ))  / 
  SUM( FILTER(C$75:AA$75, ISNUMBER(SEARCH(""BEFORE RETAKE"", $C$1:$AA$1))))*0.6 
+ 
AM16* 0.3"),0.942916666666666)</f>
        <v>0.94291666666666596</v>
      </c>
      <c r="BA16" s="55">
        <f t="shared" si="13"/>
        <v>92.425186247860665</v>
      </c>
      <c r="BB16" s="21">
        <f t="shared" si="14"/>
        <v>0</v>
      </c>
      <c r="BC16" s="55">
        <f t="shared" si="15"/>
        <v>82.384615384615387</v>
      </c>
      <c r="BD16" s="55"/>
      <c r="BE16" s="55"/>
      <c r="BF16" s="55"/>
    </row>
    <row r="17" spans="1:58" ht="15" customHeight="1" x14ac:dyDescent="0.2">
      <c r="A17" s="26" t="s">
        <v>65</v>
      </c>
      <c r="B17" s="26" t="s">
        <v>464</v>
      </c>
      <c r="C17" s="19" t="s">
        <v>9</v>
      </c>
      <c r="D17" s="20">
        <v>13</v>
      </c>
      <c r="E17" s="20">
        <v>14.5</v>
      </c>
      <c r="F17" s="20">
        <v>11.17</v>
      </c>
      <c r="G17" s="20" t="e">
        <f t="shared" ca="1" si="16"/>
        <v>#NAME?</v>
      </c>
      <c r="H17" s="20">
        <v>80</v>
      </c>
      <c r="I17" s="48">
        <f ca="1">IFERROR(__xludf.DUMMYFUNCTION("Sum(FILTER(C17:H17, $C$1:$H$1=""Unit 1 Practice""))/Sum(FILTER(C$75:H$75, $C$1:$H$1=""Unit 1 Practice""))*0.1 + Sum(FILTER(C17:H17, $C$1:$H$1=""Unit 1 Test (before retake)""))/Sum(FILTER(C$75:H$75, $C$1:$H$1=""Unit 1 Test (before retake)""))*0.6 + 0.3"),0.873037974683544)</f>
        <v>0.87303797468354405</v>
      </c>
      <c r="J17" s="20" t="s">
        <v>810</v>
      </c>
      <c r="K17" s="20">
        <v>80</v>
      </c>
      <c r="L17" s="48">
        <f ca="1">IFERROR(__xludf.DUMMYFUNCTION("SUM( FILTER(C17:K17, ISNUMBER(SEARCH(""Practice"", $C$1:$K$1)) ) )  / 
  SUM( FILTER(C$75:K$75, ISNUMBER(SEARCH(""Practice"", $C$1:$K$1))))*0.1
+
SUM( FILTER(C17:K17, ISNUMBER(SEARCH(""AFTER RETAKE"", $C$1:$K$1)) ) )  / 
  SUM( FILTER(C$75:K$75, ISNUMBER"&amp;"(SEARCH(""AFTER RETAKE"", $C$1:$K$1))))*0.6 + 0.3
"),0.873037974683544)</f>
        <v>0.87303797468354405</v>
      </c>
      <c r="M17" s="20">
        <v>9</v>
      </c>
      <c r="N17" s="20">
        <v>0</v>
      </c>
      <c r="O17" s="20">
        <v>10</v>
      </c>
      <c r="P17" s="20" t="e">
        <f t="shared" ca="1" si="1"/>
        <v>#NAME?</v>
      </c>
      <c r="Q17" s="20">
        <v>68</v>
      </c>
      <c r="R17" s="48">
        <f ca="1">IFERROR(__xludf.DUMMYFUNCTION("SUM( FILTER(C17:T17, ISNUMBER(SEARCH(""Practice"", $C$1:$T$1)) ) )  / 
  SUM( FILTER(C$75:T$75, ISNUMBER(SEARCH(""Practice"", $C$1:$T$1))))*0.1
+
(SUM( FILTER(C17:K17, ISNUMBER(SEARCH(""AFTER RETAKE"", $C$1:$K$1)) ) )+SUM( FILTER(K17:T17, ISNUMBER(SEARCH"&amp;"(""BEFORE RETAKE"", $K$1:$T$1)) ) ))  / 
  SUM( FILTER(C$75:T$75, ISNUMBER(SEARCH(""BEFORE RETAKE"", $C$1:$T$1))))*0.6 + 0.3"),0.823559748427672)</f>
        <v>0.82355974842767199</v>
      </c>
      <c r="S17" s="20">
        <v>65</v>
      </c>
      <c r="T17" s="20">
        <v>68</v>
      </c>
      <c r="U17" s="48">
        <f ca="1">IFERROR(__xludf.DUMMYFUNCTION("SUM( FILTER(C17:T17, ISNUMBER(SEARCH(""Practice"", $C$1:$T$1)) ) )  / 
  SUM( FILTER(C$75:T$75, ISNUMBER(SEARCH(""Practice"", $C$1:$T$1))))*0.1
+
SUM( FILTER(C17:T17, ISNUMBER(SEARCH(""AFTER RETAKE"", $C$1:$T$1)) ) )  / 
  SUM( FILTER(C$75:T$75, ISNUMBER"&amp;"(SEARCH(""AFTER RETAKE"", $C$1:$T$1))))*0.6 + 0.3
"),0.823559748427672)</f>
        <v>0.82355974842767199</v>
      </c>
      <c r="V17" s="20">
        <v>9</v>
      </c>
      <c r="W17" s="20">
        <v>9</v>
      </c>
      <c r="X17" s="20">
        <v>11</v>
      </c>
      <c r="Y17" s="20">
        <v>0</v>
      </c>
      <c r="Z17" s="20" t="e">
        <f t="shared" ca="1" si="2"/>
        <v>#NAME?</v>
      </c>
      <c r="AA17" s="20">
        <v>65</v>
      </c>
      <c r="AB17" s="48">
        <f ca="1">IFERROR(__xludf.DUMMYFUNCTION("SUM( FILTER(C17:AA17, ISNUMBER(SEARCH(""Practice"", $C$1:$AA$1)) ) )  / 
  SUM( FILTER(C$75:AA$75, ISNUMBER(SEARCH(""Practice"", $C$1:$AA$1))))*0.1
+
(SUM( FILTER(C17:T17, ISNUMBER(SEARCH(""AFTER RETAKE"", $C$1:$T$1)) ) )+SUM( FILTER(T17:AA17, ISNUMBER(S"&amp;"EARCH(""BEFORE RETAKE"", $T$1:$AA$1)) ) ))  / 
  SUM( FILTER(C$75:AA$75, ISNUMBER(SEARCH(""BEFORE RETAKE"", $C$1:$AA$1))))*0.6 + 0.3"),0.790791666666666)</f>
        <v>0.790791666666666</v>
      </c>
      <c r="AC17" s="20"/>
      <c r="AD17" s="20">
        <v>65</v>
      </c>
      <c r="AE17" s="48">
        <f ca="1">IFERROR(__xludf.DUMMYFUNCTION("SUM( FILTER(C17:AA17, ISNUMBER(SEARCH(""Practice"", $C$1:$AA$1)) ) )  / 
  SUM( FILTER(C$75:AA$75, ISNUMBER(SEARCH(""Practice"", $C$1:$AA$1))))*0.1
+
SUM( FILTER(C17:AD17, ISNUMBER(SEARCH(""AFTER RETAKE"", $C$1:$AD$1)) ) )
  / 
  SUM( FILTER(C$75:AD$75, I"&amp;"SNUMBER(SEARCH(""BEFORE RETAKE"", $C$1:$AD$1))))*0.6 
+ 
0.3"),0.790791666666666)</f>
        <v>0.790791666666666</v>
      </c>
      <c r="AF17" s="20"/>
      <c r="AG17" s="20">
        <v>22</v>
      </c>
      <c r="AH17" s="20">
        <v>9</v>
      </c>
      <c r="AI17" s="20">
        <v>0</v>
      </c>
      <c r="AJ17" s="20">
        <v>8.0500000000000007</v>
      </c>
      <c r="AK17" s="20">
        <v>82</v>
      </c>
      <c r="AM17" s="21">
        <v>0.72</v>
      </c>
      <c r="AO17" s="55">
        <f t="shared" si="3"/>
        <v>92.071428571428569</v>
      </c>
      <c r="AP17" s="21">
        <f t="shared" si="4"/>
        <v>0</v>
      </c>
      <c r="AQ17" s="55">
        <f t="shared" si="5"/>
        <v>44.1860465116279</v>
      </c>
      <c r="AR17" s="21">
        <f t="shared" si="6"/>
        <v>1</v>
      </c>
      <c r="AS17" s="55">
        <f t="shared" si="7"/>
        <v>65.909090909090907</v>
      </c>
      <c r="AT17" s="21">
        <f t="shared" si="8"/>
        <v>1</v>
      </c>
      <c r="AU17" s="55">
        <f t="shared" si="9"/>
        <v>51.666666666666671</v>
      </c>
      <c r="AV17" s="21">
        <f t="shared" si="10"/>
        <v>1</v>
      </c>
      <c r="AW17" s="20">
        <f t="shared" si="11"/>
        <v>71</v>
      </c>
      <c r="AX17" s="20">
        <f t="shared" si="12"/>
        <v>71</v>
      </c>
      <c r="AY17" s="48">
        <f ca="1">IFERROR(__xludf.DUMMYFUNCTION("SUM( FILTER(C17:AA17, ISNUMBER(SEARCH(""Practice"", $C$1:$AA$1)) ) )  / 
  SUM( FILTER(C$75:AA$75, ISNUMBER(SEARCH(""Practice"", $C$1:$AA$1))))*0.1
+
(SUM( FILTER(C17:T17, ISNUMBER(SEARCH(""AFTER RETAKE"", $C$1:$T$1)) ) )
+
SUM( FILTER(U17:AD17, ISNUMBER("&amp;"SEARCH(""AFTER RETAKE"", $U$1:$AD$1)) ) ))  / 
  SUM( FILTER(C$75:AA$75, ISNUMBER(SEARCH(""BEFORE RETAKE"", $C$1:$AA$1))))*0.6 
+ 
 AM17*0.3"),0.706791666666666)</f>
        <v>0.70679166666666604</v>
      </c>
      <c r="AZ17" s="48">
        <f ca="1">IFERROR(__xludf.DUMMYFUNCTION("SUM( FILTER(C17:AA17, ISNUMBER(SEARCH(""Practice"", $C$1:$AA$1)) ) )  / 
  SUM( FILTER(C$75:AA$75, ISNUMBER(SEARCH(""Practice"", $C$1:$AA$1))))*0.1
+
(SUM( FILTER(C17:T17, ISNUMBER(SEARCH(""Before RETAKE"", $C$1:$T$1)) ) )
+
SUM( FILTER(U17:AD17, ISNUMBER"&amp;"(SEARCH(""Before RETAKE"", $U$1:$AD$1)) ) ))  / 
  SUM( FILTER(C$75:AA$75, ISNUMBER(SEARCH(""BEFORE RETAKE"", $C$1:$AA$1))))*0.6 
+ 
AM17* 0.3"),0.706791666666666)</f>
        <v>0.70679166666666604</v>
      </c>
      <c r="BA17" s="55">
        <f t="shared" si="13"/>
        <v>63.45830816470351</v>
      </c>
      <c r="BB17" s="21">
        <f t="shared" si="14"/>
        <v>3</v>
      </c>
      <c r="BC17" s="55">
        <f t="shared" si="15"/>
        <v>56.192307692307693</v>
      </c>
      <c r="BD17" s="55"/>
      <c r="BE17" s="55"/>
      <c r="BF17" s="55"/>
    </row>
    <row r="18" spans="1:58" ht="15" customHeight="1" x14ac:dyDescent="0.2">
      <c r="A18" s="26" t="s">
        <v>68</v>
      </c>
      <c r="B18" s="26" t="s">
        <v>464</v>
      </c>
      <c r="C18" s="19" t="s">
        <v>8</v>
      </c>
      <c r="D18" s="20" t="s">
        <v>462</v>
      </c>
      <c r="E18" s="20" t="s">
        <v>462</v>
      </c>
      <c r="F18" s="20" t="s">
        <v>462</v>
      </c>
      <c r="G18" s="20" t="s">
        <v>462</v>
      </c>
      <c r="H18" s="20">
        <v>92</v>
      </c>
      <c r="I18" s="48">
        <f ca="1">IFERROR(__xludf.DUMMYFUNCTION("Sum(FILTER(C18:H18, $C$1:$H$1=""Unit 1 Practice""))/Sum(FILTER(C$75:H$75, $C$1:$H$1=""Unit 1 Practice""))*0.1 + Sum(FILTER(C18:H18, $C$1:$H$1=""Unit 1 Test (before retake)""))/Sum(FILTER(C$75:H$75, $C$1:$H$1=""Unit 1 Test (before retake)""))*0.6 + 0.3"),0.852)</f>
        <v>0.85199999999999998</v>
      </c>
      <c r="J18" s="20" t="s">
        <v>810</v>
      </c>
      <c r="K18" s="20">
        <v>92</v>
      </c>
      <c r="L18" s="48">
        <f ca="1">IFERROR(__xludf.DUMMYFUNCTION("SUM( FILTER(C18:K18, ISNUMBER(SEARCH(""Practice"", $C$1:$K$1)) ) )  / 
  SUM( FILTER(C$75:K$75, ISNUMBER(SEARCH(""Practice"", $C$1:$K$1))))*0.1
+
SUM( FILTER(C18:K18, ISNUMBER(SEARCH(""AFTER RETAKE"", $C$1:$K$1)) ) )  / 
  SUM( FILTER(C$75:K$75, ISNUMBER"&amp;"(SEARCH(""AFTER RETAKE"", $C$1:$K$1))))*0.6 + 0.3
"),0.852)</f>
        <v>0.85199999999999998</v>
      </c>
      <c r="M18" s="20">
        <v>18</v>
      </c>
      <c r="N18" s="20">
        <v>12</v>
      </c>
      <c r="O18" s="20">
        <v>13</v>
      </c>
      <c r="P18" s="20" t="e">
        <f t="shared" ca="1" si="1"/>
        <v>#NAME?</v>
      </c>
      <c r="Q18" s="20">
        <v>95</v>
      </c>
      <c r="R18" s="48">
        <f ca="1">IFERROR(__xludf.DUMMYFUNCTION("SUM( FILTER(C18:T18, ISNUMBER(SEARCH(""Practice"", $C$1:$T$1)) ) )  / 
  SUM( FILTER(C$75:T$75, ISNUMBER(SEARCH(""Practice"", $C$1:$T$1))))*0.1
+
(SUM( FILTER(C18:K18, ISNUMBER(SEARCH(""AFTER RETAKE"", $C$1:$K$1)) ) )+SUM( FILTER(K18:T18, ISNUMBER(SEARCH"&amp;"(""BEFORE RETAKE"", $K$1:$T$1)) ) ))  / 
  SUM( FILTER(C$75:T$75, ISNUMBER(SEARCH(""BEFORE RETAKE"", $C$1:$T$1))))*0.6 + 0.3"),0.911314465408805)</f>
        <v>0.91131446540880501</v>
      </c>
      <c r="S18" s="20" t="s">
        <v>462</v>
      </c>
      <c r="T18" s="20">
        <v>95</v>
      </c>
      <c r="U18" s="48">
        <f ca="1">IFERROR(__xludf.DUMMYFUNCTION("SUM( FILTER(C18:T18, ISNUMBER(SEARCH(""Practice"", $C$1:$T$1)) ) )  / 
  SUM( FILTER(C$75:T$75, ISNUMBER(SEARCH(""Practice"", $C$1:$T$1))))*0.1
+
SUM( FILTER(C18:T18, ISNUMBER(SEARCH(""AFTER RETAKE"", $C$1:$T$1)) ) )  / 
  SUM( FILTER(C$75:T$75, ISNUMBER"&amp;"(SEARCH(""AFTER RETAKE"", $C$1:$T$1))))*0.6 + 0.3
"),0.911314465408805)</f>
        <v>0.91131446540880501</v>
      </c>
      <c r="V18" s="20">
        <v>10</v>
      </c>
      <c r="W18" s="20">
        <v>10</v>
      </c>
      <c r="X18" s="20">
        <v>11</v>
      </c>
      <c r="Y18" s="20">
        <v>7</v>
      </c>
      <c r="Z18" s="20" t="e">
        <f t="shared" ca="1" si="2"/>
        <v>#NAME?</v>
      </c>
      <c r="AA18" s="20">
        <v>75</v>
      </c>
      <c r="AB18" s="48">
        <f ca="1">IFERROR(__xludf.DUMMYFUNCTION("SUM( FILTER(C18:AA18, ISNUMBER(SEARCH(""Practice"", $C$1:$AA$1)) ) )  / 
  SUM( FILTER(C$75:AA$75, ISNUMBER(SEARCH(""Practice"", $C$1:$AA$1))))*0.1
+
(SUM( FILTER(C18:T18, ISNUMBER(SEARCH(""AFTER RETAKE"", $C$1:$T$1)) ) )+SUM( FILTER(T18:AA18, ISNUMBER(S"&amp;"EARCH(""BEFORE RETAKE"", $T$1:$AA$1)) ) ))  / 
  SUM( FILTER(C$75:AA$75, ISNUMBER(SEARCH(""BEFORE RETAKE"", $C$1:$AA$1))))*0.6 + 0.3"),0.886499999999999)</f>
        <v>0.88649999999999896</v>
      </c>
      <c r="AC18" s="20">
        <v>85</v>
      </c>
      <c r="AD18" s="20">
        <v>82</v>
      </c>
      <c r="AE18" s="48">
        <f ca="1">IFERROR(__xludf.DUMMYFUNCTION("SUM( FILTER(C18:AA18, ISNUMBER(SEARCH(""Practice"", $C$1:$AA$1)) ) )  / 
  SUM( FILTER(C$75:AA$75, ISNUMBER(SEARCH(""Practice"", $C$1:$AA$1))))*0.1
+
SUM( FILTER(C18:AD18, ISNUMBER(SEARCH(""AFTER RETAKE"", $C$1:$AD$1)) ) )
  / 
  SUM( FILTER(C$75:AD$75, I"&amp;"SNUMBER(SEARCH(""BEFORE RETAKE"", $C$1:$AD$1))))*0.6 
+ 
0.3"),0.900499999999999)</f>
        <v>0.90049999999999897</v>
      </c>
      <c r="AF18" s="20"/>
      <c r="AG18" s="20">
        <v>22</v>
      </c>
      <c r="AH18" s="20">
        <v>10</v>
      </c>
      <c r="AI18" s="20">
        <v>27</v>
      </c>
      <c r="AJ18" s="20">
        <v>13</v>
      </c>
      <c r="AK18" s="20">
        <v>100</v>
      </c>
      <c r="AM18" s="21">
        <v>0.83</v>
      </c>
      <c r="AO18" s="55">
        <f t="shared" si="3"/>
        <v>0</v>
      </c>
      <c r="AP18" s="21">
        <f t="shared" si="4"/>
        <v>0</v>
      </c>
      <c r="AQ18" s="55">
        <f t="shared" si="5"/>
        <v>100</v>
      </c>
      <c r="AR18" s="21">
        <f t="shared" si="6"/>
        <v>0</v>
      </c>
      <c r="AS18" s="55">
        <f t="shared" si="7"/>
        <v>86.36363636363636</v>
      </c>
      <c r="AT18" s="21">
        <f t="shared" si="8"/>
        <v>0</v>
      </c>
      <c r="AU18" s="55">
        <f t="shared" si="9"/>
        <v>98.333333333333343</v>
      </c>
      <c r="AV18" s="21">
        <f t="shared" si="10"/>
        <v>0</v>
      </c>
      <c r="AW18" s="20">
        <f t="shared" si="11"/>
        <v>87.333333333333329</v>
      </c>
      <c r="AX18" s="20">
        <f t="shared" si="12"/>
        <v>89.666666666666671</v>
      </c>
      <c r="AY18" s="48">
        <f ca="1">IFERROR(__xludf.DUMMYFUNCTION("SUM( FILTER(C18:AA18, ISNUMBER(SEARCH(""Practice"", $C$1:$AA$1)) ) )  / 
  SUM( FILTER(C$75:AA$75, ISNUMBER(SEARCH(""Practice"", $C$1:$AA$1))))*0.1
+
(SUM( FILTER(C18:T18, ISNUMBER(SEARCH(""AFTER RETAKE"", $C$1:$T$1)) ) )
+
SUM( FILTER(U18:AD18, ISNUMBER("&amp;"SEARCH(""AFTER RETAKE"", $U$1:$AD$1)) ) ))  / 
  SUM( FILTER(C$75:AA$75, ISNUMBER(SEARCH(""BEFORE RETAKE"", $C$1:$AA$1))))*0.6 
+ 
 AM18*0.3"),0.849499999999999)</f>
        <v>0.84949999999999903</v>
      </c>
      <c r="AZ18" s="48">
        <f ca="1">IFERROR(__xludf.DUMMYFUNCTION("SUM( FILTER(C18:AA18, ISNUMBER(SEARCH(""Practice"", $C$1:$AA$1)) ) )  / 
  SUM( FILTER(C$75:AA$75, ISNUMBER(SEARCH(""Practice"", $C$1:$AA$1))))*0.1
+
(SUM( FILTER(C18:T18, ISNUMBER(SEARCH(""Before RETAKE"", $C$1:$T$1)) ) )
+
SUM( FILTER(U18:AD18, ISNUMBER"&amp;"(SEARCH(""Before RETAKE"", $U$1:$AD$1)) ) ))  / 
  SUM( FILTER(C$75:AA$75, ISNUMBER(SEARCH(""BEFORE RETAKE"", $C$1:$AA$1))))*0.6 
+ 
AM18* 0.3"),0.835499999999999)</f>
        <v>0.83549999999999902</v>
      </c>
      <c r="BA18" s="55">
        <f t="shared" si="13"/>
        <v>71.174242424242436</v>
      </c>
      <c r="BB18" s="21">
        <f t="shared" si="14"/>
        <v>0</v>
      </c>
      <c r="BC18" s="55">
        <f t="shared" si="15"/>
        <v>84.615384615384613</v>
      </c>
      <c r="BD18" s="55"/>
      <c r="BE18" s="55"/>
      <c r="BF18" s="55"/>
    </row>
    <row r="19" spans="1:58" ht="15" customHeight="1" x14ac:dyDescent="0.2">
      <c r="A19" s="26" t="s">
        <v>71</v>
      </c>
      <c r="B19" s="26" t="s">
        <v>461</v>
      </c>
      <c r="C19" s="19" t="s">
        <v>8</v>
      </c>
      <c r="D19" s="20" t="s">
        <v>462</v>
      </c>
      <c r="E19" s="20" t="s">
        <v>462</v>
      </c>
      <c r="F19" s="20" t="s">
        <v>462</v>
      </c>
      <c r="G19" s="20" t="s">
        <v>462</v>
      </c>
      <c r="H19" s="20">
        <v>62</v>
      </c>
      <c r="I19" s="48">
        <f ca="1">IFERROR(__xludf.DUMMYFUNCTION("Sum(FILTER(C19:H19, $C$1:$H$1=""Unit 1 Practice""))/Sum(FILTER(C$75:H$75, $C$1:$H$1=""Unit 1 Practice""))*0.1 + Sum(FILTER(C19:H19, $C$1:$H$1=""Unit 1 Test (before retake)""))/Sum(FILTER(C$75:H$75, $C$1:$H$1=""Unit 1 Test (before retake)""))*0.6 + 0.3"),0.671999999999999)</f>
        <v>0.67199999999999904</v>
      </c>
      <c r="J19" s="20" t="s">
        <v>810</v>
      </c>
      <c r="K19" s="20">
        <v>62</v>
      </c>
      <c r="L19" s="48">
        <f ca="1">IFERROR(__xludf.DUMMYFUNCTION("SUM( FILTER(C19:K19, ISNUMBER(SEARCH(""Practice"", $C$1:$K$1)) ) )  / 
  SUM( FILTER(C$75:K$75, ISNUMBER(SEARCH(""Practice"", $C$1:$K$1))))*0.1
+
SUM( FILTER(C19:K19, ISNUMBER(SEARCH(""AFTER RETAKE"", $C$1:$K$1)) ) )  / 
  SUM( FILTER(C$75:K$75, ISNUMBER"&amp;"(SEARCH(""AFTER RETAKE"", $C$1:$K$1))))*0.6 + 0.3
"),0.671999999999999)</f>
        <v>0.67199999999999904</v>
      </c>
      <c r="M19" s="20">
        <v>17</v>
      </c>
      <c r="N19" s="20">
        <v>9</v>
      </c>
      <c r="O19" s="20">
        <v>13</v>
      </c>
      <c r="P19" s="20" t="e">
        <f t="shared" ca="1" si="1"/>
        <v>#NAME?</v>
      </c>
      <c r="Q19" s="20">
        <v>30</v>
      </c>
      <c r="R19" s="48">
        <f ca="1">IFERROR(__xludf.DUMMYFUNCTION("SUM( FILTER(C19:T19, ISNUMBER(SEARCH(""Practice"", $C$1:$T$1)) ) )  / 
  SUM( FILTER(C$75:T$75, ISNUMBER(SEARCH(""Practice"", $C$1:$T$1))))*0.1
+
(SUM( FILTER(C19:K19, ISNUMBER(SEARCH(""AFTER RETAKE"", $C$1:$K$1)) ) ) + SUM( FILTER(K19:T19, ISNUMBER(SEAR"&amp;"CH(""BEFORE RETAKE"", $K$1:$T$1)) ) ))  / 
  SUM( FILTER(C$75:T$75, ISNUMBER(SEARCH(""BEFORE RETAKE"", $C$1:$T$1))))*0.6 + 0.3"),0.623798742138364)</f>
        <v>0.62379874213836395</v>
      </c>
      <c r="S19" s="20" t="s">
        <v>462</v>
      </c>
      <c r="T19" s="20">
        <v>30</v>
      </c>
      <c r="U19" s="48">
        <f ca="1">IFERROR(__xludf.DUMMYFUNCTION("SUM( FILTER(C19:T19, ISNUMBER(SEARCH(""Practice"", $C$1:$T$1)) ) )  / 
  SUM( FILTER(C$75:T$75, ISNUMBER(SEARCH(""Practice"", $C$1:$T$1))))*0.1
+
SUM( FILTER(C19:T19, ISNUMBER(SEARCH(""AFTER RETAKE"", $C$1:$T$1)) ) )  / 
  SUM( FILTER(C$75:T$75, ISNUMBER"&amp;"(SEARCH(""AFTER RETAKE"", $C$1:$T$1))))*0.6 + 0.3
"),0.623798742138364)</f>
        <v>0.62379874213836395</v>
      </c>
      <c r="V19" s="20">
        <v>8</v>
      </c>
      <c r="W19" s="20">
        <v>10</v>
      </c>
      <c r="X19" s="20">
        <v>8</v>
      </c>
      <c r="Y19" s="20">
        <v>7.5</v>
      </c>
      <c r="Z19" s="20" t="e">
        <f t="shared" ca="1" si="2"/>
        <v>#NAME?</v>
      </c>
      <c r="AA19" s="20">
        <v>72</v>
      </c>
      <c r="AB19" s="48">
        <f ca="1">IFERROR(__xludf.DUMMYFUNCTION("SUM( FILTER(C19:AA19, ISNUMBER(SEARCH(""Practice"", $C$1:$AA$1)) ) )  / 
  SUM( FILTER(C$75:AA$75, ISNUMBER(SEARCH(""Practice"", $C$1:$AA$1))))*0.1
+
(SUM( FILTER(C19:T19, ISNUMBER(SEARCH(""AFTER RETAKE"", $C$1:$T$1)) ) )+SUM( FILTER(T19:AA19, ISNUMBER(S"&amp;"EARCH(""BEFORE RETAKE"", $T$1:$AA$1)) ) ))  / 
  SUM( FILTER(C$75:AA$75, ISNUMBER(SEARCH(""BEFORE RETAKE"", $C$1:$AA$1))))*0.6 + 0.3"),0.687583333333333)</f>
        <v>0.68758333333333299</v>
      </c>
      <c r="AC19" s="20"/>
      <c r="AD19" s="20">
        <v>72</v>
      </c>
      <c r="AE19" s="48">
        <f ca="1">IFERROR(__xludf.DUMMYFUNCTION("SUM( FILTER(C19:AA19, ISNUMBER(SEARCH(""Practice"", $C$1:$AA$1)) ) )  / 
  SUM( FILTER(C$75:AA$75, ISNUMBER(SEARCH(""Practice"", $C$1:$AA$1))))*0.1
+
SUM( FILTER(C19:AD19, ISNUMBER(SEARCH(""AFTER RETAKE"", $C$1:$AD$1)) ) )
  / 
  SUM( FILTER(C$75:AD$75, I"&amp;"SNUMBER(SEARCH(""BEFORE RETAKE"", $C$1:$AD$1))))*0.6 
+ 
0.3"),0.687583333333333)</f>
        <v>0.68758333333333299</v>
      </c>
      <c r="AF19" s="20"/>
      <c r="AG19" s="20">
        <v>22</v>
      </c>
      <c r="AH19" s="20">
        <v>2</v>
      </c>
      <c r="AI19" s="20">
        <v>0</v>
      </c>
      <c r="AJ19" s="20">
        <v>7.27</v>
      </c>
      <c r="AK19" s="20">
        <v>78</v>
      </c>
      <c r="AM19" s="21">
        <v>0.3</v>
      </c>
      <c r="AO19" s="55">
        <f t="shared" si="3"/>
        <v>0</v>
      </c>
      <c r="AP19" s="21">
        <f t="shared" si="4"/>
        <v>0</v>
      </c>
      <c r="AQ19" s="55">
        <f t="shared" si="5"/>
        <v>90.697674418604649</v>
      </c>
      <c r="AR19" s="21">
        <f t="shared" si="6"/>
        <v>0</v>
      </c>
      <c r="AS19" s="55">
        <f t="shared" si="7"/>
        <v>76.13636363636364</v>
      </c>
      <c r="AT19" s="21">
        <f t="shared" si="8"/>
        <v>0</v>
      </c>
      <c r="AU19" s="55">
        <f t="shared" si="9"/>
        <v>40</v>
      </c>
      <c r="AV19" s="21">
        <f t="shared" si="10"/>
        <v>1</v>
      </c>
      <c r="AW19" s="20">
        <f t="shared" si="11"/>
        <v>54.666666666666664</v>
      </c>
      <c r="AX19" s="20">
        <f t="shared" si="12"/>
        <v>54.666666666666664</v>
      </c>
      <c r="AY19" s="48">
        <f ca="1">IFERROR(__xludf.DUMMYFUNCTION("SUM( FILTER(C19:AA19, ISNUMBER(SEARCH(""Practice"", $C$1:$AA$1)) ) )  / 
  SUM( FILTER(C$75:AA$75, ISNUMBER(SEARCH(""Practice"", $C$1:$AA$1))))*0.1
+
(SUM( FILTER(C19:T19, ISNUMBER(SEARCH(""AFTER RETAKE"", $C$1:$T$1)) ) )
+
SUM( FILTER(U19:AD19, ISNUMBER("&amp;"SEARCH(""AFTER RETAKE"", $U$1:$AD$1)) ) ))  / 
  SUM( FILTER(C$75:AA$75, ISNUMBER(SEARCH(""BEFORE RETAKE"", $C$1:$AA$1))))*0.6 
+ 
 AM19*0.3"),0.477583333333333)</f>
        <v>0.47758333333333303</v>
      </c>
      <c r="AZ19" s="48">
        <f ca="1">IFERROR(__xludf.DUMMYFUNCTION("SUM( FILTER(C19:AA19, ISNUMBER(SEARCH(""Practice"", $C$1:$AA$1)) ) )  / 
  SUM( FILTER(C$75:AA$75, ISNUMBER(SEARCH(""Practice"", $C$1:$AA$1))))*0.1
+
(SUM( FILTER(C19:T19, ISNUMBER(SEARCH(""Before RETAKE"", $C$1:$T$1)) ) )
+
SUM( FILTER(U19:AD19, ISNUMBER"&amp;"(SEARCH(""Before RETAKE"", $U$1:$AD$1)) ) ))  / 
  SUM( FILTER(C$75:AA$75, ISNUMBER(SEARCH(""BEFORE RETAKE"", $C$1:$AA$1))))*0.6 
+ 
AM19* 0.3"),0.477583333333333)</f>
        <v>0.47758333333333303</v>
      </c>
      <c r="BA19" s="55">
        <f t="shared" si="13"/>
        <v>51.708509513742072</v>
      </c>
      <c r="BB19" s="21">
        <f t="shared" si="14"/>
        <v>1</v>
      </c>
      <c r="BC19" s="55">
        <f t="shared" si="15"/>
        <v>71.205128205128204</v>
      </c>
      <c r="BD19" s="55"/>
      <c r="BE19" s="55"/>
      <c r="BF19" s="55"/>
    </row>
    <row r="20" spans="1:58" ht="15" customHeight="1" x14ac:dyDescent="0.2">
      <c r="A20" s="26" t="s">
        <v>73</v>
      </c>
      <c r="B20" s="26" t="s">
        <v>464</v>
      </c>
      <c r="C20" s="19" t="s">
        <v>8</v>
      </c>
      <c r="D20" s="20">
        <v>14.5</v>
      </c>
      <c r="E20" s="20">
        <v>13.25</v>
      </c>
      <c r="F20" s="20">
        <v>10.17</v>
      </c>
      <c r="G20" s="20" t="e">
        <f t="shared" ref="G20:G58" ca="1" si="17">CONVERT_13PT_SCALE(F20)/2</f>
        <v>#NAME?</v>
      </c>
      <c r="H20" s="20">
        <v>95</v>
      </c>
      <c r="I20" s="48">
        <f ca="1">IFERROR(__xludf.DUMMYFUNCTION("Sum(FILTER(C20:H20, $C$1:$H$1=""Unit 1 Practice""))/Sum(FILTER(C$75:H$75, $C$1:$H$1=""Unit 1 Practice""))*0.1 + Sum(FILTER(C20:H20, $C$1:$H$1=""Unit 1 Test (before retake)""))/Sum(FILTER(C$75:H$75, $C$1:$H$1=""Unit 1 Test (before retake)""))*0.6 + 0.3"),0.960822784810126)</f>
        <v>0.96082278481012595</v>
      </c>
      <c r="J20" s="20" t="s">
        <v>810</v>
      </c>
      <c r="K20" s="20">
        <v>95</v>
      </c>
      <c r="L20" s="48">
        <f ca="1">IFERROR(__xludf.DUMMYFUNCTION("SUM( FILTER(C20:K20, ISNUMBER(SEARCH(""Practice"", $C$1:$K$1)) ) )  / 
  SUM( FILTER(C$75:K$75, ISNUMBER(SEARCH(""Practice"", $C$1:$K$1))))*0.1
+
SUM( FILTER(C20:K20, ISNUMBER(SEARCH(""AFTER RETAKE"", $C$1:$K$1)) ) )  / 
  SUM( FILTER(C$75:K$75, ISNUMBER"&amp;"(SEARCH(""AFTER RETAKE"", $C$1:$K$1))))*0.6 + 0.3
"),0.960822784810126)</f>
        <v>0.96082278481012595</v>
      </c>
      <c r="M20" s="20">
        <v>18</v>
      </c>
      <c r="N20" s="20">
        <v>12</v>
      </c>
      <c r="O20" s="20">
        <v>10.7</v>
      </c>
      <c r="P20" s="20" t="e">
        <f t="shared" ca="1" si="1"/>
        <v>#NAME?</v>
      </c>
      <c r="Q20" s="20">
        <v>95</v>
      </c>
      <c r="R20" s="48">
        <f ca="1">IFERROR(__xludf.DUMMYFUNCTION("SUM( FILTER(C20:T20, ISNUMBER(SEARCH(""Practice"", $C$1:$T$1)) ) )  / 
  SUM( FILTER(C$75:T$75, ISNUMBER(SEARCH(""Practice"", $C$1:$T$1))))*0.1
+
(SUM( FILTER(C20:K20, ISNUMBER(SEARCH(""AFTER RETAKE"", $C$1:$K$1)) ) )+SUM( FILTER(K20:T20, ISNUMBER(SEARCH"&amp;"(""BEFORE RETAKE"", $K$1:$T$1)) ) ))  / 
  SUM( FILTER(C$75:T$75, ISNUMBER(SEARCH(""BEFORE RETAKE"", $C$1:$T$1))))*0.6 + 0.3"),0.962924528301886)</f>
        <v>0.96292452830188602</v>
      </c>
      <c r="S20" s="20" t="s">
        <v>462</v>
      </c>
      <c r="T20" s="20">
        <v>95</v>
      </c>
      <c r="U20" s="48">
        <f ca="1">IFERROR(__xludf.DUMMYFUNCTION("SUM( FILTER(C20:T20, ISNUMBER(SEARCH(""Practice"", $C$1:$T$1)) ) )  / 
  SUM( FILTER(C$75:T$75, ISNUMBER(SEARCH(""Practice"", $C$1:$T$1))))*0.1
+
SUM( FILTER(C20:T20, ISNUMBER(SEARCH(""AFTER RETAKE"", $C$1:$T$1)) ) )  / 
  SUM( FILTER(C$75:T$75, ISNUMBER"&amp;"(SEARCH(""AFTER RETAKE"", $C$1:$T$1))))*0.6 + 0.3
"),0.962924528301886)</f>
        <v>0.96292452830188602</v>
      </c>
      <c r="V20" s="20">
        <v>9</v>
      </c>
      <c r="W20" s="20">
        <v>10</v>
      </c>
      <c r="X20" s="20">
        <v>11</v>
      </c>
      <c r="Y20" s="20">
        <v>10.5</v>
      </c>
      <c r="Z20" s="20" t="e">
        <f t="shared" ca="1" si="2"/>
        <v>#NAME?</v>
      </c>
      <c r="AA20" s="20">
        <v>82</v>
      </c>
      <c r="AB20" s="48">
        <f ca="1">IFERROR(__xludf.DUMMYFUNCTION("SUM( FILTER(C20:AA20, ISNUMBER(SEARCH(""Practice"", $C$1:$AA$1)) ) )  / 
  SUM( FILTER(C$75:AA$75, ISNUMBER(SEARCH(""Practice"", $C$1:$AA$1))))*0.1
+
(SUM( FILTER(C20:T20, ISNUMBER(SEARCH(""AFTER RETAKE"", $C$1:$T$1)) ) )+SUM( FILTER(T20:AA20, ISNUMBER(S"&amp;"EARCH(""BEFORE RETAKE"", $T$1:$AA$1)) ) ))  / 
  SUM( FILTER(C$75:AA$75, ISNUMBER(SEARCH(""BEFORE RETAKE"", $C$1:$AA$1))))*0.6 + 0.3"),0.937229166666666)</f>
        <v>0.937229166666666</v>
      </c>
      <c r="AC20" s="20">
        <v>85</v>
      </c>
      <c r="AD20" s="20">
        <v>85</v>
      </c>
      <c r="AE20" s="48">
        <f ca="1">IFERROR(__xludf.DUMMYFUNCTION("SUM( FILTER(C20:AA20, ISNUMBER(SEARCH(""Practice"", $C$1:$AA$1)) ) )  / 
  SUM( FILTER(C$75:AA$75, ISNUMBER(SEARCH(""Practice"", $C$1:$AA$1))))*0.1
+
SUM( FILTER(C20:AD20, ISNUMBER(SEARCH(""AFTER RETAKE"", $C$1:$AD$1)) ) )
  / 
  SUM( FILTER(C$75:AD$75, I"&amp;"SNUMBER(SEARCH(""BEFORE RETAKE"", $C$1:$AD$1))))*0.6 
+ 
0.3"),0.943229166666666)</f>
        <v>0.94322916666666601</v>
      </c>
      <c r="AF20" s="20"/>
      <c r="AG20" s="20">
        <v>22</v>
      </c>
      <c r="AH20" s="20">
        <v>9</v>
      </c>
      <c r="AI20" s="20">
        <v>21</v>
      </c>
      <c r="AJ20" s="20">
        <v>12.2</v>
      </c>
      <c r="AK20" s="20">
        <v>95</v>
      </c>
      <c r="AM20" s="21">
        <v>1</v>
      </c>
      <c r="AO20" s="55">
        <f t="shared" si="3"/>
        <v>90.285714285714292</v>
      </c>
      <c r="AP20" s="21">
        <f t="shared" si="4"/>
        <v>0</v>
      </c>
      <c r="AQ20" s="55">
        <f t="shared" si="5"/>
        <v>94.651162790697683</v>
      </c>
      <c r="AR20" s="21">
        <f t="shared" si="6"/>
        <v>0</v>
      </c>
      <c r="AS20" s="55">
        <f t="shared" si="7"/>
        <v>92.045454545454547</v>
      </c>
      <c r="AT20" s="21">
        <f t="shared" si="8"/>
        <v>0</v>
      </c>
      <c r="AU20" s="55">
        <f t="shared" si="9"/>
        <v>86.666666666666657</v>
      </c>
      <c r="AV20" s="21">
        <f t="shared" si="10"/>
        <v>0</v>
      </c>
      <c r="AW20" s="20">
        <f t="shared" si="11"/>
        <v>90.666666666666671</v>
      </c>
      <c r="AX20" s="20">
        <f t="shared" si="12"/>
        <v>91.666666666666671</v>
      </c>
      <c r="AY20" s="48">
        <f ca="1">IFERROR(__xludf.DUMMYFUNCTION("SUM( FILTER(C20:AA20, ISNUMBER(SEARCH(""Practice"", $C$1:$AA$1)) ) )  / 
  SUM( FILTER(C$75:AA$75, ISNUMBER(SEARCH(""Practice"", $C$1:$AA$1))))*0.1
+
(SUM( FILTER(C20:T20, ISNUMBER(SEARCH(""AFTER RETAKE"", $C$1:$T$1)) ) )
+
SUM( FILTER(U20:AD20, ISNUMBER("&amp;"SEARCH(""AFTER RETAKE"", $U$1:$AD$1)) ) ))  / 
  SUM( FILTER(C$75:AA$75, ISNUMBER(SEARCH(""BEFORE RETAKE"", $C$1:$AA$1))))*0.6 
+ 
 AM20*0.3"),0.943229166666666)</f>
        <v>0.94322916666666601</v>
      </c>
      <c r="AZ20" s="48">
        <f ca="1">IFERROR(__xludf.DUMMYFUNCTION("SUM( FILTER(C20:AA20, ISNUMBER(SEARCH(""Practice"", $C$1:$AA$1)) ) )  / 
  SUM( FILTER(C$75:AA$75, ISNUMBER(SEARCH(""Practice"", $C$1:$AA$1))))*0.1
+
(SUM( FILTER(C20:T20, ISNUMBER(SEARCH(""Before RETAKE"", $C$1:$T$1)) ) )
+
SUM( FILTER(U20:AD20, ISNUMBER"&amp;"(SEARCH(""Before RETAKE"", $U$1:$AD$1)) ) ))  / 
  SUM( FILTER(C$75:AA$75, ISNUMBER(SEARCH(""BEFORE RETAKE"", $C$1:$AA$1))))*0.6 
+ 
AM20* 0.3"),0.937229166666666)</f>
        <v>0.937229166666666</v>
      </c>
      <c r="BA20" s="55">
        <f t="shared" si="13"/>
        <v>90.912249572133305</v>
      </c>
      <c r="BB20" s="21">
        <f t="shared" si="14"/>
        <v>0</v>
      </c>
      <c r="BC20" s="55">
        <f t="shared" si="15"/>
        <v>83.788461538461519</v>
      </c>
      <c r="BD20" s="55"/>
      <c r="BE20" s="55"/>
      <c r="BF20" s="55"/>
    </row>
    <row r="21" spans="1:58" ht="15" customHeight="1" x14ac:dyDescent="0.2">
      <c r="A21" s="26" t="s">
        <v>75</v>
      </c>
      <c r="B21" s="26" t="s">
        <v>464</v>
      </c>
      <c r="C21" s="19" t="s">
        <v>8</v>
      </c>
      <c r="D21" s="20">
        <v>13.5</v>
      </c>
      <c r="E21" s="20">
        <v>15</v>
      </c>
      <c r="F21" s="20">
        <v>11.33</v>
      </c>
      <c r="G21" s="20" t="e">
        <f t="shared" ca="1" si="17"/>
        <v>#NAME?</v>
      </c>
      <c r="H21" s="20">
        <v>85</v>
      </c>
      <c r="I21" s="48">
        <f ca="1">IFERROR(__xludf.DUMMYFUNCTION("Sum(FILTER(C21:H21, $C$1:$H$1=""Unit 1 Practice""))/Sum(FILTER(C$75:H$75, $C$1:$H$1=""Unit 1 Practice""))*0.1 + Sum(FILTER(C21:H21, $C$1:$H$1=""Unit 1 Test (before retake)""))/Sum(FILTER(C$75:H$75, $C$1:$H$1=""Unit 1 Test (before retake)""))*0.6 + 0.3"),0.904303797468354)</f>
        <v>0.90430379746835399</v>
      </c>
      <c r="J21" s="20" t="s">
        <v>810</v>
      </c>
      <c r="K21" s="20">
        <v>85</v>
      </c>
      <c r="L21" s="48">
        <f ca="1">IFERROR(__xludf.DUMMYFUNCTION("SUM( FILTER(C21:K21, ISNUMBER(SEARCH(""Practice"", $C$1:$K$1)) ) )  / 
  SUM( FILTER(C$75:K$75, ISNUMBER(SEARCH(""Practice"", $C$1:$K$1))))*0.1
+
SUM( FILTER(C21:K21, ISNUMBER(SEARCH(""AFTER RETAKE"", $C$1:$K$1)) ) )  / 
  SUM( FILTER(C$75:K$75, ISNUMBER"&amp;"(SEARCH(""AFTER RETAKE"", $C$1:$K$1))))*0.6 + 0.3
"),0.904303797468354)</f>
        <v>0.90430379746835399</v>
      </c>
      <c r="M21" s="20">
        <v>17</v>
      </c>
      <c r="N21" s="20">
        <v>12</v>
      </c>
      <c r="O21" s="20">
        <v>9.4</v>
      </c>
      <c r="P21" s="20" t="e">
        <f t="shared" ca="1" si="1"/>
        <v>#NAME?</v>
      </c>
      <c r="Q21" s="20">
        <v>78</v>
      </c>
      <c r="R21" s="48">
        <f ca="1">IFERROR(__xludf.DUMMYFUNCTION("SUM( FILTER(C21:T21, ISNUMBER(SEARCH(""Practice"", $C$1:$T$1)) ) )  / 
  SUM( FILTER(C$75:T$75, ISNUMBER(SEARCH(""Practice"", $C$1:$T$1))))*0.1
+
(SUM( FILTER(C21:K21, ISNUMBER(SEARCH(""AFTER RETAKE"", $C$1:$K$1)) ) )+SUM( FILTER(K21:T21, ISNUMBER(SEARCH"&amp;"(""BEFORE RETAKE"", $K$1:$T$1)) ) ))  / 
  SUM( FILTER(C$75:T$75, ISNUMBER(SEARCH(""BEFORE RETAKE"", $C$1:$T$1))))*0.6 + 0.3"),0.880823899371069)</f>
        <v>0.88082389937106897</v>
      </c>
      <c r="S21" s="20" t="s">
        <v>462</v>
      </c>
      <c r="T21" s="20">
        <v>78</v>
      </c>
      <c r="U21" s="48">
        <f ca="1">IFERROR(__xludf.DUMMYFUNCTION("SUM( FILTER(C21:T21, ISNUMBER(SEARCH(""Practice"", $C$1:$T$1)) ) )  / 
  SUM( FILTER(C$75:T$75, ISNUMBER(SEARCH(""Practice"", $C$1:$T$1))))*0.1
+
SUM( FILTER(C21:T21, ISNUMBER(SEARCH(""AFTER RETAKE"", $C$1:$T$1)) ) )  / 
  SUM( FILTER(C$75:T$75, ISNUMBER"&amp;"(SEARCH(""AFTER RETAKE"", $C$1:$T$1))))*0.6 + 0.3
"),0.880823899371069)</f>
        <v>0.88082389937106897</v>
      </c>
      <c r="V21" s="20">
        <v>10</v>
      </c>
      <c r="W21" s="20">
        <v>9</v>
      </c>
      <c r="X21" s="20">
        <v>11</v>
      </c>
      <c r="Y21" s="20">
        <v>8.5</v>
      </c>
      <c r="Z21" s="20" t="e">
        <f t="shared" ca="1" si="2"/>
        <v>#NAME?</v>
      </c>
      <c r="AA21" s="20">
        <v>82</v>
      </c>
      <c r="AB21" s="48">
        <f ca="1">IFERROR(__xludf.DUMMYFUNCTION("SUM( FILTER(C21:AA21, ISNUMBER(SEARCH(""Practice"", $C$1:$AA$1)) ) )  / 
  SUM( FILTER(C$75:AA$75, ISNUMBER(SEARCH(""Practice"", $C$1:$AA$1))))*0.1
+
(SUM( FILTER(C21:T21, ISNUMBER(SEARCH(""AFTER RETAKE"", $C$1:$T$1)) ) )+SUM( FILTER(T21:AA21, ISNUMBER(S"&amp;"EARCH(""BEFORE RETAKE"", $T$1:$AA$1)) ) ))  / 
  SUM( FILTER(C$75:AA$75, ISNUMBER(SEARCH(""BEFORE RETAKE"", $C$1:$AA$1))))*0.6 + 0.3"),0.881041666666666)</f>
        <v>0.88104166666666595</v>
      </c>
      <c r="AC21" s="20"/>
      <c r="AD21" s="20">
        <v>82</v>
      </c>
      <c r="AE21" s="48">
        <f ca="1">IFERROR(__xludf.DUMMYFUNCTION("SUM( FILTER(C21:AA21, ISNUMBER(SEARCH(""Practice"", $C$1:$AA$1)) ) )  / 
  SUM( FILTER(C$75:AA$75, ISNUMBER(SEARCH(""Practice"", $C$1:$AA$1))))*0.1
+
SUM( FILTER(C21:AD21, ISNUMBER(SEARCH(""AFTER RETAKE"", $C$1:$AD$1)) ) )
  / 
  SUM( FILTER(C$75:AD$75, I"&amp;"SNUMBER(SEARCH(""BEFORE RETAKE"", $C$1:$AD$1))))*0.6 
+ 
0.3"),0.881041666666666)</f>
        <v>0.88104166666666595</v>
      </c>
      <c r="AF21" s="20"/>
      <c r="AG21" s="20">
        <v>22</v>
      </c>
      <c r="AH21" s="20">
        <v>9</v>
      </c>
      <c r="AI21" s="20">
        <v>0</v>
      </c>
      <c r="AJ21" s="20">
        <v>12.2</v>
      </c>
      <c r="AK21" s="20">
        <v>95</v>
      </c>
      <c r="AM21" s="21">
        <v>0.82</v>
      </c>
      <c r="AO21" s="55">
        <f t="shared" si="3"/>
        <v>94.833333333333329</v>
      </c>
      <c r="AP21" s="21">
        <f t="shared" si="4"/>
        <v>0</v>
      </c>
      <c r="AQ21" s="55">
        <f t="shared" si="5"/>
        <v>89.302325581395337</v>
      </c>
      <c r="AR21" s="21">
        <f t="shared" si="6"/>
        <v>0</v>
      </c>
      <c r="AS21" s="55">
        <f t="shared" si="7"/>
        <v>87.5</v>
      </c>
      <c r="AT21" s="21">
        <f t="shared" si="8"/>
        <v>0</v>
      </c>
      <c r="AU21" s="55">
        <f t="shared" si="9"/>
        <v>51.666666666666671</v>
      </c>
      <c r="AV21" s="21">
        <f t="shared" si="10"/>
        <v>1</v>
      </c>
      <c r="AW21" s="20">
        <f t="shared" si="11"/>
        <v>81.666666666666671</v>
      </c>
      <c r="AX21" s="20">
        <f t="shared" si="12"/>
        <v>81.666666666666671</v>
      </c>
      <c r="AY21" s="48">
        <f ca="1">IFERROR(__xludf.DUMMYFUNCTION("SUM( FILTER(C21:AA21, ISNUMBER(SEARCH(""Practice"", $C$1:$AA$1)) ) )  / 
  SUM( FILTER(C$75:AA$75, ISNUMBER(SEARCH(""Practice"", $C$1:$AA$1))))*0.1
+
(SUM( FILTER(C21:T21, ISNUMBER(SEARCH(""AFTER RETAKE"", $C$1:$T$1)) ) )
+
SUM( FILTER(U21:AD21, ISNUMBER("&amp;"SEARCH(""AFTER RETAKE"", $U$1:$AD$1)) ) ))  / 
  SUM( FILTER(C$75:AA$75, ISNUMBER(SEARCH(""BEFORE RETAKE"", $C$1:$AA$1))))*0.6 
+ 
 AM21*0.3"),0.827041666666666)</f>
        <v>0.82704166666666601</v>
      </c>
      <c r="AZ21" s="48">
        <f ca="1">IFERROR(__xludf.DUMMYFUNCTION("SUM( FILTER(C21:AA21, ISNUMBER(SEARCH(""Practice"", $C$1:$AA$1)) ) )  / 
  SUM( FILTER(C$75:AA$75, ISNUMBER(SEARCH(""Practice"", $C$1:$AA$1))))*0.1
+
(SUM( FILTER(C21:T21, ISNUMBER(SEARCH(""Before RETAKE"", $C$1:$T$1)) ) )
+
SUM( FILTER(U21:AD21, ISNUMBER"&amp;"(SEARCH(""Before RETAKE"", $U$1:$AD$1)) ) ))  / 
  SUM( FILTER(C$75:AA$75, ISNUMBER(SEARCH(""BEFORE RETAKE"", $C$1:$AA$1))))*0.6 
+ 
AM21* 0.3"),0.827041666666666)</f>
        <v>0.82704166666666601</v>
      </c>
      <c r="BA21" s="55">
        <f t="shared" si="13"/>
        <v>80.825581395348834</v>
      </c>
      <c r="BB21" s="21">
        <f t="shared" si="14"/>
        <v>1</v>
      </c>
      <c r="BC21" s="55">
        <f t="shared" si="15"/>
        <v>79.67307692307692</v>
      </c>
      <c r="BD21" s="55"/>
      <c r="BE21" s="55"/>
      <c r="BF21" s="55"/>
    </row>
    <row r="22" spans="1:58" ht="15" customHeight="1" x14ac:dyDescent="0.2">
      <c r="A22" s="26" t="s">
        <v>77</v>
      </c>
      <c r="B22" s="26" t="s">
        <v>464</v>
      </c>
      <c r="C22" s="19" t="s">
        <v>8</v>
      </c>
      <c r="D22" s="20">
        <v>15</v>
      </c>
      <c r="E22" s="20">
        <v>13</v>
      </c>
      <c r="F22" s="20">
        <v>10.84</v>
      </c>
      <c r="G22" s="20" t="e">
        <f t="shared" ca="1" si="17"/>
        <v>#NAME?</v>
      </c>
      <c r="H22" s="20">
        <v>92</v>
      </c>
      <c r="I22" s="48">
        <f ca="1">IFERROR(__xludf.DUMMYFUNCTION("Sum(FILTER(C22:H22, $C$1:$H$1=""Unit 1 Practice""))/Sum(FILTER(C$75:H$75, $C$1:$H$1=""Unit 1 Practice""))*0.1 + Sum(FILTER(C22:H22, $C$1:$H$1=""Unit 1 Test (before retake)""))/Sum(FILTER(C$75:H$75, $C$1:$H$1=""Unit 1 Test (before retake)""))*0.6 + 0.3"),0.945670886075949)</f>
        <v>0.94567088607594896</v>
      </c>
      <c r="J22" s="20" t="s">
        <v>810</v>
      </c>
      <c r="K22" s="20">
        <v>92</v>
      </c>
      <c r="L22" s="48">
        <f ca="1">IFERROR(__xludf.DUMMYFUNCTION("SUM( FILTER(C22:K22, ISNUMBER(SEARCH(""Practice"", $C$1:$K$1)) ) )  / 
  SUM( FILTER(C$75:K$75, ISNUMBER(SEARCH(""Practice"", $C$1:$K$1))))*0.1
+
SUM( FILTER(C22:K22, ISNUMBER(SEARCH(""AFTER RETAKE"", $C$1:$K$1)) ) )  / 
  SUM( FILTER(C$75:K$75, ISNUMBER"&amp;"(SEARCH(""AFTER RETAKE"", $C$1:$K$1))))*0.6 + 0.3
"),0.945670886075949)</f>
        <v>0.94567088607594896</v>
      </c>
      <c r="M22" s="20">
        <v>18</v>
      </c>
      <c r="N22" s="20">
        <v>12</v>
      </c>
      <c r="O22" s="20">
        <v>8.6999999999999993</v>
      </c>
      <c r="P22" s="20" t="e">
        <f t="shared" ca="1" si="1"/>
        <v>#NAME?</v>
      </c>
      <c r="Q22" s="20">
        <v>82</v>
      </c>
      <c r="R22" s="48">
        <f ca="1">IFERROR(__xludf.DUMMYFUNCTION("SUM( FILTER(C22:T22, ISNUMBER(SEARCH(""Practice"", $C$1:$T$1)) ) )  / 
  SUM( FILTER(C$75:T$75, ISNUMBER(SEARCH(""Practice"", $C$1:$T$1))))*0.1
+
(SUM( FILTER(C22:K22, ISNUMBER(SEARCH(""AFTER RETAKE"", $C$1:$K$1)) ) )+SUM( FILTER(K22:T22, ISNUMBER(SEARCH"&amp;"(""BEFORE RETAKE"", $K$1:$T$1)) ) ))  / 
  SUM( FILTER(C$75:T$75, ISNUMBER(SEARCH(""BEFORE RETAKE"", $C$1:$T$1))))*0.6 + 0.3"),0.914138364779874)</f>
        <v>0.91413836477987398</v>
      </c>
      <c r="S22" s="20" t="s">
        <v>462</v>
      </c>
      <c r="T22" s="20">
        <v>82</v>
      </c>
      <c r="U22" s="48">
        <f ca="1">IFERROR(__xludf.DUMMYFUNCTION("SUM( FILTER(C22:T22, ISNUMBER(SEARCH(""Practice"", $C$1:$T$1)) ) )  / 
  SUM( FILTER(C$75:T$75, ISNUMBER(SEARCH(""Practice"", $C$1:$T$1))))*0.1
+
SUM( FILTER(C22:T22, ISNUMBER(SEARCH(""AFTER RETAKE"", $C$1:$T$1)) ) )  / 
  SUM( FILTER(C$75:T$75, ISNUMBER"&amp;"(SEARCH(""AFTER RETAKE"", $C$1:$T$1))))*0.6 + 0.3
"),0.914138364779874)</f>
        <v>0.91413836477987398</v>
      </c>
      <c r="V22" s="20">
        <v>7.75</v>
      </c>
      <c r="W22" s="20">
        <v>9</v>
      </c>
      <c r="X22" s="20">
        <v>10</v>
      </c>
      <c r="Y22" s="20">
        <v>9.5</v>
      </c>
      <c r="Z22" s="20" t="e">
        <f t="shared" ca="1" si="2"/>
        <v>#NAME?</v>
      </c>
      <c r="AA22" s="20">
        <v>75</v>
      </c>
      <c r="AB22" s="48">
        <f ca="1">IFERROR(__xludf.DUMMYFUNCTION("SUM( FILTER(C22:AA22, ISNUMBER(SEARCH(""Practice"", $C$1:$AA$1)) ) )  / 
  SUM( FILTER(C$75:AA$75, ISNUMBER(SEARCH(""Practice"", $C$1:$AA$1))))*0.1
+
(SUM( FILTER(C22:T22, ISNUMBER(SEARCH(""AFTER RETAKE"", $C$1:$T$1)) ) )+SUM( FILTER(T22:AA22, ISNUMBER(S"&amp;"EARCH(""BEFORE RETAKE"", $T$1:$AA$1)) ) ))  / 
  SUM( FILTER(C$75:AA$75, ISNUMBER(SEARCH(""BEFORE RETAKE"", $C$1:$AA$1))))*0.6 + 0.3"),0.888520833333333)</f>
        <v>0.88852083333333298</v>
      </c>
      <c r="AC22" s="20">
        <v>82</v>
      </c>
      <c r="AD22" s="20">
        <v>82</v>
      </c>
      <c r="AE22" s="48">
        <f ca="1">IFERROR(__xludf.DUMMYFUNCTION("SUM( FILTER(C22:AA22, ISNUMBER(SEARCH(""Practice"", $C$1:$AA$1)) ) )  / 
  SUM( FILTER(C$75:AA$75, ISNUMBER(SEARCH(""Practice"", $C$1:$AA$1))))*0.1
+
SUM( FILTER(C22:AD22, ISNUMBER(SEARCH(""AFTER RETAKE"", $C$1:$AD$1)) ) )
  / 
  SUM( FILTER(C$75:AD$75, I"&amp;"SNUMBER(SEARCH(""BEFORE RETAKE"", $C$1:$AD$1))))*0.6 
+ 
0.3"),0.902520833333333)</f>
        <v>0.90252083333333299</v>
      </c>
      <c r="AF22" s="20"/>
      <c r="AG22" s="20">
        <v>19.8</v>
      </c>
      <c r="AH22" s="20">
        <v>9</v>
      </c>
      <c r="AI22" s="20">
        <v>23.5</v>
      </c>
      <c r="AJ22" s="20">
        <v>10.220000000000001</v>
      </c>
      <c r="AK22" s="20">
        <v>88</v>
      </c>
      <c r="AM22" s="21">
        <v>0.88</v>
      </c>
      <c r="AO22" s="55">
        <f t="shared" si="3"/>
        <v>92.476190476190496</v>
      </c>
      <c r="AP22" s="21">
        <f t="shared" si="4"/>
        <v>0</v>
      </c>
      <c r="AQ22" s="55">
        <f t="shared" si="5"/>
        <v>90</v>
      </c>
      <c r="AR22" s="21">
        <f t="shared" si="6"/>
        <v>0</v>
      </c>
      <c r="AS22" s="55">
        <f t="shared" si="7"/>
        <v>82.38636363636364</v>
      </c>
      <c r="AT22" s="21">
        <f t="shared" si="8"/>
        <v>0</v>
      </c>
      <c r="AU22" s="55">
        <f t="shared" si="9"/>
        <v>87.166666666666671</v>
      </c>
      <c r="AV22" s="21">
        <f t="shared" si="10"/>
        <v>0</v>
      </c>
      <c r="AW22" s="20">
        <f t="shared" si="11"/>
        <v>83</v>
      </c>
      <c r="AX22" s="20">
        <f t="shared" si="12"/>
        <v>85.333333333333329</v>
      </c>
      <c r="AY22" s="48">
        <f ca="1">IFERROR(__xludf.DUMMYFUNCTION("SUM( FILTER(C22:AA22, ISNUMBER(SEARCH(""Practice"", $C$1:$AA$1)) ) )  / 
  SUM( FILTER(C$75:AA$75, ISNUMBER(SEARCH(""Practice"", $C$1:$AA$1))))*0.1
+
(SUM( FILTER(C22:T22, ISNUMBER(SEARCH(""AFTER RETAKE"", $C$1:$T$1)) ) )
+
SUM( FILTER(U22:AD22, ISNUMBER("&amp;"SEARCH(""AFTER RETAKE"", $U$1:$AD$1)) ) ))  / 
  SUM( FILTER(C$75:AA$75, ISNUMBER(SEARCH(""BEFORE RETAKE"", $C$1:$AA$1))))*0.6 
+ 
 AM22*0.3"),0.866520833333333)</f>
        <v>0.86652083333333296</v>
      </c>
      <c r="AZ22" s="48">
        <f ca="1">IFERROR(__xludf.DUMMYFUNCTION("SUM( FILTER(C22:AA22, ISNUMBER(SEARCH(""Practice"", $C$1:$AA$1)) ) )  / 
  SUM( FILTER(C$75:AA$75, ISNUMBER(SEARCH(""Practice"", $C$1:$AA$1))))*0.1
+
(SUM( FILTER(C22:T22, ISNUMBER(SEARCH(""Before RETAKE"", $C$1:$T$1)) ) )
+
SUM( FILTER(U22:AD22, ISNUMBER"&amp;"(SEARCH(""Before RETAKE"", $U$1:$AD$1)) ) ))  / 
  SUM( FILTER(C$75:AA$75, ISNUMBER(SEARCH(""BEFORE RETAKE"", $C$1:$AA$1))))*0.6 
+ 
AM22* 0.3"),0.852520833333333)</f>
        <v>0.85252083333333295</v>
      </c>
      <c r="BA22" s="55">
        <f t="shared" si="13"/>
        <v>88.007305194805198</v>
      </c>
      <c r="BB22" s="21">
        <f t="shared" si="14"/>
        <v>0</v>
      </c>
      <c r="BC22" s="55">
        <f t="shared" si="15"/>
        <v>75.5</v>
      </c>
      <c r="BD22" s="55"/>
      <c r="BE22" s="55"/>
      <c r="BF22" s="55"/>
    </row>
    <row r="23" spans="1:58" ht="15" customHeight="1" x14ac:dyDescent="0.2">
      <c r="A23" s="26" t="s">
        <v>79</v>
      </c>
      <c r="B23" s="26" t="s">
        <v>461</v>
      </c>
      <c r="C23" s="19" t="s">
        <v>7</v>
      </c>
      <c r="D23" s="20">
        <v>15</v>
      </c>
      <c r="E23" s="20">
        <v>14</v>
      </c>
      <c r="F23" s="20">
        <v>10.5</v>
      </c>
      <c r="G23" s="20" t="e">
        <f t="shared" ca="1" si="17"/>
        <v>#NAME?</v>
      </c>
      <c r="H23" s="20">
        <v>95</v>
      </c>
      <c r="I23" s="48">
        <f ca="1">IFERROR(__xludf.DUMMYFUNCTION("Sum(FILTER(C23:H23, $C$1:$H$1=""Unit 1 Practice""))/Sum(FILTER(C$75:H$75, $C$1:$H$1=""Unit 1 Practice""))*0.1 + Sum(FILTER(C23:H23, $C$1:$H$1=""Unit 1 Test (before retake)""))/Sum(FILTER(C$75:H$75, $C$1:$H$1=""Unit 1 Test (before retake)""))*0.6 + 0.3"),0.964936708860759)</f>
        <v>0.964936708860759</v>
      </c>
      <c r="J23" s="20" t="s">
        <v>810</v>
      </c>
      <c r="K23" s="20">
        <v>95</v>
      </c>
      <c r="L23" s="48">
        <f ca="1">IFERROR(__xludf.DUMMYFUNCTION("SUM( FILTER(C23:K23, ISNUMBER(SEARCH(""Practice"", $C$1:$K$1)) ) )  / 
  SUM( FILTER(C$75:K$75, ISNUMBER(SEARCH(""Practice"", $C$1:$K$1))))*0.1
+
SUM( FILTER(C23:K23, ISNUMBER(SEARCH(""AFTER RETAKE"", $C$1:$K$1)) ) )  / 
  SUM( FILTER(C$75:K$75, ISNUMBER"&amp;"(SEARCH(""AFTER RETAKE"", $C$1:$K$1))))*0.6 + 0.3
"),0.964936708860759)</f>
        <v>0.964936708860759</v>
      </c>
      <c r="M23" s="20">
        <v>18</v>
      </c>
      <c r="N23" s="20">
        <v>12</v>
      </c>
      <c r="O23" s="20">
        <v>12</v>
      </c>
      <c r="P23" s="20" t="e">
        <f t="shared" ca="1" si="1"/>
        <v>#NAME?</v>
      </c>
      <c r="Q23" s="20">
        <v>88</v>
      </c>
      <c r="R23" s="48">
        <f ca="1">IFERROR(__xludf.DUMMYFUNCTION("SUM( FILTER(C23:T23, ISNUMBER(SEARCH(""Practice"", $C$1:$T$1)) ) )  / 
  SUM( FILTER(C$75:T$75, ISNUMBER(SEARCH(""Practice"", $C$1:$T$1))))*0.1
+
(SUM( FILTER(C23:K23, ISNUMBER(SEARCH(""AFTER RETAKE"", $C$1:$K$1)) ) )+SUM( FILTER(K23:T23, ISNUMBER(SEARCH"&amp;"(""BEFORE RETAKE"", $K$1:$T$1)) ) ))  / 
  SUM( FILTER(C$75:T$75, ISNUMBER(SEARCH(""BEFORE RETAKE"", $C$1:$T$1))))*0.6 + 0.3"),0.944911949685534)</f>
        <v>0.94491194968553405</v>
      </c>
      <c r="S23" s="20" t="s">
        <v>462</v>
      </c>
      <c r="T23" s="20">
        <v>88</v>
      </c>
      <c r="U23" s="48">
        <f ca="1">IFERROR(__xludf.DUMMYFUNCTION("SUM( FILTER(C23:T23, ISNUMBER(SEARCH(""Practice"", $C$1:$T$1)) ) )  / 
  SUM( FILTER(C$75:T$75, ISNUMBER(SEARCH(""Practice"", $C$1:$T$1))))*0.1
+
SUM( FILTER(C23:T23, ISNUMBER(SEARCH(""AFTER RETAKE"", $C$1:$T$1)) ) )  / 
  SUM( FILTER(C$75:T$75, ISNUMBER"&amp;"(SEARCH(""AFTER RETAKE"", $C$1:$T$1))))*0.6 + 0.3
"),0.944911949685534)</f>
        <v>0.94491194968553405</v>
      </c>
      <c r="V23" s="20">
        <v>10</v>
      </c>
      <c r="W23" s="20">
        <v>10</v>
      </c>
      <c r="X23" s="20">
        <v>11</v>
      </c>
      <c r="Y23" s="20">
        <v>9</v>
      </c>
      <c r="Z23" s="20" t="e">
        <f t="shared" ca="1" si="2"/>
        <v>#NAME?</v>
      </c>
      <c r="AA23" s="20">
        <v>82</v>
      </c>
      <c r="AB23" s="48">
        <f ca="1">IFERROR(__xludf.DUMMYFUNCTION("SUM( FILTER(C23:AA23, ISNUMBER(SEARCH(""Practice"", $C$1:$AA$1)) ) )  / 
  SUM( FILTER(C$75:AA$75, ISNUMBER(SEARCH(""Practice"", $C$1:$AA$1))))*0.1
+
(SUM( FILTER(C23:T23, ISNUMBER(SEARCH(""AFTER RETAKE"", $C$1:$T$1)) ) )+SUM( FILTER(T23:AA23, ISNUMBER(S"&amp;"EARCH(""BEFORE RETAKE"", $T$1:$AA$1)) ) ))  / 
  SUM( FILTER(C$75:AA$75, ISNUMBER(SEARCH(""BEFORE RETAKE"", $C$1:$AA$1))))*0.6 + 0.3"),0.924166666666666)</f>
        <v>0.92416666666666603</v>
      </c>
      <c r="AC23" s="20"/>
      <c r="AD23" s="20">
        <v>82</v>
      </c>
      <c r="AE23" s="48">
        <f ca="1">IFERROR(__xludf.DUMMYFUNCTION("SUM( FILTER(C23:AA23, ISNUMBER(SEARCH(""Practice"", $C$1:$AA$1)) ) )  / 
  SUM( FILTER(C$75:AA$75, ISNUMBER(SEARCH(""Practice"", $C$1:$AA$1))))*0.1
+
SUM( FILTER(C23:AD23, ISNUMBER(SEARCH(""AFTER RETAKE"", $C$1:$AD$1)) ) )
  / 
  SUM( FILTER(C$75:AD$75, I"&amp;"SNUMBER(SEARCH(""BEFORE RETAKE"", $C$1:$AD$1))))*0.6 
+ 
0.3"),0.924166666666666)</f>
        <v>0.92416666666666603</v>
      </c>
      <c r="AF23" s="20"/>
      <c r="AG23" s="20">
        <v>22</v>
      </c>
      <c r="AH23" s="20">
        <v>10</v>
      </c>
      <c r="AI23" s="20">
        <v>28</v>
      </c>
      <c r="AJ23" s="20">
        <v>13</v>
      </c>
      <c r="AK23" s="20">
        <v>100</v>
      </c>
      <c r="AM23" s="21">
        <v>0.92</v>
      </c>
      <c r="AO23" s="55">
        <f t="shared" si="3"/>
        <v>94.047619047619051</v>
      </c>
      <c r="AP23" s="21">
        <f t="shared" si="4"/>
        <v>0</v>
      </c>
      <c r="AQ23" s="55">
        <f t="shared" si="5"/>
        <v>97.674418604651152</v>
      </c>
      <c r="AR23" s="21">
        <f t="shared" si="6"/>
        <v>0</v>
      </c>
      <c r="AS23" s="55">
        <f t="shared" si="7"/>
        <v>90.909090909090907</v>
      </c>
      <c r="AT23" s="21">
        <f t="shared" si="8"/>
        <v>0</v>
      </c>
      <c r="AU23" s="55">
        <f t="shared" si="9"/>
        <v>100</v>
      </c>
      <c r="AV23" s="21">
        <f t="shared" si="10"/>
        <v>0</v>
      </c>
      <c r="AW23" s="20">
        <f t="shared" si="11"/>
        <v>88.333333333333329</v>
      </c>
      <c r="AX23" s="20">
        <f t="shared" si="12"/>
        <v>88.333333333333329</v>
      </c>
      <c r="AY23" s="48">
        <f ca="1">IFERROR(__xludf.DUMMYFUNCTION("SUM( FILTER(C23:AA23, ISNUMBER(SEARCH(""Practice"", $C$1:$AA$1)) ) )  / 
  SUM( FILTER(C$75:AA$75, ISNUMBER(SEARCH(""Practice"", $C$1:$AA$1))))*0.1
+
(SUM( FILTER(C23:T23, ISNUMBER(SEARCH(""AFTER RETAKE"", $C$1:$T$1)) ) )
+
SUM( FILTER(U23:AD23, ISNUMBER("&amp;"SEARCH(""AFTER RETAKE"", $U$1:$AD$1)) ) ))  / 
  SUM( FILTER(C$75:AA$75, ISNUMBER(SEARCH(""BEFORE RETAKE"", $C$1:$AA$1))))*0.6 
+ 
 AM23*0.3"),0.900166666666666)</f>
        <v>0.900166666666666</v>
      </c>
      <c r="AZ23" s="48">
        <f ca="1">IFERROR(__xludf.DUMMYFUNCTION("SUM( FILTER(C23:AA23, ISNUMBER(SEARCH(""Practice"", $C$1:$AA$1)) ) )  / 
  SUM( FILTER(C$75:AA$75, ISNUMBER(SEARCH(""Practice"", $C$1:$AA$1))))*0.1
+
(SUM( FILTER(C23:T23, ISNUMBER(SEARCH(""Before RETAKE"", $C$1:$T$1)) ) )
+
SUM( FILTER(U23:AD23, ISNUMBER"&amp;"(SEARCH(""Before RETAKE"", $U$1:$AD$1)) ) ))  / 
  SUM( FILTER(C$75:AA$75, ISNUMBER(SEARCH(""BEFORE RETAKE"", $C$1:$AA$1))))*0.6 
+ 
AM23* 0.3"),0.900166666666666)</f>
        <v>0.900166666666666</v>
      </c>
      <c r="BA23" s="55">
        <f t="shared" si="13"/>
        <v>95.657782140340288</v>
      </c>
      <c r="BB23" s="21">
        <f t="shared" si="14"/>
        <v>0</v>
      </c>
      <c r="BC23" s="55">
        <f t="shared" si="15"/>
        <v>85.576923076923066</v>
      </c>
      <c r="BD23" s="55"/>
      <c r="BE23" s="55"/>
      <c r="BF23" s="55"/>
    </row>
    <row r="24" spans="1:58" ht="15" customHeight="1" x14ac:dyDescent="0.2">
      <c r="A24" s="26" t="s">
        <v>81</v>
      </c>
      <c r="B24" s="26" t="s">
        <v>464</v>
      </c>
      <c r="C24" s="19" t="s">
        <v>8</v>
      </c>
      <c r="D24" s="20">
        <v>14.5</v>
      </c>
      <c r="E24" s="20">
        <v>15</v>
      </c>
      <c r="F24" s="20">
        <v>11</v>
      </c>
      <c r="G24" s="20" t="e">
        <f t="shared" ca="1" si="17"/>
        <v>#NAME?</v>
      </c>
      <c r="H24" s="20">
        <v>92</v>
      </c>
      <c r="I24" s="48">
        <f ca="1">IFERROR(__xludf.DUMMYFUNCTION("Sum(FILTER(C24:H24, $C$1:$H$1=""Unit 1 Practice""))/Sum(FILTER(C$75:H$75, $C$1:$H$1=""Unit 1 Practice""))*0.1 + Sum(FILTER(C24:H24, $C$1:$H$1=""Unit 1 Test (before retake)""))/Sum(FILTER(C$75:H$75, $C$1:$H$1=""Unit 1 Test (before retake)""))*0.6 + 0.3"),0.947569620253164)</f>
        <v>0.94756962025316405</v>
      </c>
      <c r="J24" s="20" t="s">
        <v>810</v>
      </c>
      <c r="K24" s="20">
        <v>92</v>
      </c>
      <c r="L24" s="48">
        <f ca="1">IFERROR(__xludf.DUMMYFUNCTION("SUM( FILTER(C24:K24, ISNUMBER(SEARCH(""Practice"", $C$1:$K$1)) ) )  / 
  SUM( FILTER(C$75:K$75, ISNUMBER(SEARCH(""Practice"", $C$1:$K$1))))*0.1
+
SUM( FILTER(C24:K24, ISNUMBER(SEARCH(""AFTER RETAKE"", $C$1:$K$1)) ) )  / 
  SUM( FILTER(C$75:K$75, ISNUMBER"&amp;"(SEARCH(""AFTER RETAKE"", $C$1:$K$1))))*0.6 + 0.3
"),0.947569620253164)</f>
        <v>0.94756962025316405</v>
      </c>
      <c r="M24" s="20">
        <v>18</v>
      </c>
      <c r="N24" s="20">
        <v>12</v>
      </c>
      <c r="O24" s="20">
        <v>13</v>
      </c>
      <c r="P24" s="20" t="e">
        <f t="shared" ca="1" si="1"/>
        <v>#NAME?</v>
      </c>
      <c r="Q24" s="20">
        <v>72</v>
      </c>
      <c r="R24" s="48">
        <f ca="1">IFERROR(__xludf.DUMMYFUNCTION("SUM( FILTER(C24:T24, ISNUMBER(SEARCH(""Practice"", $C$1:$T$1)) ) )  / 
  SUM( FILTER(C$75:T$75, ISNUMBER(SEARCH(""Practice"", $C$1:$T$1))))*0.1
+
(SUM( FILTER(C24:K24, ISNUMBER(SEARCH(""AFTER RETAKE"", $C$1:$K$1)) ) )+SUM( FILTER(K24:T24, ISNUMBER(SEARCH"&amp;"(""BEFORE RETAKE"", $K$1:$T$1)) ) ))  / 
  SUM( FILTER(C$75:T$75, ISNUMBER(SEARCH(""BEFORE RETAKE"", $C$1:$T$1))))*0.6 + 0.3"),0.889798742138364)</f>
        <v>0.88979874213836396</v>
      </c>
      <c r="S24" s="20">
        <v>83</v>
      </c>
      <c r="T24" s="20">
        <v>83</v>
      </c>
      <c r="U24" s="48">
        <f ca="1">IFERROR(__xludf.DUMMYFUNCTION("SUM( FILTER(C24:T24, ISNUMBER(SEARCH(""Practice"", $C$1:$T$1)) ) )  / 
  SUM( FILTER(C$75:T$75, ISNUMBER(SEARCH(""Practice"", $C$1:$T$1))))*0.1
+
SUM( FILTER(C24:T24, ISNUMBER(SEARCH(""AFTER RETAKE"", $C$1:$T$1)) ) )  / 
  SUM( FILTER(C$75:T$75, ISNUMBER"&amp;"(SEARCH(""AFTER RETAKE"", $C$1:$T$1))))*0.6 + 0.3
"),0.922798742138364)</f>
        <v>0.92279874213836399</v>
      </c>
      <c r="V24" s="20">
        <v>10</v>
      </c>
      <c r="W24" s="20">
        <v>10</v>
      </c>
      <c r="X24" s="20">
        <v>9</v>
      </c>
      <c r="Y24" s="20">
        <v>10.5</v>
      </c>
      <c r="Z24" s="20" t="e">
        <f t="shared" ca="1" si="2"/>
        <v>#NAME?</v>
      </c>
      <c r="AA24" s="20">
        <v>80</v>
      </c>
      <c r="AB24" s="48">
        <f ca="1">IFERROR(__xludf.DUMMYFUNCTION("SUM( FILTER(C24:AA24, ISNUMBER(SEARCH(""Practice"", $C$1:$AA$1)) ) )  / 
  SUM( FILTER(C$75:AA$75, ISNUMBER(SEARCH(""Practice"", $C$1:$AA$1))))*0.1
+
(SUM( FILTER(C24:T24, ISNUMBER(SEARCH(""AFTER RETAKE"", $C$1:$T$1)) ) )+SUM( FILTER(T24:AA24, ISNUMBER(S"&amp;"EARCH(""BEFORE RETAKE"", $T$1:$AA$1)) ) ))  / 
  SUM( FILTER(C$75:AA$75, ISNUMBER(SEARCH(""BEFORE RETAKE"", $C$1:$AA$1))))*0.6 + 0.3"),0.906041666666666)</f>
        <v>0.90604166666666597</v>
      </c>
      <c r="AC24" s="20">
        <v>85</v>
      </c>
      <c r="AD24" s="20">
        <v>80</v>
      </c>
      <c r="AE24" s="48">
        <f ca="1">IFERROR(__xludf.DUMMYFUNCTION("SUM( FILTER(C24:AA24, ISNUMBER(SEARCH(""Practice"", $C$1:$AA$1)) ) )  / 
  SUM( FILTER(C$75:AA$75, ISNUMBER(SEARCH(""Practice"", $C$1:$AA$1))))*0.1
+
SUM( FILTER(C24:AD24, ISNUMBER(SEARCH(""AFTER RETAKE"", $C$1:$AD$1)) ) )
  / 
  SUM( FILTER(C$75:AD$75, I"&amp;"SNUMBER(SEARCH(""BEFORE RETAKE"", $C$1:$AD$1))))*0.6 
+ 
0.3"),0.906041666666666)</f>
        <v>0.90604166666666597</v>
      </c>
      <c r="AF24" s="20"/>
      <c r="AG24" s="20">
        <v>22</v>
      </c>
      <c r="AH24" s="20">
        <v>10</v>
      </c>
      <c r="AI24" s="20">
        <v>21</v>
      </c>
      <c r="AJ24" s="20">
        <v>13</v>
      </c>
      <c r="AK24" s="20">
        <v>100</v>
      </c>
      <c r="AM24" s="21">
        <v>0.88</v>
      </c>
      <c r="AO24" s="55">
        <f t="shared" si="3"/>
        <v>96.428571428571431</v>
      </c>
      <c r="AP24" s="21">
        <f t="shared" si="4"/>
        <v>0</v>
      </c>
      <c r="AQ24" s="55">
        <f t="shared" si="5"/>
        <v>100</v>
      </c>
      <c r="AR24" s="21">
        <f t="shared" si="6"/>
        <v>0</v>
      </c>
      <c r="AS24" s="55">
        <f t="shared" si="7"/>
        <v>89.772727272727266</v>
      </c>
      <c r="AT24" s="21">
        <f t="shared" si="8"/>
        <v>0</v>
      </c>
      <c r="AU24" s="55">
        <f t="shared" si="9"/>
        <v>88.333333333333343</v>
      </c>
      <c r="AV24" s="21">
        <f t="shared" si="10"/>
        <v>0</v>
      </c>
      <c r="AW24" s="20">
        <f t="shared" si="11"/>
        <v>81.333333333333329</v>
      </c>
      <c r="AX24" s="20">
        <f t="shared" si="12"/>
        <v>85</v>
      </c>
      <c r="AY24" s="48">
        <f ca="1">IFERROR(__xludf.DUMMYFUNCTION("SUM( FILTER(C24:AA24, ISNUMBER(SEARCH(""Practice"", $C$1:$AA$1)) ) )  / 
  SUM( FILTER(C$75:AA$75, ISNUMBER(SEARCH(""Practice"", $C$1:$AA$1))))*0.1
+
(SUM( FILTER(C24:T24, ISNUMBER(SEARCH(""AFTER RETAKE"", $C$1:$T$1)) ) )
+
SUM( FILTER(U24:AD24, ISNUMBER("&amp;"SEARCH(""AFTER RETAKE"", $U$1:$AD$1)) ) ))  / 
  SUM( FILTER(C$75:AA$75, ISNUMBER(SEARCH(""BEFORE RETAKE"", $C$1:$AA$1))))*0.6 
+ 
 AM24*0.3"),0.870041666666666)</f>
        <v>0.87004166666666605</v>
      </c>
      <c r="AZ24" s="48">
        <f ca="1">IFERROR(__xludf.DUMMYFUNCTION("SUM( FILTER(C24:AA24, ISNUMBER(SEARCH(""Practice"", $C$1:$AA$1)) ) )  / 
  SUM( FILTER(C$75:AA$75, ISNUMBER(SEARCH(""Practice"", $C$1:$AA$1))))*0.1
+
(SUM( FILTER(C24:T24, ISNUMBER(SEARCH(""Before RETAKE"", $C$1:$T$1)) ) )
+
SUM( FILTER(U24:AD24, ISNUMBER"&amp;"(SEARCH(""Before RETAKE"", $U$1:$AD$1)) ) ))  / 
  SUM( FILTER(C$75:AA$75, ISNUMBER(SEARCH(""BEFORE RETAKE"", $C$1:$AA$1))))*0.6 
+ 
AM24* 0.3"),0.848041666666666)</f>
        <v>0.84804166666666603</v>
      </c>
      <c r="BA24" s="55">
        <f t="shared" si="13"/>
        <v>93.633658008658017</v>
      </c>
      <c r="BB24" s="21">
        <f t="shared" si="14"/>
        <v>0</v>
      </c>
      <c r="BC24" s="55">
        <f t="shared" si="15"/>
        <v>91.34615384615384</v>
      </c>
      <c r="BD24" s="55"/>
      <c r="BE24" s="55"/>
      <c r="BF24" s="55"/>
    </row>
    <row r="25" spans="1:58" ht="15" customHeight="1" x14ac:dyDescent="0.2">
      <c r="A25" s="26" t="s">
        <v>83</v>
      </c>
      <c r="B25" s="26" t="s">
        <v>461</v>
      </c>
      <c r="C25" s="19" t="s">
        <v>9</v>
      </c>
      <c r="D25" s="20">
        <v>13</v>
      </c>
      <c r="E25" s="20">
        <v>6</v>
      </c>
      <c r="F25" s="20">
        <v>5.17</v>
      </c>
      <c r="G25" s="20" t="e">
        <f t="shared" ca="1" si="17"/>
        <v>#NAME?</v>
      </c>
      <c r="H25" s="20">
        <v>72</v>
      </c>
      <c r="I25" s="48">
        <f ca="1">IFERROR(__xludf.DUMMYFUNCTION("Sum(FILTER(C25:H25, $C$1:$H$1=""Unit 1 Practice""))/Sum(FILTER(C$75:H$75, $C$1:$H$1=""Unit 1 Practice""))*0.1 + Sum(FILTER(C25:H25, $C$1:$H$1=""Unit 1 Test (before retake)""))/Sum(FILTER(C$75:H$75, $C$1:$H$1=""Unit 1 Test (before retake)""))*0.6 + 0.3"),0.801620253164556)</f>
        <v>0.80162025316455598</v>
      </c>
      <c r="J25" s="20" t="s">
        <v>810</v>
      </c>
      <c r="K25" s="20">
        <v>72</v>
      </c>
      <c r="L25" s="48">
        <f ca="1">IFERROR(__xludf.DUMMYFUNCTION("SUM( FILTER(C25:K25, ISNUMBER(SEARCH(""Practice"", $C$1:$K$1)) ) )  / 
  SUM( FILTER(C$75:K$75, ISNUMBER(SEARCH(""Practice"", $C$1:$K$1))))*0.1
+
SUM( FILTER(C25:K25, ISNUMBER(SEARCH(""AFTER RETAKE"", $C$1:$K$1)) ) )  / 
  SUM( FILTER(C$75:K$75, ISNUMBER"&amp;"(SEARCH(""AFTER RETAKE"", $C$1:$K$1))))*0.6 + 0.3
"),0.801620253164556)</f>
        <v>0.80162025316455598</v>
      </c>
      <c r="M25" s="20">
        <v>1</v>
      </c>
      <c r="N25" s="20">
        <v>0</v>
      </c>
      <c r="O25" s="20">
        <v>6</v>
      </c>
      <c r="P25" s="20" t="e">
        <f t="shared" ca="1" si="1"/>
        <v>#NAME?</v>
      </c>
      <c r="Q25" s="20">
        <v>62</v>
      </c>
      <c r="R25" s="48">
        <f ca="1">IFERROR(__xludf.DUMMYFUNCTION("SUM( FILTER(C25:T25, ISNUMBER(SEARCH(""Practice"", $C$1:$T$1)) ) )  / 
  SUM( FILTER(C$75:T$75, ISNUMBER(SEARCH(""Practice"", $C$1:$T$1))))*0.1
+
(SUM( FILTER(C25:K25, ISNUMBER(SEARCH(""AFTER RETAKE"", $C$1:$K$1)) ) )+SUM( FILTER(K25:T25, ISNUMBER(SEARCH"&amp;"(""BEFORE RETAKE"", $K$1:$T$1)) ) ))  / 
  SUM( FILTER(C$75:T$75, ISNUMBER(SEARCH(""BEFORE RETAKE"", $C$1:$T$1))))*0.6 + 0.3"),0.76080503144654)</f>
        <v>0.76080503144653999</v>
      </c>
      <c r="S25" s="20"/>
      <c r="T25" s="20">
        <v>62</v>
      </c>
      <c r="U25" s="48">
        <f ca="1">IFERROR(__xludf.DUMMYFUNCTION("SUM( FILTER(C25:T25, ISNUMBER(SEARCH(""Practice"", $C$1:$T$1)) ) )  / 
  SUM( FILTER(C$75:T$75, ISNUMBER(SEARCH(""Practice"", $C$1:$T$1))))*0.1
+
SUM( FILTER(C25:T25, ISNUMBER(SEARCH(""AFTER RETAKE"", $C$1:$T$1)) ) )  / 
  SUM( FILTER(C$75:T$75, ISNUMBER"&amp;"(SEARCH(""AFTER RETAKE"", $C$1:$T$1))))*0.6 + 0.3
"),0.76080503144654)</f>
        <v>0.76080503144653999</v>
      </c>
      <c r="V25" s="20">
        <v>9</v>
      </c>
      <c r="W25" s="20">
        <v>10</v>
      </c>
      <c r="X25" s="20">
        <v>11</v>
      </c>
      <c r="Y25" s="20">
        <v>9</v>
      </c>
      <c r="Z25" s="20" t="e">
        <f t="shared" ca="1" si="2"/>
        <v>#NAME?</v>
      </c>
      <c r="AA25" s="20">
        <v>72</v>
      </c>
      <c r="AB25" s="48">
        <f ca="1">IFERROR(__xludf.DUMMYFUNCTION("SUM( FILTER(C25:AA25, ISNUMBER(SEARCH(""Practice"", $C$1:$AA$1)) ) )  / 
  SUM( FILTER(C$75:AA$75, ISNUMBER(SEARCH(""Practice"", $C$1:$AA$1))))*0.1
+
(SUM( FILTER(C25:T25, ISNUMBER(SEARCH(""AFTER RETAKE"", $C$1:$T$1)) ) )+SUM( FILTER(T25:AA25, ISNUMBER(S"&amp;"EARCH(""BEFORE RETAKE"", $T$1:$AA$1)) ) ))  / 
  SUM( FILTER(C$75:AA$75, ISNUMBER(SEARCH(""BEFORE RETAKE"", $C$1:$AA$1))))*0.6 + 0.3"),0.781166666666666)</f>
        <v>0.78116666666666601</v>
      </c>
      <c r="AC25" s="20"/>
      <c r="AD25" s="20">
        <v>72</v>
      </c>
      <c r="AE25" s="48">
        <f ca="1">IFERROR(__xludf.DUMMYFUNCTION("SUM( FILTER(C25:AA25, ISNUMBER(SEARCH(""Practice"", $C$1:$AA$1)) ) )  / 
  SUM( FILTER(C$75:AA$75, ISNUMBER(SEARCH(""Practice"", $C$1:$AA$1))))*0.1
+
SUM( FILTER(C25:AD25, ISNUMBER(SEARCH(""AFTER RETAKE"", $C$1:$AD$1)) ) )
  / 
  SUM( FILTER(C$75:AD$75, I"&amp;"SNUMBER(SEARCH(""BEFORE RETAKE"", $C$1:$AD$1))))*0.6 
+ 
0.3"),0.781166666666666)</f>
        <v>0.78116666666666601</v>
      </c>
      <c r="AF25" s="20"/>
      <c r="AG25" s="20">
        <v>22</v>
      </c>
      <c r="AH25" s="20">
        <v>10</v>
      </c>
      <c r="AI25" s="20">
        <v>28</v>
      </c>
      <c r="AJ25" s="20">
        <v>9.19</v>
      </c>
      <c r="AK25" s="20">
        <v>85</v>
      </c>
      <c r="AM25" s="21">
        <v>0.62</v>
      </c>
      <c r="AO25" s="55">
        <f t="shared" si="3"/>
        <v>57.547619047619051</v>
      </c>
      <c r="AP25" s="21">
        <f t="shared" si="4"/>
        <v>0</v>
      </c>
      <c r="AQ25" s="55">
        <f t="shared" si="5"/>
        <v>16.279069767441861</v>
      </c>
      <c r="AR25" s="21">
        <f t="shared" si="6"/>
        <v>1</v>
      </c>
      <c r="AS25" s="55">
        <f t="shared" si="7"/>
        <v>88.63636363636364</v>
      </c>
      <c r="AT25" s="21">
        <f t="shared" si="8"/>
        <v>0</v>
      </c>
      <c r="AU25" s="55">
        <f t="shared" si="9"/>
        <v>100</v>
      </c>
      <c r="AV25" s="21">
        <f t="shared" si="10"/>
        <v>0</v>
      </c>
      <c r="AW25" s="20">
        <f t="shared" si="11"/>
        <v>68.666666666666671</v>
      </c>
      <c r="AX25" s="20">
        <f t="shared" si="12"/>
        <v>68.666666666666671</v>
      </c>
      <c r="AY25" s="48">
        <f ca="1">IFERROR(__xludf.DUMMYFUNCTION("SUM( FILTER(C25:AA25, ISNUMBER(SEARCH(""Practice"", $C$1:$AA$1)) ) )  / 
  SUM( FILTER(C$75:AA$75, ISNUMBER(SEARCH(""Practice"", $C$1:$AA$1))))*0.1
+
(SUM( FILTER(C25:T25, ISNUMBER(SEARCH(""AFTER RETAKE"", $C$1:$T$1)) ) )
+
SUM( FILTER(U25:AD25, ISNUMBER("&amp;"SEARCH(""AFTER RETAKE"", $U$1:$AD$1)) ) ))  / 
  SUM( FILTER(C$75:AA$75, ISNUMBER(SEARCH(""BEFORE RETAKE"", $C$1:$AA$1))))*0.6 
+ 
 AM25*0.3"),0.667166666666666)</f>
        <v>0.66716666666666602</v>
      </c>
      <c r="AZ25" s="48">
        <f ca="1">IFERROR(__xludf.DUMMYFUNCTION("SUM( FILTER(C25:AA25, ISNUMBER(SEARCH(""Practice"", $C$1:$AA$1)) ) )  / 
  SUM( FILTER(C$75:AA$75, ISNUMBER(SEARCH(""Practice"", $C$1:$AA$1))))*0.1
+
(SUM( FILTER(C25:T25, ISNUMBER(SEARCH(""Before RETAKE"", $C$1:$T$1)) ) )
+
SUM( FILTER(U25:AD25, ISNUMBER"&amp;"(SEARCH(""Before RETAKE"", $U$1:$AD$1)) ) ))  / 
  SUM( FILTER(C$75:AA$75, ISNUMBER(SEARCH(""BEFORE RETAKE"", $C$1:$AA$1))))*0.6 
+ 
AM25* 0.3"),0.667166666666666)</f>
        <v>0.66716666666666602</v>
      </c>
      <c r="BA25" s="55">
        <f t="shared" si="13"/>
        <v>65.615763112856143</v>
      </c>
      <c r="BB25" s="21">
        <f t="shared" si="14"/>
        <v>1</v>
      </c>
      <c r="BC25" s="55">
        <f t="shared" si="15"/>
        <v>56.46153846153846</v>
      </c>
      <c r="BD25" s="55"/>
      <c r="BE25" s="55"/>
      <c r="BF25" s="55"/>
    </row>
    <row r="26" spans="1:58" ht="15" customHeight="1" x14ac:dyDescent="0.2">
      <c r="A26" s="26" t="s">
        <v>85</v>
      </c>
      <c r="B26" s="26" t="s">
        <v>461</v>
      </c>
      <c r="C26" s="19" t="s">
        <v>8</v>
      </c>
      <c r="D26" s="20">
        <v>15</v>
      </c>
      <c r="E26" s="20">
        <v>4</v>
      </c>
      <c r="F26" s="20">
        <v>9.33</v>
      </c>
      <c r="G26" s="20" t="e">
        <f t="shared" ca="1" si="17"/>
        <v>#NAME?</v>
      </c>
      <c r="H26" s="20">
        <v>62</v>
      </c>
      <c r="I26" s="48">
        <f ca="1">IFERROR(__xludf.DUMMYFUNCTION("Sum(FILTER(C26:H26, $C$1:$H$1=""Unit 1 Practice""))/Sum(FILTER(C$75:H$75, $C$1:$H$1=""Unit 1 Practice""))*0.1 + Sum(FILTER(C26:H26, $C$1:$H$1=""Unit 1 Test (before retake)""))/Sum(FILTER(C$75:H$75, $C$1:$H$1=""Unit 1 Test (before retake)""))*0.6 + 0.3"),0.749848101265822)</f>
        <v>0.74984810126582202</v>
      </c>
      <c r="J26" s="20" t="s">
        <v>810</v>
      </c>
      <c r="K26" s="20">
        <v>62</v>
      </c>
      <c r="L26" s="48">
        <f ca="1">IFERROR(__xludf.DUMMYFUNCTION("SUM( FILTER(C26:K26, ISNUMBER(SEARCH(""Practice"", $C$1:$K$1)) ) )  / 
  SUM( FILTER(C$75:K$75, ISNUMBER(SEARCH(""Practice"", $C$1:$K$1))))*0.1
+
SUM( FILTER(C26:K26, ISNUMBER(SEARCH(""AFTER RETAKE"", $C$1:$K$1)) ) )  / 
  SUM( FILTER(C$75:K$75, ISNUMBER"&amp;"(SEARCH(""AFTER RETAKE"", $C$1:$K$1))))*0.6 + 0.3
"),0.749848101265822)</f>
        <v>0.74984810126582202</v>
      </c>
      <c r="M26" s="20">
        <v>16</v>
      </c>
      <c r="N26" s="20">
        <v>11</v>
      </c>
      <c r="O26" s="20">
        <v>8.1</v>
      </c>
      <c r="P26" s="20" t="e">
        <f t="shared" ca="1" si="1"/>
        <v>#NAME?</v>
      </c>
      <c r="Q26" s="20">
        <v>65</v>
      </c>
      <c r="R26" s="48">
        <f ca="1">IFERROR(__xludf.DUMMYFUNCTION("SUM( FILTER(C26:T26, ISNUMBER(SEARCH(""Practice"", $C$1:$T$1)) ) )  / 
  SUM( FILTER(C$75:T$75, ISNUMBER(SEARCH(""Practice"", $C$1:$T$1))))*0.1
+
(SUM( FILTER(C26:K26, ISNUMBER(SEARCH(""AFTER RETAKE"", $C$1:$K$1)) ) )+SUM( FILTER(K26:T26, ISNUMBER(SEARCH"&amp;"(""BEFORE RETAKE"", $K$1:$T$1)) ) ))  / 
  SUM( FILTER(C$75:T$75, ISNUMBER(SEARCH(""BEFORE RETAKE"", $C$1:$T$1))))*0.6 + 0.3"),0.762446540880503)</f>
        <v>0.76244654088050301</v>
      </c>
      <c r="S26" s="20"/>
      <c r="T26" s="20">
        <v>65</v>
      </c>
      <c r="U26" s="48">
        <f ca="1">IFERROR(__xludf.DUMMYFUNCTION("SUM( FILTER(C26:T26, ISNUMBER(SEARCH(""Practice"", $C$1:$T$1)) ) )  / 
  SUM( FILTER(C$75:T$75, ISNUMBER(SEARCH(""Practice"", $C$1:$T$1))))*0.1
+
SUM( FILTER(C26:T26, ISNUMBER(SEARCH(""AFTER RETAKE"", $C$1:$T$1)) ) )  / 
  SUM( FILTER(C$75:T$75, ISNUMBER"&amp;"(SEARCH(""AFTER RETAKE"", $C$1:$T$1))))*0.6 + 0.3
"),0.762446540880503)</f>
        <v>0.76244654088050301</v>
      </c>
      <c r="V26" s="20">
        <v>9</v>
      </c>
      <c r="W26" s="20">
        <v>10</v>
      </c>
      <c r="X26" s="20">
        <v>9</v>
      </c>
      <c r="Y26" s="20">
        <v>0.5</v>
      </c>
      <c r="Z26" s="20" t="e">
        <f t="shared" ca="1" si="2"/>
        <v>#NAME?</v>
      </c>
      <c r="AA26" s="20">
        <v>65</v>
      </c>
      <c r="AB26" s="48">
        <f ca="1">IFERROR(__xludf.DUMMYFUNCTION("SUM( FILTER(C26:AA26, ISNUMBER(SEARCH(""Practice"", $C$1:$AA$1)) ) )  / 
  SUM( FILTER(C$75:AA$75, ISNUMBER(SEARCH(""Practice"", $C$1:$AA$1))))*0.1
+
(SUM( FILTER(C26:T26, ISNUMBER(SEARCH(""AFTER RETAKE"", $C$1:$T$1)) ) )+SUM( FILTER(T26:AA26, ISNUMBER(S"&amp;"EARCH(""BEFORE RETAKE"", $T$1:$AA$1)) ) ))  / 
  SUM( FILTER(C$75:AA$75, ISNUMBER(SEARCH(""BEFORE RETAKE"", $C$1:$AA$1))))*0.6 + 0.3"),0.755875)</f>
        <v>0.75587499999999996</v>
      </c>
      <c r="AC26" s="20"/>
      <c r="AD26" s="20">
        <v>65</v>
      </c>
      <c r="AE26" s="48">
        <f ca="1">IFERROR(__xludf.DUMMYFUNCTION("SUM( FILTER(C26:AA26, ISNUMBER(SEARCH(""Practice"", $C$1:$AA$1)) ) )  / 
  SUM( FILTER(C$75:AA$75, ISNUMBER(SEARCH(""Practice"", $C$1:$AA$1))))*0.1
+
SUM( FILTER(C26:AD26, ISNUMBER(SEARCH(""AFTER RETAKE"", $C$1:$AD$1)) ) )
  / 
  SUM( FILTER(C$75:AD$75, I"&amp;"SNUMBER(SEARCH(""BEFORE RETAKE"", $C$1:$AD$1))))*0.6 
+ 
0.3"),0.755875)</f>
        <v>0.75587499999999996</v>
      </c>
      <c r="AF26" s="20"/>
      <c r="AG26" s="20">
        <v>0</v>
      </c>
      <c r="AH26" s="20">
        <v>10</v>
      </c>
      <c r="AI26" s="20">
        <v>0</v>
      </c>
      <c r="AJ26" s="20">
        <v>13</v>
      </c>
      <c r="AK26" s="20">
        <v>100</v>
      </c>
      <c r="AM26" s="21">
        <v>0.65</v>
      </c>
      <c r="AO26" s="55">
        <f t="shared" si="3"/>
        <v>67.452380952380949</v>
      </c>
      <c r="AP26" s="21">
        <f t="shared" si="4"/>
        <v>0</v>
      </c>
      <c r="AQ26" s="55">
        <f t="shared" si="5"/>
        <v>81.627906976744185</v>
      </c>
      <c r="AR26" s="21">
        <f t="shared" si="6"/>
        <v>0</v>
      </c>
      <c r="AS26" s="55">
        <f t="shared" si="7"/>
        <v>64.772727272727266</v>
      </c>
      <c r="AT26" s="21">
        <f t="shared" si="8"/>
        <v>0</v>
      </c>
      <c r="AU26" s="55">
        <f t="shared" si="9"/>
        <v>16.666666666666668</v>
      </c>
      <c r="AV26" s="21">
        <f t="shared" si="10"/>
        <v>2</v>
      </c>
      <c r="AW26" s="20">
        <f t="shared" si="11"/>
        <v>64</v>
      </c>
      <c r="AX26" s="20">
        <f t="shared" si="12"/>
        <v>64</v>
      </c>
      <c r="AY26" s="48">
        <f ca="1">IFERROR(__xludf.DUMMYFUNCTION("SUM( FILTER(C26:AA26, ISNUMBER(SEARCH(""Practice"", $C$1:$AA$1)) ) )  / 
  SUM( FILTER(C$75:AA$75, ISNUMBER(SEARCH(""Practice"", $C$1:$AA$1))))*0.1
+
(SUM( FILTER(C26:T26, ISNUMBER(SEARCH(""AFTER RETAKE"", $C$1:$T$1)) ) )
+
SUM( FILTER(U26:AD26, ISNUMBER("&amp;"SEARCH(""AFTER RETAKE"", $U$1:$AD$1)) ) ))  / 
  SUM( FILTER(C$75:AA$75, ISNUMBER(SEARCH(""BEFORE RETAKE"", $C$1:$AA$1))))*0.6 
+ 
 AM26*0.3"),0.650875)</f>
        <v>0.65087499999999998</v>
      </c>
      <c r="AZ26" s="48">
        <f ca="1">IFERROR(__xludf.DUMMYFUNCTION("SUM( FILTER(C26:AA26, ISNUMBER(SEARCH(""Practice"", $C$1:$AA$1)) ) )  / 
  SUM( FILTER(C$75:AA$75, ISNUMBER(SEARCH(""Practice"", $C$1:$AA$1))))*0.1
+
(SUM( FILTER(C26:T26, ISNUMBER(SEARCH(""Before RETAKE"", $C$1:$T$1)) ) )
+
SUM( FILTER(U26:AD26, ISNUMBER"&amp;"(SEARCH(""Before RETAKE"", $U$1:$AD$1)) ) ))  / 
  SUM( FILTER(C$75:AA$75, ISNUMBER(SEARCH(""BEFORE RETAKE"", $C$1:$AA$1))))*0.6 
+ 
AM26* 0.3"),0.650875)</f>
        <v>0.65087499999999998</v>
      </c>
      <c r="BA26" s="55">
        <f t="shared" si="13"/>
        <v>57.629920467129757</v>
      </c>
      <c r="BB26" s="21">
        <f t="shared" si="14"/>
        <v>2</v>
      </c>
      <c r="BC26" s="55">
        <f t="shared" si="15"/>
        <v>59.480769230769226</v>
      </c>
      <c r="BD26" s="55"/>
      <c r="BE26" s="55"/>
      <c r="BF26" s="55"/>
    </row>
    <row r="27" spans="1:58" ht="15" customHeight="1" x14ac:dyDescent="0.2">
      <c r="A27" s="26" t="s">
        <v>311</v>
      </c>
      <c r="B27" s="26" t="s">
        <v>461</v>
      </c>
      <c r="C27" s="19" t="s">
        <v>8</v>
      </c>
      <c r="D27" s="20">
        <v>15</v>
      </c>
      <c r="E27" s="20">
        <v>7</v>
      </c>
      <c r="F27" s="20">
        <v>9.66</v>
      </c>
      <c r="G27" s="20" t="e">
        <f t="shared" ca="1" si="17"/>
        <v>#NAME?</v>
      </c>
      <c r="H27" s="20">
        <v>75</v>
      </c>
      <c r="I27" s="48">
        <f ca="1">IFERROR(__xludf.DUMMYFUNCTION("Sum(FILTER(C27:H27, $C$1:$H$1=""Unit 1 Practice""))/Sum(FILTER(C$75:H$75, $C$1:$H$1=""Unit 1 Practice""))*0.1 + Sum(FILTER(C27:H27, $C$1:$H$1=""Unit 1 Test (before retake)""))/Sum(FILTER(C$75:H$75, $C$1:$H$1=""Unit 1 Test (before retake)""))*0.6 + 0.3"),0.833544303797468)</f>
        <v>0.83354430379746802</v>
      </c>
      <c r="J27" s="20">
        <v>78</v>
      </c>
      <c r="K27" s="20">
        <v>78</v>
      </c>
      <c r="L27" s="48">
        <f ca="1">IFERROR(__xludf.DUMMYFUNCTION("SUM( FILTER(C27:K27, ISNUMBER(SEARCH(""Practice"", $C$1:$K$1)) ) )  / 
  SUM( FILTER(C$75:K$75, ISNUMBER(SEARCH(""Practice"", $C$1:$K$1))))*0.1
+
SUM( FILTER(C27:K27, ISNUMBER(SEARCH(""AFTER RETAKE"", $C$1:$K$1)) ) )  / 
  SUM( FILTER(C$75:K$75, ISNUMBER"&amp;"(SEARCH(""AFTER RETAKE"", $C$1:$K$1))))*0.6 + 0.3
"),0.851544303797468)</f>
        <v>0.85154430379746804</v>
      </c>
      <c r="M27" s="20">
        <v>9</v>
      </c>
      <c r="N27" s="20">
        <v>0</v>
      </c>
      <c r="O27" s="20">
        <v>0</v>
      </c>
      <c r="P27" s="20" t="e">
        <f t="shared" ca="1" si="1"/>
        <v>#NAME?</v>
      </c>
      <c r="Q27" s="20">
        <v>62</v>
      </c>
      <c r="R27" s="48">
        <f ca="1">IFERROR(__xludf.DUMMYFUNCTION("SUM( FILTER(C27:T27, ISNUMBER(SEARCH(""Practice"", $C$1:$T$1)) ) )  / 
  SUM( FILTER(C$75:T$75, ISNUMBER(SEARCH(""Practice"", $C$1:$T$1))))*0.1
+
(SUM( FILTER(C27:K27, ISNUMBER(SEARCH(""AFTER RETAKE"", $C$1:$K$1)) ) )+SUM( FILTER(K27:T27, ISNUMBER(SEARCH"&amp;"(""BEFORE RETAKE"", $K$1:$T$1)) ) ))  / 
  SUM( FILTER(C$75:T$75, ISNUMBER(SEARCH(""BEFORE RETAKE"", $C$1:$T$1))))*0.6 + 0.3"),0.767169811320754)</f>
        <v>0.76716981132075401</v>
      </c>
      <c r="S27" s="20">
        <v>78</v>
      </c>
      <c r="T27" s="20">
        <v>78</v>
      </c>
      <c r="U27" s="48">
        <f ca="1">IFERROR(__xludf.DUMMYFUNCTION("SUM( FILTER(C27:T27, ISNUMBER(SEARCH(""Practice"", $C$1:$T$1)) ) )  / 
  SUM( FILTER(C$75:T$75, ISNUMBER(SEARCH(""Practice"", $C$1:$T$1))))*0.1
+
SUM( FILTER(C27:T27, ISNUMBER(SEARCH(""AFTER RETAKE"", $C$1:$T$1)) ) )  / 
  SUM( FILTER(C$75:T$75, ISNUMBER"&amp;"(SEARCH(""AFTER RETAKE"", $C$1:$T$1))))*0.6 + 0.3
"),0.815169811320754)</f>
        <v>0.81516981132075395</v>
      </c>
      <c r="V27" s="20">
        <v>7</v>
      </c>
      <c r="W27" s="20">
        <v>8</v>
      </c>
      <c r="X27" s="20">
        <v>9</v>
      </c>
      <c r="Y27" s="20">
        <v>5.5</v>
      </c>
      <c r="Z27" s="20" t="e">
        <f t="shared" ca="1" si="2"/>
        <v>#NAME?</v>
      </c>
      <c r="AA27" s="20">
        <v>68</v>
      </c>
      <c r="AB27" s="48">
        <f ca="1">IFERROR(__xludf.DUMMYFUNCTION("SUM( FILTER(C27:AA27, ISNUMBER(SEARCH(""Practice"", $C$1:$AA$1)) ) )  / 
  SUM( FILTER(C$75:AA$75, ISNUMBER(SEARCH(""Practice"", $C$1:$AA$1))))*0.1
+
(SUM( FILTER(C27:T27, ISNUMBER(SEARCH(""AFTER RETAKE"", $C$1:$T$1)) ) )+SUM( FILTER(T27:AA27, ISNUMBER(S"&amp;"EARCH(""BEFORE RETAKE"", $T$1:$AA$1)) ) ))  / 
  SUM( FILTER(C$75:AA$75, ISNUMBER(SEARCH(""BEFORE RETAKE"", $C$1:$AA$1))))*0.6 + 0.3"),0.804875)</f>
        <v>0.80487500000000001</v>
      </c>
      <c r="AC27" s="20">
        <v>72</v>
      </c>
      <c r="AD27" s="20">
        <v>68</v>
      </c>
      <c r="AE27" s="48">
        <f ca="1">IFERROR(__xludf.DUMMYFUNCTION("SUM( FILTER(C27:AA27, ISNUMBER(SEARCH(""Practice"", $C$1:$AA$1)) ) )  / 
  SUM( FILTER(C$75:AA$75, ISNUMBER(SEARCH(""Practice"", $C$1:$AA$1))))*0.1
+
SUM( FILTER(C27:AD27, ISNUMBER(SEARCH(""AFTER RETAKE"", $C$1:$AD$1)) ) )
  / 
  SUM( FILTER(C$75:AD$75, I"&amp;"SNUMBER(SEARCH(""BEFORE RETAKE"", $C$1:$AD$1))))*0.6 
+ 
0.3"),0.804875)</f>
        <v>0.80487500000000001</v>
      </c>
      <c r="AF27" s="20" t="s">
        <v>462</v>
      </c>
      <c r="AG27" s="20">
        <v>22</v>
      </c>
      <c r="AH27" s="20">
        <v>5</v>
      </c>
      <c r="AI27" s="20">
        <v>0</v>
      </c>
      <c r="AJ27" s="20">
        <v>13</v>
      </c>
      <c r="AK27" s="20">
        <v>100</v>
      </c>
      <c r="AM27" s="21">
        <v>0.72</v>
      </c>
      <c r="AO27" s="55">
        <f t="shared" si="3"/>
        <v>75.38095238095238</v>
      </c>
      <c r="AP27" s="21">
        <f t="shared" si="4"/>
        <v>0</v>
      </c>
      <c r="AQ27" s="55">
        <f t="shared" si="5"/>
        <v>20.930232558139533</v>
      </c>
      <c r="AR27" s="21">
        <f t="shared" si="6"/>
        <v>2</v>
      </c>
      <c r="AS27" s="55">
        <f t="shared" si="7"/>
        <v>67.045454545454547</v>
      </c>
      <c r="AT27" s="21">
        <f t="shared" si="8"/>
        <v>0</v>
      </c>
      <c r="AU27" s="55">
        <f t="shared" si="9"/>
        <v>45</v>
      </c>
      <c r="AV27" s="21">
        <f t="shared" si="10"/>
        <v>1</v>
      </c>
      <c r="AW27" s="20">
        <f t="shared" si="11"/>
        <v>68.333333333333329</v>
      </c>
      <c r="AX27" s="20">
        <f t="shared" si="12"/>
        <v>74.666666666666671</v>
      </c>
      <c r="AY27" s="48">
        <f ca="1">IFERROR(__xludf.DUMMYFUNCTION("SUM( FILTER(C27:AA27, ISNUMBER(SEARCH(""Practice"", $C$1:$AA$1)) ) )  / 
  SUM( FILTER(C$75:AA$75, ISNUMBER(SEARCH(""Practice"", $C$1:$AA$1))))*0.1
+
(SUM( FILTER(C27:T27, ISNUMBER(SEARCH(""AFTER RETAKE"", $C$1:$T$1)) ) )
+
SUM( FILTER(U27:AD27, ISNUMBER("&amp;"SEARCH(""AFTER RETAKE"", $U$1:$AD$1)) ) ))  / 
  SUM( FILTER(C$75:AA$75, ISNUMBER(SEARCH(""BEFORE RETAKE"", $C$1:$AA$1))))*0.6 
+ 
 AM27*0.3"),0.720874999999999)</f>
        <v>0.72087499999999904</v>
      </c>
      <c r="AZ27" s="48">
        <f ca="1">IFERROR(__xludf.DUMMYFUNCTION("SUM( FILTER(C27:AA27, ISNUMBER(SEARCH(""Practice"", $C$1:$AA$1)) ) )  / 
  SUM( FILTER(C$75:AA$75, ISNUMBER(SEARCH(""Practice"", $C$1:$AA$1))))*0.1
+
(SUM( FILTER(C27:T27, ISNUMBER(SEARCH(""Before RETAKE"", $C$1:$T$1)) ) )
+
SUM( FILTER(U27:AD27, ISNUMBER"&amp;"(SEARCH(""Before RETAKE"", $U$1:$AD$1)) ) ))  / 
  SUM( FILTER(C$75:AA$75, ISNUMBER(SEARCH(""BEFORE RETAKE"", $C$1:$AA$1))))*0.6 
+ 
AM27* 0.3"),0.682875)</f>
        <v>0.68287500000000001</v>
      </c>
      <c r="BA27" s="55">
        <f t="shared" si="13"/>
        <v>52.089159871136616</v>
      </c>
      <c r="BB27" s="21">
        <f t="shared" si="14"/>
        <v>3</v>
      </c>
      <c r="BC27" s="55">
        <f t="shared" si="15"/>
        <v>54.153846153846153</v>
      </c>
      <c r="BD27" s="55"/>
      <c r="BE27" s="55"/>
      <c r="BF27" s="55"/>
    </row>
    <row r="28" spans="1:58" ht="15" customHeight="1" x14ac:dyDescent="0.2">
      <c r="A28" s="26" t="s">
        <v>313</v>
      </c>
      <c r="B28" s="26" t="s">
        <v>464</v>
      </c>
      <c r="C28" s="19" t="s">
        <v>8</v>
      </c>
      <c r="D28" s="20">
        <v>13.5</v>
      </c>
      <c r="E28" s="20">
        <v>14</v>
      </c>
      <c r="F28" s="20">
        <v>9.66</v>
      </c>
      <c r="G28" s="20" t="e">
        <f t="shared" ca="1" si="17"/>
        <v>#NAME?</v>
      </c>
      <c r="H28" s="20">
        <v>72</v>
      </c>
      <c r="I28" s="48">
        <f ca="1">IFERROR(__xludf.DUMMYFUNCTION("Sum(FILTER(C28:H28, $C$1:$H$1=""Unit 1 Practice""))/Sum(FILTER(C$75:H$75, $C$1:$H$1=""Unit 1 Practice""))*0.1 + Sum(FILTER(C28:H28, $C$1:$H$1=""Unit 1 Test (before retake)""))/Sum(FILTER(C$75:H$75, $C$1:$H$1=""Unit 1 Test (before retake)""))*0.6 + 0.3"),0.822506329113924)</f>
        <v>0.82250632911392396</v>
      </c>
      <c r="J28" s="20" t="s">
        <v>462</v>
      </c>
      <c r="K28" s="20">
        <v>72</v>
      </c>
      <c r="L28" s="48">
        <f ca="1">IFERROR(__xludf.DUMMYFUNCTION("SUM( FILTER(C28:K28, ISNUMBER(SEARCH(""Practice"", $C$1:$K$1)) ) )  / 
  SUM( FILTER(C$75:K$75, ISNUMBER(SEARCH(""Practice"", $C$1:$K$1))))*0.1
+
SUM( FILTER(C28:K28, ISNUMBER(SEARCH(""AFTER RETAKE"", $C$1:$K$1)) ) )  / 
  SUM( FILTER(C$75:K$75, ISNUMBER"&amp;"(SEARCH(""AFTER RETAKE"", $C$1:$K$1))))*0.6 + 0.3
"),0.822506329113924)</f>
        <v>0.82250632911392396</v>
      </c>
      <c r="M28" s="20">
        <v>17</v>
      </c>
      <c r="N28" s="20">
        <v>12</v>
      </c>
      <c r="O28" s="20">
        <v>12.4</v>
      </c>
      <c r="P28" s="20" t="e">
        <f t="shared" ca="1" si="1"/>
        <v>#NAME?</v>
      </c>
      <c r="Q28" s="20">
        <v>72</v>
      </c>
      <c r="R28" s="48">
        <f ca="1">IFERROR(__xludf.DUMMYFUNCTION("SUM( FILTER(C28:T28, ISNUMBER(SEARCH(""Practice"", $C$1:$T$1)) ) )  / 
  SUM( FILTER(C$75:T$75, ISNUMBER(SEARCH(""Practice"", $C$1:$T$1))))*0.1
+
(SUM( FILTER(C28:K28, ISNUMBER(SEARCH(""AFTER RETAKE"", $C$1:$K$1)) ) )+SUM( FILTER(K28:T28, ISNUMBER(SEARCH"&amp;"(""BEFORE RETAKE"", $K$1:$T$1)) ) ))  / 
  SUM( FILTER(C$75:T$75, ISNUMBER(SEARCH(""BEFORE RETAKE"", $C$1:$T$1))))*0.6 + 0.3"),0.825081761006289)</f>
        <v>0.82508176100628905</v>
      </c>
      <c r="S28" s="20" t="s">
        <v>462</v>
      </c>
      <c r="T28" s="20">
        <v>72</v>
      </c>
      <c r="U28" s="48">
        <f ca="1">IFERROR(__xludf.DUMMYFUNCTION("SUM( FILTER(C28:T28, ISNUMBER(SEARCH(""Practice"", $C$1:$T$1)) ) )  / 
  SUM( FILTER(C$75:T$75, ISNUMBER(SEARCH(""Practice"", $C$1:$T$1))))*0.1
+
SUM( FILTER(C28:T28, ISNUMBER(SEARCH(""AFTER RETAKE"", $C$1:$T$1)) ) )  / 
  SUM( FILTER(C$75:T$75, ISNUMBER"&amp;"(SEARCH(""AFTER RETAKE"", $C$1:$T$1))))*0.6 + 0.3
"),0.825081761006289)</f>
        <v>0.82508176100628905</v>
      </c>
      <c r="V28" s="20">
        <v>10</v>
      </c>
      <c r="W28" s="20">
        <v>9</v>
      </c>
      <c r="X28" s="20">
        <v>11</v>
      </c>
      <c r="Y28" s="20">
        <v>3</v>
      </c>
      <c r="Z28" s="20" t="e">
        <f t="shared" ca="1" si="2"/>
        <v>#NAME?</v>
      </c>
      <c r="AA28" s="20">
        <v>68</v>
      </c>
      <c r="AB28" s="48">
        <f ca="1">IFERROR(__xludf.DUMMYFUNCTION("SUM( FILTER(C28:AA28, ISNUMBER(SEARCH(""Practice"", $C$1:$AA$1)) ) )  / 
  SUM( FILTER(C$75:AA$75, ISNUMBER(SEARCH(""Practice"", $C$1:$AA$1))))*0.1
+
(SUM( FILTER(C28:T28, ISNUMBER(SEARCH(""AFTER RETAKE"", $C$1:$T$1)) ) )+SUM( FILTER(T28:AA28, ISNUMBER(S"&amp;"EARCH(""BEFORE RETAKE"", $T$1:$AA$1)) ) ))  / 
  SUM( FILTER(C$75:AA$75, ISNUMBER(SEARCH(""BEFORE RETAKE"", $C$1:$AA$1))))*0.6 + 0.3"),0.811708333333333)</f>
        <v>0.81170833333333303</v>
      </c>
      <c r="AC28" s="20" t="s">
        <v>462</v>
      </c>
      <c r="AD28" s="20">
        <v>68</v>
      </c>
      <c r="AE28" s="48">
        <f ca="1">IFERROR(__xludf.DUMMYFUNCTION("SUM( FILTER(C28:AA28, ISNUMBER(SEARCH(""Practice"", $C$1:$AA$1)) ) )  / 
  SUM( FILTER(C$75:AA$75, ISNUMBER(SEARCH(""Practice"", $C$1:$AA$1))))*0.1
+
SUM( FILTER(C28:AD28, ISNUMBER(SEARCH(""AFTER RETAKE"", $C$1:$AD$1)) ) )
  / 
  SUM( FILTER(C$75:AD$75, I"&amp;"SNUMBER(SEARCH(""BEFORE RETAKE"", $C$1:$AD$1))))*0.6 
+ 
0.3"),0.811708333333333)</f>
        <v>0.81170833333333303</v>
      </c>
      <c r="AF28" s="20" t="s">
        <v>462</v>
      </c>
      <c r="AG28" s="20">
        <v>21</v>
      </c>
      <c r="AH28" s="20">
        <v>9</v>
      </c>
      <c r="AI28" s="20">
        <v>26</v>
      </c>
      <c r="AJ28" s="20">
        <v>9.9</v>
      </c>
      <c r="AK28" s="20">
        <v>88</v>
      </c>
      <c r="AM28" s="21">
        <v>0.65</v>
      </c>
      <c r="AO28" s="55">
        <f t="shared" si="3"/>
        <v>88.476190476190467</v>
      </c>
      <c r="AP28" s="21">
        <f t="shared" si="4"/>
        <v>0</v>
      </c>
      <c r="AQ28" s="55">
        <f t="shared" si="5"/>
        <v>96.279069767441854</v>
      </c>
      <c r="AR28" s="21">
        <f t="shared" si="6"/>
        <v>0</v>
      </c>
      <c r="AS28" s="55">
        <f t="shared" si="7"/>
        <v>75</v>
      </c>
      <c r="AT28" s="21">
        <f t="shared" si="8"/>
        <v>0</v>
      </c>
      <c r="AU28" s="55">
        <f t="shared" si="9"/>
        <v>93.333333333333329</v>
      </c>
      <c r="AV28" s="21">
        <f t="shared" si="10"/>
        <v>0</v>
      </c>
      <c r="AW28" s="20">
        <f t="shared" si="11"/>
        <v>70.666666666666671</v>
      </c>
      <c r="AX28" s="20">
        <f t="shared" si="12"/>
        <v>70.666666666666671</v>
      </c>
      <c r="AY28" s="48">
        <f ca="1">IFERROR(__xludf.DUMMYFUNCTION("SUM( FILTER(C28:AA28, ISNUMBER(SEARCH(""Practice"", $C$1:$AA$1)) ) )  / 
  SUM( FILTER(C$75:AA$75, ISNUMBER(SEARCH(""Practice"", $C$1:$AA$1))))*0.1
+
(SUM( FILTER(C28:T28, ISNUMBER(SEARCH(""AFTER RETAKE"", $C$1:$T$1)) ) )
+
SUM( FILTER(U28:AD28, ISNUMBER("&amp;"SEARCH(""AFTER RETAKE"", $U$1:$AD$1)) ) ))  / 
  SUM( FILTER(C$75:AA$75, ISNUMBER(SEARCH(""BEFORE RETAKE"", $C$1:$AA$1))))*0.6 
+ 
 AM28*0.3"),0.706708333333333)</f>
        <v>0.70670833333333305</v>
      </c>
      <c r="AZ28" s="48">
        <f ca="1">IFERROR(__xludf.DUMMYFUNCTION("SUM( FILTER(C28:AA28, ISNUMBER(SEARCH(""Practice"", $C$1:$AA$1)) ) )  / 
  SUM( FILTER(C$75:AA$75, ISNUMBER(SEARCH(""Practice"", $C$1:$AA$1))))*0.1
+
(SUM( FILTER(C28:T28, ISNUMBER(SEARCH(""Before RETAKE"", $C$1:$T$1)) ) )
+
SUM( FILTER(U28:AD28, ISNUMBER"&amp;"(SEARCH(""Before RETAKE"", $U$1:$AD$1)) ) ))  / 
  SUM( FILTER(C$75:AA$75, ISNUMBER(SEARCH(""BEFORE RETAKE"", $C$1:$AA$1))))*0.6 
+ 
AM28* 0.3"),0.706708333333333)</f>
        <v>0.70670833333333305</v>
      </c>
      <c r="BA28" s="55">
        <f t="shared" si="13"/>
        <v>88.272148394241412</v>
      </c>
      <c r="BB28" s="21">
        <f t="shared" si="14"/>
        <v>0</v>
      </c>
      <c r="BC28" s="55">
        <f t="shared" si="15"/>
        <v>67.230769230769226</v>
      </c>
      <c r="BD28" s="55"/>
      <c r="BE28" s="55"/>
      <c r="BF28" s="55"/>
    </row>
    <row r="29" spans="1:58" ht="15" customHeight="1" x14ac:dyDescent="0.2">
      <c r="A29" s="26" t="s">
        <v>315</v>
      </c>
      <c r="B29" s="26" t="s">
        <v>461</v>
      </c>
      <c r="C29" s="28" t="s">
        <v>8</v>
      </c>
      <c r="D29" s="29">
        <v>15</v>
      </c>
      <c r="E29" s="29">
        <v>14</v>
      </c>
      <c r="F29" s="29">
        <v>11</v>
      </c>
      <c r="G29" s="20" t="e">
        <f t="shared" ca="1" si="17"/>
        <v>#NAME?</v>
      </c>
      <c r="H29" s="29">
        <v>95</v>
      </c>
      <c r="I29" s="48">
        <f ca="1">IFERROR(__xludf.DUMMYFUNCTION("Sum(FILTER(C29:H29, $C$1:$H$1=""Unit 1 Practice""))/Sum(FILTER(C$75:H$75, $C$1:$H$1=""Unit 1 Practice""))*0.1 + Sum(FILTER(C29:H29, $C$1:$H$1=""Unit 1 Test (before retake)""))/Sum(FILTER(C$75:H$75, $C$1:$H$1=""Unit 1 Test (before retake)""))*0.6 + 0.3"),0.964936708860759)</f>
        <v>0.964936708860759</v>
      </c>
      <c r="J29" s="27" t="s">
        <v>462</v>
      </c>
      <c r="K29" s="29">
        <v>95</v>
      </c>
      <c r="L29" s="48">
        <f ca="1">IFERROR(__xludf.DUMMYFUNCTION("SUM( FILTER(C29:K29, ISNUMBER(SEARCH(""Practice"", $C$1:$K$1)) ) )  / 
  SUM( FILTER(C$75:K$75, ISNUMBER(SEARCH(""Practice"", $C$1:$K$1))))*0.1
+
SUM( FILTER(C29:K29, ISNUMBER(SEARCH(""AFTER RETAKE"", $C$1:$K$1)) ) )  / 
  SUM( FILTER(C$75:K$75, ISNUMBER"&amp;"(SEARCH(""AFTER RETAKE"", $C$1:$K$1))))*0.6 + 0.3
"),0.964936708860759)</f>
        <v>0.964936708860759</v>
      </c>
      <c r="M29" s="29">
        <v>18</v>
      </c>
      <c r="N29" s="29">
        <v>12</v>
      </c>
      <c r="O29" s="29">
        <v>10</v>
      </c>
      <c r="P29" s="20" t="e">
        <f t="shared" ca="1" si="1"/>
        <v>#NAME?</v>
      </c>
      <c r="Q29" s="29">
        <v>82</v>
      </c>
      <c r="R29" s="48">
        <f ca="1">IFERROR(__xludf.DUMMYFUNCTION("SUM( FILTER(C29:T29, ISNUMBER(SEARCH(""Practice"", $C$1:$T$1)) ) )  / 
  SUM( FILTER(C$75:T$75, ISNUMBER(SEARCH(""Practice"", $C$1:$T$1))))*0.1
+
(SUM( FILTER(C29:K29, ISNUMBER(SEARCH(""AFTER RETAKE"", $C$1:$K$1)) ) )+SUM( FILTER(K29:T29, ISNUMBER(SEARCH"&amp;"(""BEFORE RETAKE"", $K$1:$T$1)) ) ))  / 
  SUM( FILTER(C$75:T$75, ISNUMBER(SEARCH(""BEFORE RETAKE"", $C$1:$T$1))))*0.6 + 0.3"),0.924710691823899)</f>
        <v>0.92471069182389898</v>
      </c>
      <c r="S29" s="29">
        <v>95</v>
      </c>
      <c r="T29" s="29">
        <v>95</v>
      </c>
      <c r="U29" s="48">
        <f ca="1">IFERROR(__xludf.DUMMYFUNCTION("SUM( FILTER(C29:T29, ISNUMBER(SEARCH(""Practice"", $C$1:$T$1)) ) )  / 
  SUM( FILTER(C$75:T$75, ISNUMBER(SEARCH(""Practice"", $C$1:$T$1))))*0.1
+
SUM( FILTER(C29:T29, ISNUMBER(SEARCH(""AFTER RETAKE"", $C$1:$T$1)) ) )  / 
  SUM( FILTER(C$75:T$75, ISNUMBER"&amp;"(SEARCH(""AFTER RETAKE"", $C$1:$T$1))))*0.6 + 0.3
"),0.963710691823899)</f>
        <v>0.96371069182389901</v>
      </c>
      <c r="V29" s="29">
        <v>10</v>
      </c>
      <c r="W29" s="29">
        <v>10</v>
      </c>
      <c r="X29" s="29">
        <v>11</v>
      </c>
      <c r="Y29" s="29">
        <v>11</v>
      </c>
      <c r="Z29" s="20" t="e">
        <f t="shared" ca="1" si="2"/>
        <v>#NAME?</v>
      </c>
      <c r="AA29" s="29">
        <v>100</v>
      </c>
      <c r="AB29" s="48">
        <f ca="1">IFERROR(__xludf.DUMMYFUNCTION("SUM( FILTER(C29:AA29, ISNUMBER(SEARCH(""Practice"", $C$1:$AA$1)) ) )  / 
  SUM( FILTER(C$75:AA$75, ISNUMBER(SEARCH(""Practice"", $C$1:$AA$1))))*0.1
+
(SUM( FILTER(C29:T29, ISNUMBER(SEARCH(""AFTER RETAKE"", $C$1:$T$1)) ) )+SUM( FILTER(T29:AA29, ISNUMBER(S"&amp;"EARCH(""BEFORE RETAKE"", $T$1:$AA$1)) ) ))  / 
  SUM( FILTER(C$75:AA$75, ISNUMBER(SEARCH(""BEFORE RETAKE"", $C$1:$AA$1))))*0.6 + 0.3"),0.974166666666666)</f>
        <v>0.97416666666666596</v>
      </c>
      <c r="AC29" s="29" t="s">
        <v>462</v>
      </c>
      <c r="AD29" s="29">
        <v>100</v>
      </c>
      <c r="AE29" s="48">
        <f ca="1">IFERROR(__xludf.DUMMYFUNCTION("SUM( FILTER(C29:AA29, ISNUMBER(SEARCH(""Practice"", $C$1:$AA$1)) ) )  / 
  SUM( FILTER(C$75:AA$75, ISNUMBER(SEARCH(""Practice"", $C$1:$AA$1))))*0.1
+
SUM( FILTER(C29:AD29, ISNUMBER(SEARCH(""AFTER RETAKE"", $C$1:$AD$1)) ) )
  / 
  SUM( FILTER(C$75:AD$75, I"&amp;"SNUMBER(SEARCH(""BEFORE RETAKE"", $C$1:$AD$1))))*0.6 
+ 
0.3"),0.974166666666666)</f>
        <v>0.97416666666666596</v>
      </c>
      <c r="AF29" s="29" t="s">
        <v>462</v>
      </c>
      <c r="AG29" s="29">
        <v>22</v>
      </c>
      <c r="AH29" s="29">
        <v>9.5</v>
      </c>
      <c r="AI29" s="29">
        <v>24</v>
      </c>
      <c r="AJ29" s="29">
        <v>11</v>
      </c>
      <c r="AK29" s="29">
        <v>92</v>
      </c>
      <c r="AL29" s="30"/>
      <c r="AM29" s="30">
        <v>0.95</v>
      </c>
      <c r="AN29" s="30"/>
      <c r="AO29" s="55">
        <f t="shared" si="3"/>
        <v>95.238095238095227</v>
      </c>
      <c r="AP29" s="21">
        <f t="shared" si="4"/>
        <v>0</v>
      </c>
      <c r="AQ29" s="55">
        <f t="shared" si="5"/>
        <v>93.023255813953483</v>
      </c>
      <c r="AR29" s="21">
        <f t="shared" si="6"/>
        <v>0</v>
      </c>
      <c r="AS29" s="55">
        <f t="shared" si="7"/>
        <v>95.454545454545453</v>
      </c>
      <c r="AT29" s="21">
        <f t="shared" si="8"/>
        <v>0</v>
      </c>
      <c r="AU29" s="55">
        <f t="shared" si="9"/>
        <v>92.5</v>
      </c>
      <c r="AV29" s="21">
        <f t="shared" si="10"/>
        <v>0</v>
      </c>
      <c r="AW29" s="20">
        <f t="shared" si="11"/>
        <v>92.333333333333329</v>
      </c>
      <c r="AX29" s="20">
        <f t="shared" si="12"/>
        <v>96.666666666666671</v>
      </c>
      <c r="AY29" s="48">
        <f ca="1">IFERROR(__xludf.DUMMYFUNCTION("SUM( FILTER(C29:AA29, ISNUMBER(SEARCH(""Practice"", $C$1:$AA$1)) ) )  / 
  SUM( FILTER(C$75:AA$75, ISNUMBER(SEARCH(""Practice"", $C$1:$AA$1))))*0.1
+
(SUM( FILTER(C29:T29, ISNUMBER(SEARCH(""AFTER RETAKE"", $C$1:$T$1)) ) )
+
SUM( FILTER(U29:AD29, ISNUMBER("&amp;"SEARCH(""AFTER RETAKE"", $U$1:$AD$1)) ) ))  / 
  SUM( FILTER(C$75:AA$75, ISNUMBER(SEARCH(""BEFORE RETAKE"", $C$1:$AA$1))))*0.6 
+ 
 AM29*0.3"),0.959166666666666)</f>
        <v>0.95916666666666595</v>
      </c>
      <c r="AZ29" s="48">
        <f ca="1">IFERROR(__xludf.DUMMYFUNCTION("SUM( FILTER(C29:AA29, ISNUMBER(SEARCH(""Practice"", $C$1:$AA$1)) ) )  / 
  SUM( FILTER(C$75:AA$75, ISNUMBER(SEARCH(""Practice"", $C$1:$AA$1))))*0.1
+
(SUM( FILTER(C29:T29, ISNUMBER(SEARCH(""Before RETAKE"", $C$1:$T$1)) ) )
+
SUM( FILTER(U29:AD29, ISNUMBER"&amp;"(SEARCH(""Before RETAKE"", $U$1:$AD$1)) ) ))  / 
  SUM( FILTER(C$75:AA$75, ISNUMBER(SEARCH(""BEFORE RETAKE"", $C$1:$AA$1))))*0.6 
+ 
AM29* 0.3"),0.933166666666666)</f>
        <v>0.93316666666666603</v>
      </c>
      <c r="BA29" s="55">
        <f t="shared" si="13"/>
        <v>94.053974126648541</v>
      </c>
      <c r="BB29" s="21">
        <f t="shared" si="14"/>
        <v>0</v>
      </c>
      <c r="BC29" s="55">
        <f t="shared" si="15"/>
        <v>82.692307692307693</v>
      </c>
      <c r="BD29" s="30"/>
      <c r="BE29" s="30"/>
      <c r="BF29" s="30"/>
    </row>
    <row r="30" spans="1:58" ht="15" customHeight="1" x14ac:dyDescent="0.2">
      <c r="A30" s="26" t="s">
        <v>317</v>
      </c>
      <c r="B30" s="26" t="s">
        <v>464</v>
      </c>
      <c r="C30" s="19" t="s">
        <v>8</v>
      </c>
      <c r="D30" s="20">
        <v>13</v>
      </c>
      <c r="E30" s="20">
        <v>6.5</v>
      </c>
      <c r="F30" s="20">
        <v>9.67</v>
      </c>
      <c r="G30" s="20" t="e">
        <f t="shared" ca="1" si="17"/>
        <v>#NAME?</v>
      </c>
      <c r="H30" s="20">
        <v>65</v>
      </c>
      <c r="I30" s="48">
        <f ca="1">IFERROR(__xludf.DUMMYFUNCTION("Sum(FILTER(C30:H30, $C$1:$H$1=""Unit 1 Practice""))/Sum(FILTER(C$75:H$75, $C$1:$H$1=""Unit 1 Practice""))*0.1 + Sum(FILTER(C30:H30, $C$1:$H$1=""Unit 1 Test (before retake)""))/Sum(FILTER(C$75:H$75, $C$1:$H$1=""Unit 1 Test (before retake)""))*0.6 + 0.3"),0.770379746835443)</f>
        <v>0.77037974683544297</v>
      </c>
      <c r="J30" s="20" t="s">
        <v>462</v>
      </c>
      <c r="K30" s="20">
        <v>65</v>
      </c>
      <c r="L30" s="48">
        <f ca="1">IFERROR(__xludf.DUMMYFUNCTION("SUM( FILTER(C30:K30, ISNUMBER(SEARCH(""Practice"", $C$1:$K$1)) ) )  / 
  SUM( FILTER(C$75:K$75, ISNUMBER(SEARCH(""Practice"", $C$1:$K$1))))*0.1
+
SUM( FILTER(C30:K30, ISNUMBER(SEARCH(""AFTER RETAKE"", $C$1:$K$1)) ) )  / 
  SUM( FILTER(C$75:K$75, ISNUMBER"&amp;"(SEARCH(""AFTER RETAKE"", $C$1:$K$1))))*0.6 + 0.3
"),0.770379746835443)</f>
        <v>0.77037974683544297</v>
      </c>
      <c r="M30" s="20">
        <v>16</v>
      </c>
      <c r="N30" s="20">
        <v>0</v>
      </c>
      <c r="O30" s="20">
        <v>0</v>
      </c>
      <c r="P30" s="20" t="e">
        <f t="shared" ca="1" si="1"/>
        <v>#NAME?</v>
      </c>
      <c r="Q30" s="20">
        <v>62</v>
      </c>
      <c r="R30" s="48">
        <f ca="1">IFERROR(__xludf.DUMMYFUNCTION("SUM( FILTER(C30:T30, ISNUMBER(SEARCH(""Practice"", $C$1:$T$1)) ) )  / 
  SUM( FILTER(C$75:T$75, ISNUMBER(SEARCH(""Practice"", $C$1:$T$1))))*0.1
+
(SUM( FILTER(C30:K30, ISNUMBER(SEARCH(""AFTER RETAKE"", $C$1:$K$1)) ) )+SUM( FILTER(K30:T30, ISNUMBER(SEARCH"&amp;"(""BEFORE RETAKE"", $K$1:$T$1)) ) ))  / 
  SUM( FILTER(C$75:T$75, ISNUMBER(SEARCH(""BEFORE RETAKE"", $C$1:$T$1))))*0.6 + 0.3"),0.731)</f>
        <v>0.73099999999999998</v>
      </c>
      <c r="S30" s="20" t="s">
        <v>462</v>
      </c>
      <c r="T30" s="20">
        <v>62</v>
      </c>
      <c r="U30" s="48">
        <f ca="1">IFERROR(__xludf.DUMMYFUNCTION("SUM( FILTER(C30:T30, ISNUMBER(SEARCH(""Practice"", $C$1:$T$1)) ) )  / 
  SUM( FILTER(C$75:T$75, ISNUMBER(SEARCH(""Practice"", $C$1:$T$1))))*0.1
+
SUM( FILTER(C30:T30, ISNUMBER(SEARCH(""AFTER RETAKE"", $C$1:$T$1)) ) )  / 
  SUM( FILTER(C$75:T$75, ISNUMBER"&amp;"(SEARCH(""AFTER RETAKE"", $C$1:$T$1))))*0.6 + 0.3
"),0.731)</f>
        <v>0.73099999999999998</v>
      </c>
      <c r="V30" s="20">
        <v>0</v>
      </c>
      <c r="W30" s="20">
        <v>0</v>
      </c>
      <c r="X30" s="20">
        <v>11</v>
      </c>
      <c r="Y30" s="20">
        <v>4.5</v>
      </c>
      <c r="Z30" s="20" t="e">
        <f t="shared" ca="1" si="2"/>
        <v>#NAME?</v>
      </c>
      <c r="AA30" s="20">
        <v>65</v>
      </c>
      <c r="AB30" s="48">
        <f ca="1">IFERROR(__xludf.DUMMYFUNCTION("SUM( FILTER(C30:AA30, ISNUMBER(SEARCH(""Practice"", $C$1:$AA$1)) ) )  / 
  SUM( FILTER(C$75:AA$75, ISNUMBER(SEARCH(""Practice"", $C$1:$AA$1))))*0.1
+
(SUM( FILTER(C30:T30, ISNUMBER(SEARCH(""AFTER RETAKE"", $C$1:$T$1)) ) )+SUM( FILTER(T30:AA30, ISNUMBER(S"&amp;"EARCH(""BEFORE RETAKE"", $T$1:$AA$1)) ) ))  / 
  SUM( FILTER(C$75:AA$75, ISNUMBER(SEARCH(""BEFORE RETAKE"", $C$1:$AA$1))))*0.6 + 0.3"),0.736708333333333)</f>
        <v>0.73670833333333297</v>
      </c>
      <c r="AC30" s="20">
        <v>68</v>
      </c>
      <c r="AD30" s="20">
        <v>68</v>
      </c>
      <c r="AE30" s="48">
        <f ca="1">IFERROR(__xludf.DUMMYFUNCTION("SUM( FILTER(C30:AA30, ISNUMBER(SEARCH(""Practice"", $C$1:$AA$1)) ) )  / 
  SUM( FILTER(C$75:AA$75, ISNUMBER(SEARCH(""Practice"", $C$1:$AA$1))))*0.1
+
SUM( FILTER(C30:AD30, ISNUMBER(SEARCH(""AFTER RETAKE"", $C$1:$AD$1)) ) )
  / 
  SUM( FILTER(C$75:AD$75, I"&amp;"SNUMBER(SEARCH(""BEFORE RETAKE"", $C$1:$AD$1))))*0.6 
+ 
0.3"),0.742708333333333)</f>
        <v>0.74270833333333297</v>
      </c>
      <c r="AF30" s="20" t="s">
        <v>462</v>
      </c>
      <c r="AG30" s="20">
        <v>21</v>
      </c>
      <c r="AH30" s="20">
        <v>4</v>
      </c>
      <c r="AI30" s="20">
        <v>0</v>
      </c>
      <c r="AJ30" s="20">
        <v>12.8</v>
      </c>
      <c r="AK30" s="20">
        <v>100</v>
      </c>
      <c r="AM30" s="21">
        <v>0.62</v>
      </c>
      <c r="AO30" s="55">
        <f t="shared" si="3"/>
        <v>69.452380952380949</v>
      </c>
      <c r="AP30" s="21">
        <f t="shared" si="4"/>
        <v>0</v>
      </c>
      <c r="AQ30" s="55">
        <f t="shared" si="5"/>
        <v>37.20930232558139</v>
      </c>
      <c r="AR30" s="21">
        <f t="shared" si="6"/>
        <v>2</v>
      </c>
      <c r="AS30" s="55">
        <f t="shared" si="7"/>
        <v>35.227272727272727</v>
      </c>
      <c r="AT30" s="21">
        <f t="shared" si="8"/>
        <v>2</v>
      </c>
      <c r="AU30" s="55">
        <f t="shared" si="9"/>
        <v>41.666666666666671</v>
      </c>
      <c r="AV30" s="21">
        <f t="shared" si="10"/>
        <v>1</v>
      </c>
      <c r="AW30" s="20">
        <f t="shared" si="11"/>
        <v>64</v>
      </c>
      <c r="AX30" s="20">
        <f t="shared" si="12"/>
        <v>65</v>
      </c>
      <c r="AY30" s="48">
        <f ca="1">IFERROR(__xludf.DUMMYFUNCTION("SUM( FILTER(C30:AA30, ISNUMBER(SEARCH(""Practice"", $C$1:$AA$1)) ) )  / 
  SUM( FILTER(C$75:AA$75, ISNUMBER(SEARCH(""Practice"", $C$1:$AA$1))))*0.1
+
(SUM( FILTER(C30:T30, ISNUMBER(SEARCH(""AFTER RETAKE"", $C$1:$T$1)) ) )
+
SUM( FILTER(U30:AD30, ISNUMBER("&amp;"SEARCH(""AFTER RETAKE"", $U$1:$AD$1)) ) ))  / 
  SUM( FILTER(C$75:AA$75, ISNUMBER(SEARCH(""BEFORE RETAKE"", $C$1:$AA$1))))*0.6 
+ 
 AM30*0.3"),0.628708333333333)</f>
        <v>0.62870833333333298</v>
      </c>
      <c r="AZ30" s="48">
        <f ca="1">IFERROR(__xludf.DUMMYFUNCTION("SUM( FILTER(C30:AA30, ISNUMBER(SEARCH(""Practice"", $C$1:$AA$1)) ) )  / 
  SUM( FILTER(C$75:AA$75, ISNUMBER(SEARCH(""Practice"", $C$1:$AA$1))))*0.1
+
(SUM( FILTER(C30:T30, ISNUMBER(SEARCH(""Before RETAKE"", $C$1:$T$1)) ) )
+
SUM( FILTER(U30:AD30, ISNUMBER"&amp;"(SEARCH(""Before RETAKE"", $U$1:$AD$1)) ) ))  / 
  SUM( FILTER(C$75:AA$75, ISNUMBER(SEARCH(""BEFORE RETAKE"", $C$1:$AA$1))))*0.6 
+ 
AM30* 0.3"),0.622708333333333)</f>
        <v>0.62270833333333298</v>
      </c>
      <c r="BA30" s="55">
        <f t="shared" si="13"/>
        <v>45.888905667975436</v>
      </c>
      <c r="BB30" s="21">
        <f t="shared" si="14"/>
        <v>5</v>
      </c>
      <c r="BC30" s="55">
        <f t="shared" si="15"/>
        <v>51.865384615384613</v>
      </c>
    </row>
    <row r="31" spans="1:58" ht="15" customHeight="1" x14ac:dyDescent="0.2">
      <c r="A31" s="26" t="s">
        <v>319</v>
      </c>
      <c r="B31" s="26" t="s">
        <v>464</v>
      </c>
      <c r="C31" s="19" t="s">
        <v>8</v>
      </c>
      <c r="D31" s="20">
        <v>5</v>
      </c>
      <c r="E31" s="20">
        <v>1</v>
      </c>
      <c r="F31" s="20">
        <v>8</v>
      </c>
      <c r="G31" s="20" t="e">
        <f t="shared" ca="1" si="17"/>
        <v>#NAME?</v>
      </c>
      <c r="H31" s="20">
        <v>85</v>
      </c>
      <c r="I31" s="48">
        <f ca="1">IFERROR(__xludf.DUMMYFUNCTION("Sum(FILTER(C31:H31, $C$1:$H$1=""Unit 1 Practice""))/Sum(FILTER(C$75:H$75, $C$1:$H$1=""Unit 1 Practice""))*0.1 + Sum(FILTER(C31:H31, $C$1:$H$1=""Unit 1 Test (before retake)""))/Sum(FILTER(C$75:H$75, $C$1:$H$1=""Unit 1 Test (before retake)""))*0.6 + 0.3"),0.869493670886075)</f>
        <v>0.86949367088607499</v>
      </c>
      <c r="J31" s="20" t="s">
        <v>462</v>
      </c>
      <c r="K31" s="20">
        <v>85</v>
      </c>
      <c r="L31" s="48">
        <f ca="1">IFERROR(__xludf.DUMMYFUNCTION("SUM( FILTER(C31:K31, ISNUMBER(SEARCH(""Practice"", $C$1:$K$1)) ) )  / 
  SUM( FILTER(C$75:K$75, ISNUMBER(SEARCH(""Practice"", $C$1:$K$1))))*0.1
+
SUM( FILTER(C31:K31, ISNUMBER(SEARCH(""AFTER RETAKE"", $C$1:$K$1)) ) )  / 
  SUM( FILTER(C$75:K$75, ISNUMBER"&amp;"(SEARCH(""AFTER RETAKE"", $C$1:$K$1))))*0.6 + 0.3
"),0.869493670886075)</f>
        <v>0.86949367088607499</v>
      </c>
      <c r="M31" s="20">
        <v>18</v>
      </c>
      <c r="N31" s="20">
        <v>12</v>
      </c>
      <c r="O31" s="20">
        <v>10</v>
      </c>
      <c r="P31" s="20" t="e">
        <f t="shared" ca="1" si="1"/>
        <v>#NAME?</v>
      </c>
      <c r="Q31" s="20">
        <v>75</v>
      </c>
      <c r="R31" s="48">
        <f ca="1">IFERROR(__xludf.DUMMYFUNCTION("SUM( FILTER(C31:T31, ISNUMBER(SEARCH(""Practice"", $C$1:$T$1)) ) )  / 
  SUM( FILTER(C$75:T$75, ISNUMBER(SEARCH(""Practice"", $C$1:$T$1))))*0.1
+
(SUM( FILTER(C31:K31, ISNUMBER(SEARCH(""AFTER RETAKE"", $C$1:$K$1)) ) )+SUM( FILTER(K31:T31, ISNUMBER(SEARCH"&amp;"(""BEFORE RETAKE"", $K$1:$T$1)) ) ))  / 
  SUM( FILTER(C$75:T$75, ISNUMBER(SEARCH(""BEFORE RETAKE"", $C$1:$T$1))))*0.6 + 0.3"),0.856100628930817)</f>
        <v>0.85610062893081695</v>
      </c>
      <c r="S31" s="20">
        <v>95</v>
      </c>
      <c r="T31" s="20">
        <v>95</v>
      </c>
      <c r="U31" s="48">
        <f ca="1">IFERROR(__xludf.DUMMYFUNCTION("SUM( FILTER(C31:T31, ISNUMBER(SEARCH(""Practice"", $C$1:$T$1)) ) )  / 
  SUM( FILTER(C$75:T$75, ISNUMBER(SEARCH(""Practice"", $C$1:$T$1))))*0.1
+
SUM( FILTER(C31:T31, ISNUMBER(SEARCH(""AFTER RETAKE"", $C$1:$T$1)) ) )  / 
  SUM( FILTER(C$75:T$75, ISNUMBER"&amp;"(SEARCH(""AFTER RETAKE"", $C$1:$T$1))))*0.6 + 0.3
"),0.916100628930817)</f>
        <v>0.91610062893081701</v>
      </c>
      <c r="V31" s="20">
        <v>10</v>
      </c>
      <c r="W31" s="20">
        <v>10</v>
      </c>
      <c r="X31" s="20">
        <v>10</v>
      </c>
      <c r="Y31" s="20">
        <v>5.5</v>
      </c>
      <c r="Z31" s="20" t="e">
        <f t="shared" ca="1" si="2"/>
        <v>#NAME?</v>
      </c>
      <c r="AA31" s="20">
        <v>75</v>
      </c>
      <c r="AB31" s="48">
        <f ca="1">IFERROR(__xludf.DUMMYFUNCTION("SUM( FILTER(C31:AA31, ISNUMBER(SEARCH(""Practice"", $C$1:$AA$1)) ) )  / 
  SUM( FILTER(C$75:AA$75, ISNUMBER(SEARCH(""Practice"", $C$1:$AA$1))))*0.1
+
(SUM( FILTER(C31:T31, ISNUMBER(SEARCH(""AFTER RETAKE"", $C$1:$T$1)) ) )+SUM( FILTER(T31:AA31, ISNUMBER(S"&amp;"EARCH(""BEFORE RETAKE"", $T$1:$AA$1)) ) ))  / 
  SUM( FILTER(C$75:AA$75, ISNUMBER(SEARCH(""BEFORE RETAKE"", $C$1:$AA$1))))*0.6 + 0.3"),0.888541666666666)</f>
        <v>0.88854166666666601</v>
      </c>
      <c r="AC31" s="20">
        <v>75</v>
      </c>
      <c r="AD31" s="20">
        <v>75</v>
      </c>
      <c r="AE31" s="48">
        <f ca="1">IFERROR(__xludf.DUMMYFUNCTION("SUM( FILTER(C31:AA31, ISNUMBER(SEARCH(""Practice"", $C$1:$AA$1)) ) )  / 
  SUM( FILTER(C$75:AA$75, ISNUMBER(SEARCH(""Practice"", $C$1:$AA$1))))*0.1
+
SUM( FILTER(C31:AD31, ISNUMBER(SEARCH(""AFTER RETAKE"", $C$1:$AD$1)) ) )
  / 
  SUM( FILTER(C$75:AD$75, I"&amp;"SNUMBER(SEARCH(""BEFORE RETAKE"", $C$1:$AD$1))))*0.6 
+ 
0.3"),0.888541666666666)</f>
        <v>0.88854166666666601</v>
      </c>
      <c r="AF31" s="20" t="s">
        <v>462</v>
      </c>
      <c r="AG31" s="20">
        <v>21</v>
      </c>
      <c r="AH31" s="20">
        <v>9</v>
      </c>
      <c r="AI31" s="20">
        <v>14</v>
      </c>
      <c r="AJ31" s="20">
        <v>13</v>
      </c>
      <c r="AK31" s="20">
        <v>100</v>
      </c>
      <c r="AM31" s="21">
        <v>0.82</v>
      </c>
      <c r="AO31" s="55">
        <f t="shared" si="3"/>
        <v>33.333333333333329</v>
      </c>
      <c r="AP31" s="21">
        <f t="shared" si="4"/>
        <v>0</v>
      </c>
      <c r="AQ31" s="55">
        <f t="shared" si="5"/>
        <v>93.023255813953483</v>
      </c>
      <c r="AR31" s="21">
        <f t="shared" si="6"/>
        <v>0</v>
      </c>
      <c r="AS31" s="55">
        <f t="shared" si="7"/>
        <v>80.681818181818173</v>
      </c>
      <c r="AT31" s="21">
        <f t="shared" si="8"/>
        <v>0</v>
      </c>
      <c r="AU31" s="55">
        <f t="shared" si="9"/>
        <v>73.333333333333329</v>
      </c>
      <c r="AV31" s="21">
        <f t="shared" si="10"/>
        <v>0</v>
      </c>
      <c r="AW31" s="20">
        <f t="shared" si="11"/>
        <v>78.333333333333329</v>
      </c>
      <c r="AX31" s="20">
        <f t="shared" si="12"/>
        <v>85</v>
      </c>
      <c r="AY31" s="48">
        <f ca="1">IFERROR(__xludf.DUMMYFUNCTION("SUM( FILTER(C31:AA31, ISNUMBER(SEARCH(""Practice"", $C$1:$AA$1)) ) )  / 
  SUM( FILTER(C$75:AA$75, ISNUMBER(SEARCH(""Practice"", $C$1:$AA$1))))*0.1
+
(SUM( FILTER(C31:T31, ISNUMBER(SEARCH(""AFTER RETAKE"", $C$1:$T$1)) ) )
+
SUM( FILTER(U31:AD31, ISNUMBER("&amp;"SEARCH(""AFTER RETAKE"", $U$1:$AD$1)) ) ))  / 
  SUM( FILTER(C$75:AA$75, ISNUMBER(SEARCH(""BEFORE RETAKE"", $C$1:$AA$1))))*0.6 
+ 
 AM31*0.3"),0.834541666666666)</f>
        <v>0.83454166666666596</v>
      </c>
      <c r="AZ31" s="48">
        <f ca="1">IFERROR(__xludf.DUMMYFUNCTION("SUM( FILTER(C31:AA31, ISNUMBER(SEARCH(""Practice"", $C$1:$AA$1)) ) )  / 
  SUM( FILTER(C$75:AA$75, ISNUMBER(SEARCH(""Practice"", $C$1:$AA$1))))*0.1
+
(SUM( FILTER(C31:T31, ISNUMBER(SEARCH(""Before RETAKE"", $C$1:$T$1)) ) )
+
SUM( FILTER(U31:AD31, ISNUMBER"&amp;"(SEARCH(""Before RETAKE"", $U$1:$AD$1)) ) ))  / 
  SUM( FILTER(C$75:AA$75, ISNUMBER(SEARCH(""BEFORE RETAKE"", $C$1:$AA$1))))*0.6 
+ 
AM31* 0.3"),0.794541666666666)</f>
        <v>0.79454166666666604</v>
      </c>
      <c r="BA31" s="55">
        <f t="shared" si="13"/>
        <v>70.092935165609575</v>
      </c>
      <c r="BB31" s="21">
        <f t="shared" si="14"/>
        <v>0</v>
      </c>
      <c r="BC31" s="55">
        <f t="shared" si="15"/>
        <v>70.192307692307693</v>
      </c>
    </row>
    <row r="32" spans="1:58" ht="15" customHeight="1" x14ac:dyDescent="0.2">
      <c r="A32" s="26" t="s">
        <v>321</v>
      </c>
      <c r="B32" s="26" t="s">
        <v>464</v>
      </c>
      <c r="C32" s="19" t="s">
        <v>8</v>
      </c>
      <c r="D32" s="20">
        <v>14</v>
      </c>
      <c r="E32" s="20">
        <v>12</v>
      </c>
      <c r="F32" s="20">
        <v>8.16</v>
      </c>
      <c r="G32" s="20" t="e">
        <f t="shared" ca="1" si="17"/>
        <v>#NAME?</v>
      </c>
      <c r="H32" s="20">
        <v>100</v>
      </c>
      <c r="I32" s="48">
        <f ca="1">IFERROR(__xludf.DUMMYFUNCTION("Sum(FILTER(C32:H32, $C$1:$H$1=""Unit 1 Practice""))/Sum(FILTER(C$75:H$75, $C$1:$H$1=""Unit 1 Practice""))*0.1 + Sum(FILTER(C32:H32, $C$1:$H$1=""Unit 1 Test (before retake)""))/Sum(FILTER(C$75:H$75, $C$1:$H$1=""Unit 1 Test (before retake)""))*0.6 + 0.3"),0.984810126582278)</f>
        <v>0.98481012658227796</v>
      </c>
      <c r="J32" s="20" t="s">
        <v>462</v>
      </c>
      <c r="K32" s="20">
        <v>100</v>
      </c>
      <c r="L32" s="48">
        <f ca="1">IFERROR(__xludf.DUMMYFUNCTION("SUM( FILTER(C32:K32, ISNUMBER(SEARCH(""Practice"", $C$1:$K$1)) ) )  / 
  SUM( FILTER(C$75:K$75, ISNUMBER(SEARCH(""Practice"", $C$1:$K$1))))*0.1
+
SUM( FILTER(C32:K32, ISNUMBER(SEARCH(""AFTER RETAKE"", $C$1:$K$1)) ) )  / 
  SUM( FILTER(C$75:K$75, ISNUMBER"&amp;"(SEARCH(""AFTER RETAKE"", $C$1:$K$1))))*0.6 + 0.3
"),0.984810126582278)</f>
        <v>0.98481012658227796</v>
      </c>
      <c r="M32" s="20">
        <v>17</v>
      </c>
      <c r="N32" s="20">
        <v>12</v>
      </c>
      <c r="O32" s="20">
        <v>10</v>
      </c>
      <c r="P32" s="20" t="e">
        <f t="shared" ca="1" si="1"/>
        <v>#NAME?</v>
      </c>
      <c r="Q32" s="20">
        <v>92</v>
      </c>
      <c r="R32" s="48">
        <f ca="1">IFERROR(__xludf.DUMMYFUNCTION("SUM( FILTER(C32:T32, ISNUMBER(SEARCH(""Practice"", $C$1:$T$1)) ) )  / 
  SUM( FILTER(C$75:T$75, ISNUMBER(SEARCH(""Practice"", $C$1:$T$1))))*0.1
+
(SUM( FILTER(C32:K32, ISNUMBER(SEARCH(""AFTER RETAKE"", $C$1:$K$1)) ) )+SUM( FILTER(K32:T32, ISNUMBER(SEARCH"&amp;"(""BEFORE RETAKE"", $K$1:$T$1)) ) ))  / 
  SUM( FILTER(C$75:T$75, ISNUMBER(SEARCH(""BEFORE RETAKE"", $C$1:$T$1))))*0.6 + 0.3"),0.964050314465408)</f>
        <v>0.96405031446540801</v>
      </c>
      <c r="S32" s="20" t="s">
        <v>462</v>
      </c>
      <c r="T32" s="20">
        <v>92</v>
      </c>
      <c r="U32" s="48">
        <f ca="1">IFERROR(__xludf.DUMMYFUNCTION("SUM( FILTER(C32:T32, ISNUMBER(SEARCH(""Practice"", $C$1:$T$1)) ) )  / 
  SUM( FILTER(C$75:T$75, ISNUMBER(SEARCH(""Practice"", $C$1:$T$1))))*0.1
+
SUM( FILTER(C32:T32, ISNUMBER(SEARCH(""AFTER RETAKE"", $C$1:$T$1)) ) )  / 
  SUM( FILTER(C$75:T$75, ISNUMBER"&amp;"(SEARCH(""AFTER RETAKE"", $C$1:$T$1))))*0.6 + 0.3
"),0.964050314465408)</f>
        <v>0.96405031446540801</v>
      </c>
      <c r="V32" s="20">
        <v>9</v>
      </c>
      <c r="W32" s="20">
        <v>10</v>
      </c>
      <c r="X32" s="20">
        <v>11</v>
      </c>
      <c r="Y32" s="20">
        <v>10</v>
      </c>
      <c r="Z32" s="20" t="e">
        <f t="shared" ca="1" si="2"/>
        <v>#NAME?</v>
      </c>
      <c r="AA32" s="20">
        <v>82</v>
      </c>
      <c r="AB32" s="48">
        <f ca="1">IFERROR(__xludf.DUMMYFUNCTION("SUM( FILTER(C32:AA32, ISNUMBER(SEARCH(""Practice"", $C$1:$AA$1)) ) )  / 
  SUM( FILTER(C$75:AA$75, ISNUMBER(SEARCH(""Practice"", $C$1:$AA$1))))*0.1
+
(SUM( FILTER(C32:T32, ISNUMBER(SEARCH(""AFTER RETAKE"", $C$1:$T$1)) ) )+SUM( FILTER(T32:AA32, ISNUMBER(S"&amp;"EARCH(""BEFORE RETAKE"", $T$1:$AA$1)) ) ))  / 
  SUM( FILTER(C$75:AA$75, ISNUMBER(SEARCH(""BEFORE RETAKE"", $C$1:$AA$1))))*0.6 + 0.3"),0.937166666666666)</f>
        <v>0.93716666666666604</v>
      </c>
      <c r="AC32" s="20" t="s">
        <v>462</v>
      </c>
      <c r="AD32" s="20">
        <v>82</v>
      </c>
      <c r="AE32" s="48">
        <f ca="1">IFERROR(__xludf.DUMMYFUNCTION("SUM( FILTER(C32:AA32, ISNUMBER(SEARCH(""Practice"", $C$1:$AA$1)) ) )  / 
  SUM( FILTER(C$75:AA$75, ISNUMBER(SEARCH(""Practice"", $C$1:$AA$1))))*0.1
+
SUM( FILTER(C32:AD32, ISNUMBER(SEARCH(""AFTER RETAKE"", $C$1:$AD$1)) ) )
  / 
  SUM( FILTER(C$75:AD$75, I"&amp;"SNUMBER(SEARCH(""BEFORE RETAKE"", $C$1:$AD$1))))*0.6 
+ 
0.3"),0.937166666666666)</f>
        <v>0.93716666666666604</v>
      </c>
      <c r="AF32" s="20" t="s">
        <v>462</v>
      </c>
      <c r="AG32" s="20">
        <v>22</v>
      </c>
      <c r="AH32" s="20">
        <v>10</v>
      </c>
      <c r="AI32" s="20">
        <v>0</v>
      </c>
      <c r="AJ32" s="20">
        <v>13</v>
      </c>
      <c r="AK32" s="20">
        <v>100</v>
      </c>
      <c r="AM32" s="21">
        <v>0.78</v>
      </c>
      <c r="AO32" s="55">
        <f t="shared" si="3"/>
        <v>81.333333333333329</v>
      </c>
      <c r="AP32" s="21">
        <f t="shared" si="4"/>
        <v>0</v>
      </c>
      <c r="AQ32" s="55">
        <f t="shared" si="5"/>
        <v>90.697674418604649</v>
      </c>
      <c r="AR32" s="21">
        <f t="shared" si="6"/>
        <v>0</v>
      </c>
      <c r="AS32" s="55">
        <f t="shared" si="7"/>
        <v>90.909090909090907</v>
      </c>
      <c r="AT32" s="21">
        <f t="shared" si="8"/>
        <v>0</v>
      </c>
      <c r="AU32" s="55">
        <f t="shared" si="9"/>
        <v>53.333333333333336</v>
      </c>
      <c r="AV32" s="21">
        <f t="shared" si="10"/>
        <v>1</v>
      </c>
      <c r="AW32" s="20">
        <f t="shared" si="11"/>
        <v>91.333333333333329</v>
      </c>
      <c r="AX32" s="20">
        <f t="shared" si="12"/>
        <v>91.333333333333329</v>
      </c>
      <c r="AY32" s="48">
        <f ca="1">IFERROR(__xludf.DUMMYFUNCTION("SUM( FILTER(C32:AA32, ISNUMBER(SEARCH(""Practice"", $C$1:$AA$1)) ) )  / 
  SUM( FILTER(C$75:AA$75, ISNUMBER(SEARCH(""Practice"", $C$1:$AA$1))))*0.1
+
(SUM( FILTER(C32:T32, ISNUMBER(SEARCH(""AFTER RETAKE"", $C$1:$T$1)) ) )
+
SUM( FILTER(U32:AD32, ISNUMBER("&amp;"SEARCH(""AFTER RETAKE"", $U$1:$AD$1)) ) ))  / 
  SUM( FILTER(C$75:AA$75, ISNUMBER(SEARCH(""BEFORE RETAKE"", $C$1:$AA$1))))*0.6 
+ 
 AM32*0.3"),0.871166666666666)</f>
        <v>0.87116666666666598</v>
      </c>
      <c r="AZ32" s="48">
        <f ca="1">IFERROR(__xludf.DUMMYFUNCTION("SUM( FILTER(C32:AA32, ISNUMBER(SEARCH(""Practice"", $C$1:$AA$1)) ) )  / 
  SUM( FILTER(C$75:AA$75, ISNUMBER(SEARCH(""Practice"", $C$1:$AA$1))))*0.1
+
(SUM( FILTER(C32:T32, ISNUMBER(SEARCH(""Before RETAKE"", $C$1:$T$1)) ) )
+
SUM( FILTER(U32:AD32, ISNUMBER"&amp;"(SEARCH(""Before RETAKE"", $U$1:$AD$1)) ) ))  / 
  SUM( FILTER(C$75:AA$75, ISNUMBER(SEARCH(""BEFORE RETAKE"", $C$1:$AA$1))))*0.6 
+ 
AM32* 0.3"),0.871166666666666)</f>
        <v>0.87116666666666598</v>
      </c>
      <c r="BA32" s="55">
        <f t="shared" si="13"/>
        <v>79.068357998590542</v>
      </c>
      <c r="BB32" s="21">
        <f t="shared" si="14"/>
        <v>1</v>
      </c>
      <c r="BC32" s="55">
        <f t="shared" si="15"/>
        <v>79.153846153846146</v>
      </c>
      <c r="BD32" s="55"/>
      <c r="BE32" s="55"/>
      <c r="BF32" s="55"/>
    </row>
    <row r="33" spans="1:55" ht="15" customHeight="1" x14ac:dyDescent="0.2">
      <c r="A33" s="26" t="s">
        <v>323</v>
      </c>
      <c r="B33" s="26" t="s">
        <v>461</v>
      </c>
      <c r="C33" s="19" t="s">
        <v>9</v>
      </c>
      <c r="D33" s="20">
        <v>12.5</v>
      </c>
      <c r="E33" s="20">
        <v>7</v>
      </c>
      <c r="F33" s="20">
        <v>8.5</v>
      </c>
      <c r="G33" s="20" t="e">
        <f t="shared" ca="1" si="17"/>
        <v>#NAME?</v>
      </c>
      <c r="H33" s="20">
        <v>30</v>
      </c>
      <c r="I33" s="48">
        <f ca="1">IFERROR(__xludf.DUMMYFUNCTION("Sum(FILTER(C33:H33, $C$1:$H$1=""Unit 1 Practice""))/Sum(FILTER(C$75:H$75, $C$1:$H$1=""Unit 1 Practice""))*0.1 + Sum(FILTER(C33:H33, $C$1:$H$1=""Unit 1 Test (before retake)""))/Sum(FILTER(C$75:H$75, $C$1:$H$1=""Unit 1 Test (before retake)""))*0.6 + 0.3"),0.558481012658227)</f>
        <v>0.55848101265822703</v>
      </c>
      <c r="J33" s="20">
        <v>62</v>
      </c>
      <c r="K33" s="20">
        <v>62</v>
      </c>
      <c r="L33" s="48">
        <f ca="1">IFERROR(__xludf.DUMMYFUNCTION("SUM( FILTER(C33:K33, ISNUMBER(SEARCH(""Practice"", $C$1:$K$1)) ) )  / 
  SUM( FILTER(C$75:K$75, ISNUMBER(SEARCH(""Practice"", $C$1:$K$1))))*0.1
+
SUM( FILTER(C33:K33, ISNUMBER(SEARCH(""AFTER RETAKE"", $C$1:$K$1)) ) )  / 
  SUM( FILTER(C$75:K$75, ISNUMBER"&amp;"(SEARCH(""AFTER RETAKE"", $C$1:$K$1))))*0.6 + 0.3
"),0.750481012658227)</f>
        <v>0.75048101265822698</v>
      </c>
      <c r="M33" s="20">
        <v>16</v>
      </c>
      <c r="N33" s="20">
        <v>0</v>
      </c>
      <c r="O33" s="20">
        <v>8.4</v>
      </c>
      <c r="P33" s="20" t="e">
        <f t="shared" ca="1" si="1"/>
        <v>#NAME?</v>
      </c>
      <c r="Q33" s="20">
        <v>30</v>
      </c>
      <c r="R33" s="48">
        <f ca="1">IFERROR(__xludf.DUMMYFUNCTION("SUM( FILTER(C33:T33, ISNUMBER(SEARCH(""Practice"", $C$1:$T$1)) ) )  / 
  SUM( FILTER(C$75:T$75, ISNUMBER(SEARCH(""Practice"", $C$1:$T$1))))*0.1
+
(SUM( FILTER(C33:K33, ISNUMBER(SEARCH(""AFTER RETAKE"", $C$1:$K$1)) ) )+SUM( FILTER(K33:T33, ISNUMBER(SEARCH"&amp;"(""BEFORE RETAKE"", $K$1:$T$1)) ) ))  / 
  SUM( FILTER(C$75:T$75, ISNUMBER(SEARCH(""BEFORE RETAKE"", $C$1:$T$1))))*0.6 + 0.3"),0.650842767295597)</f>
        <v>0.65084276729559698</v>
      </c>
      <c r="S33" s="20">
        <v>62</v>
      </c>
      <c r="T33" s="20">
        <v>62</v>
      </c>
      <c r="U33" s="48">
        <f ca="1">IFERROR(__xludf.DUMMYFUNCTION("SUM( FILTER(C33:T33, ISNUMBER(SEARCH(""Practice"", $C$1:$T$1)) ) )  / 
  SUM( FILTER(C$75:T$75, ISNUMBER(SEARCH(""Practice"", $C$1:$T$1))))*0.1
+
SUM( FILTER(C33:T33, ISNUMBER(SEARCH(""AFTER RETAKE"", $C$1:$T$1)) ) )  / 
  SUM( FILTER(C$75:T$75, ISNUMBER"&amp;"(SEARCH(""AFTER RETAKE"", $C$1:$T$1))))*0.6 + 0.3
"),0.746842767295597)</f>
        <v>0.74684276729559695</v>
      </c>
      <c r="V33" s="20">
        <v>10</v>
      </c>
      <c r="W33" s="20">
        <v>9</v>
      </c>
      <c r="X33" s="20">
        <v>6</v>
      </c>
      <c r="Y33" s="20">
        <v>4.5</v>
      </c>
      <c r="Z33" s="20" t="e">
        <f t="shared" ca="1" si="2"/>
        <v>#NAME?</v>
      </c>
      <c r="AA33" s="20">
        <v>68</v>
      </c>
      <c r="AB33" s="48">
        <f ca="1">IFERROR(__xludf.DUMMYFUNCTION("SUM( FILTER(C33:AA33, ISNUMBER(SEARCH(""Practice"", $C$1:$AA$1)) ) )  / 
  SUM( FILTER(C$75:AA$75, ISNUMBER(SEARCH(""Practice"", $C$1:$AA$1))))*0.1
+
(SUM( FILTER(C33:T33, ISNUMBER(SEARCH(""AFTER RETAKE"", $C$1:$T$1)) ) )+SUM( FILTER(T33:AA33, ISNUMBER(S"&amp;"EARCH(""BEFORE RETAKE"", $T$1:$AA$1)) ) ))  / 
  SUM( FILTER(C$75:AA$75, ISNUMBER(SEARCH(""BEFORE RETAKE"", $C$1:$AA$1))))*0.6 + 0.3"),0.759)</f>
        <v>0.75900000000000001</v>
      </c>
      <c r="AC33" s="20" t="s">
        <v>462</v>
      </c>
      <c r="AD33" s="20">
        <v>68</v>
      </c>
      <c r="AE33" s="48">
        <f ca="1">IFERROR(__xludf.DUMMYFUNCTION("SUM( FILTER(C33:AA33, ISNUMBER(SEARCH(""Practice"", $C$1:$AA$1)) ) )  / 
  SUM( FILTER(C$75:AA$75, ISNUMBER(SEARCH(""Practice"", $C$1:$AA$1))))*0.1
+
SUM( FILTER(C33:AD33, ISNUMBER(SEARCH(""AFTER RETAKE"", $C$1:$AD$1)) ) )
  / 
  SUM( FILTER(C$75:AD$75, I"&amp;"SNUMBER(SEARCH(""BEFORE RETAKE"", $C$1:$AD$1))))*0.6 
+ 
0.3"),0.759)</f>
        <v>0.75900000000000001</v>
      </c>
      <c r="AF33" s="20" t="s">
        <v>811</v>
      </c>
      <c r="AG33" s="20">
        <v>12</v>
      </c>
      <c r="AH33" s="20">
        <v>0</v>
      </c>
      <c r="AI33" s="20">
        <v>0</v>
      </c>
      <c r="AJ33" s="20">
        <v>10.47</v>
      </c>
      <c r="AK33" s="20">
        <v>88</v>
      </c>
      <c r="AM33" s="21">
        <v>0.62</v>
      </c>
      <c r="AO33" s="55">
        <f t="shared" si="3"/>
        <v>66.666666666666657</v>
      </c>
      <c r="AP33" s="21">
        <f t="shared" si="4"/>
        <v>0</v>
      </c>
      <c r="AQ33" s="55">
        <f t="shared" si="5"/>
        <v>56.744186046511622</v>
      </c>
      <c r="AR33" s="21">
        <f t="shared" si="6"/>
        <v>1</v>
      </c>
      <c r="AS33" s="55">
        <f t="shared" si="7"/>
        <v>67.045454545454547</v>
      </c>
      <c r="AT33" s="21">
        <f t="shared" si="8"/>
        <v>0</v>
      </c>
      <c r="AU33" s="55">
        <f t="shared" si="9"/>
        <v>20</v>
      </c>
      <c r="AV33" s="21">
        <f t="shared" si="10"/>
        <v>2</v>
      </c>
      <c r="AW33" s="20">
        <f t="shared" si="11"/>
        <v>42.666666666666664</v>
      </c>
      <c r="AX33" s="20">
        <f t="shared" si="12"/>
        <v>64</v>
      </c>
      <c r="AY33" s="48">
        <f ca="1">IFERROR(__xludf.DUMMYFUNCTION("SUM( FILTER(C33:AA33, ISNUMBER(SEARCH(""Practice"", $C$1:$AA$1)) ) )  / 
  SUM( FILTER(C$75:AA$75, ISNUMBER(SEARCH(""Practice"", $C$1:$AA$1))))*0.1
+
(SUM( FILTER(C33:T33, ISNUMBER(SEARCH(""AFTER RETAKE"", $C$1:$T$1)) ) )
+
SUM( FILTER(U33:AD33, ISNUMBER("&amp;"SEARCH(""AFTER RETAKE"", $U$1:$AD$1)) ) ))  / 
  SUM( FILTER(C$75:AA$75, ISNUMBER(SEARCH(""BEFORE RETAKE"", $C$1:$AA$1))))*0.6 
+ 
 AM33*0.3"),0.645)</f>
        <v>0.64500000000000002</v>
      </c>
      <c r="AZ33" s="48">
        <f ca="1">IFERROR(__xludf.DUMMYFUNCTION("SUM( FILTER(C33:AA33, ISNUMBER(SEARCH(""Practice"", $C$1:$AA$1)) ) )  / 
  SUM( FILTER(C$75:AA$75, ISNUMBER(SEARCH(""Practice"", $C$1:$AA$1))))*0.1
+
(SUM( FILTER(C33:T33, ISNUMBER(SEARCH(""Before RETAKE"", $C$1:$T$1)) ) )
+
SUM( FILTER(U33:AD33, ISNUMBER"&amp;"(SEARCH(""Before RETAKE"", $U$1:$AD$1)) ) ))  / 
  SUM( FILTER(C$75:AA$75, ISNUMBER(SEARCH(""BEFORE RETAKE"", $C$1:$AA$1))))*0.6 
+ 
AM33* 0.3"),0.517)</f>
        <v>0.51700000000000002</v>
      </c>
      <c r="BA33" s="55">
        <f t="shared" si="13"/>
        <v>52.614076814658205</v>
      </c>
      <c r="BB33" s="21">
        <f t="shared" si="14"/>
        <v>3</v>
      </c>
      <c r="BC33" s="55">
        <f t="shared" si="15"/>
        <v>61.288461538461533</v>
      </c>
    </row>
    <row r="34" spans="1:55" ht="15" customHeight="1" x14ac:dyDescent="0.2">
      <c r="A34" s="26" t="s">
        <v>325</v>
      </c>
      <c r="B34" s="26" t="s">
        <v>461</v>
      </c>
      <c r="C34" s="19" t="s">
        <v>8</v>
      </c>
      <c r="D34" s="20">
        <v>15</v>
      </c>
      <c r="E34" s="20">
        <v>14</v>
      </c>
      <c r="F34" s="20">
        <v>11</v>
      </c>
      <c r="G34" s="20" t="e">
        <f t="shared" ca="1" si="17"/>
        <v>#NAME?</v>
      </c>
      <c r="H34" s="20">
        <v>100</v>
      </c>
      <c r="I34" s="48">
        <f ca="1">IFERROR(__xludf.DUMMYFUNCTION("Sum(FILTER(C34:H34, $C$1:$H$1=""Unit 1 Practice""))/Sum(FILTER(C$75:H$75, $C$1:$H$1=""Unit 1 Practice""))*0.1 + Sum(FILTER(C34:H34, $C$1:$H$1=""Unit 1 Test (before retake)""))/Sum(FILTER(C$75:H$75, $C$1:$H$1=""Unit 1 Test (before retake)""))*0.6 + 0.3"),0.994936708860759)</f>
        <v>0.99493670886075902</v>
      </c>
      <c r="J34" s="20" t="s">
        <v>462</v>
      </c>
      <c r="K34" s="20">
        <v>100</v>
      </c>
      <c r="L34" s="48">
        <f ca="1">IFERROR(__xludf.DUMMYFUNCTION("SUM( FILTER(C34:K34, ISNUMBER(SEARCH(""Practice"", $C$1:$K$1)) ) )  / 
  SUM( FILTER(C$75:K$75, ISNUMBER(SEARCH(""Practice"", $C$1:$K$1))))*0.1
+
SUM( FILTER(C34:K34, ISNUMBER(SEARCH(""AFTER RETAKE"", $C$1:$K$1)) ) )  / 
  SUM( FILTER(C$75:K$75, ISNUMBER"&amp;"(SEARCH(""AFTER RETAKE"", $C$1:$K$1))))*0.6 + 0.3
"),0.994936708860759)</f>
        <v>0.99493670886075902</v>
      </c>
      <c r="M34" s="20">
        <v>17</v>
      </c>
      <c r="N34" s="20">
        <v>12</v>
      </c>
      <c r="O34" s="20">
        <v>10</v>
      </c>
      <c r="P34" s="20" t="e">
        <f t="shared" ca="1" si="1"/>
        <v>#NAME?</v>
      </c>
      <c r="Q34" s="20">
        <v>82</v>
      </c>
      <c r="R34" s="48">
        <f ca="1">IFERROR(__xludf.DUMMYFUNCTION("SUM( FILTER(C34:T34, ISNUMBER(SEARCH(""Practice"", $C$1:$T$1)) ) )  / 
  SUM( FILTER(C$75:T$75, ISNUMBER(SEARCH(""Practice"", $C$1:$T$1))))*0.1
+
(SUM( FILTER(C34:K34, ISNUMBER(SEARCH(""AFTER RETAKE"", $C$1:$K$1)) ) )+SUM( FILTER(K34:T34, ISNUMBER(SEARCH"&amp;"(""BEFORE RETAKE"", $K$1:$T$1)) ) ))  / 
  SUM( FILTER(C$75:T$75, ISNUMBER(SEARCH(""BEFORE RETAKE"", $C$1:$T$1))))*0.6 + 0.3"),0.939081761006289)</f>
        <v>0.93908176100628904</v>
      </c>
      <c r="S34" s="20">
        <v>95</v>
      </c>
      <c r="T34" s="20">
        <v>95</v>
      </c>
      <c r="U34" s="48">
        <f ca="1">IFERROR(__xludf.DUMMYFUNCTION("SUM( FILTER(C34:T34, ISNUMBER(SEARCH(""Practice"", $C$1:$T$1)) ) )  / 
  SUM( FILTER(C$75:T$75, ISNUMBER(SEARCH(""Practice"", $C$1:$T$1))))*0.1
+
SUM( FILTER(C34:T34, ISNUMBER(SEARCH(""AFTER RETAKE"", $C$1:$T$1)) ) )  / 
  SUM( FILTER(C$75:T$75, ISNUMBER"&amp;"(SEARCH(""AFTER RETAKE"", $C$1:$T$1))))*0.6 + 0.3
"),0.978081761006289)</f>
        <v>0.97808176100628896</v>
      </c>
      <c r="V34" s="20">
        <v>10</v>
      </c>
      <c r="W34" s="20">
        <v>10</v>
      </c>
      <c r="X34" s="20">
        <v>11</v>
      </c>
      <c r="Y34" s="20">
        <v>11</v>
      </c>
      <c r="Z34" s="20" t="e">
        <f t="shared" ca="1" si="2"/>
        <v>#NAME?</v>
      </c>
      <c r="AA34" s="20">
        <v>82</v>
      </c>
      <c r="AB34" s="48">
        <f ca="1">IFERROR(__xludf.DUMMYFUNCTION("SUM( FILTER(C34:AA34, ISNUMBER(SEARCH(""Practice"", $C$1:$AA$1)) ) )  / 
  SUM( FILTER(C$75:AA$75, ISNUMBER(SEARCH(""Practice"", $C$1:$AA$1))))*0.1
+
(SUM( FILTER(C34:T34, ISNUMBER(SEARCH(""AFTER RETAKE"", $C$1:$T$1)) ) )+SUM( FILTER(T34:AA34, ISNUMBER(S"&amp;"EARCH(""BEFORE RETAKE"", $T$1:$AA$1)) ) ))  / 
  SUM( FILTER(C$75:AA$75, ISNUMBER(SEARCH(""BEFORE RETAKE"", $C$1:$AA$1))))*0.6 + 0.3"),0.947749999999999)</f>
        <v>0.94774999999999898</v>
      </c>
      <c r="AC34" s="20" t="s">
        <v>462</v>
      </c>
      <c r="AD34" s="20">
        <v>82</v>
      </c>
      <c r="AE34" s="48">
        <f ca="1">IFERROR(__xludf.DUMMYFUNCTION("SUM( FILTER(C34:AA34, ISNUMBER(SEARCH(""Practice"", $C$1:$AA$1)) ) )  / 
  SUM( FILTER(C$75:AA$75, ISNUMBER(SEARCH(""Practice"", $C$1:$AA$1))))*0.1
+
SUM( FILTER(C34:AD34, ISNUMBER(SEARCH(""AFTER RETAKE"", $C$1:$AD$1)) ) )
  / 
  SUM( FILTER(C$75:AD$75, I"&amp;"SNUMBER(SEARCH(""BEFORE RETAKE"", $C$1:$AD$1))))*0.6 
+ 
0.3"),0.947749999999999)</f>
        <v>0.94774999999999898</v>
      </c>
      <c r="AF34" s="20" t="s">
        <v>811</v>
      </c>
      <c r="AG34" s="20">
        <v>22</v>
      </c>
      <c r="AH34" s="20">
        <v>10</v>
      </c>
      <c r="AI34" s="20">
        <v>27</v>
      </c>
      <c r="AJ34" s="20">
        <v>13</v>
      </c>
      <c r="AK34" s="20">
        <v>100</v>
      </c>
      <c r="AM34" s="21">
        <v>0.82</v>
      </c>
      <c r="AO34" s="55">
        <f t="shared" si="3"/>
        <v>95.238095238095227</v>
      </c>
      <c r="AP34" s="21">
        <f t="shared" si="4"/>
        <v>0</v>
      </c>
      <c r="AQ34" s="55">
        <f t="shared" si="5"/>
        <v>90.697674418604649</v>
      </c>
      <c r="AR34" s="21">
        <f t="shared" si="6"/>
        <v>0</v>
      </c>
      <c r="AS34" s="55">
        <f t="shared" si="7"/>
        <v>95.454545454545453</v>
      </c>
      <c r="AT34" s="21">
        <f t="shared" si="8"/>
        <v>0</v>
      </c>
      <c r="AU34" s="55">
        <f t="shared" si="9"/>
        <v>98.333333333333343</v>
      </c>
      <c r="AV34" s="21">
        <f t="shared" si="10"/>
        <v>0</v>
      </c>
      <c r="AW34" s="20">
        <f t="shared" si="11"/>
        <v>88</v>
      </c>
      <c r="AX34" s="20">
        <f t="shared" si="12"/>
        <v>92.333333333333329</v>
      </c>
      <c r="AY34" s="48">
        <f ca="1">IFERROR(__xludf.DUMMYFUNCTION("SUM( FILTER(C34:AA34, ISNUMBER(SEARCH(""Practice"", $C$1:$AA$1)) ) )  / 
  SUM( FILTER(C$75:AA$75, ISNUMBER(SEARCH(""Practice"", $C$1:$AA$1))))*0.1
+
(SUM( FILTER(C34:T34, ISNUMBER(SEARCH(""AFTER RETAKE"", $C$1:$T$1)) ) )
+
SUM( FILTER(U34:AD34, ISNUMBER("&amp;"SEARCH(""AFTER RETAKE"", $U$1:$AD$1)) ) ))  / 
  SUM( FILTER(C$75:AA$75, ISNUMBER(SEARCH(""BEFORE RETAKE"", $C$1:$AA$1))))*0.6 
+ 
 AM34*0.3"),0.893749999999999)</f>
        <v>0.89374999999999905</v>
      </c>
      <c r="AZ34" s="48">
        <f ca="1">IFERROR(__xludf.DUMMYFUNCTION("SUM( FILTER(C34:AA34, ISNUMBER(SEARCH(""Practice"", $C$1:$AA$1)) ) )  / 
  SUM( FILTER(C$75:AA$75, ISNUMBER(SEARCH(""Practice"", $C$1:$AA$1))))*0.1
+
(SUM( FILTER(C34:T34, ISNUMBER(SEARCH(""Before RETAKE"", $C$1:$T$1)) ) )
+
SUM( FILTER(U34:AD34, ISNUMBER"&amp;"(SEARCH(""Before RETAKE"", $U$1:$AD$1)) ) ))  / 
  SUM( FILTER(C$75:AA$75, ISNUMBER(SEARCH(""BEFORE RETAKE"", $C$1:$AA$1))))*0.6 
+ 
AM34* 0.3"),0.86775)</f>
        <v>0.86775000000000002</v>
      </c>
      <c r="BA34" s="55">
        <f t="shared" si="13"/>
        <v>94.930912111144664</v>
      </c>
      <c r="BB34" s="21">
        <f t="shared" si="14"/>
        <v>0</v>
      </c>
      <c r="BC34" s="55">
        <f t="shared" si="15"/>
        <v>86.538461538461547</v>
      </c>
    </row>
    <row r="35" spans="1:55" ht="15" customHeight="1" x14ac:dyDescent="0.2">
      <c r="A35" s="26" t="s">
        <v>327</v>
      </c>
      <c r="B35" s="26" t="s">
        <v>464</v>
      </c>
      <c r="C35" s="19" t="s">
        <v>7</v>
      </c>
      <c r="D35" s="20">
        <v>14.5</v>
      </c>
      <c r="E35" s="20">
        <v>12.25</v>
      </c>
      <c r="F35" s="20">
        <v>9.16</v>
      </c>
      <c r="G35" s="20" t="e">
        <f t="shared" ca="1" si="17"/>
        <v>#NAME?</v>
      </c>
      <c r="H35" s="20">
        <v>98</v>
      </c>
      <c r="I35" s="48">
        <f ca="1">IFERROR(__xludf.DUMMYFUNCTION("Sum(FILTER(C35:H35, $C$1:$H$1=""Unit 1 Practice""))/Sum(FILTER(C$75:H$75, $C$1:$H$1=""Unit 1 Practice""))*0.1 + Sum(FILTER(C35:H35, $C$1:$H$1=""Unit 1 Test (before retake)""))/Sum(FILTER(C$75:H$75, $C$1:$H$1=""Unit 1 Test (before retake)""))*0.6 + 0.3"),0.975658227848101)</f>
        <v>0.97565822784810097</v>
      </c>
      <c r="J35" s="20" t="s">
        <v>462</v>
      </c>
      <c r="K35" s="20">
        <v>98</v>
      </c>
      <c r="L35" s="48">
        <f ca="1">IFERROR(__xludf.DUMMYFUNCTION("SUM( FILTER(C35:K35, ISNUMBER(SEARCH(""Practice"", $C$1:$K$1)) ) )  / 
  SUM( FILTER(C$75:K$75, ISNUMBER(SEARCH(""Practice"", $C$1:$K$1))))*0.1
+
SUM( FILTER(C35:K35, ISNUMBER(SEARCH(""AFTER RETAKE"", $C$1:$K$1)) ) )  / 
  SUM( FILTER(C$75:K$75, ISNUMBER"&amp;"(SEARCH(""AFTER RETAKE"", $C$1:$K$1))))*0.6 + 0.3
"),0.975658227848101)</f>
        <v>0.97565822784810097</v>
      </c>
      <c r="M35" s="20">
        <v>18</v>
      </c>
      <c r="N35" s="20">
        <v>12</v>
      </c>
      <c r="O35" s="20">
        <v>7.75</v>
      </c>
      <c r="P35" s="20" t="e">
        <f t="shared" ca="1" si="1"/>
        <v>#NAME?</v>
      </c>
      <c r="Q35" s="20">
        <v>85</v>
      </c>
      <c r="R35" s="48">
        <f ca="1">IFERROR(__xludf.DUMMYFUNCTION("SUM( FILTER(C35:T35, ISNUMBER(SEARCH(""Practice"", $C$1:$T$1)) ) )  / 
  SUM( FILTER(C$75:T$75, ISNUMBER(SEARCH(""Practice"", $C$1:$T$1))))*0.1
+
(SUM( FILTER(C35:K35, ISNUMBER(SEARCH(""AFTER RETAKE"", $C$1:$K$1)) ) )+SUM( FILTER(K35:T35, ISNUMBER(SEARCH"&amp;"(""BEFORE RETAKE"", $K$1:$T$1)) ) ))  / 
  SUM( FILTER(C$75:T$75, ISNUMBER(SEARCH(""BEFORE RETAKE"", $C$1:$T$1))))*0.6 + 0.3"),0.937207547169811)</f>
        <v>0.93720754716981103</v>
      </c>
      <c r="S35" s="20" t="s">
        <v>462</v>
      </c>
      <c r="T35" s="20">
        <v>85</v>
      </c>
      <c r="U35" s="48">
        <f ca="1">IFERROR(__xludf.DUMMYFUNCTION("SUM( FILTER(C35:T35, ISNUMBER(SEARCH(""Practice"", $C$1:$T$1)) ) )  / 
  SUM( FILTER(C$75:T$75, ISNUMBER(SEARCH(""Practice"", $C$1:$T$1))))*0.1
+
SUM( FILTER(C35:T35, ISNUMBER(SEARCH(""AFTER RETAKE"", $C$1:$T$1)) ) )  / 
  SUM( FILTER(C$75:T$75, ISNUMBER"&amp;"(SEARCH(""AFTER RETAKE"", $C$1:$T$1))))*0.6 + 0.3
"),0.937207547169811)</f>
        <v>0.93720754716981103</v>
      </c>
      <c r="V35" s="20">
        <v>10</v>
      </c>
      <c r="W35" s="20">
        <v>10</v>
      </c>
      <c r="X35" s="20">
        <v>11</v>
      </c>
      <c r="Y35" s="20">
        <v>12.5</v>
      </c>
      <c r="Z35" s="20" t="e">
        <f t="shared" ca="1" si="2"/>
        <v>#NAME?</v>
      </c>
      <c r="AA35" s="20">
        <v>78</v>
      </c>
      <c r="AB35" s="48">
        <f ca="1">IFERROR(__xludf.DUMMYFUNCTION("SUM( FILTER(C35:AA35, ISNUMBER(SEARCH(""Practice"", $C$1:$AA$1)) ) )  / 
  SUM( FILTER(C$75:AA$75, ISNUMBER(SEARCH(""Practice"", $C$1:$AA$1))))*0.1
+
(SUM( FILTER(C35:T35, ISNUMBER(SEARCH(""AFTER RETAKE"", $C$1:$T$1)) ) )+SUM( FILTER(T35:AA35, ISNUMBER(S"&amp;"EARCH(""BEFORE RETAKE"", $T$1:$AA$1)) ) ))  / 
  SUM( FILTER(C$75:AA$75, ISNUMBER(SEARCH(""BEFORE RETAKE"", $C$1:$AA$1))))*0.6 + 0.3"),0.914187499999999)</f>
        <v>0.91418749999999904</v>
      </c>
      <c r="AC35" s="20" t="s">
        <v>462</v>
      </c>
      <c r="AD35" s="20">
        <v>78</v>
      </c>
      <c r="AE35" s="48">
        <f ca="1">IFERROR(__xludf.DUMMYFUNCTION("SUM( FILTER(C35:AA35, ISNUMBER(SEARCH(""Practice"", $C$1:$AA$1)) ) )  / 
  SUM( FILTER(C$75:AA$75, ISNUMBER(SEARCH(""Practice"", $C$1:$AA$1))))*0.1
+
SUM( FILTER(C35:AD35, ISNUMBER(SEARCH(""AFTER RETAKE"", $C$1:$AD$1)) ) )
  / 
  SUM( FILTER(C$75:AD$75, I"&amp;"SNUMBER(SEARCH(""BEFORE RETAKE"", $C$1:$AD$1))))*0.6 
+ 
0.3"),0.914187499999999)</f>
        <v>0.91418749999999904</v>
      </c>
      <c r="AF35" s="20" t="s">
        <v>811</v>
      </c>
      <c r="AG35" s="20">
        <v>21</v>
      </c>
      <c r="AH35" s="20">
        <v>9.4</v>
      </c>
      <c r="AI35" s="20">
        <v>22</v>
      </c>
      <c r="AJ35" s="20">
        <v>11</v>
      </c>
      <c r="AK35" s="20">
        <v>92</v>
      </c>
      <c r="AM35" s="21">
        <v>0.95</v>
      </c>
      <c r="AO35" s="55">
        <f t="shared" si="3"/>
        <v>85.499999999999986</v>
      </c>
      <c r="AP35" s="21">
        <f t="shared" si="4"/>
        <v>0</v>
      </c>
      <c r="AQ35" s="55">
        <f t="shared" si="5"/>
        <v>87.79069767441861</v>
      </c>
      <c r="AR35" s="21">
        <f t="shared" si="6"/>
        <v>0</v>
      </c>
      <c r="AS35" s="55">
        <f t="shared" si="7"/>
        <v>98.86363636363636</v>
      </c>
      <c r="AT35" s="21">
        <f t="shared" si="8"/>
        <v>0</v>
      </c>
      <c r="AU35" s="55">
        <f t="shared" si="9"/>
        <v>87.333333333333329</v>
      </c>
      <c r="AV35" s="21">
        <f t="shared" si="10"/>
        <v>0</v>
      </c>
      <c r="AW35" s="20">
        <f t="shared" si="11"/>
        <v>87</v>
      </c>
      <c r="AX35" s="20">
        <f t="shared" si="12"/>
        <v>87</v>
      </c>
      <c r="AY35" s="48">
        <f ca="1">IFERROR(__xludf.DUMMYFUNCTION("SUM( FILTER(C35:AA35, ISNUMBER(SEARCH(""Practice"", $C$1:$AA$1)) ) )  / 
  SUM( FILTER(C$75:AA$75, ISNUMBER(SEARCH(""Practice"", $C$1:$AA$1))))*0.1
+
(SUM( FILTER(C35:T35, ISNUMBER(SEARCH(""AFTER RETAKE"", $C$1:$T$1)) ) )
+
SUM( FILTER(U35:AD35, ISNUMBER("&amp;"SEARCH(""AFTER RETAKE"", $U$1:$AD$1)) ) ))  / 
  SUM( FILTER(C$75:AA$75, ISNUMBER(SEARCH(""BEFORE RETAKE"", $C$1:$AA$1))))*0.6 
+ 
 AM35*0.3"),0.8991875)</f>
        <v>0.89918750000000003</v>
      </c>
      <c r="AZ35" s="48">
        <f ca="1">IFERROR(__xludf.DUMMYFUNCTION("SUM( FILTER(C35:AA35, ISNUMBER(SEARCH(""Practice"", $C$1:$AA$1)) ) )  / 
  SUM( FILTER(C$75:AA$75, ISNUMBER(SEARCH(""Practice"", $C$1:$AA$1))))*0.1
+
(SUM( FILTER(C35:T35, ISNUMBER(SEARCH(""Before RETAKE"", $C$1:$T$1)) ) )
+
SUM( FILTER(U35:AD35, ISNUMBER"&amp;"(SEARCH(""Before RETAKE"", $U$1:$AD$1)) ) ))  / 
  SUM( FILTER(C$75:AA$75, ISNUMBER(SEARCH(""BEFORE RETAKE"", $C$1:$AA$1))))*0.6 
+ 
AM35* 0.3"),0.8991875)</f>
        <v>0.89918750000000003</v>
      </c>
      <c r="BA35" s="55">
        <f t="shared" si="13"/>
        <v>89.871916842847071</v>
      </c>
      <c r="BB35" s="21">
        <f t="shared" si="14"/>
        <v>0</v>
      </c>
      <c r="BC35" s="55">
        <f t="shared" si="15"/>
        <v>77.711538461538453</v>
      </c>
    </row>
    <row r="36" spans="1:55" ht="15" customHeight="1" x14ac:dyDescent="0.2">
      <c r="A36" s="26" t="s">
        <v>329</v>
      </c>
      <c r="B36" s="26" t="s">
        <v>464</v>
      </c>
      <c r="C36" s="19" t="s">
        <v>9</v>
      </c>
      <c r="D36" s="20">
        <v>15</v>
      </c>
      <c r="E36" s="20">
        <v>1</v>
      </c>
      <c r="F36" s="20">
        <v>10.83</v>
      </c>
      <c r="G36" s="20" t="e">
        <f t="shared" ca="1" si="17"/>
        <v>#NAME?</v>
      </c>
      <c r="H36" s="20">
        <v>88</v>
      </c>
      <c r="I36" s="48">
        <f ca="1">IFERROR(__xludf.DUMMYFUNCTION("Sum(FILTER(C36:H36, $C$1:$H$1=""Unit 1 Practice""))/Sum(FILTER(C$75:H$75, $C$1:$H$1=""Unit 1 Practice""))*0.1 + Sum(FILTER(C36:H36, $C$1:$H$1=""Unit 1 Test (before retake)""))/Sum(FILTER(C$75:H$75, $C$1:$H$1=""Unit 1 Test (before retake)""))*0.6 + 0.3"),0.906481012658227)</f>
        <v>0.906481012658227</v>
      </c>
      <c r="J36" s="20" t="s">
        <v>462</v>
      </c>
      <c r="K36" s="20">
        <v>88</v>
      </c>
      <c r="L36" s="48">
        <f ca="1">IFERROR(__xludf.DUMMYFUNCTION("SUM( FILTER(C36:K36, ISNUMBER(SEARCH(""Practice"", $C$1:$K$1)) ) )  / 
  SUM( FILTER(C$75:K$75, ISNUMBER(SEARCH(""Practice"", $C$1:$K$1))))*0.1
+
SUM( FILTER(C36:K36, ISNUMBER(SEARCH(""AFTER RETAKE"", $C$1:$K$1)) ) )  / 
  SUM( FILTER(C$75:K$75, ISNUMBER"&amp;"(SEARCH(""AFTER RETAKE"", $C$1:$K$1))))*0.6 + 0.3
"),0.906481012658227)</f>
        <v>0.906481012658227</v>
      </c>
      <c r="M36" s="20">
        <v>17</v>
      </c>
      <c r="N36" s="20">
        <v>12</v>
      </c>
      <c r="O36" s="20">
        <v>12</v>
      </c>
      <c r="P36" s="20" t="e">
        <f t="shared" ca="1" si="1"/>
        <v>#NAME?</v>
      </c>
      <c r="Q36" s="20">
        <v>85</v>
      </c>
      <c r="R36" s="48">
        <f ca="1">IFERROR(__xludf.DUMMYFUNCTION("SUM( FILTER(C36:T36, ISNUMBER(SEARCH(""Practice"", $C$1:$T$1)) ) )  / 
  SUM( FILTER(C$75:T$75, ISNUMBER(SEARCH(""Practice"", $C$1:$T$1))))*0.1
+
(SUM( FILTER(C36:K36, ISNUMBER(SEARCH(""AFTER RETAKE"", $C$1:$K$1)) ) )+SUM( FILTER(K36:T36, ISNUMBER(SEARCH"&amp;"(""BEFORE RETAKE"", $K$1:$T$1)) ) ))  / 
  SUM( FILTER(C$75:T$75, ISNUMBER(SEARCH(""BEFORE RETAKE"", $C$1:$T$1))))*0.6 + 0.3"),0.906106918238993)</f>
        <v>0.90610691823899303</v>
      </c>
      <c r="S36" s="20" t="s">
        <v>462</v>
      </c>
      <c r="T36" s="20">
        <v>85</v>
      </c>
      <c r="U36" s="48">
        <f ca="1">IFERROR(__xludf.DUMMYFUNCTION("SUM( FILTER(C36:T36, ISNUMBER(SEARCH(""Practice"", $C$1:$T$1)) ) )  / 
  SUM( FILTER(C$75:T$75, ISNUMBER(SEARCH(""Practice"", $C$1:$T$1))))*0.1
+
SUM( FILTER(C36:T36, ISNUMBER(SEARCH(""AFTER RETAKE"", $C$1:$T$1)) ) )  / 
  SUM( FILTER(C$75:T$75, ISNUMBER"&amp;"(SEARCH(""AFTER RETAKE"", $C$1:$T$1))))*0.6 + 0.3
"),0.906106918238993)</f>
        <v>0.90610691823899303</v>
      </c>
      <c r="V36" s="20">
        <v>10</v>
      </c>
      <c r="W36" s="20">
        <v>10</v>
      </c>
      <c r="X36" s="20">
        <v>11</v>
      </c>
      <c r="Y36" s="20">
        <v>0</v>
      </c>
      <c r="Z36" s="20" t="e">
        <f t="shared" ca="1" si="2"/>
        <v>#NAME?</v>
      </c>
      <c r="AA36" s="20">
        <v>78</v>
      </c>
      <c r="AB36" s="48">
        <f ca="1">IFERROR(__xludf.DUMMYFUNCTION("SUM( FILTER(C36:AA36, ISNUMBER(SEARCH(""Practice"", $C$1:$AA$1)) ) )  / 
  SUM( FILTER(C$75:AA$75, ISNUMBER(SEARCH(""Practice"", $C$1:$AA$1))))*0.1
+
(SUM( FILTER(C36:T36, ISNUMBER(SEARCH(""AFTER RETAKE"", $C$1:$T$1)) ) )+SUM( FILTER(T36:AA36, ISNUMBER(S"&amp;"EARCH(""BEFORE RETAKE"", $T$1:$AA$1)) ) ))  / 
  SUM( FILTER(C$75:AA$75, ISNUMBER(SEARCH(""BEFORE RETAKE"", $C$1:$AA$1))))*0.6 + 0.3"),0.872625)</f>
        <v>0.87262499999999998</v>
      </c>
      <c r="AC36" s="20" t="s">
        <v>462</v>
      </c>
      <c r="AD36" s="20">
        <v>78</v>
      </c>
      <c r="AE36" s="48">
        <f ca="1">IFERROR(__xludf.DUMMYFUNCTION("SUM( FILTER(C36:AA36, ISNUMBER(SEARCH(""Practice"", $C$1:$AA$1)) ) )  / 
  SUM( FILTER(C$75:AA$75, ISNUMBER(SEARCH(""Practice"", $C$1:$AA$1))))*0.1
+
SUM( FILTER(C36:AD36, ISNUMBER(SEARCH(""AFTER RETAKE"", $C$1:$AD$1)) ) )
  / 
  SUM( FILTER(C$75:AD$75, I"&amp;"SNUMBER(SEARCH(""BEFORE RETAKE"", $C$1:$AD$1))))*0.6 
+ 
0.3"),0.872625)</f>
        <v>0.87262499999999998</v>
      </c>
      <c r="AF36" s="20" t="s">
        <v>811</v>
      </c>
      <c r="AG36" s="20">
        <v>19.600000000000001</v>
      </c>
      <c r="AH36" s="20">
        <v>9.8000000000000007</v>
      </c>
      <c r="AI36" s="20">
        <v>0</v>
      </c>
      <c r="AJ36" s="20">
        <v>10.8</v>
      </c>
      <c r="AK36" s="20">
        <v>92</v>
      </c>
      <c r="AM36" s="21">
        <v>0.78</v>
      </c>
      <c r="AO36" s="55">
        <f t="shared" si="3"/>
        <v>63.880952380952372</v>
      </c>
      <c r="AP36" s="21">
        <f t="shared" si="4"/>
        <v>0</v>
      </c>
      <c r="AQ36" s="55">
        <f t="shared" si="5"/>
        <v>95.348837209302317</v>
      </c>
      <c r="AR36" s="21">
        <f t="shared" si="6"/>
        <v>0</v>
      </c>
      <c r="AS36" s="55">
        <f t="shared" si="7"/>
        <v>70.454545454545453</v>
      </c>
      <c r="AT36" s="21">
        <f t="shared" si="8"/>
        <v>1</v>
      </c>
      <c r="AU36" s="55">
        <f t="shared" si="9"/>
        <v>49.000000000000007</v>
      </c>
      <c r="AV36" s="21">
        <f t="shared" si="10"/>
        <v>1</v>
      </c>
      <c r="AW36" s="20">
        <f t="shared" si="11"/>
        <v>83.666666666666671</v>
      </c>
      <c r="AX36" s="20">
        <f t="shared" si="12"/>
        <v>83.666666666666671</v>
      </c>
      <c r="AY36" s="48">
        <f ca="1">IFERROR(__xludf.DUMMYFUNCTION("SUM( FILTER(C36:AA36, ISNUMBER(SEARCH(""Practice"", $C$1:$AA$1)) ) )  / 
  SUM( FILTER(C$75:AA$75, ISNUMBER(SEARCH(""Practice"", $C$1:$AA$1))))*0.1
+
(SUM( FILTER(C36:T36, ISNUMBER(SEARCH(""AFTER RETAKE"", $C$1:$T$1)) ) )
+
SUM( FILTER(U36:AD36, ISNUMBER("&amp;"SEARCH(""AFTER RETAKE"", $U$1:$AD$1)) ) ))  / 
  SUM( FILTER(C$75:AA$75, ISNUMBER(SEARCH(""BEFORE RETAKE"", $C$1:$AA$1))))*0.6 
+ 
 AM36*0.3"),0.806625)</f>
        <v>0.80662500000000004</v>
      </c>
      <c r="AZ36" s="48">
        <f ca="1">IFERROR(__xludf.DUMMYFUNCTION("SUM( FILTER(C36:AA36, ISNUMBER(SEARCH(""Practice"", $C$1:$AA$1)) ) )  / 
  SUM( FILTER(C$75:AA$75, ISNUMBER(SEARCH(""Practice"", $C$1:$AA$1))))*0.1
+
(SUM( FILTER(C36:T36, ISNUMBER(SEARCH(""Before RETAKE"", $C$1:$T$1)) ) )
+
SUM( FILTER(U36:AD36, ISNUMBER"&amp;"(SEARCH(""Before RETAKE"", $U$1:$AD$1)) ) ))  / 
  SUM( FILTER(C$75:AA$75, ISNUMBER(SEARCH(""BEFORE RETAKE"", $C$1:$AA$1))))*0.6 
+ 
AM36* 0.3"),0.806625)</f>
        <v>0.80662500000000004</v>
      </c>
      <c r="BA36" s="55">
        <f t="shared" si="13"/>
        <v>69.671083761200038</v>
      </c>
      <c r="BB36" s="21">
        <f t="shared" si="14"/>
        <v>2</v>
      </c>
      <c r="BC36" s="55">
        <f t="shared" si="15"/>
        <v>64.673076923076906</v>
      </c>
    </row>
    <row r="37" spans="1:55" ht="15" customHeight="1" x14ac:dyDescent="0.2">
      <c r="A37" s="26" t="s">
        <v>331</v>
      </c>
      <c r="B37" s="26" t="s">
        <v>461</v>
      </c>
      <c r="C37" s="19" t="s">
        <v>8</v>
      </c>
      <c r="D37" s="20">
        <v>13</v>
      </c>
      <c r="E37" s="20">
        <v>13</v>
      </c>
      <c r="F37" s="20">
        <v>10.83</v>
      </c>
      <c r="G37" s="20" t="e">
        <f t="shared" ca="1" si="17"/>
        <v>#NAME?</v>
      </c>
      <c r="H37" s="20">
        <v>65</v>
      </c>
      <c r="I37" s="48">
        <f ca="1">IFERROR(__xludf.DUMMYFUNCTION("Sum(FILTER(C37:H37, $C$1:$H$1=""Unit 1 Practice""))/Sum(FILTER(C$75:H$75, $C$1:$H$1=""Unit 1 Practice""))*0.1 + Sum(FILTER(C37:H37, $C$1:$H$1=""Unit 1 Test (before retake)""))/Sum(FILTER(C$75:H$75, $C$1:$H$1=""Unit 1 Test (before retake)""))*0.6 + 0.3"),0.781139240506329)</f>
        <v>0.78113924050632899</v>
      </c>
      <c r="J37" s="20">
        <v>68</v>
      </c>
      <c r="K37" s="20">
        <v>68</v>
      </c>
      <c r="L37" s="48">
        <f ca="1">IFERROR(__xludf.DUMMYFUNCTION("SUM( FILTER(C37:K37, ISNUMBER(SEARCH(""Practice"", $C$1:$K$1)) ) )  / 
  SUM( FILTER(C$75:K$75, ISNUMBER(SEARCH(""Practice"", $C$1:$K$1))))*0.1
+
SUM( FILTER(C37:K37, ISNUMBER(SEARCH(""AFTER RETAKE"", $C$1:$K$1)) ) )  / 
  SUM( FILTER(C$75:K$75, ISNUMBER"&amp;"(SEARCH(""AFTER RETAKE"", $C$1:$K$1))))*0.6 + 0.3
"),0.799139240506329)</f>
        <v>0.79913924050632901</v>
      </c>
      <c r="M37" s="20">
        <v>13</v>
      </c>
      <c r="N37" s="20">
        <v>0</v>
      </c>
      <c r="O37" s="20">
        <v>10</v>
      </c>
      <c r="P37" s="20" t="e">
        <f t="shared" ca="1" si="1"/>
        <v>#NAME?</v>
      </c>
      <c r="Q37" s="20">
        <v>30</v>
      </c>
      <c r="R37" s="48">
        <f ca="1">IFERROR(__xludf.DUMMYFUNCTION("SUM( FILTER(C37:T37, ISNUMBER(SEARCH(""Practice"", $C$1:$T$1)) ) )  / 
  SUM( FILTER(C$75:T$75, ISNUMBER(SEARCH(""Practice"", $C$1:$T$1))))*0.1
+
(SUM( FILTER(C37:K37, ISNUMBER(SEARCH(""AFTER RETAKE"", $C$1:$K$1)) ) )+SUM( FILTER(K37:T37, ISNUMBER(SEARCH"&amp;"(""BEFORE RETAKE"", $K$1:$T$1)) ) ))  / 
  SUM( FILTER(C$75:T$75, ISNUMBER(SEARCH(""BEFORE RETAKE"", $C$1:$T$1))))*0.6 + 0.3"),0.675132075471698)</f>
        <v>0.67513207547169796</v>
      </c>
      <c r="S37" s="20">
        <v>72</v>
      </c>
      <c r="T37" s="20">
        <v>72</v>
      </c>
      <c r="U37" s="48">
        <f ca="1">IFERROR(__xludf.DUMMYFUNCTION("SUM( FILTER(C37:T37, ISNUMBER(SEARCH(""Practice"", $C$1:$T$1)) ) )  / 
  SUM( FILTER(C$75:T$75, ISNUMBER(SEARCH(""Practice"", $C$1:$T$1))))*0.1
+
SUM( FILTER(C37:T37, ISNUMBER(SEARCH(""AFTER RETAKE"", $C$1:$T$1)) ) )  / 
  SUM( FILTER(C$75:T$75, ISNUMBER"&amp;"(SEARCH(""AFTER RETAKE"", $C$1:$T$1))))*0.6 + 0.3
"),0.801132075471698)</f>
        <v>0.80113207547169796</v>
      </c>
      <c r="V37" s="20">
        <v>10</v>
      </c>
      <c r="W37" s="20">
        <v>10</v>
      </c>
      <c r="X37" s="20">
        <v>0</v>
      </c>
      <c r="Y37" s="20">
        <v>3</v>
      </c>
      <c r="Z37" s="20" t="e">
        <f t="shared" ca="1" si="2"/>
        <v>#NAME?</v>
      </c>
      <c r="AA37" s="20">
        <v>68</v>
      </c>
      <c r="AB37" s="48">
        <f ca="1">IFERROR(__xludf.DUMMYFUNCTION("SUM( FILTER(C37:AA37, ISNUMBER(SEARCH(""Practice"", $C$1:$AA$1)) ) )  / 
  SUM( FILTER(C$75:AA$75, ISNUMBER(SEARCH(""Practice"", $C$1:$AA$1))))*0.1
+
(SUM( FILTER(C37:T37, ISNUMBER(SEARCH(""AFTER RETAKE"", $C$1:$T$1)) ) )+SUM( FILTER(T37:AA37, ISNUMBER(S"&amp;"EARCH(""BEFORE RETAKE"", $T$1:$AA$1)) ) ))  / 
  SUM( FILTER(C$75:AA$75, ISNUMBER(SEARCH(""BEFORE RETAKE"", $C$1:$AA$1))))*0.6 + 0.3"),0.791625)</f>
        <v>0.79162500000000002</v>
      </c>
      <c r="AC37" s="20">
        <v>75</v>
      </c>
      <c r="AD37" s="20">
        <v>68</v>
      </c>
      <c r="AE37" s="48">
        <f ca="1">IFERROR(__xludf.DUMMYFUNCTION("SUM( FILTER(C37:AA37, ISNUMBER(SEARCH(""Practice"", $C$1:$AA$1)) ) )  / 
  SUM( FILTER(C$75:AA$75, ISNUMBER(SEARCH(""Practice"", $C$1:$AA$1))))*0.1
+
SUM( FILTER(C37:AD37, ISNUMBER(SEARCH(""AFTER RETAKE"", $C$1:$AD$1)) ) )
  / 
  SUM( FILTER(C$75:AD$75, I"&amp;"SNUMBER(SEARCH(""BEFORE RETAKE"", $C$1:$AD$1))))*0.6 
+ 
0.3"),0.791625)</f>
        <v>0.79162500000000002</v>
      </c>
      <c r="AF37" s="20" t="s">
        <v>811</v>
      </c>
      <c r="AG37" s="20">
        <v>19.8</v>
      </c>
      <c r="AH37" s="20">
        <v>8.5</v>
      </c>
      <c r="AI37" s="20">
        <v>0</v>
      </c>
      <c r="AJ37" s="20">
        <v>10.33</v>
      </c>
      <c r="AK37" s="20">
        <v>88</v>
      </c>
      <c r="AM37" s="21">
        <v>0.85</v>
      </c>
      <c r="AO37" s="55">
        <f t="shared" si="3"/>
        <v>87.69047619047619</v>
      </c>
      <c r="AP37" s="21">
        <f t="shared" si="4"/>
        <v>0</v>
      </c>
      <c r="AQ37" s="55">
        <f t="shared" si="5"/>
        <v>53.488372093023251</v>
      </c>
      <c r="AR37" s="21">
        <f t="shared" si="6"/>
        <v>1</v>
      </c>
      <c r="AS37" s="55">
        <f t="shared" si="7"/>
        <v>52.272727272727273</v>
      </c>
      <c r="AT37" s="21">
        <f t="shared" si="8"/>
        <v>1</v>
      </c>
      <c r="AU37" s="55">
        <f t="shared" si="9"/>
        <v>47.166666666666671</v>
      </c>
      <c r="AV37" s="21">
        <f t="shared" si="10"/>
        <v>1</v>
      </c>
      <c r="AW37" s="20">
        <f t="shared" si="11"/>
        <v>54.333333333333336</v>
      </c>
      <c r="AX37" s="20">
        <f t="shared" si="12"/>
        <v>69.333333333333329</v>
      </c>
      <c r="AY37" s="48">
        <f ca="1">IFERROR(__xludf.DUMMYFUNCTION("SUM( FILTER(C37:AA37, ISNUMBER(SEARCH(""Practice"", $C$1:$AA$1)) ) )  / 
  SUM( FILTER(C$75:AA$75, ISNUMBER(SEARCH(""Practice"", $C$1:$AA$1))))*0.1
+
(SUM( FILTER(C37:T37, ISNUMBER(SEARCH(""AFTER RETAKE"", $C$1:$T$1)) ) )
+
SUM( FILTER(U37:AD37, ISNUMBER("&amp;"SEARCH(""AFTER RETAKE"", $U$1:$AD$1)) ) ))  / 
  SUM( FILTER(C$75:AA$75, ISNUMBER(SEARCH(""BEFORE RETAKE"", $C$1:$AA$1))))*0.6 
+ 
 AM37*0.3"),0.746625)</f>
        <v>0.74662499999999998</v>
      </c>
      <c r="AZ37" s="48">
        <f ca="1">IFERROR(__xludf.DUMMYFUNCTION("SUM( FILTER(C37:AA37, ISNUMBER(SEARCH(""Practice"", $C$1:$AA$1)) ) )  / 
  SUM( FILTER(C$75:AA$75, ISNUMBER(SEARCH(""Practice"", $C$1:$AA$1))))*0.1
+
(SUM( FILTER(C37:T37, ISNUMBER(SEARCH(""Before RETAKE"", $C$1:$T$1)) ) )
+
SUM( FILTER(U37:AD37, ISNUMBER"&amp;"(SEARCH(""Before RETAKE"", $U$1:$AD$1)) ) ))  / 
  SUM( FILTER(C$75:AA$75, ISNUMBER(SEARCH(""BEFORE RETAKE"", $C$1:$AA$1))))*0.6 
+ 
AM37* 0.3"),0.656625)</f>
        <v>0.65662500000000001</v>
      </c>
      <c r="BA37" s="55">
        <f t="shared" si="13"/>
        <v>60.15456055572335</v>
      </c>
      <c r="BB37" s="21">
        <f t="shared" si="14"/>
        <v>3</v>
      </c>
      <c r="BC37" s="55">
        <f t="shared" si="15"/>
        <v>65.692307692307679</v>
      </c>
    </row>
    <row r="38" spans="1:55" ht="15" customHeight="1" x14ac:dyDescent="0.2">
      <c r="A38" s="26" t="s">
        <v>333</v>
      </c>
      <c r="B38" s="26" t="s">
        <v>461</v>
      </c>
      <c r="C38" s="19" t="s">
        <v>9</v>
      </c>
      <c r="D38" s="20">
        <v>7</v>
      </c>
      <c r="E38" s="20">
        <v>13</v>
      </c>
      <c r="F38" s="20">
        <v>8.16</v>
      </c>
      <c r="G38" s="20" t="e">
        <f t="shared" ca="1" si="17"/>
        <v>#NAME?</v>
      </c>
      <c r="H38" s="20">
        <v>85</v>
      </c>
      <c r="I38" s="48">
        <f ca="1">IFERROR(__xludf.DUMMYFUNCTION("Sum(FILTER(C38:H38, $C$1:$H$1=""Unit 1 Practice""))/Sum(FILTER(C$75:H$75, $C$1:$H$1=""Unit 1 Practice""))*0.1 + Sum(FILTER(C38:H38, $C$1:$H$1=""Unit 1 Test (before retake)""))/Sum(FILTER(C$75:H$75, $C$1:$H$1=""Unit 1 Test (before retake)""))*0.6 + 0.3"),0.887215189873417)</f>
        <v>0.88721518987341697</v>
      </c>
      <c r="J38" s="20" t="s">
        <v>462</v>
      </c>
      <c r="K38" s="20">
        <v>85</v>
      </c>
      <c r="L38" s="48">
        <f ca="1">IFERROR(__xludf.DUMMYFUNCTION("SUM( FILTER(C38:K38, ISNUMBER(SEARCH(""Practice"", $C$1:$K$1)) ) )  / 
  SUM( FILTER(C$75:K$75, ISNUMBER(SEARCH(""Practice"", $C$1:$K$1))))*0.1
+
SUM( FILTER(C38:K38, ISNUMBER(SEARCH(""AFTER RETAKE"", $C$1:$K$1)) ) )  / 
  SUM( FILTER(C$75:K$75, ISNUMBER"&amp;"(SEARCH(""AFTER RETAKE"", $C$1:$K$1))))*0.6 + 0.3
"),0.887215189873417)</f>
        <v>0.88721518987341697</v>
      </c>
      <c r="M38" s="20">
        <v>14</v>
      </c>
      <c r="N38" s="20">
        <v>11</v>
      </c>
      <c r="O38" s="20">
        <v>10</v>
      </c>
      <c r="P38" s="20" t="e">
        <f t="shared" ca="1" si="1"/>
        <v>#NAME?</v>
      </c>
      <c r="Q38" s="20">
        <v>68</v>
      </c>
      <c r="R38" s="48">
        <f ca="1">IFERROR(__xludf.DUMMYFUNCTION("SUM( FILTER(C38:T38, ISNUMBER(SEARCH(""Practice"", $C$1:$T$1)) ) )  / 
  SUM( FILTER(C$75:T$75, ISNUMBER(SEARCH(""Practice"", $C$1:$T$1))))*0.1
+
(SUM( FILTER(C38:K38, ISNUMBER(SEARCH(""AFTER RETAKE"", $C$1:$K$1)) ) )+SUM( FILTER(K38:T38, ISNUMBER(SEARCH"&amp;"(""BEFORE RETAKE"", $K$1:$T$1)) ) ))  / 
  SUM( FILTER(C$75:T$75, ISNUMBER(SEARCH(""BEFORE RETAKE"", $C$1:$T$1))))*0.6 + 0.3"),0.840761006289308)</f>
        <v>0.84076100628930805</v>
      </c>
      <c r="S38" s="20" t="s">
        <v>462</v>
      </c>
      <c r="T38" s="20">
        <v>68</v>
      </c>
      <c r="U38" s="48">
        <f ca="1">IFERROR(__xludf.DUMMYFUNCTION("SUM( FILTER(C38:T38, ISNUMBER(SEARCH(""Practice"", $C$1:$T$1)) ) )  / 
  SUM( FILTER(C$75:T$75, ISNUMBER(SEARCH(""Practice"", $C$1:$T$1))))*0.1
+
SUM( FILTER(C38:T38, ISNUMBER(SEARCH(""AFTER RETAKE"", $C$1:$T$1)) ) )  / 
  SUM( FILTER(C$75:T$75, ISNUMBER"&amp;"(SEARCH(""AFTER RETAKE"", $C$1:$T$1))))*0.6 + 0.3
"),0.840761006289308)</f>
        <v>0.84076100628930805</v>
      </c>
      <c r="V38" s="20">
        <v>7</v>
      </c>
      <c r="W38" s="20">
        <v>9</v>
      </c>
      <c r="X38" s="20">
        <v>10</v>
      </c>
      <c r="Y38" s="20">
        <v>8</v>
      </c>
      <c r="Z38" s="20" t="e">
        <f t="shared" ca="1" si="2"/>
        <v>#NAME?</v>
      </c>
      <c r="AA38" s="20">
        <v>72</v>
      </c>
      <c r="AB38" s="48">
        <f ca="1">IFERROR(__xludf.DUMMYFUNCTION("SUM( FILTER(C38:AA38, ISNUMBER(SEARCH(""Practice"", $C$1:$AA$1)) ) )  / 
  SUM( FILTER(C$75:AA$75, ISNUMBER(SEARCH(""Practice"", $C$1:$AA$1))))*0.1
+
(SUM( FILTER(C38:T38, ISNUMBER(SEARCH(""AFTER RETAKE"", $C$1:$T$1)) ) )+SUM( FILTER(T38:AA38, ISNUMBER(S"&amp;"EARCH(""BEFORE RETAKE"", $T$1:$AA$1)) ) ))  / 
  SUM( FILTER(C$75:AA$75, ISNUMBER(SEARCH(""BEFORE RETAKE"", $C$1:$AA$1))))*0.6 + 0.3"),0.832083333333333)</f>
        <v>0.83208333333333295</v>
      </c>
      <c r="AC38" s="20" t="s">
        <v>462</v>
      </c>
      <c r="AD38" s="20">
        <v>72</v>
      </c>
      <c r="AE38" s="48">
        <f ca="1">IFERROR(__xludf.DUMMYFUNCTION("SUM( FILTER(C38:AA38, ISNUMBER(SEARCH(""Practice"", $C$1:$AA$1)) ) )  / 
  SUM( FILTER(C$75:AA$75, ISNUMBER(SEARCH(""Practice"", $C$1:$AA$1))))*0.1
+
SUM( FILTER(C38:AD38, ISNUMBER(SEARCH(""AFTER RETAKE"", $C$1:$AD$1)) ) )
  / 
  SUM( FILTER(C$75:AD$75, I"&amp;"SNUMBER(SEARCH(""BEFORE RETAKE"", $C$1:$AD$1))))*0.6 
+ 
0.3"),0.832083333333333)</f>
        <v>0.83208333333333295</v>
      </c>
      <c r="AF38" s="20" t="s">
        <v>811</v>
      </c>
      <c r="AG38" s="20">
        <v>0</v>
      </c>
      <c r="AH38" s="20">
        <v>0</v>
      </c>
      <c r="AI38" s="20">
        <v>0</v>
      </c>
      <c r="AJ38" s="20">
        <v>10.26</v>
      </c>
      <c r="AK38" s="20">
        <v>88</v>
      </c>
      <c r="AM38" s="21">
        <v>0.68</v>
      </c>
      <c r="AO38" s="55">
        <f t="shared" si="3"/>
        <v>67.047619047619051</v>
      </c>
      <c r="AP38" s="21">
        <f t="shared" si="4"/>
        <v>0</v>
      </c>
      <c r="AQ38" s="55">
        <f t="shared" si="5"/>
        <v>81.395348837209298</v>
      </c>
      <c r="AR38" s="21">
        <f t="shared" si="6"/>
        <v>0</v>
      </c>
      <c r="AS38" s="55">
        <f t="shared" si="7"/>
        <v>77.272727272727266</v>
      </c>
      <c r="AT38" s="21">
        <f t="shared" si="8"/>
        <v>0</v>
      </c>
      <c r="AU38" s="55">
        <f t="shared" si="9"/>
        <v>0</v>
      </c>
      <c r="AV38" s="21">
        <f t="shared" si="10"/>
        <v>3</v>
      </c>
      <c r="AW38" s="20">
        <f t="shared" si="11"/>
        <v>75</v>
      </c>
      <c r="AX38" s="20">
        <f t="shared" si="12"/>
        <v>75</v>
      </c>
      <c r="AY38" s="48">
        <f ca="1">IFERROR(__xludf.DUMMYFUNCTION("SUM( FILTER(C38:AA38, ISNUMBER(SEARCH(""Practice"", $C$1:$AA$1)) ) )  / 
  SUM( FILTER(C$75:AA$75, ISNUMBER(SEARCH(""Practice"", $C$1:$AA$1))))*0.1
+
(SUM( FILTER(C38:T38, ISNUMBER(SEARCH(""AFTER RETAKE"", $C$1:$T$1)) ) )
+
SUM( FILTER(U38:AD38, ISNUMBER("&amp;"SEARCH(""AFTER RETAKE"", $U$1:$AD$1)) ) ))  / 
  SUM( FILTER(C$75:AA$75, ISNUMBER(SEARCH(""BEFORE RETAKE"", $C$1:$AA$1))))*0.6 
+ 
 AM38*0.3"),0.736083333333333)</f>
        <v>0.73608333333333298</v>
      </c>
      <c r="AZ38" s="48">
        <f ca="1">IFERROR(__xludf.DUMMYFUNCTION("SUM( FILTER(C38:AA38, ISNUMBER(SEARCH(""Practice"", $C$1:$AA$1)) ) )  / 
  SUM( FILTER(C$75:AA$75, ISNUMBER(SEARCH(""Practice"", $C$1:$AA$1))))*0.1
+
(SUM( FILTER(C38:T38, ISNUMBER(SEARCH(""Before RETAKE"", $C$1:$T$1)) ) )
+
SUM( FILTER(U38:AD38, ISNUMBER"&amp;"(SEARCH(""Before RETAKE"", $U$1:$AD$1)) ) ))  / 
  SUM( FILTER(C$75:AA$75, ISNUMBER(SEARCH(""BEFORE RETAKE"", $C$1:$AA$1))))*0.6 
+ 
AM38* 0.3"),0.736083333333333)</f>
        <v>0.73608333333333298</v>
      </c>
      <c r="BA38" s="55">
        <f t="shared" si="13"/>
        <v>56.428923789388904</v>
      </c>
      <c r="BB38" s="21">
        <f t="shared" si="14"/>
        <v>3</v>
      </c>
      <c r="BC38" s="55">
        <f t="shared" si="15"/>
        <v>70.038461538461533</v>
      </c>
    </row>
    <row r="39" spans="1:55" ht="15" customHeight="1" x14ac:dyDescent="0.2">
      <c r="A39" s="26" t="s">
        <v>335</v>
      </c>
      <c r="B39" s="26" t="s">
        <v>461</v>
      </c>
      <c r="C39" s="19" t="s">
        <v>8</v>
      </c>
      <c r="D39" s="20" t="s">
        <v>462</v>
      </c>
      <c r="E39" s="20">
        <v>14</v>
      </c>
      <c r="F39" s="20">
        <v>8.49</v>
      </c>
      <c r="G39" s="20" t="e">
        <f t="shared" ca="1" si="17"/>
        <v>#NAME?</v>
      </c>
      <c r="H39" s="20">
        <v>85</v>
      </c>
      <c r="I39" s="48">
        <f ca="1">IFERROR(__xludf.DUMMYFUNCTION("Sum(FILTER(C39:H39, $C$1:$H$1=""Unit 1 Practice""))/Sum(FILTER(C$75:H$75, $C$1:$H$1=""Unit 1 Practice""))*0.1 + Sum(FILTER(C39:H39, $C$1:$H$1=""Unit 1 Test (before retake)""))/Sum(FILTER(C$75:H$75, $C$1:$H$1=""Unit 1 Test (before retake)""))*0.6 + 0.3"),0.879620253164556)</f>
        <v>0.87962025316455605</v>
      </c>
      <c r="J39" s="20" t="s">
        <v>462</v>
      </c>
      <c r="K39" s="20">
        <v>85</v>
      </c>
      <c r="L39" s="48">
        <f ca="1">IFERROR(__xludf.DUMMYFUNCTION("SUM( FILTER(C39:K39, ISNUMBER(SEARCH(""Practice"", $C$1:$K$1)) ) )  / 
  SUM( FILTER(C$75:K$75, ISNUMBER(SEARCH(""Practice"", $C$1:$K$1))))*0.1
+
SUM( FILTER(C39:K39, ISNUMBER(SEARCH(""AFTER RETAKE"", $C$1:$K$1)) ) )  / 
  SUM( FILTER(C$75:K$75, ISNUMBER"&amp;"(SEARCH(""AFTER RETAKE"", $C$1:$K$1))))*0.6 + 0.3
"),0.879620253164556)</f>
        <v>0.87962025316455605</v>
      </c>
      <c r="M39" s="20">
        <v>18</v>
      </c>
      <c r="N39" s="20">
        <v>8</v>
      </c>
      <c r="O39" s="20">
        <v>12</v>
      </c>
      <c r="P39" s="20" t="e">
        <f t="shared" ca="1" si="1"/>
        <v>#NAME?</v>
      </c>
      <c r="Q39" s="20">
        <v>78</v>
      </c>
      <c r="R39" s="48">
        <f ca="1">IFERROR(__xludf.DUMMYFUNCTION("SUM( FILTER(C39:T39, ISNUMBER(SEARCH(""Practice"", $C$1:$T$1)) ) )  / 
  SUM( FILTER(C$75:T$75, ISNUMBER(SEARCH(""Practice"", $C$1:$T$1))))*0.1
+
(SUM( FILTER(C39:K39, ISNUMBER(SEARCH(""AFTER RETAKE"", $C$1:$K$1)) ) )+SUM( FILTER(K39:T39, ISNUMBER(SEARCH"&amp;"(""BEFORE RETAKE"", $K$1:$T$1)) ) ))  / 
  SUM( FILTER(C$75:T$75, ISNUMBER(SEARCH(""BEFORE RETAKE"", $C$1:$T$1))))*0.6 + 0.3"),0.869817610062892)</f>
        <v>0.86981761006289204</v>
      </c>
      <c r="S39" s="20">
        <v>85</v>
      </c>
      <c r="T39" s="20">
        <v>85</v>
      </c>
      <c r="U39" s="48">
        <f ca="1">IFERROR(__xludf.DUMMYFUNCTION("SUM( FILTER(C39:T39, ISNUMBER(SEARCH(""Practice"", $C$1:$T$1)) ) )  / 
  SUM( FILTER(C$75:T$75, ISNUMBER(SEARCH(""Practice"", $C$1:$T$1))))*0.1
+
SUM( FILTER(C39:T39, ISNUMBER(SEARCH(""AFTER RETAKE"", $C$1:$T$1)) ) )  / 
  SUM( FILTER(C$75:T$75, ISNUMBER"&amp;"(SEARCH(""AFTER RETAKE"", $C$1:$T$1))))*0.6 + 0.3
"),0.890817610062893)</f>
        <v>0.89081761006289295</v>
      </c>
      <c r="V39" s="20">
        <v>9</v>
      </c>
      <c r="W39" s="20">
        <v>10</v>
      </c>
      <c r="X39" s="20">
        <v>11</v>
      </c>
      <c r="Y39" s="20">
        <v>8</v>
      </c>
      <c r="Z39" s="20" t="e">
        <f t="shared" ca="1" si="2"/>
        <v>#NAME?</v>
      </c>
      <c r="AA39" s="20">
        <v>75</v>
      </c>
      <c r="AB39" s="48">
        <f ca="1">IFERROR(__xludf.DUMMYFUNCTION("SUM( FILTER(C39:AA39, ISNUMBER(SEARCH(""Practice"", $C$1:$AA$1)) ) )  / 
  SUM( FILTER(C$75:AA$75, ISNUMBER(SEARCH(""Practice"", $C$1:$AA$1))))*0.1
+
(SUM( FILTER(C39:T39, ISNUMBER(SEARCH(""AFTER RETAKE"", $C$1:$T$1)) ) )+SUM( FILTER(T39:AA39, ISNUMBER(S"&amp;"EARCH(""BEFORE RETAKE"", $T$1:$AA$1)) ) ))  / 
  SUM( FILTER(C$75:AA$75, ISNUMBER(SEARCH(""BEFORE RETAKE"", $C$1:$AA$1))))*0.6 + 0.3"),0.873124999999999)</f>
        <v>0.87312499999999904</v>
      </c>
      <c r="AC39" s="20" t="s">
        <v>462</v>
      </c>
      <c r="AD39" s="20">
        <v>75</v>
      </c>
      <c r="AE39" s="48">
        <f ca="1">IFERROR(__xludf.DUMMYFUNCTION("SUM( FILTER(C39:AA39, ISNUMBER(SEARCH(""Practice"", $C$1:$AA$1)) ) )  / 
  SUM( FILTER(C$75:AA$75, ISNUMBER(SEARCH(""Practice"", $C$1:$AA$1))))*0.1
+
SUM( FILTER(C39:AD39, ISNUMBER(SEARCH(""AFTER RETAKE"", $C$1:$AD$1)) ) )
  / 
  SUM( FILTER(C$75:AD$75, I"&amp;"SNUMBER(SEARCH(""BEFORE RETAKE"", $C$1:$AD$1))))*0.6 
+ 
0.3"),0.873124999999999)</f>
        <v>0.87312499999999904</v>
      </c>
      <c r="AF39" s="20" t="s">
        <v>811</v>
      </c>
      <c r="AG39" s="20">
        <v>22</v>
      </c>
      <c r="AH39" s="20">
        <v>4</v>
      </c>
      <c r="AI39" s="20">
        <v>0</v>
      </c>
      <c r="AJ39" s="20">
        <v>10.8</v>
      </c>
      <c r="AK39" s="20">
        <v>92</v>
      </c>
      <c r="AM39" s="21">
        <v>0.85</v>
      </c>
      <c r="AO39" s="55">
        <f t="shared" si="3"/>
        <v>53.547619047619058</v>
      </c>
      <c r="AP39" s="21">
        <f t="shared" si="4"/>
        <v>0</v>
      </c>
      <c r="AQ39" s="55">
        <f t="shared" si="5"/>
        <v>88.3720930232558</v>
      </c>
      <c r="AR39" s="21">
        <f t="shared" si="6"/>
        <v>0</v>
      </c>
      <c r="AS39" s="55">
        <f t="shared" si="7"/>
        <v>86.36363636363636</v>
      </c>
      <c r="AT39" s="21">
        <f t="shared" si="8"/>
        <v>0</v>
      </c>
      <c r="AU39" s="55">
        <f t="shared" si="9"/>
        <v>43.333333333333329</v>
      </c>
      <c r="AV39" s="21">
        <f t="shared" si="10"/>
        <v>1</v>
      </c>
      <c r="AW39" s="20">
        <f t="shared" si="11"/>
        <v>79.333333333333329</v>
      </c>
      <c r="AX39" s="20">
        <f t="shared" si="12"/>
        <v>81.666666666666671</v>
      </c>
      <c r="AY39" s="48">
        <f ca="1">IFERROR(__xludf.DUMMYFUNCTION("SUM( FILTER(C39:AA39, ISNUMBER(SEARCH(""Practice"", $C$1:$AA$1)) ) )  / 
  SUM( FILTER(C$75:AA$75, ISNUMBER(SEARCH(""Practice"", $C$1:$AA$1))))*0.1
+
(SUM( FILTER(C39:T39, ISNUMBER(SEARCH(""AFTER RETAKE"", $C$1:$T$1)) ) )
+
SUM( FILTER(U39:AD39, ISNUMBER("&amp;"SEARCH(""AFTER RETAKE"", $U$1:$AD$1)) ) ))  / 
  SUM( FILTER(C$75:AA$75, ISNUMBER(SEARCH(""BEFORE RETAKE"", $C$1:$AA$1))))*0.6 
+ 
 AM39*0.3"),0.828125)</f>
        <v>0.828125</v>
      </c>
      <c r="AZ39" s="48">
        <f ca="1">IFERROR(__xludf.DUMMYFUNCTION("SUM( FILTER(C39:AA39, ISNUMBER(SEARCH(""Practice"", $C$1:$AA$1)) ) )  / 
  SUM( FILTER(C$75:AA$75, ISNUMBER(SEARCH(""Practice"", $C$1:$AA$1))))*0.1
+
(SUM( FILTER(C39:T39, ISNUMBER(SEARCH(""Before RETAKE"", $C$1:$T$1)) ) )
+
SUM( FILTER(U39:AD39, ISNUMBER"&amp;"(SEARCH(""Before RETAKE"", $U$1:$AD$1)) ) ))  / 
  SUM( FILTER(C$75:AA$75, ISNUMBER(SEARCH(""BEFORE RETAKE"", $C$1:$AA$1))))*0.6 
+ 
AM39* 0.3"),0.814125)</f>
        <v>0.81412499999999999</v>
      </c>
      <c r="BA39" s="55">
        <f t="shared" si="13"/>
        <v>67.904170441961128</v>
      </c>
      <c r="BB39" s="21">
        <f t="shared" si="14"/>
        <v>1</v>
      </c>
      <c r="BC39" s="55">
        <f t="shared" si="15"/>
        <v>75.557692307692321</v>
      </c>
    </row>
    <row r="40" spans="1:55" ht="15" customHeight="1" x14ac:dyDescent="0.2">
      <c r="A40" s="26" t="s">
        <v>337</v>
      </c>
      <c r="B40" s="26" t="s">
        <v>464</v>
      </c>
      <c r="C40" s="19" t="s">
        <v>8</v>
      </c>
      <c r="D40" s="20">
        <v>13.5</v>
      </c>
      <c r="E40" s="20">
        <v>12.5</v>
      </c>
      <c r="F40" s="20">
        <v>0</v>
      </c>
      <c r="G40" s="20" t="e">
        <f t="shared" ca="1" si="17"/>
        <v>#NAME?</v>
      </c>
      <c r="H40" s="20">
        <v>30</v>
      </c>
      <c r="I40" s="48">
        <f ca="1">IFERROR(__xludf.DUMMYFUNCTION("Sum(FILTER(C40:H40, $C$1:$H$1=""Unit 1 Practice""))/Sum(FILTER(C$75:H$75, $C$1:$H$1=""Unit 1 Practice""))*0.1 + Sum(FILTER(C40:H40, $C$1:$H$1=""Unit 1 Test (before retake)""))/Sum(FILTER(C$75:H$75, $C$1:$H$1=""Unit 1 Test (before retake)""))*0.6 + 0.3"),0.512911392405063)</f>
        <v>0.512911392405063</v>
      </c>
      <c r="J40" s="20">
        <v>30</v>
      </c>
      <c r="K40" s="20">
        <v>30</v>
      </c>
      <c r="L40" s="48">
        <f ca="1">IFERROR(__xludf.DUMMYFUNCTION("SUM( FILTER(C40:K40, ISNUMBER(SEARCH(""Practice"", $C$1:$K$1)) ) )  / 
  SUM( FILTER(C$75:K$75, ISNUMBER(SEARCH(""Practice"", $C$1:$K$1))))*0.1
+
SUM( FILTER(C40:K40, ISNUMBER(SEARCH(""AFTER RETAKE"", $C$1:$K$1)) ) )  / 
  SUM( FILTER(C$75:K$75, ISNUMBER"&amp;"(SEARCH(""AFTER RETAKE"", $C$1:$K$1))))*0.6 + 0.3
"),0.512911392405063)</f>
        <v>0.512911392405063</v>
      </c>
      <c r="M40" s="20">
        <v>13</v>
      </c>
      <c r="N40" s="20">
        <v>10</v>
      </c>
      <c r="O40" s="20">
        <v>9</v>
      </c>
      <c r="P40" s="20" t="e">
        <f t="shared" ca="1" si="1"/>
        <v>#NAME?</v>
      </c>
      <c r="Q40" s="20">
        <v>30</v>
      </c>
      <c r="R40" s="48">
        <f ca="1">IFERROR(__xludf.DUMMYFUNCTION("SUM( FILTER(C40:T40, ISNUMBER(SEARCH(""Practice"", $C$1:$T$1)) ) )  / 
  SUM( FILTER(C$75:T$75, ISNUMBER(SEARCH(""Practice"", $C$1:$T$1))))*0.1
+
(SUM( FILTER(C40:K40, ISNUMBER(SEARCH(""AFTER RETAKE"", $C$1:$K$1)) ) )+SUM( FILTER(K40:T40, ISNUMBER(SEARCH"&amp;"(""BEFORE RETAKE"", $K$1:$T$1)) ) ))  / 
  SUM( FILTER(C$75:T$75, ISNUMBER(SEARCH(""BEFORE RETAKE"", $C$1:$T$1))))*0.6 + 0.3"),0.53754716981132)</f>
        <v>0.53754716981132</v>
      </c>
      <c r="S40" s="20">
        <v>65</v>
      </c>
      <c r="T40" s="20">
        <v>65</v>
      </c>
      <c r="U40" s="48">
        <f ca="1">IFERROR(__xludf.DUMMYFUNCTION("SUM( FILTER(C40:T40, ISNUMBER(SEARCH(""Practice"", $C$1:$T$1)) ) )  / 
  SUM( FILTER(C$75:T$75, ISNUMBER(SEARCH(""Practice"", $C$1:$T$1))))*0.1
+
SUM( FILTER(C40:T40, ISNUMBER(SEARCH(""AFTER RETAKE"", $C$1:$T$1)) ) )  / 
  SUM( FILTER(C$75:T$75, ISNUMBER"&amp;"(SEARCH(""AFTER RETAKE"", $C$1:$T$1))))*0.6 + 0.3
"),0.64254716981132)</f>
        <v>0.64254716981131998</v>
      </c>
      <c r="V40" s="20">
        <v>0</v>
      </c>
      <c r="W40" s="20">
        <v>10</v>
      </c>
      <c r="X40" s="20">
        <v>0</v>
      </c>
      <c r="Y40" s="20">
        <v>7</v>
      </c>
      <c r="Z40" s="20" t="e">
        <f t="shared" ca="1" si="2"/>
        <v>#NAME?</v>
      </c>
      <c r="AA40" s="20">
        <v>65</v>
      </c>
      <c r="AB40" s="48">
        <f ca="1">IFERROR(__xludf.DUMMYFUNCTION("SUM( FILTER(C40:AA40, ISNUMBER(SEARCH(""Practice"", $C$1:$AA$1)) ) )  / 
  SUM( FILTER(C$75:AA$75, ISNUMBER(SEARCH(""Practice"", $C$1:$AA$1))))*0.1
+
(SUM( FILTER(C40:T40, ISNUMBER(SEARCH(""AFTER RETAKE"", $C$1:$T$1)) ) )+SUM( FILTER(T40:AA40, ISNUMBER(S"&amp;"EARCH(""BEFORE RETAKE"", $T$1:$AA$1)) ) ))  / 
  SUM( FILTER(C$75:AA$75, ISNUMBER(SEARCH(""BEFORE RETAKE"", $C$1:$AA$1))))*0.6 + 0.3"),0.678541666666666)</f>
        <v>0.67854166666666604</v>
      </c>
      <c r="AC40" s="20" t="s">
        <v>462</v>
      </c>
      <c r="AD40" s="20">
        <v>65</v>
      </c>
      <c r="AE40" s="48">
        <f ca="1">IFERROR(__xludf.DUMMYFUNCTION("SUM( FILTER(C40:AA40, ISNUMBER(SEARCH(""Practice"", $C$1:$AA$1)) ) )  / 
  SUM( FILTER(C$75:AA$75, ISNUMBER(SEARCH(""Practice"", $C$1:$AA$1))))*0.1
+
SUM( FILTER(C40:AD40, ISNUMBER(SEARCH(""AFTER RETAKE"", $C$1:$AD$1)) ) )
  / 
  SUM( FILTER(C$75:AD$75, I"&amp;"SNUMBER(SEARCH(""BEFORE RETAKE"", $C$1:$AD$1))))*0.6 
+ 
0.3"),0.678541666666666)</f>
        <v>0.67854166666666604</v>
      </c>
      <c r="AF40" s="20" t="s">
        <v>811</v>
      </c>
      <c r="AG40" s="20">
        <v>0</v>
      </c>
      <c r="AH40" s="20">
        <v>9</v>
      </c>
      <c r="AI40" s="20">
        <v>0</v>
      </c>
      <c r="AJ40" s="20">
        <v>4.53</v>
      </c>
      <c r="AK40" s="20">
        <v>72</v>
      </c>
      <c r="AM40" s="21">
        <v>0.3</v>
      </c>
      <c r="AO40" s="55">
        <f t="shared" si="3"/>
        <v>61.904761904761905</v>
      </c>
      <c r="AP40" s="21">
        <f t="shared" si="4"/>
        <v>1</v>
      </c>
      <c r="AQ40" s="55">
        <f t="shared" si="5"/>
        <v>74.418604651162781</v>
      </c>
      <c r="AR40" s="21">
        <f t="shared" si="6"/>
        <v>0</v>
      </c>
      <c r="AS40" s="55">
        <f t="shared" si="7"/>
        <v>38.636363636363633</v>
      </c>
      <c r="AT40" s="21">
        <f t="shared" si="8"/>
        <v>2</v>
      </c>
      <c r="AU40" s="55">
        <f t="shared" si="9"/>
        <v>15</v>
      </c>
      <c r="AV40" s="21">
        <f t="shared" si="10"/>
        <v>2</v>
      </c>
      <c r="AW40" s="20">
        <f t="shared" si="11"/>
        <v>41.666666666666664</v>
      </c>
      <c r="AX40" s="20">
        <f t="shared" si="12"/>
        <v>53.333333333333336</v>
      </c>
      <c r="AY40" s="48">
        <f ca="1">IFERROR(__xludf.DUMMYFUNCTION("SUM( FILTER(C40:AA40, ISNUMBER(SEARCH(""Practice"", $C$1:$AA$1)) ) )  / 
  SUM( FILTER(C$75:AA$75, ISNUMBER(SEARCH(""Practice"", $C$1:$AA$1))))*0.1
+
(SUM( FILTER(C40:T40, ISNUMBER(SEARCH(""AFTER RETAKE"", $C$1:$T$1)) ) )
+
SUM( FILTER(U40:AD40, ISNUMBER("&amp;"SEARCH(""AFTER RETAKE"", $U$1:$AD$1)) ) ))  / 
  SUM( FILTER(C$75:AA$75, ISNUMBER(SEARCH(""BEFORE RETAKE"", $C$1:$AA$1))))*0.6 
+ 
 AM40*0.3"),0.468541666666666)</f>
        <v>0.46854166666666602</v>
      </c>
      <c r="AZ40" s="48">
        <f ca="1">IFERROR(__xludf.DUMMYFUNCTION("SUM( FILTER(C40:AA40, ISNUMBER(SEARCH(""Practice"", $C$1:$AA$1)) ) )  / 
  SUM( FILTER(C$75:AA$75, ISNUMBER(SEARCH(""Practice"", $C$1:$AA$1))))*0.1
+
(SUM( FILTER(C40:T40, ISNUMBER(SEARCH(""Before RETAKE"", $C$1:$T$1)) ) )
+
SUM( FILTER(U40:AD40, ISNUMBER"&amp;"(SEARCH(""Before RETAKE"", $U$1:$AD$1)) ) ))  / 
  SUM( FILTER(C$75:AA$75, ISNUMBER(SEARCH(""BEFORE RETAKE"", $C$1:$AA$1))))*0.6 
+ 
AM40* 0.3"),0.398541666666666)</f>
        <v>0.39854166666666602</v>
      </c>
      <c r="BA40" s="55">
        <f t="shared" si="13"/>
        <v>47.489932548072076</v>
      </c>
      <c r="BB40" s="21">
        <f t="shared" si="14"/>
        <v>5</v>
      </c>
      <c r="BC40" s="55">
        <f t="shared" si="15"/>
        <v>39.480769230769234</v>
      </c>
    </row>
    <row r="41" spans="1:55" ht="15" customHeight="1" x14ac:dyDescent="0.2">
      <c r="A41" s="26" t="s">
        <v>339</v>
      </c>
      <c r="B41" s="26" t="s">
        <v>464</v>
      </c>
      <c r="C41" s="19" t="s">
        <v>8</v>
      </c>
      <c r="D41" s="20">
        <v>13</v>
      </c>
      <c r="E41" s="20">
        <v>13</v>
      </c>
      <c r="F41" s="20">
        <v>7.16</v>
      </c>
      <c r="G41" s="20" t="e">
        <f t="shared" ca="1" si="17"/>
        <v>#NAME?</v>
      </c>
      <c r="H41" s="20">
        <v>82</v>
      </c>
      <c r="I41" s="48">
        <f ca="1">IFERROR(__xludf.DUMMYFUNCTION("Sum(FILTER(C41:H41, $C$1:$H$1=""Unit 1 Practice""))/Sum(FILTER(C$75:H$75, $C$1:$H$1=""Unit 1 Practice""))*0.1 + Sum(FILTER(C41:H41, $C$1:$H$1=""Unit 1 Test (before retake)""))/Sum(FILTER(C$75:H$75, $C$1:$H$1=""Unit 1 Test (before retake)""))*0.6 + 0.3"),0.874278481012658)</f>
        <v>0.87427848101265804</v>
      </c>
      <c r="J41" s="20" t="s">
        <v>462</v>
      </c>
      <c r="K41" s="20">
        <v>82</v>
      </c>
      <c r="L41" s="48">
        <f ca="1">IFERROR(__xludf.DUMMYFUNCTION("SUM( FILTER(C41:K41, ISNUMBER(SEARCH(""Practice"", $C$1:$K$1)) ) )  / 
  SUM( FILTER(C$75:K$75, ISNUMBER(SEARCH(""Practice"", $C$1:$K$1))))*0.1
+
SUM( FILTER(C41:K41, ISNUMBER(SEARCH(""AFTER RETAKE"", $C$1:$K$1)) ) )  / 
  SUM( FILTER(C$75:K$75, ISNUMBER"&amp;"(SEARCH(""AFTER RETAKE"", $C$1:$K$1))))*0.6 + 0.3
"),0.874278481012658)</f>
        <v>0.87427848101265804</v>
      </c>
      <c r="M41" s="20">
        <v>18</v>
      </c>
      <c r="N41" s="20">
        <v>12</v>
      </c>
      <c r="O41" s="20">
        <v>9.6999999999999993</v>
      </c>
      <c r="P41" s="20" t="e">
        <f t="shared" ca="1" si="1"/>
        <v>#NAME?</v>
      </c>
      <c r="Q41" s="20">
        <v>78</v>
      </c>
      <c r="R41" s="48">
        <f ca="1">IFERROR(__xludf.DUMMYFUNCTION("SUM( FILTER(C41:T41, ISNUMBER(SEARCH(""Practice"", $C$1:$T$1)) ) )  / 
  SUM( FILTER(C$75:T$75, ISNUMBER(SEARCH(""Practice"", $C$1:$T$1))))*0.1
+
(SUM( FILTER(C41:K41, ISNUMBER(SEARCH(""AFTER RETAKE"", $C$1:$K$1)) ) )+SUM( FILTER(K41:T41, ISNUMBER(SEARCH"&amp;"(""BEFORE RETAKE"", $K$1:$T$1)) ) ))  / 
  SUM( FILTER(C$75:T$75, ISNUMBER(SEARCH(""BEFORE RETAKE"", $C$1:$T$1))))*0.6 + 0.3"),0.867421383647798)</f>
        <v>0.86742138364779797</v>
      </c>
      <c r="S41" s="20">
        <v>100</v>
      </c>
      <c r="T41" s="20">
        <v>100</v>
      </c>
      <c r="U41" s="48">
        <f ca="1">IFERROR(__xludf.DUMMYFUNCTION("SUM( FILTER(C41:T41, ISNUMBER(SEARCH(""Practice"", $C$1:$T$1)) ) )  / 
  SUM( FILTER(C$75:T$75, ISNUMBER(SEARCH(""Practice"", $C$1:$T$1))))*0.1
+
SUM( FILTER(C41:T41, ISNUMBER(SEARCH(""AFTER RETAKE"", $C$1:$T$1)) ) )  / 
  SUM( FILTER(C$75:T$75, ISNUMBER"&amp;"(SEARCH(""AFTER RETAKE"", $C$1:$T$1))))*0.6 + 0.3
"),0.933421383647798)</f>
        <v>0.93342138364779803</v>
      </c>
      <c r="V41" s="20">
        <v>10</v>
      </c>
      <c r="W41" s="20">
        <v>10</v>
      </c>
      <c r="X41" s="20">
        <v>9</v>
      </c>
      <c r="Y41" s="20">
        <v>10.5</v>
      </c>
      <c r="Z41" s="20" t="e">
        <f t="shared" ca="1" si="2"/>
        <v>#NAME?</v>
      </c>
      <c r="AA41" s="20">
        <v>85</v>
      </c>
      <c r="AB41" s="48">
        <f ca="1">IFERROR(__xludf.DUMMYFUNCTION("SUM( FILTER(C41:AA41, ISNUMBER(SEARCH(""Practice"", $C$1:$AA$1)) ) )  / 
  SUM( FILTER(C$75:AA$75, ISNUMBER(SEARCH(""Practice"", $C$1:$AA$1))))*0.1
+
(SUM( FILTER(C41:T41, ISNUMBER(SEARCH(""AFTER RETAKE"", $C$1:$T$1)) ) )+SUM( FILTER(T41:AA41, ISNUMBER(S"&amp;"EARCH(""BEFORE RETAKE"", $T$1:$AA$1)) ) ))  / 
  SUM( FILTER(C$75:AA$75, ISNUMBER(SEARCH(""BEFORE RETAKE"", $C$1:$AA$1))))*0.6 + 0.3"),0.923166666666666)</f>
        <v>0.92316666666666602</v>
      </c>
      <c r="AC41" s="20" t="s">
        <v>462</v>
      </c>
      <c r="AD41" s="20">
        <v>85</v>
      </c>
      <c r="AE41" s="48">
        <f ca="1">IFERROR(__xludf.DUMMYFUNCTION("SUM( FILTER(C41:AA41, ISNUMBER(SEARCH(""Practice"", $C$1:$AA$1)) ) )  / 
  SUM( FILTER(C$75:AA$75, ISNUMBER(SEARCH(""Practice"", $C$1:$AA$1))))*0.1
+
SUM( FILTER(C41:AD41, ISNUMBER(SEARCH(""AFTER RETAKE"", $C$1:$AD$1)) ) )
  / 
  SUM( FILTER(C$75:AD$75, I"&amp;"SNUMBER(SEARCH(""BEFORE RETAKE"", $C$1:$AD$1))))*0.6 
+ 
0.3"),0.923166666666666)</f>
        <v>0.92316666666666602</v>
      </c>
      <c r="AF41" s="20" t="s">
        <v>811</v>
      </c>
      <c r="AG41" s="20">
        <v>22</v>
      </c>
      <c r="AH41" s="20">
        <v>10</v>
      </c>
      <c r="AI41" s="20">
        <v>20</v>
      </c>
      <c r="AJ41" s="20">
        <v>13</v>
      </c>
      <c r="AK41" s="20">
        <v>100</v>
      </c>
      <c r="AM41" s="21">
        <v>0.95</v>
      </c>
      <c r="AO41" s="55">
        <f t="shared" si="3"/>
        <v>78.952380952380935</v>
      </c>
      <c r="AP41" s="21">
        <f t="shared" si="4"/>
        <v>0</v>
      </c>
      <c r="AQ41" s="55">
        <f t="shared" si="5"/>
        <v>92.325581395348848</v>
      </c>
      <c r="AR41" s="21">
        <f t="shared" si="6"/>
        <v>0</v>
      </c>
      <c r="AS41" s="55">
        <f t="shared" si="7"/>
        <v>89.772727272727266</v>
      </c>
      <c r="AT41" s="21">
        <f t="shared" si="8"/>
        <v>0</v>
      </c>
      <c r="AU41" s="55">
        <f t="shared" si="9"/>
        <v>86.666666666666657</v>
      </c>
      <c r="AV41" s="21">
        <f t="shared" si="10"/>
        <v>0</v>
      </c>
      <c r="AW41" s="20">
        <f t="shared" si="11"/>
        <v>81.666666666666671</v>
      </c>
      <c r="AX41" s="20">
        <f t="shared" si="12"/>
        <v>89</v>
      </c>
      <c r="AY41" s="48">
        <f ca="1">IFERROR(__xludf.DUMMYFUNCTION("SUM( FILTER(C41:AA41, ISNUMBER(SEARCH(""Practice"", $C$1:$AA$1)) ) )  / 
  SUM( FILTER(C$75:AA$75, ISNUMBER(SEARCH(""Practice"", $C$1:$AA$1))))*0.1
+
(SUM( FILTER(C41:T41, ISNUMBER(SEARCH(""AFTER RETAKE"", $C$1:$T$1)) ) )
+
SUM( FILTER(U41:AD41, ISNUMBER("&amp;"SEARCH(""AFTER RETAKE"", $U$1:$AD$1)) ) ))  / 
  SUM( FILTER(C$75:AA$75, ISNUMBER(SEARCH(""BEFORE RETAKE"", $C$1:$AA$1))))*0.6 
+ 
 AM41*0.3"),0.908166666666666)</f>
        <v>0.90816666666666601</v>
      </c>
      <c r="AZ41" s="48">
        <f ca="1">IFERROR(__xludf.DUMMYFUNCTION("SUM( FILTER(C41:AA41, ISNUMBER(SEARCH(""Practice"", $C$1:$AA$1)) ) )  / 
  SUM( FILTER(C$75:AA$75, ISNUMBER(SEARCH(""Practice"", $C$1:$AA$1))))*0.1
+
(SUM( FILTER(C41:T41, ISNUMBER(SEARCH(""Before RETAKE"", $C$1:$T$1)) ) )
+
SUM( FILTER(U41:AD41, ISNUMBER"&amp;"(SEARCH(""Before RETAKE"", $U$1:$AD$1)) ) ))  / 
  SUM( FILTER(C$75:AA$75, ISNUMBER(SEARCH(""BEFORE RETAKE"", $C$1:$AA$1))))*0.6 
+ 
AM41* 0.3"),0.864166666666666)</f>
        <v>0.86416666666666597</v>
      </c>
      <c r="BA41" s="55">
        <f t="shared" si="13"/>
        <v>86.92933907178093</v>
      </c>
      <c r="BB41" s="21">
        <f t="shared" si="14"/>
        <v>0</v>
      </c>
      <c r="BC41" s="55">
        <f t="shared" si="15"/>
        <v>77.615384615384613</v>
      </c>
    </row>
    <row r="42" spans="1:55" ht="15" customHeight="1" x14ac:dyDescent="0.2">
      <c r="A42" s="26" t="s">
        <v>341</v>
      </c>
      <c r="B42" s="26" t="s">
        <v>464</v>
      </c>
      <c r="C42" s="19" t="s">
        <v>8</v>
      </c>
      <c r="D42" s="20">
        <v>15</v>
      </c>
      <c r="E42" s="20">
        <v>15</v>
      </c>
      <c r="F42" s="20">
        <v>10</v>
      </c>
      <c r="G42" s="20" t="e">
        <f t="shared" ca="1" si="17"/>
        <v>#NAME?</v>
      </c>
      <c r="H42" s="20">
        <v>95</v>
      </c>
      <c r="I42" s="48">
        <f ca="1">IFERROR(__xludf.DUMMYFUNCTION("Sum(FILTER(C42:H42, $C$1:$H$1=""Unit 1 Practice""))/Sum(FILTER(C$75:H$75, $C$1:$H$1=""Unit 1 Practice""))*0.1 + Sum(FILTER(C42:H42, $C$1:$H$1=""Unit 1 Test (before retake)""))/Sum(FILTER(C$75:H$75, $C$1:$H$1=""Unit 1 Test (before retake)""))*0.6 + 0.3"),0.963670886075949)</f>
        <v>0.96367088607594897</v>
      </c>
      <c r="J42" s="20" t="s">
        <v>462</v>
      </c>
      <c r="K42" s="20">
        <v>95</v>
      </c>
      <c r="L42" s="48">
        <f ca="1">IFERROR(__xludf.DUMMYFUNCTION("SUM( FILTER(C42:K42, ISNUMBER(SEARCH(""Practice"", $C$1:$K$1)) ) )  / 
  SUM( FILTER(C$75:K$75, ISNUMBER(SEARCH(""Practice"", $C$1:$K$1))))*0.1
+
SUM( FILTER(C42:K42, ISNUMBER(SEARCH(""AFTER RETAKE"", $C$1:$K$1)) ) )  / 
  SUM( FILTER(C$75:K$75, ISNUMBER"&amp;"(SEARCH(""AFTER RETAKE"", $C$1:$K$1))))*0.6 + 0.3
"),0.963670886075949)</f>
        <v>0.96367088607594897</v>
      </c>
      <c r="M42" s="20">
        <v>15</v>
      </c>
      <c r="N42" s="20">
        <v>11</v>
      </c>
      <c r="O42" s="20">
        <v>6</v>
      </c>
      <c r="P42" s="20" t="e">
        <f t="shared" ca="1" si="1"/>
        <v>#NAME?</v>
      </c>
      <c r="Q42" s="20">
        <v>100</v>
      </c>
      <c r="R42" s="48">
        <f ca="1">IFERROR(__xludf.DUMMYFUNCTION("SUM( FILTER(C42:T42, ISNUMBER(SEARCH(""Practice"", $C$1:$T$1)) ) )  / 
  SUM( FILTER(C$75:T$75, ISNUMBER(SEARCH(""Practice"", $C$1:$T$1))))*0.1
+
(SUM( FILTER(C42:K42, ISNUMBER(SEARCH(""AFTER RETAKE"", $C$1:$K$1)) ) )+SUM( FILTER(K42:T42, ISNUMBER(SEARCH"&amp;"(""BEFORE RETAKE"", $K$1:$T$1)) ) ))  / 
  SUM( FILTER(C$75:T$75, ISNUMBER(SEARCH(""BEFORE RETAKE"", $C$1:$T$1))))*0.6 + 0.3"),0.971477987421383)</f>
        <v>0.97147798742138303</v>
      </c>
      <c r="S42" s="20" t="s">
        <v>462</v>
      </c>
      <c r="T42" s="20">
        <v>100</v>
      </c>
      <c r="U42" s="48">
        <f ca="1">IFERROR(__xludf.DUMMYFUNCTION("SUM( FILTER(C42:T42, ISNUMBER(SEARCH(""Practice"", $C$1:$T$1)) ) )  / 
  SUM( FILTER(C$75:T$75, ISNUMBER(SEARCH(""Practice"", $C$1:$T$1))))*0.1
+
SUM( FILTER(C42:T42, ISNUMBER(SEARCH(""AFTER RETAKE"", $C$1:$T$1)) ) )  / 
  SUM( FILTER(C$75:T$75, ISNUMBER"&amp;"(SEARCH(""AFTER RETAKE"", $C$1:$T$1))))*0.6 + 0.3
"),0.971477987421383)</f>
        <v>0.97147798742138303</v>
      </c>
      <c r="V42" s="20">
        <v>10</v>
      </c>
      <c r="W42" s="20">
        <v>10</v>
      </c>
      <c r="X42" s="20">
        <v>11</v>
      </c>
      <c r="Y42" s="20">
        <v>11.5</v>
      </c>
      <c r="Z42" s="20" t="e">
        <f t="shared" ca="1" si="2"/>
        <v>#NAME?</v>
      </c>
      <c r="AA42" s="20">
        <v>100</v>
      </c>
      <c r="AB42" s="48">
        <f ca="1">IFERROR(__xludf.DUMMYFUNCTION("SUM( FILTER(C42:AA42, ISNUMBER(SEARCH(""Practice"", $C$1:$AA$1)) ) )  / 
  SUM( FILTER(C$75:AA$75, ISNUMBER(SEARCH(""Practice"", $C$1:$AA$1))))*0.1
+
(SUM( FILTER(C42:T42, ISNUMBER(SEARCH(""AFTER RETAKE"", $C$1:$T$1)) ) )+SUM( FILTER(T42:AA42, ISNUMBER(S"&amp;"EARCH(""BEFORE RETAKE"", $T$1:$AA$1)) ) ))  / 
  SUM( FILTER(C$75:AA$75, ISNUMBER(SEARCH(""BEFORE RETAKE"", $C$1:$AA$1))))*0.6 + 0.3"),0.98)</f>
        <v>0.98</v>
      </c>
      <c r="AC42" s="20" t="s">
        <v>462</v>
      </c>
      <c r="AD42" s="20">
        <v>100</v>
      </c>
      <c r="AE42" s="48">
        <f ca="1">IFERROR(__xludf.DUMMYFUNCTION("SUM( FILTER(C42:AA42, ISNUMBER(SEARCH(""Practice"", $C$1:$AA$1)) ) )  / 
  SUM( FILTER(C$75:AA$75, ISNUMBER(SEARCH(""Practice"", $C$1:$AA$1))))*0.1
+
SUM( FILTER(C42:AD42, ISNUMBER(SEARCH(""AFTER RETAKE"", $C$1:$AD$1)) ) )
  / 
  SUM( FILTER(C$75:AD$75, I"&amp;"SNUMBER(SEARCH(""BEFORE RETAKE"", $C$1:$AD$1))))*0.6 
+ 
0.3"),0.98)</f>
        <v>0.98</v>
      </c>
      <c r="AF42" s="20" t="s">
        <v>811</v>
      </c>
      <c r="AG42" s="20">
        <v>22</v>
      </c>
      <c r="AH42" s="20">
        <v>10</v>
      </c>
      <c r="AI42" s="20">
        <v>0</v>
      </c>
      <c r="AJ42" s="20">
        <v>13</v>
      </c>
      <c r="AK42" s="20">
        <v>100</v>
      </c>
      <c r="AM42" s="21">
        <v>0.95</v>
      </c>
      <c r="AO42" s="55">
        <f t="shared" si="3"/>
        <v>95.238095238095227</v>
      </c>
      <c r="AP42" s="21">
        <f t="shared" si="4"/>
        <v>0</v>
      </c>
      <c r="AQ42" s="55">
        <f t="shared" si="5"/>
        <v>74.418604651162781</v>
      </c>
      <c r="AR42" s="21">
        <f t="shared" si="6"/>
        <v>0</v>
      </c>
      <c r="AS42" s="55">
        <f t="shared" si="7"/>
        <v>96.590909090909093</v>
      </c>
      <c r="AT42" s="21">
        <f t="shared" si="8"/>
        <v>0</v>
      </c>
      <c r="AU42" s="55">
        <f t="shared" si="9"/>
        <v>53.333333333333336</v>
      </c>
      <c r="AV42" s="21">
        <f t="shared" si="10"/>
        <v>1</v>
      </c>
      <c r="AW42" s="20">
        <f t="shared" si="11"/>
        <v>98.333333333333329</v>
      </c>
      <c r="AX42" s="20">
        <f t="shared" si="12"/>
        <v>98.333333333333329</v>
      </c>
      <c r="AY42" s="48">
        <f ca="1">IFERROR(__xludf.DUMMYFUNCTION("SUM( FILTER(C42:AA42, ISNUMBER(SEARCH(""Practice"", $C$1:$AA$1)) ) )  / 
  SUM( FILTER(C$75:AA$75, ISNUMBER(SEARCH(""Practice"", $C$1:$AA$1))))*0.1
+
(SUM( FILTER(C42:T42, ISNUMBER(SEARCH(""AFTER RETAKE"", $C$1:$T$1)) ) )
+
SUM( FILTER(U42:AD42, ISNUMBER("&amp;"SEARCH(""AFTER RETAKE"", $U$1:$AD$1)) ) ))  / 
  SUM( FILTER(C$75:AA$75, ISNUMBER(SEARCH(""BEFORE RETAKE"", $C$1:$AA$1))))*0.6 
+ 
 AM42*0.3"),0.964999999999999)</f>
        <v>0.96499999999999897</v>
      </c>
      <c r="AZ42" s="48">
        <f ca="1">IFERROR(__xludf.DUMMYFUNCTION("SUM( FILTER(C42:AA42, ISNUMBER(SEARCH(""Practice"", $C$1:$AA$1)) ) )  / 
  SUM( FILTER(C$75:AA$75, ISNUMBER(SEARCH(""Practice"", $C$1:$AA$1))))*0.1
+
(SUM( FILTER(C42:T42, ISNUMBER(SEARCH(""Before RETAKE"", $C$1:$T$1)) ) )
+
SUM( FILTER(U42:AD42, ISNUMBER"&amp;"(SEARCH(""Before RETAKE"", $U$1:$AD$1)) ) ))  / 
  SUM( FILTER(C$75:AA$75, ISNUMBER(SEARCH(""BEFORE RETAKE"", $C$1:$AA$1))))*0.6 
+ 
AM42* 0.3"),0.964999999999999)</f>
        <v>0.96499999999999897</v>
      </c>
      <c r="BA42" s="55">
        <f t="shared" si="13"/>
        <v>79.895235578375107</v>
      </c>
      <c r="BB42" s="21">
        <f t="shared" si="14"/>
        <v>1</v>
      </c>
      <c r="BC42" s="55">
        <f t="shared" si="15"/>
        <v>77.884615384615387</v>
      </c>
    </row>
    <row r="43" spans="1:55" ht="15" customHeight="1" x14ac:dyDescent="0.2">
      <c r="A43" s="26" t="s">
        <v>343</v>
      </c>
      <c r="B43" s="26" t="s">
        <v>464</v>
      </c>
      <c r="C43" s="19" t="s">
        <v>8</v>
      </c>
      <c r="D43" s="20">
        <v>15</v>
      </c>
      <c r="E43" s="20">
        <v>12</v>
      </c>
      <c r="F43" s="20">
        <v>9.17</v>
      </c>
      <c r="G43" s="20" t="e">
        <f t="shared" ca="1" si="17"/>
        <v>#NAME?</v>
      </c>
      <c r="H43" s="20">
        <v>85</v>
      </c>
      <c r="I43" s="48">
        <f ca="1">IFERROR(__xludf.DUMMYFUNCTION("Sum(FILTER(C43:H43, $C$1:$H$1=""Unit 1 Practice""))/Sum(FILTER(C$75:H$75, $C$1:$H$1=""Unit 1 Practice""))*0.1 + Sum(FILTER(C43:H43, $C$1:$H$1=""Unit 1 Test (before retake)""))/Sum(FILTER(C$75:H$75, $C$1:$H$1=""Unit 1 Test (before retake)""))*0.6 + 0.3"),0.897974683544303)</f>
        <v>0.89797468354430299</v>
      </c>
      <c r="J43" s="20" t="s">
        <v>462</v>
      </c>
      <c r="K43" s="20">
        <v>85</v>
      </c>
      <c r="L43" s="48">
        <f ca="1">IFERROR(__xludf.DUMMYFUNCTION("SUM( FILTER(C43:K43, ISNUMBER(SEARCH(""Practice"", $C$1:$K$1)) ) )  / 
  SUM( FILTER(C$75:K$75, ISNUMBER(SEARCH(""Practice"", $C$1:$K$1))))*0.1
+
SUM( FILTER(C43:K43, ISNUMBER(SEARCH(""AFTER RETAKE"", $C$1:$K$1)) ) )  / 
  SUM( FILTER(C$75:K$75, ISNUMBER"&amp;"(SEARCH(""AFTER RETAKE"", $C$1:$K$1))))*0.6 + 0.3
"),0.897974683544303)</f>
        <v>0.89797468354430299</v>
      </c>
      <c r="M43" s="20">
        <v>18</v>
      </c>
      <c r="N43" s="20">
        <v>11</v>
      </c>
      <c r="O43" s="20">
        <v>10</v>
      </c>
      <c r="P43" s="20" t="e">
        <f t="shared" ca="1" si="1"/>
        <v>#NAME?</v>
      </c>
      <c r="Q43" s="20">
        <v>85</v>
      </c>
      <c r="R43" s="48">
        <f ca="1">IFERROR(__xludf.DUMMYFUNCTION("SUM( FILTER(C43:T43, ISNUMBER(SEARCH(""Practice"", $C$1:$T$1)) ) )  / 
  SUM( FILTER(C$75:T$75, ISNUMBER(SEARCH(""Practice"", $C$1:$T$1))))*0.1
+
(SUM( FILTER(C43:K43, ISNUMBER(SEARCH(""AFTER RETAKE"", $C$1:$K$1)) ) )+SUM( FILTER(K43:T43, ISNUMBER(SEARCH"&amp;"(""BEFORE RETAKE"", $K$1:$T$1)) ) ))  / 
  SUM( FILTER(C$75:T$75, ISNUMBER(SEARCH(""BEFORE RETAKE"", $C$1:$T$1))))*0.6 + 0.3"),0.899622641509433)</f>
        <v>0.89962264150943305</v>
      </c>
      <c r="S43" s="20" t="s">
        <v>462</v>
      </c>
      <c r="T43" s="20">
        <v>85</v>
      </c>
      <c r="U43" s="48">
        <f ca="1">IFERROR(__xludf.DUMMYFUNCTION("SUM( FILTER(C43:T43, ISNUMBER(SEARCH(""Practice"", $C$1:$T$1)) ) )  / 
  SUM( FILTER(C$75:T$75, ISNUMBER(SEARCH(""Practice"", $C$1:$T$1))))*0.1
+
SUM( FILTER(C43:T43, ISNUMBER(SEARCH(""AFTER RETAKE"", $C$1:$T$1)) ) )  / 
  SUM( FILTER(C$75:T$75, ISNUMBER"&amp;"(SEARCH(""AFTER RETAKE"", $C$1:$T$1))))*0.6 + 0.3
"),0.899622641509433)</f>
        <v>0.89962264150943305</v>
      </c>
      <c r="V43" s="20">
        <v>10</v>
      </c>
      <c r="W43" s="20">
        <v>0</v>
      </c>
      <c r="X43" s="20">
        <v>0</v>
      </c>
      <c r="Y43" s="20">
        <v>0</v>
      </c>
      <c r="Z43" s="20" t="e">
        <f t="shared" ca="1" si="2"/>
        <v>#NAME?</v>
      </c>
      <c r="AA43" s="20">
        <v>82</v>
      </c>
      <c r="AB43" s="48">
        <f ca="1">IFERROR(__xludf.DUMMYFUNCTION("SUM( FILTER(C43:AA43, ISNUMBER(SEARCH(""Practice"", $C$1:$AA$1)) ) )  / 
  SUM( FILTER(C$75:AA$75, ISNUMBER(SEARCH(""Practice"", $C$1:$AA$1))))*0.1
+
(SUM( FILTER(C43:T43, ISNUMBER(SEARCH(""AFTER RETAKE"", $C$1:$T$1)) ) )+SUM( FILTER(T43:AA43, ISNUMBER(S"&amp;"EARCH(""BEFORE RETAKE"", $T$1:$AA$1)) ) ))  / 
  SUM( FILTER(C$75:AA$75, ISNUMBER(SEARCH(""BEFORE RETAKE"", $C$1:$AA$1))))*0.6 + 0.3"),0.867541666666666)</f>
        <v>0.86754166666666599</v>
      </c>
      <c r="AC43" s="20" t="s">
        <v>462</v>
      </c>
      <c r="AD43" s="20">
        <v>82</v>
      </c>
      <c r="AE43" s="48">
        <f ca="1">IFERROR(__xludf.DUMMYFUNCTION("SUM( FILTER(C43:AA43, ISNUMBER(SEARCH(""Practice"", $C$1:$AA$1)) ) )  / 
  SUM( FILTER(C$75:AA$75, ISNUMBER(SEARCH(""Practice"", $C$1:$AA$1))))*0.1
+
SUM( FILTER(C43:AD43, ISNUMBER(SEARCH(""AFTER RETAKE"", $C$1:$AD$1)) ) )
  / 
  SUM( FILTER(C$75:AD$75, I"&amp;"SNUMBER(SEARCH(""BEFORE RETAKE"", $C$1:$AD$1))))*0.6 
+ 
0.3"),0.867541666666666)</f>
        <v>0.86754166666666599</v>
      </c>
      <c r="AF43" s="20" t="s">
        <v>811</v>
      </c>
      <c r="AG43" s="20">
        <v>20.8</v>
      </c>
      <c r="AH43" s="20">
        <v>8</v>
      </c>
      <c r="AI43" s="20">
        <v>0</v>
      </c>
      <c r="AJ43" s="20">
        <v>10.64</v>
      </c>
      <c r="AK43" s="20">
        <v>92</v>
      </c>
      <c r="AM43" s="21">
        <v>0.82</v>
      </c>
      <c r="AO43" s="55">
        <f t="shared" si="3"/>
        <v>86.119047619047635</v>
      </c>
      <c r="AP43" s="21">
        <f t="shared" si="4"/>
        <v>0</v>
      </c>
      <c r="AQ43" s="55">
        <f t="shared" si="5"/>
        <v>90.697674418604649</v>
      </c>
      <c r="AR43" s="21">
        <f t="shared" si="6"/>
        <v>0</v>
      </c>
      <c r="AS43" s="55">
        <f t="shared" si="7"/>
        <v>22.727272727272727</v>
      </c>
      <c r="AT43" s="21">
        <f t="shared" si="8"/>
        <v>3</v>
      </c>
      <c r="AU43" s="55">
        <f t="shared" si="9"/>
        <v>48</v>
      </c>
      <c r="AV43" s="21">
        <f t="shared" si="10"/>
        <v>1</v>
      </c>
      <c r="AW43" s="20">
        <f t="shared" si="11"/>
        <v>84</v>
      </c>
      <c r="AX43" s="20">
        <f t="shared" si="12"/>
        <v>84</v>
      </c>
      <c r="AY43" s="48">
        <f ca="1">IFERROR(__xludf.DUMMYFUNCTION("SUM( FILTER(C43:AA43, ISNUMBER(SEARCH(""Practice"", $C$1:$AA$1)) ) )  / 
  SUM( FILTER(C$75:AA$75, ISNUMBER(SEARCH(""Practice"", $C$1:$AA$1))))*0.1
+
(SUM( FILTER(C43:T43, ISNUMBER(SEARCH(""AFTER RETAKE"", $C$1:$T$1)) ) )
+
SUM( FILTER(U43:AD43, ISNUMBER("&amp;"SEARCH(""AFTER RETAKE"", $U$1:$AD$1)) ) ))  / 
  SUM( FILTER(C$75:AA$75, ISNUMBER(SEARCH(""BEFORE RETAKE"", $C$1:$AA$1))))*0.6 
+ 
 AM43*0.3"),0.813541666666666)</f>
        <v>0.81354166666666605</v>
      </c>
      <c r="AZ43" s="48">
        <f ca="1">IFERROR(__xludf.DUMMYFUNCTION("SUM( FILTER(C43:AA43, ISNUMBER(SEARCH(""Practice"", $C$1:$AA$1)) ) )  / 
  SUM( FILTER(C$75:AA$75, ISNUMBER(SEARCH(""Practice"", $C$1:$AA$1))))*0.1
+
(SUM( FILTER(C43:T43, ISNUMBER(SEARCH(""Before RETAKE"", $C$1:$T$1)) ) )
+
SUM( FILTER(U43:AD43, ISNUMBER"&amp;"(SEARCH(""Before RETAKE"", $U$1:$AD$1)) ) ))  / 
  SUM( FILTER(C$75:AA$75, ISNUMBER(SEARCH(""BEFORE RETAKE"", $C$1:$AA$1))))*0.6 
+ 
AM43* 0.3"),0.813541666666666)</f>
        <v>0.81354166666666605</v>
      </c>
      <c r="BA43" s="55">
        <f t="shared" si="13"/>
        <v>61.885998691231251</v>
      </c>
      <c r="BB43" s="21">
        <f t="shared" si="14"/>
        <v>4</v>
      </c>
      <c r="BC43" s="55">
        <f t="shared" si="15"/>
        <v>57.326923076923087</v>
      </c>
    </row>
    <row r="44" spans="1:55" ht="15" customHeight="1" x14ac:dyDescent="0.2">
      <c r="A44" s="26" t="s">
        <v>345</v>
      </c>
      <c r="B44" s="26" t="s">
        <v>464</v>
      </c>
      <c r="C44" s="19" t="s">
        <v>8</v>
      </c>
      <c r="D44" s="20">
        <v>12.5</v>
      </c>
      <c r="E44" s="20">
        <v>5</v>
      </c>
      <c r="F44" s="20">
        <v>8.66</v>
      </c>
      <c r="G44" s="20" t="e">
        <f t="shared" ca="1" si="17"/>
        <v>#NAME?</v>
      </c>
      <c r="H44" s="20">
        <v>65</v>
      </c>
      <c r="I44" s="48">
        <f ca="1">IFERROR(__xludf.DUMMYFUNCTION("Sum(FILTER(C44:H44, $C$1:$H$1=""Unit 1 Practice""))/Sum(FILTER(C$75:H$75, $C$1:$H$1=""Unit 1 Practice""))*0.1 + Sum(FILTER(C44:H44, $C$1:$H$1=""Unit 1 Test (before retake)""))/Sum(FILTER(C$75:H$75, $C$1:$H$1=""Unit 1 Test (before retake)""))*0.6 + 0.3"),0.765949367088607)</f>
        <v>0.76594936708860695</v>
      </c>
      <c r="J44" s="20" t="s">
        <v>462</v>
      </c>
      <c r="K44" s="20">
        <v>65</v>
      </c>
      <c r="L44" s="48">
        <f ca="1">IFERROR(__xludf.DUMMYFUNCTION("SUM( FILTER(C44:K44, ISNUMBER(SEARCH(""Practice"", $C$1:$K$1)) ) )  / 
  SUM( FILTER(C$75:K$75, ISNUMBER(SEARCH(""Practice"", $C$1:$K$1))))*0.1
+
SUM( FILTER(C44:K44, ISNUMBER(SEARCH(""AFTER RETAKE"", $C$1:$K$1)) ) )  / 
  SUM( FILTER(C$75:K$75, ISNUMBER"&amp;"(SEARCH(""AFTER RETAKE"", $C$1:$K$1))))*0.6 + 0.3
"),0.765949367088607)</f>
        <v>0.76594936708860695</v>
      </c>
      <c r="M44" s="20">
        <v>17</v>
      </c>
      <c r="N44" s="20">
        <v>4</v>
      </c>
      <c r="O44" s="20">
        <v>9.4</v>
      </c>
      <c r="P44" s="20" t="e">
        <f t="shared" ca="1" si="1"/>
        <v>#NAME?</v>
      </c>
      <c r="Q44" s="20">
        <v>65</v>
      </c>
      <c r="R44" s="48">
        <f ca="1">IFERROR(__xludf.DUMMYFUNCTION("SUM( FILTER(C44:T44, ISNUMBER(SEARCH(""Practice"", $C$1:$T$1)) ) )  / 
  SUM( FILTER(C$75:T$75, ISNUMBER(SEARCH(""Practice"", $C$1:$T$1))))*0.1
+
(SUM( FILTER(C44:K44, ISNUMBER(SEARCH(""AFTER RETAKE"", $C$1:$K$1)) ) )+SUM( FILTER(K44:T44, ISNUMBER(SEARCH"&amp;"(""BEFORE RETAKE"", $K$1:$T$1)) ) ))  / 
  SUM( FILTER(C$75:T$75, ISNUMBER(SEARCH(""BEFORE RETAKE"", $C$1:$T$1))))*0.6 + 0.3"),0.767672955974842)</f>
        <v>0.76767295597484198</v>
      </c>
      <c r="S44" s="20">
        <v>72</v>
      </c>
      <c r="T44" s="20">
        <v>72</v>
      </c>
      <c r="U44" s="48">
        <f ca="1">IFERROR(__xludf.DUMMYFUNCTION("SUM( FILTER(C44:T44, ISNUMBER(SEARCH(""Practice"", $C$1:$T$1)) ) )  / 
  SUM( FILTER(C$75:T$75, ISNUMBER(SEARCH(""Practice"", $C$1:$T$1))))*0.1
+
SUM( FILTER(C44:T44, ISNUMBER(SEARCH(""AFTER RETAKE"", $C$1:$T$1)) ) )  / 
  SUM( FILTER(C$75:T$75, ISNUMBER"&amp;"(SEARCH(""AFTER RETAKE"", $C$1:$T$1))))*0.6 + 0.3
"),0.788672955974842)</f>
        <v>0.78867295597484199</v>
      </c>
      <c r="V44" s="20">
        <v>9</v>
      </c>
      <c r="W44" s="20">
        <v>9</v>
      </c>
      <c r="X44" s="20">
        <v>11</v>
      </c>
      <c r="Y44" s="20">
        <v>7.5</v>
      </c>
      <c r="Z44" s="20" t="e">
        <f t="shared" ca="1" si="2"/>
        <v>#NAME?</v>
      </c>
      <c r="AA44" s="20">
        <v>62</v>
      </c>
      <c r="AB44" s="48">
        <f ca="1">IFERROR(__xludf.DUMMYFUNCTION("SUM( FILTER(C44:AA44, ISNUMBER(SEARCH(""Practice"", $C$1:$AA$1)) ) )  / 
  SUM( FILTER(C$75:AA$75, ISNUMBER(SEARCH(""Practice"", $C$1:$AA$1))))*0.1
+
(SUM( FILTER(C44:T44, ISNUMBER(SEARCH(""AFTER RETAKE"", $C$1:$T$1)) ) )+SUM( FILTER(T44:AA44, ISNUMBER(S"&amp;"EARCH(""BEFORE RETAKE"", $T$1:$AA$1)) ) ))  / 
  SUM( FILTER(C$75:AA$75, ISNUMBER(SEARCH(""BEFORE RETAKE"", $C$1:$AA$1))))*0.6 + 0.3"),0.778624999999999)</f>
        <v>0.77862499999999901</v>
      </c>
      <c r="AC44" s="20">
        <v>68</v>
      </c>
      <c r="AD44" s="20">
        <v>62</v>
      </c>
      <c r="AE44" s="48">
        <f ca="1">IFERROR(__xludf.DUMMYFUNCTION("SUM( FILTER(C44:AA44, ISNUMBER(SEARCH(""Practice"", $C$1:$AA$1)) ) )  / 
  SUM( FILTER(C$75:AA$75, ISNUMBER(SEARCH(""Practice"", $C$1:$AA$1))))*0.1
+
SUM( FILTER(C44:AD44, ISNUMBER(SEARCH(""AFTER RETAKE"", $C$1:$AD$1)) ) )
  / 
  SUM( FILTER(C$75:AD$75, I"&amp;"SNUMBER(SEARCH(""BEFORE RETAKE"", $C$1:$AD$1))))*0.6 
+ 
0.3"),0.778624999999999)</f>
        <v>0.77862499999999901</v>
      </c>
      <c r="AF44" s="20" t="s">
        <v>811</v>
      </c>
      <c r="AG44" s="20">
        <v>14.4</v>
      </c>
      <c r="AH44" s="20">
        <v>6</v>
      </c>
      <c r="AI44" s="20">
        <v>0</v>
      </c>
      <c r="AJ44" s="20">
        <v>6.3</v>
      </c>
      <c r="AK44" s="20">
        <v>75</v>
      </c>
      <c r="AM44" s="21">
        <v>0.72</v>
      </c>
      <c r="AO44" s="55">
        <f t="shared" si="3"/>
        <v>62.285714285714292</v>
      </c>
      <c r="AP44" s="21">
        <f t="shared" si="4"/>
        <v>0</v>
      </c>
      <c r="AQ44" s="55">
        <f t="shared" si="5"/>
        <v>70.697674418604649</v>
      </c>
      <c r="AR44" s="21">
        <f t="shared" si="6"/>
        <v>0</v>
      </c>
      <c r="AS44" s="55">
        <f t="shared" si="7"/>
        <v>82.954545454545453</v>
      </c>
      <c r="AT44" s="21">
        <f t="shared" si="8"/>
        <v>0</v>
      </c>
      <c r="AU44" s="55">
        <f t="shared" si="9"/>
        <v>34</v>
      </c>
      <c r="AV44" s="21">
        <f t="shared" si="10"/>
        <v>1</v>
      </c>
      <c r="AW44" s="20">
        <f t="shared" si="11"/>
        <v>64</v>
      </c>
      <c r="AX44" s="20">
        <f t="shared" si="12"/>
        <v>66.333333333333329</v>
      </c>
      <c r="AY44" s="48">
        <f ca="1">IFERROR(__xludf.DUMMYFUNCTION("SUM( FILTER(C44:AA44, ISNUMBER(SEARCH(""Practice"", $C$1:$AA$1)) ) )  / 
  SUM( FILTER(C$75:AA$75, ISNUMBER(SEARCH(""Practice"", $C$1:$AA$1))))*0.1
+
(SUM( FILTER(C44:T44, ISNUMBER(SEARCH(""AFTER RETAKE"", $C$1:$T$1)) ) )
+
SUM( FILTER(U44:AD44, ISNUMBER("&amp;"SEARCH(""AFTER RETAKE"", $U$1:$AD$1)) ) ))  / 
  SUM( FILTER(C$75:AA$75, ISNUMBER(SEARCH(""BEFORE RETAKE"", $C$1:$AA$1))))*0.6 
+ 
 AM44*0.3"),0.694624999999999)</f>
        <v>0.69462499999999905</v>
      </c>
      <c r="AZ44" s="48">
        <f ca="1">IFERROR(__xludf.DUMMYFUNCTION("SUM( FILTER(C44:AA44, ISNUMBER(SEARCH(""Practice"", $C$1:$AA$1)) ) )  / 
  SUM( FILTER(C$75:AA$75, ISNUMBER(SEARCH(""Practice"", $C$1:$AA$1))))*0.1
+
(SUM( FILTER(C44:T44, ISNUMBER(SEARCH(""Before RETAKE"", $C$1:$T$1)) ) )
+
SUM( FILTER(U44:AD44, ISNUMBER"&amp;"(SEARCH(""Before RETAKE"", $U$1:$AD$1)) ) ))  / 
  SUM( FILTER(C$75:AA$75, ISNUMBER(SEARCH(""BEFORE RETAKE"", $C$1:$AA$1))))*0.6 
+ 
AM44* 0.3"),0.680625)</f>
        <v>0.68062500000000004</v>
      </c>
      <c r="BA44" s="55">
        <f t="shared" si="13"/>
        <v>62.484483539716095</v>
      </c>
      <c r="BB44" s="21">
        <f t="shared" si="14"/>
        <v>1</v>
      </c>
      <c r="BC44" s="55">
        <f t="shared" si="15"/>
        <v>61.269230769230774</v>
      </c>
    </row>
    <row r="45" spans="1:55" ht="12.75" x14ac:dyDescent="0.2">
      <c r="A45" s="26" t="s">
        <v>347</v>
      </c>
      <c r="B45" s="26" t="s">
        <v>461</v>
      </c>
      <c r="C45" s="19" t="s">
        <v>8</v>
      </c>
      <c r="D45" s="20">
        <v>13</v>
      </c>
      <c r="E45" s="20">
        <v>0.5</v>
      </c>
      <c r="F45" s="20">
        <v>2.16</v>
      </c>
      <c r="G45" s="20" t="e">
        <f t="shared" ca="1" si="17"/>
        <v>#NAME?</v>
      </c>
      <c r="H45" s="20">
        <v>65</v>
      </c>
      <c r="I45" s="48">
        <f ca="1">IFERROR(__xludf.DUMMYFUNCTION("Sum(FILTER(C45:H45, $C$1:$H$1=""Unit 1 Practice""))/Sum(FILTER(C$75:H$75, $C$1:$H$1=""Unit 1 Practice""))*0.1 + Sum(FILTER(C45:H45, $C$1:$H$1=""Unit 1 Test (before retake)""))/Sum(FILTER(C$75:H$75, $C$1:$H$1=""Unit 1 Test (before retake)""))*0.6 + 0.3"),0.74632911392405)</f>
        <v>0.74632911392404999</v>
      </c>
      <c r="J45" s="20">
        <v>72</v>
      </c>
      <c r="K45" s="20">
        <v>72</v>
      </c>
      <c r="L45" s="48">
        <f ca="1">IFERROR(__xludf.DUMMYFUNCTION("SUM( FILTER(C45:K45, ISNUMBER(SEARCH(""Practice"", $C$1:$K$1)) ) )  / 
  SUM( FILTER(C$75:K$75, ISNUMBER(SEARCH(""Practice"", $C$1:$K$1))))*0.1
+
SUM( FILTER(C45:K45, ISNUMBER(SEARCH(""AFTER RETAKE"", $C$1:$K$1)) ) )  / 
  SUM( FILTER(C$75:K$75, ISNUMBER"&amp;"(SEARCH(""AFTER RETAKE"", $C$1:$K$1))))*0.6 + 0.3
"),0.78832911392405)</f>
        <v>0.78832911392405003</v>
      </c>
      <c r="M45" s="20">
        <v>0</v>
      </c>
      <c r="N45" s="20" t="s">
        <v>150</v>
      </c>
      <c r="O45" s="20">
        <v>10</v>
      </c>
      <c r="P45" s="20" t="e">
        <f t="shared" ca="1" si="1"/>
        <v>#NAME?</v>
      </c>
      <c r="Q45" s="20" t="s">
        <v>150</v>
      </c>
      <c r="R45" s="48">
        <f ca="1">IFERROR(__xludf.DUMMYFUNCTION("SUM( FILTER(C45:T45, ISNUMBER(SEARCH(""Practice"", $C$1:$T$1)) ) )  / 
  SUM( FILTER(C$75:T$75, ISNUMBER(SEARCH(""Practice"", $C$1:$T$1))))*0.1
+
(SUM( FILTER(C45:K45, ISNUMBER(SEARCH(""AFTER RETAKE"", $C$1:$K$1)) ) )+SUM( FILTER(K45:T45, ISNUMBER(SEARCH"&amp;"(""BEFORE RETAKE"", $K$1:$T$1)) ) ))  / 
  SUM( FILTER(C$75:T$75, ISNUMBER(SEARCH(""BEFORE RETAKE"", $C$1:$T$1))))*0.6 + 0.3"),0.57166037735849)</f>
        <v>0.57166037735848996</v>
      </c>
      <c r="S45" s="20"/>
      <c r="T45" s="20" t="s">
        <v>150</v>
      </c>
      <c r="U45" s="48">
        <f ca="1">IFERROR(__xludf.DUMMYFUNCTION("SUM( FILTER(C45:T45, ISNUMBER(SEARCH(""Practice"", $C$1:$T$1)) ) )  / 
  SUM( FILTER(C$75:T$75, ISNUMBER(SEARCH(""Practice"", $C$1:$T$1))))*0.1
+
SUM( FILTER(C45:T45, ISNUMBER(SEARCH(""AFTER RETAKE"", $C$1:$T$1)) ) )  / 
  SUM( FILTER(C$75:T$75, ISNUMBER"&amp;"(SEARCH(""AFTER RETAKE"", $C$1:$T$1))))*0.6 + 0.3
"),0.57166037735849)</f>
        <v>0.57166037735848996</v>
      </c>
      <c r="V45" s="20" t="s">
        <v>150</v>
      </c>
      <c r="W45" s="20" t="s">
        <v>150</v>
      </c>
      <c r="X45" s="20" t="s">
        <v>150</v>
      </c>
      <c r="Y45" s="20" t="s">
        <v>150</v>
      </c>
      <c r="Z45" s="20" t="s">
        <v>462</v>
      </c>
      <c r="AA45" s="20" t="s">
        <v>150</v>
      </c>
      <c r="AB45" s="48">
        <f ca="1">IFERROR(__xludf.DUMMYFUNCTION("SUM( FILTER(C45:AA45, ISNUMBER(SEARCH(""Practice"", $C$1:$AA$1)) ) )  / 
  SUM( FILTER(C$75:AA$75, ISNUMBER(SEARCH(""Practice"", $C$1:$AA$1))))*0.1
+
(SUM( FILTER(C45:T45, ISNUMBER(SEARCH(""AFTER RETAKE"", $C$1:$T$1)) ) )+SUM( FILTER(T45:AA45, ISNUMBER(S"&amp;"EARCH(""BEFORE RETAKE"", $T$1:$AA$1)) ) ))  / 
  SUM( FILTER(C$75:AA$75, ISNUMBER(SEARCH(""BEFORE RETAKE"", $C$1:$AA$1))))*0.6 + 0.3"),0.480875)</f>
        <v>0.480875</v>
      </c>
      <c r="AC45" s="20" t="s">
        <v>462</v>
      </c>
      <c r="AD45" s="20" t="s">
        <v>150</v>
      </c>
      <c r="AE45" s="48">
        <f ca="1">IFERROR(__xludf.DUMMYFUNCTION("SUM( FILTER(C45:AA45, ISNUMBER(SEARCH(""Practice"", $C$1:$AA$1)) ) )  / 
  SUM( FILTER(C$75:AA$75, ISNUMBER(SEARCH(""Practice"", $C$1:$AA$1))))*0.1
+
SUM( FILTER(C45:AD45, ISNUMBER(SEARCH(""AFTER RETAKE"", $C$1:$AD$1)) ) )
  / 
  SUM( FILTER(C$75:AD$75, I"&amp;"SNUMBER(SEARCH(""BEFORE RETAKE"", $C$1:$AD$1))))*0.6 
+ 
0.3"),0.480875)</f>
        <v>0.480875</v>
      </c>
      <c r="AF45" s="20" t="s">
        <v>811</v>
      </c>
      <c r="AG45" s="20" t="s">
        <v>150</v>
      </c>
      <c r="AH45" s="20" t="s">
        <v>150</v>
      </c>
      <c r="AI45" s="20" t="s">
        <v>150</v>
      </c>
      <c r="AJ45" s="20" t="s">
        <v>150</v>
      </c>
      <c r="AK45" s="20" t="s">
        <v>150</v>
      </c>
      <c r="AM45" s="21" t="s">
        <v>462</v>
      </c>
      <c r="AO45" s="55">
        <f t="shared" si="3"/>
        <v>37.285714285714292</v>
      </c>
      <c r="AP45" s="21">
        <f t="shared" si="4"/>
        <v>0</v>
      </c>
      <c r="AQ45" s="55">
        <f t="shared" si="5"/>
        <v>34.883720930232556</v>
      </c>
      <c r="AR45" s="21">
        <f t="shared" si="6"/>
        <v>1</v>
      </c>
      <c r="AS45" s="55">
        <v>0</v>
      </c>
      <c r="AT45" s="21">
        <f t="shared" si="8"/>
        <v>0</v>
      </c>
      <c r="AU45" s="55">
        <v>0</v>
      </c>
      <c r="AV45" s="21">
        <f t="shared" si="10"/>
        <v>0</v>
      </c>
      <c r="AW45" s="20">
        <f t="shared" si="11"/>
        <v>65</v>
      </c>
      <c r="AX45" s="20">
        <f t="shared" si="12"/>
        <v>72</v>
      </c>
      <c r="AY45" s="48" t="str">
        <f ca="1">IFERROR(__xludf.DUMMYFUNCTION("SUM( FILTER(C45:AA45, ISNUMBER(SEARCH(""Practice"", $C$1:$AA$1)) ) )  / 
  SUM( FILTER(C$75:AA$75, ISNUMBER(SEARCH(""Practice"", $C$1:$AA$1))))*0.1
+
(SUM( FILTER(C45:T45, ISNUMBER(SEARCH(""AFTER RETAKE"", $C$1:$T$1)) ) )
+
SUM( FILTER(U45:AD45, ISNUMBER("&amp;"SEARCH(""AFTER RETAKE"", $U$1:$AD$1)) ) ))  / 
  SUM( FILTER(C$75:AA$75, ISNUMBER(SEARCH(""BEFORE RETAKE"", $C$1:$AA$1))))*0.6 
+ 
 AM45*0.3"),"#VALUE!")</f>
        <v>#VALUE!</v>
      </c>
      <c r="AZ45" s="48" t="str">
        <f ca="1">IFERROR(__xludf.DUMMYFUNCTION("SUM( FILTER(C45:AA45, ISNUMBER(SEARCH(""Practice"", $C$1:$AA$1)) ) )  / 
  SUM( FILTER(C$75:AA$75, ISNUMBER(SEARCH(""Practice"", $C$1:$AA$1))))*0.1
+
(SUM( FILTER(C45:T45, ISNUMBER(SEARCH(""Before RETAKE"", $C$1:$T$1)) ) )
+
SUM( FILTER(U45:AD45, ISNUMBER"&amp;"(SEARCH(""Before RETAKE"", $U$1:$AD$1)) ) ))  / 
  SUM( FILTER(C$75:AA$75, ISNUMBER(SEARCH(""BEFORE RETAKE"", $C$1:$AA$1))))*0.6 
+ 
AM45* 0.3"),"#VALUE!")</f>
        <v>#VALUE!</v>
      </c>
      <c r="BA45" s="55">
        <v>0</v>
      </c>
      <c r="BB45" s="21">
        <f t="shared" si="14"/>
        <v>1</v>
      </c>
      <c r="BC45" s="55">
        <f t="shared" si="15"/>
        <v>46.769230769230766</v>
      </c>
    </row>
    <row r="46" spans="1:55" ht="12.75" x14ac:dyDescent="0.2">
      <c r="A46" s="26" t="s">
        <v>349</v>
      </c>
      <c r="B46" s="26" t="s">
        <v>464</v>
      </c>
      <c r="C46" s="19" t="s">
        <v>8</v>
      </c>
      <c r="D46" s="20">
        <v>15</v>
      </c>
      <c r="E46" s="20">
        <v>14</v>
      </c>
      <c r="F46" s="20">
        <v>8</v>
      </c>
      <c r="G46" s="20" t="e">
        <f t="shared" ca="1" si="17"/>
        <v>#NAME?</v>
      </c>
      <c r="H46" s="20">
        <v>85</v>
      </c>
      <c r="I46" s="48">
        <f ca="1">IFERROR(__xludf.DUMMYFUNCTION("Sum(FILTER(C46:H46, $C$1:$H$1=""Unit 1 Practice""))/Sum(FILTER(C$75:H$75, $C$1:$H$1=""Unit 1 Practice""))*0.1 + Sum(FILTER(C46:H46, $C$1:$H$1=""Unit 1 Test (before retake)""))/Sum(FILTER(C$75:H$75, $C$1:$H$1=""Unit 1 Test (before retake)""))*0.6 + 0.3"),0.898607594936708)</f>
        <v>0.89860759493670805</v>
      </c>
      <c r="J46" s="20" t="s">
        <v>462</v>
      </c>
      <c r="K46" s="20">
        <v>85</v>
      </c>
      <c r="L46" s="48">
        <f ca="1">IFERROR(__xludf.DUMMYFUNCTION("SUM( FILTER(C46:K46, ISNUMBER(SEARCH(""Practice"", $C$1:$K$1)) ) )  / 
  SUM( FILTER(C$75:K$75, ISNUMBER(SEARCH(""Practice"", $C$1:$K$1))))*0.1
+
SUM( FILTER(C46:K46, ISNUMBER(SEARCH(""AFTER RETAKE"", $C$1:$K$1)) ) )  / 
  SUM( FILTER(C$75:K$75, ISNUMBER"&amp;"(SEARCH(""AFTER RETAKE"", $C$1:$K$1))))*0.6 + 0.3
"),0.898607594936708)</f>
        <v>0.89860759493670805</v>
      </c>
      <c r="M46" s="20">
        <v>18</v>
      </c>
      <c r="N46" s="20">
        <v>12</v>
      </c>
      <c r="O46" s="20">
        <v>9.4</v>
      </c>
      <c r="P46" s="20" t="e">
        <f t="shared" ca="1" si="1"/>
        <v>#NAME?</v>
      </c>
      <c r="Q46" s="20">
        <v>85</v>
      </c>
      <c r="R46" s="48">
        <f ca="1">IFERROR(__xludf.DUMMYFUNCTION("SUM( FILTER(C46:T46, ISNUMBER(SEARCH(""Practice"", $C$1:$T$1)) ) )  / 
  SUM( FILTER(C$75:T$75, ISNUMBER(SEARCH(""Practice"", $C$1:$T$1))))*0.1
+
(SUM( FILTER(C46:K46, ISNUMBER(SEARCH(""AFTER RETAKE"", $C$1:$K$1)) ) )+SUM( FILTER(K46:T46, ISNUMBER(SEARCH"&amp;"(""BEFORE RETAKE"", $K$1:$T$1)) ) ))  / 
  SUM( FILTER(C$75:T$75, ISNUMBER(SEARCH(""BEFORE RETAKE"", $C$1:$T$1))))*0.6 + 0.3"),0.899622641509433)</f>
        <v>0.89962264150943305</v>
      </c>
      <c r="S46" s="20" t="s">
        <v>462</v>
      </c>
      <c r="T46" s="20">
        <v>85</v>
      </c>
      <c r="U46" s="48">
        <f ca="1">IFERROR(__xludf.DUMMYFUNCTION("SUM( FILTER(C46:T46, ISNUMBER(SEARCH(""Practice"", $C$1:$T$1)) ) )  / 
  SUM( FILTER(C$75:T$75, ISNUMBER(SEARCH(""Practice"", $C$1:$T$1))))*0.1
+
SUM( FILTER(C46:T46, ISNUMBER(SEARCH(""AFTER RETAKE"", $C$1:$T$1)) ) )  / 
  SUM( FILTER(C$75:T$75, ISNUMBER"&amp;"(SEARCH(""AFTER RETAKE"", $C$1:$T$1))))*0.6 + 0.3
"),0.899622641509433)</f>
        <v>0.89962264150943305</v>
      </c>
      <c r="V46" s="20">
        <v>10</v>
      </c>
      <c r="W46" s="20">
        <v>10</v>
      </c>
      <c r="X46" s="20">
        <v>11</v>
      </c>
      <c r="Y46" s="20">
        <v>11.5</v>
      </c>
      <c r="Z46" s="20" t="e">
        <f t="shared" ref="Z46:Z68" ca="1" si="18">CONVERT_13PT_SCALE(Y46)/2</f>
        <v>#NAME?</v>
      </c>
      <c r="AA46" s="20">
        <v>72</v>
      </c>
      <c r="AB46" s="48">
        <f ca="1">IFERROR(__xludf.DUMMYFUNCTION("SUM( FILTER(C46:AA46, ISNUMBER(SEARCH(""Practice"", $C$1:$AA$1)) ) )  / 
  SUM( FILTER(C$75:AA$75, ISNUMBER(SEARCH(""Practice"", $C$1:$AA$1))))*0.1
+
(SUM( FILTER(C46:T46, ISNUMBER(SEARCH(""AFTER RETAKE"", $C$1:$T$1)) ) )+SUM( FILTER(T46:AA46, ISNUMBER(S"&amp;"EARCH(""BEFORE RETAKE"", $T$1:$AA$1)) ) ))  / 
  SUM( FILTER(C$75:AA$75, ISNUMBER(SEARCH(""BEFORE RETAKE"", $C$1:$AA$1))))*0.6 + 0.3"),0.876083333333333)</f>
        <v>0.87608333333333299</v>
      </c>
      <c r="AC46" s="20">
        <v>82</v>
      </c>
      <c r="AD46" s="20">
        <v>82</v>
      </c>
      <c r="AE46" s="48">
        <f ca="1">IFERROR(__xludf.DUMMYFUNCTION("SUM( FILTER(C46:AA46, ISNUMBER(SEARCH(""Practice"", $C$1:$AA$1)) ) )  / 
  SUM( FILTER(C$75:AA$75, ISNUMBER(SEARCH(""Practice"", $C$1:$AA$1))))*0.1
+
SUM( FILTER(C46:AD46, ISNUMBER(SEARCH(""AFTER RETAKE"", $C$1:$AD$1)) ) )
  / 
  SUM( FILTER(C$75:AD$75, I"&amp;"SNUMBER(SEARCH(""BEFORE RETAKE"", $C$1:$AD$1))))*0.6 
+ 
0.3"),0.896083333333333)</f>
        <v>0.89608333333333301</v>
      </c>
      <c r="AF46" s="20" t="s">
        <v>811</v>
      </c>
      <c r="AG46" s="20">
        <v>22</v>
      </c>
      <c r="AH46" s="20">
        <v>10</v>
      </c>
      <c r="AI46" s="20">
        <v>0</v>
      </c>
      <c r="AJ46" s="20">
        <v>10.8</v>
      </c>
      <c r="AK46" s="20">
        <v>92</v>
      </c>
      <c r="AM46" s="21">
        <v>0.82</v>
      </c>
      <c r="AO46" s="55">
        <f t="shared" si="3"/>
        <v>88.095238095238088</v>
      </c>
      <c r="AP46" s="21">
        <f t="shared" si="4"/>
        <v>0</v>
      </c>
      <c r="AQ46" s="55">
        <f t="shared" si="5"/>
        <v>91.627906976744171</v>
      </c>
      <c r="AR46" s="21">
        <f t="shared" si="6"/>
        <v>0</v>
      </c>
      <c r="AS46" s="55">
        <f t="shared" ref="AS46:AS68" si="19">AVERAGE(V46:Y46) / AVERAGE(V$75:Y$75)*100</f>
        <v>96.590909090909093</v>
      </c>
      <c r="AT46" s="21">
        <f t="shared" si="8"/>
        <v>0</v>
      </c>
      <c r="AU46" s="55">
        <f t="shared" ref="AU46:AU68" si="20">AVERAGE(AG46:AI46) / AVERAGE(AG$75:AI$75) *100</f>
        <v>53.333333333333336</v>
      </c>
      <c r="AV46" s="21">
        <f t="shared" si="10"/>
        <v>1</v>
      </c>
      <c r="AW46" s="20">
        <f t="shared" si="11"/>
        <v>80.666666666666671</v>
      </c>
      <c r="AX46" s="20">
        <f t="shared" si="12"/>
        <v>84</v>
      </c>
      <c r="AY46" s="48">
        <f ca="1">IFERROR(__xludf.DUMMYFUNCTION("SUM( FILTER(C46:AA46, ISNUMBER(SEARCH(""Practice"", $C$1:$AA$1)) ) )  / 
  SUM( FILTER(C$75:AA$75, ISNUMBER(SEARCH(""Practice"", $C$1:$AA$1))))*0.1
+
(SUM( FILTER(C46:T46, ISNUMBER(SEARCH(""AFTER RETAKE"", $C$1:$T$1)) ) )
+
SUM( FILTER(U46:AD46, ISNUMBER("&amp;"SEARCH(""AFTER RETAKE"", $U$1:$AD$1)) ) ))  / 
  SUM( FILTER(C$75:AA$75, ISNUMBER(SEARCH(""BEFORE RETAKE"", $C$1:$AA$1))))*0.6 
+ 
 AM46*0.3"),0.842083333333333)</f>
        <v>0.84208333333333296</v>
      </c>
      <c r="AZ46" s="48">
        <f ca="1">IFERROR(__xludf.DUMMYFUNCTION("SUM( FILTER(C46:AA46, ISNUMBER(SEARCH(""Practice"", $C$1:$AA$1)) ) )  / 
  SUM( FILTER(C$75:AA$75, ISNUMBER(SEARCH(""Practice"", $C$1:$AA$1))))*0.1
+
(SUM( FILTER(C46:T46, ISNUMBER(SEARCH(""Before RETAKE"", $C$1:$T$1)) ) )
+
SUM( FILTER(U46:AD46, ISNUMBER"&amp;"(SEARCH(""Before RETAKE"", $U$1:$AD$1)) ) ))  / 
  SUM( FILTER(C$75:AA$75, ISNUMBER(SEARCH(""BEFORE RETAKE"", $C$1:$AA$1))))*0.6 
+ 
AM46* 0.3"),0.822083333333333)</f>
        <v>0.82208333333333306</v>
      </c>
      <c r="BA46" s="55">
        <f t="shared" ref="BA46:BA68" si="21">AVERAGE(AO46, AQ46, AS46, AU46)</f>
        <v>82.411846874056167</v>
      </c>
      <c r="BB46" s="21">
        <f t="shared" si="14"/>
        <v>1</v>
      </c>
      <c r="BC46" s="55">
        <f t="shared" si="15"/>
        <v>76.346153846153854</v>
      </c>
    </row>
    <row r="47" spans="1:55" ht="12.75" x14ac:dyDescent="0.2">
      <c r="A47" s="26" t="s">
        <v>351</v>
      </c>
      <c r="B47" s="26" t="s">
        <v>461</v>
      </c>
      <c r="C47" s="19" t="s">
        <v>9</v>
      </c>
      <c r="D47" s="20">
        <v>14.5</v>
      </c>
      <c r="E47" s="20">
        <v>0</v>
      </c>
      <c r="F47" s="20">
        <v>5.33</v>
      </c>
      <c r="G47" s="20" t="e">
        <f t="shared" ca="1" si="17"/>
        <v>#NAME?</v>
      </c>
      <c r="H47" s="20">
        <v>78</v>
      </c>
      <c r="I47" s="48">
        <f ca="1">IFERROR(__xludf.DUMMYFUNCTION("Sum(FILTER(C47:H47, $C$1:$H$1=""Unit 1 Practice""))/Sum(FILTER(C$75:H$75, $C$1:$H$1=""Unit 1 Practice""))*0.1 + Sum(FILTER(C47:H47, $C$1:$H$1=""Unit 1 Test (before retake)""))/Sum(FILTER(C$75:H$75, $C$1:$H$1=""Unit 1 Test (before retake)""))*0.6 + 0.3"),0.831924050632911)</f>
        <v>0.83192405063291097</v>
      </c>
      <c r="J47" s="20" t="s">
        <v>462</v>
      </c>
      <c r="K47" s="20">
        <v>78</v>
      </c>
      <c r="L47" s="48">
        <f ca="1">IFERROR(__xludf.DUMMYFUNCTION("SUM( FILTER(C47:K47, ISNUMBER(SEARCH(""Practice"", $C$1:$K$1)) ) )  / 
  SUM( FILTER(C$75:K$75, ISNUMBER(SEARCH(""Practice"", $C$1:$K$1))))*0.1
+
SUM( FILTER(C47:K47, ISNUMBER(SEARCH(""AFTER RETAKE"", $C$1:$K$1)) ) )  / 
  SUM( FILTER(C$75:K$75, ISNUMBER"&amp;"(SEARCH(""AFTER RETAKE"", $C$1:$K$1))))*0.6 + 0.3
"),0.831924050632911)</f>
        <v>0.83192405063291097</v>
      </c>
      <c r="M47" s="20">
        <v>16</v>
      </c>
      <c r="N47" s="20">
        <v>12</v>
      </c>
      <c r="O47" s="20">
        <v>12</v>
      </c>
      <c r="P47" s="20" t="e">
        <f t="shared" ca="1" si="1"/>
        <v>#NAME?</v>
      </c>
      <c r="Q47" s="20">
        <v>92</v>
      </c>
      <c r="R47" s="48">
        <f ca="1">IFERROR(__xludf.DUMMYFUNCTION("SUM( FILTER(C47:T47, ISNUMBER(SEARCH(""Practice"", $C$1:$T$1)) ) )  / 
  SUM( FILTER(C$75:T$75, ISNUMBER(SEARCH(""Practice"", $C$1:$T$1))))*0.1
+
(SUM( FILTER(C47:K47, ISNUMBER(SEARCH(""AFTER RETAKE"", $C$1:$K$1)) ) )+SUM( FILTER(K47:T47, ISNUMBER(SEARCH"&amp;"(""BEFORE RETAKE"", $K$1:$T$1)) ) ))  / 
  SUM( FILTER(C$75:T$75, ISNUMBER(SEARCH(""BEFORE RETAKE"", $C$1:$T$1))))*0.6 + 0.3"),0.889245283018868)</f>
        <v>0.88924528301886796</v>
      </c>
      <c r="S47" s="20" t="s">
        <v>462</v>
      </c>
      <c r="T47" s="20">
        <v>92</v>
      </c>
      <c r="U47" s="48">
        <f ca="1">IFERROR(__xludf.DUMMYFUNCTION("SUM( FILTER(C47:T47, ISNUMBER(SEARCH(""Practice"", $C$1:$T$1)) ) )  / 
  SUM( FILTER(C$75:T$75, ISNUMBER(SEARCH(""Practice"", $C$1:$T$1))))*0.1
+
SUM( FILTER(C47:T47, ISNUMBER(SEARCH(""AFTER RETAKE"", $C$1:$T$1)) ) )  / 
  SUM( FILTER(C$75:T$75, ISNUMBER"&amp;"(SEARCH(""AFTER RETAKE"", $C$1:$T$1))))*0.6 + 0.3
"),0.889245283018868)</f>
        <v>0.88924528301886796</v>
      </c>
      <c r="V47" s="20">
        <v>0</v>
      </c>
      <c r="W47" s="20">
        <v>0</v>
      </c>
      <c r="X47" s="20">
        <v>0</v>
      </c>
      <c r="Y47" s="20">
        <v>9</v>
      </c>
      <c r="Z47" s="20" t="e">
        <f t="shared" ca="1" si="18"/>
        <v>#NAME?</v>
      </c>
      <c r="AA47" s="20">
        <v>72</v>
      </c>
      <c r="AB47" s="48">
        <f ca="1">IFERROR(__xludf.DUMMYFUNCTION("SUM( FILTER(C47:AA47, ISNUMBER(SEARCH(""Practice"", $C$1:$AA$1)) ) )  / 
  SUM( FILTER(C$75:AA$75, ISNUMBER(SEARCH(""Practice"", $C$1:$AA$1))))*0.1
+
(SUM( FILTER(C47:T47, ISNUMBER(SEARCH(""AFTER RETAKE"", $C$1:$T$1)) ) )+SUM( FILTER(T47:AA47, ISNUMBER(S"&amp;"EARCH(""BEFORE RETAKE"", $T$1:$AA$1)) ) ))  / 
  SUM( FILTER(C$75:AA$75, ISNUMBER(SEARCH(""BEFORE RETAKE"", $C$1:$AA$1))))*0.6 + 0.3"),0.854208333333333)</f>
        <v>0.85420833333333301</v>
      </c>
      <c r="AC47" s="20" t="s">
        <v>462</v>
      </c>
      <c r="AD47" s="20">
        <v>72</v>
      </c>
      <c r="AE47" s="48">
        <f ca="1">IFERROR(__xludf.DUMMYFUNCTION("SUM( FILTER(C47:AA47, ISNUMBER(SEARCH(""Practice"", $C$1:$AA$1)) ) )  / 
  SUM( FILTER(C$75:AA$75, ISNUMBER(SEARCH(""Practice"", $C$1:$AA$1))))*0.1
+
SUM( FILTER(C47:AD47, ISNUMBER(SEARCH(""AFTER RETAKE"", $C$1:$AD$1)) ) )
  / 
  SUM( FILTER(C$75:AD$75, I"&amp;"SNUMBER(SEARCH(""BEFORE RETAKE"", $C$1:$AD$1))))*0.6 
+ 
0.3"),0.854208333333333)</f>
        <v>0.85420833333333301</v>
      </c>
      <c r="AF47" s="20" t="s">
        <v>811</v>
      </c>
      <c r="AG47" s="20">
        <v>19.8</v>
      </c>
      <c r="AH47" s="20">
        <v>0</v>
      </c>
      <c r="AI47" s="20">
        <v>0</v>
      </c>
      <c r="AJ47" s="20">
        <v>11.2</v>
      </c>
      <c r="AK47" s="20">
        <v>92</v>
      </c>
      <c r="AM47" s="21">
        <v>0.75</v>
      </c>
      <c r="AO47" s="55">
        <f t="shared" si="3"/>
        <v>47.214285714285708</v>
      </c>
      <c r="AP47" s="21">
        <f t="shared" si="4"/>
        <v>1</v>
      </c>
      <c r="AQ47" s="55">
        <f t="shared" si="5"/>
        <v>93.023255813953483</v>
      </c>
      <c r="AR47" s="21">
        <f t="shared" si="6"/>
        <v>0</v>
      </c>
      <c r="AS47" s="55">
        <f t="shared" si="19"/>
        <v>20.454545454545457</v>
      </c>
      <c r="AT47" s="21">
        <f t="shared" si="8"/>
        <v>3</v>
      </c>
      <c r="AU47" s="55">
        <f t="shared" si="20"/>
        <v>33</v>
      </c>
      <c r="AV47" s="21">
        <f t="shared" si="10"/>
        <v>2</v>
      </c>
      <c r="AW47" s="20">
        <f t="shared" si="11"/>
        <v>80.666666666666671</v>
      </c>
      <c r="AX47" s="20">
        <f t="shared" si="12"/>
        <v>80.666666666666671</v>
      </c>
      <c r="AY47" s="48">
        <f ca="1">IFERROR(__xludf.DUMMYFUNCTION("SUM( FILTER(C47:AA47, ISNUMBER(SEARCH(""Practice"", $C$1:$AA$1)) ) )  / 
  SUM( FILTER(C$75:AA$75, ISNUMBER(SEARCH(""Practice"", $C$1:$AA$1))))*0.1
+
(SUM( FILTER(C47:T47, ISNUMBER(SEARCH(""AFTER RETAKE"", $C$1:$T$1)) ) )
+
SUM( FILTER(U47:AD47, ISNUMBER("&amp;"SEARCH(""AFTER RETAKE"", $U$1:$AD$1)) ) ))  / 
  SUM( FILTER(C$75:AA$75, ISNUMBER(SEARCH(""BEFORE RETAKE"", $C$1:$AA$1))))*0.6 
+ 
 AM47*0.3"),0.779208333333333)</f>
        <v>0.77920833333333295</v>
      </c>
      <c r="AZ47" s="48">
        <f ca="1">IFERROR(__xludf.DUMMYFUNCTION("SUM( FILTER(C47:AA47, ISNUMBER(SEARCH(""Practice"", $C$1:$AA$1)) ) )  / 
  SUM( FILTER(C$75:AA$75, ISNUMBER(SEARCH(""Practice"", $C$1:$AA$1))))*0.1
+
(SUM( FILTER(C47:T47, ISNUMBER(SEARCH(""Before RETAKE"", $C$1:$T$1)) ) )
+
SUM( FILTER(U47:AD47, ISNUMBER"&amp;"(SEARCH(""Before RETAKE"", $U$1:$AD$1)) ) ))  / 
  SUM( FILTER(C$75:AA$75, ISNUMBER(SEARCH(""BEFORE RETAKE"", $C$1:$AA$1))))*0.6 
+ 
AM47* 0.3"),0.779208333333333)</f>
        <v>0.77920833333333295</v>
      </c>
      <c r="BA47" s="55">
        <f t="shared" si="21"/>
        <v>48.423021745696168</v>
      </c>
      <c r="BB47" s="21">
        <f t="shared" si="14"/>
        <v>6</v>
      </c>
      <c r="BC47" s="55">
        <f t="shared" si="15"/>
        <v>72.173076923076934</v>
      </c>
    </row>
    <row r="48" spans="1:55" ht="12.75" x14ac:dyDescent="0.2">
      <c r="A48" s="26" t="s">
        <v>353</v>
      </c>
      <c r="B48" s="26" t="s">
        <v>464</v>
      </c>
      <c r="C48" s="19" t="s">
        <v>8</v>
      </c>
      <c r="D48" s="20">
        <v>14.5</v>
      </c>
      <c r="E48" s="20">
        <v>11.25</v>
      </c>
      <c r="F48" s="20">
        <v>0</v>
      </c>
      <c r="G48" s="20" t="e">
        <f t="shared" ca="1" si="17"/>
        <v>#NAME?</v>
      </c>
      <c r="H48" s="20">
        <v>62</v>
      </c>
      <c r="I48" s="48">
        <f ca="1">IFERROR(__xludf.DUMMYFUNCTION("Sum(FILTER(C48:H48, $C$1:$H$1=""Unit 1 Practice""))/Sum(FILTER(C$75:H$75, $C$1:$H$1=""Unit 1 Practice""))*0.1 + Sum(FILTER(C48:H48, $C$1:$H$1=""Unit 1 Test (before retake)""))/Sum(FILTER(C$75:H$75, $C$1:$H$1=""Unit 1 Test (before retake)""))*0.6 + 0.3"),0.70459493670886)</f>
        <v>0.70459493670885998</v>
      </c>
      <c r="J48" s="20" t="s">
        <v>462</v>
      </c>
      <c r="K48" s="20">
        <v>62</v>
      </c>
      <c r="L48" s="48">
        <f ca="1">IFERROR(__xludf.DUMMYFUNCTION("SUM( FILTER(C48:K48, ISNUMBER(SEARCH(""Practice"", $C$1:$K$1)) ) )  / 
  SUM( FILTER(C$75:K$75, ISNUMBER(SEARCH(""Practice"", $C$1:$K$1))))*0.1
+
SUM( FILTER(C48:K48, ISNUMBER(SEARCH(""AFTER RETAKE"", $C$1:$K$1)) ) )  / 
  SUM( FILTER(C$75:K$75, ISNUMBER"&amp;"(SEARCH(""AFTER RETAKE"", $C$1:$K$1))))*0.6 + 0.3
"),0.70459493670886)</f>
        <v>0.70459493670885998</v>
      </c>
      <c r="M48" s="20">
        <v>18</v>
      </c>
      <c r="N48" s="20">
        <v>0</v>
      </c>
      <c r="O48" s="20">
        <v>10</v>
      </c>
      <c r="P48" s="20" t="e">
        <f t="shared" ca="1" si="1"/>
        <v>#NAME?</v>
      </c>
      <c r="Q48" s="20">
        <v>30</v>
      </c>
      <c r="R48" s="48">
        <f ca="1">IFERROR(__xludf.DUMMYFUNCTION("SUM( FILTER(C48:T48, ISNUMBER(SEARCH(""Practice"", $C$1:$T$1)) ) )  / 
  SUM( FILTER(C$75:T$75, ISNUMBER(SEARCH(""Practice"", $C$1:$T$1))))*0.1
+
(SUM( FILTER(C48:K48, ISNUMBER(SEARCH(""AFTER RETAKE"", $C$1:$K$1)) ) )+SUM( FILTER(K48:T48, ISNUMBER(SEARCH"&amp;"(""BEFORE RETAKE"", $K$1:$T$1)) ) ))  / 
  SUM( FILTER(C$75:T$75, ISNUMBER(SEARCH(""BEFORE RETAKE"", $C$1:$T$1))))*0.6 + 0.3"),0.631188679245283)</f>
        <v>0.63118867924528299</v>
      </c>
      <c r="S48" s="20">
        <v>75</v>
      </c>
      <c r="T48" s="20">
        <v>75</v>
      </c>
      <c r="U48" s="48">
        <f ca="1">IFERROR(__xludf.DUMMYFUNCTION("SUM( FILTER(C48:T48, ISNUMBER(SEARCH(""Practice"", $C$1:$T$1)) ) )  / 
  SUM( FILTER(C$75:T$75, ISNUMBER(SEARCH(""Practice"", $C$1:$T$1))))*0.1
+
SUM( FILTER(C48:T48, ISNUMBER(SEARCH(""AFTER RETAKE"", $C$1:$T$1)) ) )  / 
  SUM( FILTER(C$75:T$75, ISNUMBER"&amp;"(SEARCH(""AFTER RETAKE"", $C$1:$T$1))))*0.6 + 0.3
"),0.766188679245283)</f>
        <v>0.766188679245283</v>
      </c>
      <c r="V48" s="20">
        <v>9</v>
      </c>
      <c r="W48" s="20">
        <v>8</v>
      </c>
      <c r="X48" s="20">
        <v>11</v>
      </c>
      <c r="Y48" s="20">
        <v>3</v>
      </c>
      <c r="Z48" s="20" t="e">
        <f t="shared" ca="1" si="18"/>
        <v>#NAME?</v>
      </c>
      <c r="AA48" s="20">
        <v>72</v>
      </c>
      <c r="AB48" s="48">
        <f ca="1">IFERROR(__xludf.DUMMYFUNCTION("SUM( FILTER(C48:AA48, ISNUMBER(SEARCH(""Practice"", $C$1:$AA$1)) ) )  / 
  SUM( FILTER(C$75:AA$75, ISNUMBER(SEARCH(""Practice"", $C$1:$AA$1))))*0.1
+
(SUM( FILTER(C48:T48, ISNUMBER(SEARCH(""AFTER RETAKE"", $C$1:$T$1)) ) )+SUM( FILTER(T48:AA48, ISNUMBER(S"&amp;"EARCH(""BEFORE RETAKE"", $T$1:$AA$1)) ) ))  / 
  SUM( FILTER(C$75:AA$75, ISNUMBER(SEARCH(""BEFORE RETAKE"", $C$1:$AA$1))))*0.6 + 0.3"),0.779770833333333)</f>
        <v>0.77977083333333297</v>
      </c>
      <c r="AC48" s="20" t="s">
        <v>462</v>
      </c>
      <c r="AD48" s="20">
        <v>72</v>
      </c>
      <c r="AE48" s="48">
        <f ca="1">IFERROR(__xludf.DUMMYFUNCTION("SUM( FILTER(C48:AA48, ISNUMBER(SEARCH(""Practice"", $C$1:$AA$1)) ) )  / 
  SUM( FILTER(C$75:AA$75, ISNUMBER(SEARCH(""Practice"", $C$1:$AA$1))))*0.1
+
SUM( FILTER(C48:AD48, ISNUMBER(SEARCH(""AFTER RETAKE"", $C$1:$AD$1)) ) )
  / 
  SUM( FILTER(C$75:AD$75, I"&amp;"SNUMBER(SEARCH(""BEFORE RETAKE"", $C$1:$AD$1))))*0.6 
+ 
0.3"),0.779770833333333)</f>
        <v>0.77977083333333297</v>
      </c>
      <c r="AF48" s="20" t="s">
        <v>811</v>
      </c>
      <c r="AG48" s="20">
        <v>21.4</v>
      </c>
      <c r="AH48" s="20">
        <v>9</v>
      </c>
      <c r="AI48" s="20">
        <v>26</v>
      </c>
      <c r="AJ48" s="20">
        <v>12.14</v>
      </c>
      <c r="AK48" s="20">
        <v>95</v>
      </c>
      <c r="AM48" s="21">
        <v>0.68</v>
      </c>
      <c r="AO48" s="55">
        <f t="shared" si="3"/>
        <v>61.30952380952381</v>
      </c>
      <c r="AP48" s="21">
        <f t="shared" si="4"/>
        <v>1</v>
      </c>
      <c r="AQ48" s="55">
        <f t="shared" si="5"/>
        <v>65.116279069767444</v>
      </c>
      <c r="AR48" s="21">
        <f t="shared" si="6"/>
        <v>1</v>
      </c>
      <c r="AS48" s="55">
        <f t="shared" si="19"/>
        <v>70.454545454545453</v>
      </c>
      <c r="AT48" s="21">
        <f t="shared" si="8"/>
        <v>0</v>
      </c>
      <c r="AU48" s="55">
        <f t="shared" si="20"/>
        <v>94</v>
      </c>
      <c r="AV48" s="21">
        <f t="shared" si="10"/>
        <v>0</v>
      </c>
      <c r="AW48" s="20">
        <f t="shared" si="11"/>
        <v>54.666666666666664</v>
      </c>
      <c r="AX48" s="20">
        <f t="shared" si="12"/>
        <v>69.666666666666671</v>
      </c>
      <c r="AY48" s="48">
        <f ca="1">IFERROR(__xludf.DUMMYFUNCTION("SUM( FILTER(C48:AA48, ISNUMBER(SEARCH(""Practice"", $C$1:$AA$1)) ) )  / 
  SUM( FILTER(C$75:AA$75, ISNUMBER(SEARCH(""Practice"", $C$1:$AA$1))))*0.1
+
(SUM( FILTER(C48:T48, ISNUMBER(SEARCH(""AFTER RETAKE"", $C$1:$T$1)) ) )
+
SUM( FILTER(U48:AD48, ISNUMBER("&amp;"SEARCH(""AFTER RETAKE"", $U$1:$AD$1)) ) ))  / 
  SUM( FILTER(C$75:AA$75, ISNUMBER(SEARCH(""BEFORE RETAKE"", $C$1:$AA$1))))*0.6 
+ 
 AM48*0.3"),0.683770833333333)</f>
        <v>0.68377083333333299</v>
      </c>
      <c r="AZ48" s="48">
        <f ca="1">IFERROR(__xludf.DUMMYFUNCTION("SUM( FILTER(C48:AA48, ISNUMBER(SEARCH(""Practice"", $C$1:$AA$1)) ) )  / 
  SUM( FILTER(C$75:AA$75, ISNUMBER(SEARCH(""Practice"", $C$1:$AA$1))))*0.1
+
(SUM( FILTER(C48:T48, ISNUMBER(SEARCH(""Before RETAKE"", $C$1:$T$1)) ) )
+
SUM( FILTER(U48:AD48, ISNUMBER"&amp;"(SEARCH(""Before RETAKE"", $U$1:$AD$1)) ) ))  / 
  SUM( FILTER(C$75:AA$75, ISNUMBER(SEARCH(""BEFORE RETAKE"", $C$1:$AA$1))))*0.6 
+ 
AM48* 0.3"),0.593770833333333)</f>
        <v>0.59377083333333303</v>
      </c>
      <c r="BA48" s="55">
        <f t="shared" si="21"/>
        <v>72.720087083459177</v>
      </c>
      <c r="BB48" s="21">
        <f t="shared" si="14"/>
        <v>2</v>
      </c>
      <c r="BC48" s="55">
        <f t="shared" si="15"/>
        <v>48.346153846153847</v>
      </c>
    </row>
    <row r="49" spans="1:55" ht="12.75" x14ac:dyDescent="0.2">
      <c r="A49" s="26" t="s">
        <v>355</v>
      </c>
      <c r="B49" s="26" t="s">
        <v>461</v>
      </c>
      <c r="C49" s="19" t="s">
        <v>8</v>
      </c>
      <c r="D49" s="20">
        <v>0</v>
      </c>
      <c r="E49" s="20">
        <v>1</v>
      </c>
      <c r="F49" s="20">
        <v>10.67</v>
      </c>
      <c r="G49" s="20" t="e">
        <f t="shared" ca="1" si="17"/>
        <v>#NAME?</v>
      </c>
      <c r="H49" s="20">
        <v>78</v>
      </c>
      <c r="I49" s="48">
        <f ca="1">IFERROR(__xludf.DUMMYFUNCTION("Sum(FILTER(C49:H49, $C$1:$H$1=""Unit 1 Practice""))/Sum(FILTER(C$75:H$75, $C$1:$H$1=""Unit 1 Practice""))*0.1 + Sum(FILTER(C49:H49, $C$1:$H$1=""Unit 1 Test (before retake)""))/Sum(FILTER(C$75:H$75, $C$1:$H$1=""Unit 1 Test (before retake)""))*0.6 + 0.3"),0.827493670886075)</f>
        <v>0.82749367088607495</v>
      </c>
      <c r="J49" s="20" t="s">
        <v>462</v>
      </c>
      <c r="K49" s="20">
        <v>78</v>
      </c>
      <c r="L49" s="48">
        <f ca="1">IFERROR(__xludf.DUMMYFUNCTION("SUM( FILTER(C49:K49, ISNUMBER(SEARCH(""Practice"", $C$1:$K$1)) ) )  / 
  SUM( FILTER(C$75:K$75, ISNUMBER(SEARCH(""Practice"", $C$1:$K$1))))*0.1
+
SUM( FILTER(C49:K49, ISNUMBER(SEARCH(""AFTER RETAKE"", $C$1:$K$1)) ) )  / 
  SUM( FILTER(C$75:K$75, ISNUMBER"&amp;"(SEARCH(""AFTER RETAKE"", $C$1:$K$1))))*0.6 + 0.3
"),0.827493670886075)</f>
        <v>0.82749367088607495</v>
      </c>
      <c r="M49" s="20">
        <v>17</v>
      </c>
      <c r="N49" s="20">
        <v>12</v>
      </c>
      <c r="O49" s="20">
        <v>9.4</v>
      </c>
      <c r="P49" s="20" t="e">
        <f t="shared" ca="1" si="1"/>
        <v>#NAME?</v>
      </c>
      <c r="Q49" s="20">
        <v>68</v>
      </c>
      <c r="R49" s="48">
        <f ca="1">IFERROR(__xludf.DUMMYFUNCTION("SUM( FILTER(C49:T49, ISNUMBER(SEARCH(""Practice"", $C$1:$T$1)) ) )  / 
  SUM( FILTER(C$75:T$75, ISNUMBER(SEARCH(""Practice"", $C$1:$T$1))))*0.1
+
(SUM( FILTER(C49:K49, ISNUMBER(SEARCH(""AFTER RETAKE"", $C$1:$K$1)) ) )+SUM( FILTER(K49:T49, ISNUMBER(SEARCH"&amp;"(""BEFORE RETAKE"", $K$1:$T$1)) ) ))  / 
  SUM( FILTER(C$75:T$75, ISNUMBER(SEARCH(""BEFORE RETAKE"", $C$1:$T$1))))*0.6 + 0.3"),0.812528301886792)</f>
        <v>0.81252830188679204</v>
      </c>
      <c r="S49" s="20">
        <v>65</v>
      </c>
      <c r="T49" s="20">
        <v>68</v>
      </c>
      <c r="U49" s="48">
        <f ca="1">IFERROR(__xludf.DUMMYFUNCTION("SUM( FILTER(C49:T49, ISNUMBER(SEARCH(""Practice"", $C$1:$T$1)) ) )  / 
  SUM( FILTER(C$75:T$75, ISNUMBER(SEARCH(""Practice"", $C$1:$T$1))))*0.1
+
SUM( FILTER(C49:T49, ISNUMBER(SEARCH(""AFTER RETAKE"", $C$1:$T$1)) ) )  / 
  SUM( FILTER(C$75:T$75, ISNUMBER"&amp;"(SEARCH(""AFTER RETAKE"", $C$1:$T$1))))*0.6 + 0.3
"),0.812528301886792)</f>
        <v>0.81252830188679204</v>
      </c>
      <c r="V49" s="20">
        <v>0</v>
      </c>
      <c r="W49" s="20">
        <v>9</v>
      </c>
      <c r="X49" s="20">
        <v>7</v>
      </c>
      <c r="Y49" s="20">
        <v>4.5</v>
      </c>
      <c r="Z49" s="20" t="e">
        <f t="shared" ca="1" si="18"/>
        <v>#NAME?</v>
      </c>
      <c r="AA49" s="20">
        <v>68</v>
      </c>
      <c r="AB49" s="48">
        <f ca="1">IFERROR(__xludf.DUMMYFUNCTION("SUM( FILTER(C49:AA49, ISNUMBER(SEARCH(""Practice"", $C$1:$AA$1)) ) )  / 
  SUM( FILTER(C$75:AA$75, ISNUMBER(SEARCH(""Practice"", $C$1:$AA$1))))*0.1
+
(SUM( FILTER(C49:T49, ISNUMBER(SEARCH(""AFTER RETAKE"", $C$1:$T$1)) ) )+SUM( FILTER(T49:AA49, ISNUMBER(S"&amp;"EARCH(""BEFORE RETAKE"", $T$1:$AA$1)) ) ))  / 
  SUM( FILTER(C$75:AA$75, ISNUMBER(SEARCH(""BEFORE RETAKE"", $C$1:$AA$1))))*0.6 + 0.3"),0.799041666666666)</f>
        <v>0.79904166666666598</v>
      </c>
      <c r="AC49" s="20" t="s">
        <v>462</v>
      </c>
      <c r="AD49" s="20">
        <v>68</v>
      </c>
      <c r="AE49" s="48">
        <f ca="1">IFERROR(__xludf.DUMMYFUNCTION("SUM( FILTER(C49:AA49, ISNUMBER(SEARCH(""Practice"", $C$1:$AA$1)) ) )  / 
  SUM( FILTER(C$75:AA$75, ISNUMBER(SEARCH(""Practice"", $C$1:$AA$1))))*0.1
+
SUM( FILTER(C49:AD49, ISNUMBER(SEARCH(""AFTER RETAKE"", $C$1:$AD$1)) ) )
  / 
  SUM( FILTER(C$75:AD$75, I"&amp;"SNUMBER(SEARCH(""BEFORE RETAKE"", $C$1:$AD$1))))*0.6 
+ 
0.3"),0.799041666666666)</f>
        <v>0.79904166666666598</v>
      </c>
      <c r="AF49" s="20" t="s">
        <v>811</v>
      </c>
      <c r="AG49" s="20">
        <v>22</v>
      </c>
      <c r="AH49" s="20">
        <v>9.8000000000000007</v>
      </c>
      <c r="AI49" s="20">
        <v>0</v>
      </c>
      <c r="AJ49" s="20">
        <v>0</v>
      </c>
      <c r="AK49" s="20">
        <v>0</v>
      </c>
      <c r="AM49" s="21">
        <v>0.72</v>
      </c>
      <c r="AO49" s="55">
        <f t="shared" si="3"/>
        <v>27.785714285714285</v>
      </c>
      <c r="AP49" s="21">
        <f t="shared" si="4"/>
        <v>1</v>
      </c>
      <c r="AQ49" s="55">
        <f t="shared" si="5"/>
        <v>89.302325581395337</v>
      </c>
      <c r="AR49" s="21">
        <f t="shared" si="6"/>
        <v>0</v>
      </c>
      <c r="AS49" s="55">
        <f t="shared" si="19"/>
        <v>46.590909090909086</v>
      </c>
      <c r="AT49" s="21">
        <f t="shared" si="8"/>
        <v>1</v>
      </c>
      <c r="AU49" s="55">
        <f t="shared" si="20"/>
        <v>53</v>
      </c>
      <c r="AV49" s="21">
        <f t="shared" si="10"/>
        <v>1</v>
      </c>
      <c r="AW49" s="20">
        <f t="shared" si="11"/>
        <v>71.333333333333329</v>
      </c>
      <c r="AX49" s="20">
        <f t="shared" si="12"/>
        <v>71.333333333333329</v>
      </c>
      <c r="AY49" s="48">
        <f ca="1">IFERROR(__xludf.DUMMYFUNCTION("SUM( FILTER(C49:AA49, ISNUMBER(SEARCH(""Practice"", $C$1:$AA$1)) ) )  / 
  SUM( FILTER(C$75:AA$75, ISNUMBER(SEARCH(""Practice"", $C$1:$AA$1))))*0.1
+
(SUM( FILTER(C49:T49, ISNUMBER(SEARCH(""AFTER RETAKE"", $C$1:$T$1)) ) )
+
SUM( FILTER(U49:AD49, ISNUMBER("&amp;"SEARCH(""AFTER RETAKE"", $U$1:$AD$1)) ) ))  / 
  SUM( FILTER(C$75:AA$75, ISNUMBER(SEARCH(""BEFORE RETAKE"", $C$1:$AA$1))))*0.6 
+ 
 AM49*0.3"),0.715041666666666)</f>
        <v>0.71504166666666602</v>
      </c>
      <c r="AZ49" s="48">
        <f ca="1">IFERROR(__xludf.DUMMYFUNCTION("SUM( FILTER(C49:AA49, ISNUMBER(SEARCH(""Practice"", $C$1:$AA$1)) ) )  / 
  SUM( FILTER(C$75:AA$75, ISNUMBER(SEARCH(""Practice"", $C$1:$AA$1))))*0.1
+
(SUM( FILTER(C49:T49, ISNUMBER(SEARCH(""Before RETAKE"", $C$1:$T$1)) ) )
+
SUM( FILTER(U49:AD49, ISNUMBER"&amp;"(SEARCH(""Before RETAKE"", $U$1:$AD$1)) ) ))  / 
  SUM( FILTER(C$75:AA$75, ISNUMBER(SEARCH(""BEFORE RETAKE"", $C$1:$AA$1))))*0.6 
+ 
AM49* 0.3"),0.715041666666666)</f>
        <v>0.71504166666666602</v>
      </c>
      <c r="BA49" s="55">
        <f t="shared" si="21"/>
        <v>54.169737239504677</v>
      </c>
      <c r="BB49" s="21">
        <f t="shared" si="14"/>
        <v>3</v>
      </c>
      <c r="BC49" s="55">
        <f t="shared" si="15"/>
        <v>47.25</v>
      </c>
    </row>
    <row r="50" spans="1:55" ht="12.75" x14ac:dyDescent="0.2">
      <c r="A50" s="26" t="s">
        <v>357</v>
      </c>
      <c r="B50" s="26" t="s">
        <v>464</v>
      </c>
      <c r="C50" s="19" t="s">
        <v>8</v>
      </c>
      <c r="D50" s="20"/>
      <c r="E50" s="20">
        <v>1</v>
      </c>
      <c r="F50" s="20">
        <v>6.17</v>
      </c>
      <c r="G50" s="20" t="e">
        <f t="shared" ca="1" si="17"/>
        <v>#NAME?</v>
      </c>
      <c r="H50" s="20">
        <v>30</v>
      </c>
      <c r="I50" s="48">
        <f ca="1">IFERROR(__xludf.DUMMYFUNCTION("Sum(FILTER(C50:H50, $C$1:$H$1=""Unit 1 Practice""))/Sum(FILTER(C$75:H$75, $C$1:$H$1=""Unit 1 Practice""))*0.1 + Sum(FILTER(C50:H50, $C$1:$H$1=""Unit 1 Test (before retake)""))/Sum(FILTER(C$75:H$75, $C$1:$H$1=""Unit 1 Test (before retake)""))*0.6 + 0.3"),0.528734177215189)</f>
        <v>0.52873417721518901</v>
      </c>
      <c r="J50" s="20" t="s">
        <v>462</v>
      </c>
      <c r="K50" s="20">
        <v>30</v>
      </c>
      <c r="L50" s="48">
        <f ca="1">IFERROR(__xludf.DUMMYFUNCTION("SUM( FILTER(C50:K50, ISNUMBER(SEARCH(""Practice"", $C$1:$K$1)) ) )  / 
  SUM( FILTER(C$75:K$75, ISNUMBER(SEARCH(""Practice"", $C$1:$K$1))))*0.1
+
SUM( FILTER(C50:K50, ISNUMBER(SEARCH(""AFTER RETAKE"", $C$1:$K$1)) ) )  / 
  SUM( FILTER(C$75:K$75, ISNUMBER"&amp;"(SEARCH(""AFTER RETAKE"", $C$1:$K$1))))*0.6 + 0.3
"),0.528734177215189)</f>
        <v>0.52873417721518901</v>
      </c>
      <c r="M50" s="20">
        <v>18</v>
      </c>
      <c r="N50" s="20">
        <v>0</v>
      </c>
      <c r="O50" s="20">
        <v>0</v>
      </c>
      <c r="P50" s="20" t="e">
        <f t="shared" ca="1" si="1"/>
        <v>#NAME?</v>
      </c>
      <c r="Q50" s="20">
        <v>30</v>
      </c>
      <c r="R50" s="48">
        <f ca="1">IFERROR(__xludf.DUMMYFUNCTION("SUM( FILTER(C50:T50, ISNUMBER(SEARCH(""Practice"", $C$1:$T$1)) ) )  / 
  SUM( FILTER(C$75:T$75, ISNUMBER(SEARCH(""Practice"", $C$1:$T$1))))*0.1
+
(SUM( FILTER(C50:K50, ISNUMBER(SEARCH(""AFTER RETAKE"", $C$1:$K$1)) ) )+SUM( FILTER(K50:T50, ISNUMBER(SEARCH"&amp;"(""BEFORE RETAKE"", $K$1:$T$1)) ) ))  / 
  SUM( FILTER(C$75:T$75, ISNUMBER(SEARCH(""BEFORE RETAKE"", $C$1:$T$1))))*0.6 + 0.3"),0.515534591194968)</f>
        <v>0.51553459119496803</v>
      </c>
      <c r="S50" s="20">
        <v>62</v>
      </c>
      <c r="T50" s="20">
        <v>62</v>
      </c>
      <c r="U50" s="48">
        <f ca="1">IFERROR(__xludf.DUMMYFUNCTION("SUM( FILTER(C50:T50, ISNUMBER(SEARCH(""Practice"", $C$1:$T$1)) ) )  / 
  SUM( FILTER(C$75:T$75, ISNUMBER(SEARCH(""Practice"", $C$1:$T$1))))*0.1
+
SUM( FILTER(C50:T50, ISNUMBER(SEARCH(""AFTER RETAKE"", $C$1:$T$1)) ) )  / 
  SUM( FILTER(C$75:T$75, ISNUMBER"&amp;"(SEARCH(""AFTER RETAKE"", $C$1:$T$1))))*0.6 + 0.3
"),0.611534591194968)</f>
        <v>0.611534591194968</v>
      </c>
      <c r="V50" s="20">
        <v>10</v>
      </c>
      <c r="W50" s="20">
        <v>10</v>
      </c>
      <c r="X50" s="20">
        <v>11</v>
      </c>
      <c r="Y50" s="20">
        <v>9.5</v>
      </c>
      <c r="Z50" s="20" t="e">
        <f t="shared" ca="1" si="18"/>
        <v>#NAME?</v>
      </c>
      <c r="AA50" s="20">
        <v>68</v>
      </c>
      <c r="AB50" s="48">
        <f ca="1">IFERROR(__xludf.DUMMYFUNCTION("SUM( FILTER(C50:AA50, ISNUMBER(SEARCH(""Practice"", $C$1:$AA$1)) ) )  / 
  SUM( FILTER(C$75:AA$75, ISNUMBER(SEARCH(""Practice"", $C$1:$AA$1))))*0.1
+
(SUM( FILTER(C50:T50, ISNUMBER(SEARCH(""AFTER RETAKE"", $C$1:$T$1)) ) )+SUM( FILTER(T50:AA50, ISNUMBER(S"&amp;"EARCH(""BEFORE RETAKE"", $T$1:$AA$1)) ) ))  / 
  SUM( FILTER(C$75:AA$75, ISNUMBER(SEARCH(""BEFORE RETAKE"", $C$1:$AA$1))))*0.6 + 0.3"),0.674791666666666)</f>
        <v>0.67479166666666601</v>
      </c>
      <c r="AC50" s="20" t="s">
        <v>462</v>
      </c>
      <c r="AD50" s="20">
        <v>68</v>
      </c>
      <c r="AE50" s="48">
        <f ca="1">IFERROR(__xludf.DUMMYFUNCTION("SUM( FILTER(C50:AA50, ISNUMBER(SEARCH(""Practice"", $C$1:$AA$1)) ) )  / 
  SUM( FILTER(C$75:AA$75, ISNUMBER(SEARCH(""Practice"", $C$1:$AA$1))))*0.1
+
SUM( FILTER(C50:AD50, ISNUMBER(SEARCH(""AFTER RETAKE"", $C$1:$AD$1)) ) )
  / 
  SUM( FILTER(C$75:AD$75, I"&amp;"SNUMBER(SEARCH(""BEFORE RETAKE"", $C$1:$AD$1))))*0.6 
+ 
0.3"),0.674791666666666)</f>
        <v>0.67479166666666601</v>
      </c>
      <c r="AF50" s="20" t="s">
        <v>811</v>
      </c>
      <c r="AG50" s="20">
        <v>22</v>
      </c>
      <c r="AH50" s="20">
        <v>10</v>
      </c>
      <c r="AI50" s="20">
        <v>0</v>
      </c>
      <c r="AJ50" s="20">
        <v>12.75</v>
      </c>
      <c r="AK50" s="20">
        <v>100</v>
      </c>
      <c r="AM50" s="21">
        <v>0.62</v>
      </c>
      <c r="AO50" s="55">
        <f t="shared" si="3"/>
        <v>17.071428571428569</v>
      </c>
      <c r="AP50" s="21">
        <f t="shared" si="4"/>
        <v>0</v>
      </c>
      <c r="AQ50" s="55">
        <f t="shared" si="5"/>
        <v>41.860465116279066</v>
      </c>
      <c r="AR50" s="21">
        <f t="shared" si="6"/>
        <v>2</v>
      </c>
      <c r="AS50" s="55">
        <f t="shared" si="19"/>
        <v>92.045454545454547</v>
      </c>
      <c r="AT50" s="21">
        <f t="shared" si="8"/>
        <v>0</v>
      </c>
      <c r="AU50" s="55">
        <f t="shared" si="20"/>
        <v>53.333333333333336</v>
      </c>
      <c r="AV50" s="21">
        <f t="shared" si="10"/>
        <v>1</v>
      </c>
      <c r="AW50" s="20">
        <f t="shared" si="11"/>
        <v>42.666666666666664</v>
      </c>
      <c r="AX50" s="20">
        <f t="shared" si="12"/>
        <v>53.333333333333336</v>
      </c>
      <c r="AY50" s="48">
        <f ca="1">IFERROR(__xludf.DUMMYFUNCTION("SUM( FILTER(C50:AA50, ISNUMBER(SEARCH(""Practice"", $C$1:$AA$1)) ) )  / 
  SUM( FILTER(C$75:AA$75, ISNUMBER(SEARCH(""Practice"", $C$1:$AA$1))))*0.1
+
(SUM( FILTER(C50:T50, ISNUMBER(SEARCH(""AFTER RETAKE"", $C$1:$T$1)) ) )
+
SUM( FILTER(U50:AD50, ISNUMBER("&amp;"SEARCH(""AFTER RETAKE"", $U$1:$AD$1)) ) ))  / 
  SUM( FILTER(C$75:AA$75, ISNUMBER(SEARCH(""BEFORE RETAKE"", $C$1:$AA$1))))*0.6 
+ 
 AM50*0.3"),0.560791666666666)</f>
        <v>0.56079166666666602</v>
      </c>
      <c r="AZ50" s="48">
        <f ca="1">IFERROR(__xludf.DUMMYFUNCTION("SUM( FILTER(C50:AA50, ISNUMBER(SEARCH(""Practice"", $C$1:$AA$1)) ) )  / 
  SUM( FILTER(C$75:AA$75, ISNUMBER(SEARCH(""Practice"", $C$1:$AA$1))))*0.1
+
(SUM( FILTER(C50:T50, ISNUMBER(SEARCH(""Before RETAKE"", $C$1:$T$1)) ) )
+
SUM( FILTER(U50:AD50, ISNUMBER"&amp;"(SEARCH(""Before RETAKE"", $U$1:$AD$1)) ) ))  / 
  SUM( FILTER(C$75:AA$75, ISNUMBER(SEARCH(""BEFORE RETAKE"", $C$1:$AA$1))))*0.6 
+ 
AM50* 0.3"),0.496791666666666)</f>
        <v>0.49679166666666602</v>
      </c>
      <c r="BA50" s="55">
        <f t="shared" si="21"/>
        <v>51.077670391623883</v>
      </c>
      <c r="BB50" s="21">
        <f t="shared" si="14"/>
        <v>3</v>
      </c>
      <c r="BC50" s="55">
        <f t="shared" si="15"/>
        <v>54.653846153846153</v>
      </c>
    </row>
    <row r="51" spans="1:55" ht="12.75" x14ac:dyDescent="0.2">
      <c r="A51" s="26" t="s">
        <v>359</v>
      </c>
      <c r="B51" s="26" t="s">
        <v>464</v>
      </c>
      <c r="C51" s="19" t="s">
        <v>7</v>
      </c>
      <c r="D51" s="20">
        <v>15</v>
      </c>
      <c r="E51" s="20">
        <v>14</v>
      </c>
      <c r="F51" s="20">
        <v>11</v>
      </c>
      <c r="G51" s="20" t="e">
        <f t="shared" ca="1" si="17"/>
        <v>#NAME?</v>
      </c>
      <c r="H51" s="20">
        <v>92</v>
      </c>
      <c r="I51" s="48">
        <f ca="1">IFERROR(__xludf.DUMMYFUNCTION("Sum(FILTER(C51:H51, $C$1:$H$1=""Unit 1 Practice""))/Sum(FILTER(C$75:H$75, $C$1:$H$1=""Unit 1 Practice""))*0.1 + Sum(FILTER(C51:H51, $C$1:$H$1=""Unit 1 Test (before retake)""))/Sum(FILTER(C$75:H$75, $C$1:$H$1=""Unit 1 Test (before retake)""))*0.6 + 0.3"),0.946936708860759)</f>
        <v>0.94693670886075898</v>
      </c>
      <c r="J51" s="20" t="s">
        <v>462</v>
      </c>
      <c r="K51" s="20">
        <v>92</v>
      </c>
      <c r="L51" s="48">
        <f ca="1">IFERROR(__xludf.DUMMYFUNCTION("SUM( FILTER(C51:K51, ISNUMBER(SEARCH(""Practice"", $C$1:$K$1)) ) )  / 
  SUM( FILTER(C$75:K$75, ISNUMBER(SEARCH(""Practice"", $C$1:$K$1))))*0.1
+
SUM( FILTER(C51:K51, ISNUMBER(SEARCH(""AFTER RETAKE"", $C$1:$K$1)) ) )  / 
  SUM( FILTER(C$75:K$75, ISNUMBER"&amp;"(SEARCH(""AFTER RETAKE"", $C$1:$K$1))))*0.6 + 0.3
"),0.946936708860759)</f>
        <v>0.94693670886075898</v>
      </c>
      <c r="M51" s="20">
        <v>18</v>
      </c>
      <c r="N51" s="20">
        <v>12</v>
      </c>
      <c r="O51" s="20">
        <v>10</v>
      </c>
      <c r="P51" s="20" t="e">
        <f t="shared" ca="1" si="1"/>
        <v>#NAME?</v>
      </c>
      <c r="Q51" s="20">
        <v>88</v>
      </c>
      <c r="R51" s="48">
        <f ca="1">IFERROR(__xludf.DUMMYFUNCTION("SUM( FILTER(C51:T51, ISNUMBER(SEARCH(""Practice"", $C$1:$T$1)) ) )  / 
  SUM( FILTER(C$75:T$75, ISNUMBER(SEARCH(""Practice"", $C$1:$T$1))))*0.1
+
(SUM( FILTER(C51:K51, ISNUMBER(SEARCH(""AFTER RETAKE"", $C$1:$K$1)) ) )+SUM( FILTER(K51:T51, ISNUMBER(SEARCH"&amp;"(""BEFORE RETAKE"", $K$1:$T$1)) ) ))  / 
  SUM( FILTER(C$75:T$75, ISNUMBER(SEARCH(""BEFORE RETAKE"", $C$1:$T$1))))*0.6 + 0.3"),0.933710691823899)</f>
        <v>0.93371069182389899</v>
      </c>
      <c r="S51" s="20" t="s">
        <v>462</v>
      </c>
      <c r="T51" s="20">
        <v>88</v>
      </c>
      <c r="U51" s="48">
        <f ca="1">IFERROR(__xludf.DUMMYFUNCTION("SUM( FILTER(C51:T51, ISNUMBER(SEARCH(""Practice"", $C$1:$T$1)) ) )  / 
  SUM( FILTER(C$75:T$75, ISNUMBER(SEARCH(""Practice"", $C$1:$T$1))))*0.1
+
SUM( FILTER(C51:T51, ISNUMBER(SEARCH(""AFTER RETAKE"", $C$1:$T$1)) ) )  / 
  SUM( FILTER(C$75:T$75, ISNUMBER"&amp;"(SEARCH(""AFTER RETAKE"", $C$1:$T$1))))*0.6 + 0.3
"),0.933710691823899)</f>
        <v>0.93371069182389899</v>
      </c>
      <c r="V51" s="20">
        <v>10</v>
      </c>
      <c r="W51" s="20">
        <v>10</v>
      </c>
      <c r="X51" s="20">
        <v>11</v>
      </c>
      <c r="Y51" s="20">
        <v>12</v>
      </c>
      <c r="Z51" s="20" t="e">
        <f t="shared" ca="1" si="18"/>
        <v>#NAME?</v>
      </c>
      <c r="AA51" s="20">
        <v>92</v>
      </c>
      <c r="AB51" s="48">
        <f ca="1">IFERROR(__xludf.DUMMYFUNCTION("SUM( FILTER(C51:AA51, ISNUMBER(SEARCH(""Practice"", $C$1:$AA$1)) ) )  / 
  SUM( FILTER(C$75:AA$75, ISNUMBER(SEARCH(""Practice"", $C$1:$AA$1))))*0.1
+
(SUM( FILTER(C51:T51, ISNUMBER(SEARCH(""AFTER RETAKE"", $C$1:$T$1)) ) )+SUM( FILTER(T51:AA51, ISNUMBER(S"&amp;"EARCH(""BEFORE RETAKE"", $T$1:$AA$1)) ) ))  / 
  SUM( FILTER(C$75:AA$75, ISNUMBER(SEARCH(""BEFORE RETAKE"", $C$1:$AA$1))))*0.6 + 0.3"),0.938791666666666)</f>
        <v>0.93879166666666602</v>
      </c>
      <c r="AC51" s="20" t="s">
        <v>462</v>
      </c>
      <c r="AD51" s="20">
        <v>92</v>
      </c>
      <c r="AE51" s="48">
        <f ca="1">IFERROR(__xludf.DUMMYFUNCTION("SUM( FILTER(C51:AA51, ISNUMBER(SEARCH(""Practice"", $C$1:$AA$1)) ) )  / 
  SUM( FILTER(C$75:AA$75, ISNUMBER(SEARCH(""Practice"", $C$1:$AA$1))))*0.1
+
SUM( FILTER(C51:AD51, ISNUMBER(SEARCH(""AFTER RETAKE"", $C$1:$AD$1)) ) )
  / 
  SUM( FILTER(C$75:AD$75, I"&amp;"SNUMBER(SEARCH(""BEFORE RETAKE"", $C$1:$AD$1))))*0.6 
+ 
0.3"),0.938791666666666)</f>
        <v>0.93879166666666602</v>
      </c>
      <c r="AF51" s="20" t="s">
        <v>811</v>
      </c>
      <c r="AG51" s="20">
        <v>22</v>
      </c>
      <c r="AH51" s="20">
        <v>10</v>
      </c>
      <c r="AI51" s="20">
        <v>27</v>
      </c>
      <c r="AJ51" s="20">
        <v>13</v>
      </c>
      <c r="AK51" s="20">
        <v>100</v>
      </c>
      <c r="AM51" s="21">
        <v>0.95</v>
      </c>
      <c r="AO51" s="55">
        <f t="shared" si="3"/>
        <v>95.238095238095227</v>
      </c>
      <c r="AP51" s="21">
        <f t="shared" si="4"/>
        <v>0</v>
      </c>
      <c r="AQ51" s="55">
        <f t="shared" si="5"/>
        <v>93.023255813953483</v>
      </c>
      <c r="AR51" s="21">
        <f t="shared" si="6"/>
        <v>0</v>
      </c>
      <c r="AS51" s="55">
        <f t="shared" si="19"/>
        <v>97.727272727272734</v>
      </c>
      <c r="AT51" s="21">
        <f t="shared" si="8"/>
        <v>0</v>
      </c>
      <c r="AU51" s="55">
        <f t="shared" si="20"/>
        <v>98.333333333333343</v>
      </c>
      <c r="AV51" s="21">
        <f t="shared" si="10"/>
        <v>0</v>
      </c>
      <c r="AW51" s="20">
        <f t="shared" si="11"/>
        <v>90.666666666666671</v>
      </c>
      <c r="AX51" s="20">
        <f t="shared" si="12"/>
        <v>90.666666666666671</v>
      </c>
      <c r="AY51" s="48">
        <f ca="1">IFERROR(__xludf.DUMMYFUNCTION("SUM( FILTER(C51:AA51, ISNUMBER(SEARCH(""Practice"", $C$1:$AA$1)) ) )  / 
  SUM( FILTER(C$75:AA$75, ISNUMBER(SEARCH(""Practice"", $C$1:$AA$1))))*0.1
+
(SUM( FILTER(C51:T51, ISNUMBER(SEARCH(""AFTER RETAKE"", $C$1:$T$1)) ) )
+
SUM( FILTER(U51:AD51, ISNUMBER("&amp;"SEARCH(""AFTER RETAKE"", $U$1:$AD$1)) ) ))  / 
  SUM( FILTER(C$75:AA$75, ISNUMBER(SEARCH(""BEFORE RETAKE"", $C$1:$AA$1))))*0.6 
+ 
 AM51*0.3"),0.923791666666666)</f>
        <v>0.92379166666666601</v>
      </c>
      <c r="AZ51" s="48">
        <f ca="1">IFERROR(__xludf.DUMMYFUNCTION("SUM( FILTER(C51:AA51, ISNUMBER(SEARCH(""Practice"", $C$1:$AA$1)) ) )  / 
  SUM( FILTER(C$75:AA$75, ISNUMBER(SEARCH(""Practice"", $C$1:$AA$1))))*0.1
+
(SUM( FILTER(C51:T51, ISNUMBER(SEARCH(""Before RETAKE"", $C$1:$T$1)) ) )
+
SUM( FILTER(U51:AD51, ISNUMBER"&amp;"(SEARCH(""Before RETAKE"", $U$1:$AD$1)) ) ))  / 
  SUM( FILTER(C$75:AA$75, ISNUMBER(SEARCH(""BEFORE RETAKE"", $C$1:$AA$1))))*0.6 
+ 
AM51* 0.3"),0.923791666666666)</f>
        <v>0.92379166666666601</v>
      </c>
      <c r="BA51" s="55">
        <f t="shared" si="21"/>
        <v>96.080489278163697</v>
      </c>
      <c r="BB51" s="21">
        <f t="shared" si="14"/>
        <v>0</v>
      </c>
      <c r="BC51" s="55">
        <f t="shared" si="15"/>
        <v>88.461538461538453</v>
      </c>
    </row>
    <row r="52" spans="1:55" ht="12.75" x14ac:dyDescent="0.2">
      <c r="A52" s="26" t="s">
        <v>361</v>
      </c>
      <c r="B52" s="26" t="s">
        <v>464</v>
      </c>
      <c r="C52" s="19" t="s">
        <v>8</v>
      </c>
      <c r="D52" s="20">
        <v>15</v>
      </c>
      <c r="E52" s="20">
        <v>15</v>
      </c>
      <c r="F52" s="20">
        <v>13</v>
      </c>
      <c r="G52" s="20" t="e">
        <f t="shared" ca="1" si="17"/>
        <v>#NAME?</v>
      </c>
      <c r="H52" s="20">
        <v>95</v>
      </c>
      <c r="I52" s="48">
        <f ca="1">IFERROR(__xludf.DUMMYFUNCTION("Sum(FILTER(C52:H52, $C$1:$H$1=""Unit 1 Practice""))/Sum(FILTER(C$75:H$75, $C$1:$H$1=""Unit 1 Practice""))*0.1 + Sum(FILTER(C52:H52, $C$1:$H$1=""Unit 1 Test (before retake)""))/Sum(FILTER(C$75:H$75, $C$1:$H$1=""Unit 1 Test (before retake)""))*0.6 + 0.3"),0.97126582278481)</f>
        <v>0.97126582278481</v>
      </c>
      <c r="J52" s="20" t="s">
        <v>462</v>
      </c>
      <c r="K52" s="20">
        <v>95</v>
      </c>
      <c r="L52" s="48">
        <f ca="1">IFERROR(__xludf.DUMMYFUNCTION("SUM( FILTER(C52:K52, ISNUMBER(SEARCH(""Practice"", $C$1:$K$1)) ) )  / 
  SUM( FILTER(C$75:K$75, ISNUMBER(SEARCH(""Practice"", $C$1:$K$1))))*0.1
+
SUM( FILTER(C52:K52, ISNUMBER(SEARCH(""AFTER RETAKE"", $C$1:$K$1)) ) )  / 
  SUM( FILTER(C$75:K$75, ISNUMBER"&amp;"(SEARCH(""AFTER RETAKE"", $C$1:$K$1))))*0.6 + 0.3
"),0.97126582278481)</f>
        <v>0.97126582278481</v>
      </c>
      <c r="M52" s="20">
        <v>18</v>
      </c>
      <c r="N52" s="20">
        <v>12</v>
      </c>
      <c r="O52" s="20">
        <v>12</v>
      </c>
      <c r="P52" s="20" t="e">
        <f t="shared" ca="1" si="1"/>
        <v>#NAME?</v>
      </c>
      <c r="Q52" s="20">
        <v>82</v>
      </c>
      <c r="R52" s="48">
        <f ca="1">IFERROR(__xludf.DUMMYFUNCTION("SUM( FILTER(C52:T52, ISNUMBER(SEARCH(""Practice"", $C$1:$T$1)) ) )  / 
  SUM( FILTER(C$75:T$75, ISNUMBER(SEARCH(""Practice"", $C$1:$T$1))))*0.1
+
(SUM( FILTER(C52:K52, ISNUMBER(SEARCH(""AFTER RETAKE"", $C$1:$K$1)) ) )+SUM( FILTER(K52:T52, ISNUMBER(SEARCH"&amp;"(""BEFORE RETAKE"", $K$1:$T$1)) ) ))  / 
  SUM( FILTER(C$75:T$75, ISNUMBER(SEARCH(""BEFORE RETAKE"", $C$1:$T$1))))*0.6 + 0.3"),0.930056603773584)</f>
        <v>0.93005660377358401</v>
      </c>
      <c r="S52" s="20" t="s">
        <v>462</v>
      </c>
      <c r="T52" s="20">
        <v>82</v>
      </c>
      <c r="U52" s="48">
        <f ca="1">IFERROR(__xludf.DUMMYFUNCTION("SUM( FILTER(C52:T52, ISNUMBER(SEARCH(""Practice"", $C$1:$T$1)) ) )  / 
  SUM( FILTER(C$75:T$75, ISNUMBER(SEARCH(""Practice"", $C$1:$T$1))))*0.1
+
SUM( FILTER(C52:T52, ISNUMBER(SEARCH(""AFTER RETAKE"", $C$1:$T$1)) ) )  / 
  SUM( FILTER(C$75:T$75, ISNUMBER"&amp;"(SEARCH(""AFTER RETAKE"", $C$1:$T$1))))*0.6 + 0.3
"),0.930056603773584)</f>
        <v>0.93005660377358401</v>
      </c>
      <c r="V52" s="20">
        <v>10</v>
      </c>
      <c r="W52" s="20">
        <v>10</v>
      </c>
      <c r="X52" s="20">
        <v>11</v>
      </c>
      <c r="Y52" s="20">
        <v>10.5</v>
      </c>
      <c r="Z52" s="20" t="e">
        <f t="shared" ca="1" si="18"/>
        <v>#NAME?</v>
      </c>
      <c r="AA52" s="20">
        <v>82</v>
      </c>
      <c r="AB52" s="48">
        <f ca="1">IFERROR(__xludf.DUMMYFUNCTION("SUM( FILTER(C52:AA52, ISNUMBER(SEARCH(""Practice"", $C$1:$AA$1)) ) )  / 
  SUM( FILTER(C$75:AA$75, ISNUMBER(SEARCH(""Practice"", $C$1:$AA$1))))*0.1
+
(SUM( FILTER(C52:T52, ISNUMBER(SEARCH(""AFTER RETAKE"", $C$1:$T$1)) ) )+SUM( FILTER(T52:AA52, ISNUMBER(S"&amp;"EARCH(""BEFORE RETAKE"", $T$1:$AA$1)) ) ))  / 
  SUM( FILTER(C$75:AA$75, ISNUMBER(SEARCH(""BEFORE RETAKE"", $C$1:$AA$1))))*0.6 + 0.3"),0.915708333333333)</f>
        <v>0.91570833333333301</v>
      </c>
      <c r="AC52" s="20" t="s">
        <v>462</v>
      </c>
      <c r="AD52" s="20">
        <v>82</v>
      </c>
      <c r="AE52" s="48">
        <f ca="1">IFERROR(__xludf.DUMMYFUNCTION("SUM( FILTER(C52:AA52, ISNUMBER(SEARCH(""Practice"", $C$1:$AA$1)) ) )  / 
  SUM( FILTER(C$75:AA$75, ISNUMBER(SEARCH(""Practice"", $C$1:$AA$1))))*0.1
+
SUM( FILTER(C52:AD52, ISNUMBER(SEARCH(""AFTER RETAKE"", $C$1:$AD$1)) ) )
  / 
  SUM( FILTER(C$75:AD$75, I"&amp;"SNUMBER(SEARCH(""BEFORE RETAKE"", $C$1:$AD$1))))*0.6 
+ 
0.3"),0.915708333333333)</f>
        <v>0.91570833333333301</v>
      </c>
      <c r="AF52" s="20" t="s">
        <v>811</v>
      </c>
      <c r="AG52" s="20">
        <v>22</v>
      </c>
      <c r="AH52" s="20">
        <v>9.5</v>
      </c>
      <c r="AI52" s="20">
        <v>0</v>
      </c>
      <c r="AJ52" s="20">
        <v>13</v>
      </c>
      <c r="AK52" s="20">
        <v>100</v>
      </c>
      <c r="AM52" s="21">
        <v>0.85</v>
      </c>
      <c r="AO52" s="55">
        <f t="shared" si="3"/>
        <v>102.38095238095238</v>
      </c>
      <c r="AP52" s="21">
        <f t="shared" si="4"/>
        <v>0</v>
      </c>
      <c r="AQ52" s="55">
        <f t="shared" si="5"/>
        <v>97.674418604651152</v>
      </c>
      <c r="AR52" s="21">
        <f t="shared" si="6"/>
        <v>0</v>
      </c>
      <c r="AS52" s="55">
        <f t="shared" si="19"/>
        <v>94.318181818181827</v>
      </c>
      <c r="AT52" s="21">
        <f t="shared" si="8"/>
        <v>0</v>
      </c>
      <c r="AU52" s="55">
        <f t="shared" si="20"/>
        <v>52.5</v>
      </c>
      <c r="AV52" s="21">
        <f t="shared" si="10"/>
        <v>1</v>
      </c>
      <c r="AW52" s="20">
        <f t="shared" si="11"/>
        <v>86.333333333333329</v>
      </c>
      <c r="AX52" s="20">
        <f t="shared" si="12"/>
        <v>86.333333333333329</v>
      </c>
      <c r="AY52" s="48">
        <f ca="1">IFERROR(__xludf.DUMMYFUNCTION("SUM( FILTER(C52:AA52, ISNUMBER(SEARCH(""Practice"", $C$1:$AA$1)) ) )  / 
  SUM( FILTER(C$75:AA$75, ISNUMBER(SEARCH(""Practice"", $C$1:$AA$1))))*0.1
+
(SUM( FILTER(C52:T52, ISNUMBER(SEARCH(""AFTER RETAKE"", $C$1:$T$1)) ) )
+
SUM( FILTER(U52:AD52, ISNUMBER("&amp;"SEARCH(""AFTER RETAKE"", $U$1:$AD$1)) ) ))  / 
  SUM( FILTER(C$75:AA$75, ISNUMBER(SEARCH(""BEFORE RETAKE"", $C$1:$AA$1))))*0.6 
+ 
 AM52*0.3"),0.870708333333333)</f>
        <v>0.87070833333333297</v>
      </c>
      <c r="AZ52" s="48">
        <f ca="1">IFERROR(__xludf.DUMMYFUNCTION("SUM( FILTER(C52:AA52, ISNUMBER(SEARCH(""Practice"", $C$1:$AA$1)) ) )  / 
  SUM( FILTER(C$75:AA$75, ISNUMBER(SEARCH(""Practice"", $C$1:$AA$1))))*0.1
+
(SUM( FILTER(C52:T52, ISNUMBER(SEARCH(""Before RETAKE"", $C$1:$T$1)) ) )
+
SUM( FILTER(U52:AD52, ISNUMBER"&amp;"(SEARCH(""Before RETAKE"", $U$1:$AD$1)) ) ))  / 
  SUM( FILTER(C$75:AA$75, ISNUMBER(SEARCH(""BEFORE RETAKE"", $C$1:$AA$1))))*0.6 
+ 
AM52* 0.3"),0.870708333333333)</f>
        <v>0.87070833333333297</v>
      </c>
      <c r="BA52" s="55">
        <f t="shared" si="21"/>
        <v>86.718388200946336</v>
      </c>
      <c r="BB52" s="21">
        <f t="shared" si="14"/>
        <v>1</v>
      </c>
      <c r="BC52" s="55">
        <f t="shared" si="15"/>
        <v>93.269230769230774</v>
      </c>
    </row>
    <row r="53" spans="1:55" ht="12.75" x14ac:dyDescent="0.2">
      <c r="A53" s="26" t="s">
        <v>381</v>
      </c>
      <c r="B53" s="26" t="s">
        <v>464</v>
      </c>
      <c r="C53" s="19" t="s">
        <v>8</v>
      </c>
      <c r="D53" s="20">
        <v>12.5</v>
      </c>
      <c r="E53" s="20">
        <v>2</v>
      </c>
      <c r="F53" s="20">
        <v>6.17</v>
      </c>
      <c r="G53" s="20" t="e">
        <f t="shared" ca="1" si="17"/>
        <v>#NAME?</v>
      </c>
      <c r="H53" s="20">
        <v>65</v>
      </c>
      <c r="I53" s="48">
        <f ca="1">IFERROR(__xludf.DUMMYFUNCTION("Sum(FILTER(C53:H53, $C$1:$H$1=""Unit 1 Practice""))/Sum(FILTER(C$75:H$75, $C$1:$H$1=""Unit 1 Practice""))*0.1 + Sum(FILTER(C53:H53, $C$1:$H$1=""Unit 1 Test (before retake)""))/Sum(FILTER(C$75:H$75, $C$1:$H$1=""Unit 1 Test (before retake)""))*0.6 + 0.3"),0.755822784810126)</f>
        <v>0.75582278481012599</v>
      </c>
      <c r="J53" s="20" t="s">
        <v>462</v>
      </c>
      <c r="K53" s="20">
        <v>65</v>
      </c>
      <c r="L53" s="48">
        <f ca="1">IFERROR(__xludf.DUMMYFUNCTION("SUM( FILTER(C53:K53, ISNUMBER(SEARCH(""Practice"", $C$1:$K$1)) ) )  / 
  SUM( FILTER(C$75:K$75, ISNUMBER(SEARCH(""Practice"", $C$1:$K$1))))*0.1
+
SUM( FILTER(C53:K53, ISNUMBER(SEARCH(""AFTER RETAKE"", $C$1:$K$1)) ) )  / 
  SUM( FILTER(C$75:K$75, ISNUMBER"&amp;"(SEARCH(""AFTER RETAKE"", $C$1:$K$1))))*0.6 + 0.3
"),0.755822784810126)</f>
        <v>0.75582278481012599</v>
      </c>
      <c r="M53" s="20">
        <v>18</v>
      </c>
      <c r="N53" s="20">
        <v>8.6999999999999993</v>
      </c>
      <c r="O53" s="20">
        <v>12</v>
      </c>
      <c r="P53" s="20" t="e">
        <f t="shared" ca="1" si="1"/>
        <v>#NAME?</v>
      </c>
      <c r="Q53" s="20">
        <v>66</v>
      </c>
      <c r="R53" s="48">
        <f ca="1">IFERROR(__xludf.DUMMYFUNCTION("SUM( FILTER(C53:T53, ISNUMBER(SEARCH(""Practice"", $C$1:$T$1)) ) )  / 
  SUM( FILTER(C$75:T$75, ISNUMBER(SEARCH(""Practice"", $C$1:$T$1))))*0.1
+
(SUM( FILTER(C53:K53, ISNUMBER(SEARCH(""AFTER RETAKE"", $C$1:$K$1)) ) )+SUM( FILTER(K53:T53, ISNUMBER(SEARCH"&amp;"(""BEFORE RETAKE"", $K$1:$T$1)) ) ))  / 
  SUM( FILTER(C$75:T$75, ISNUMBER(SEARCH(""BEFORE RETAKE"", $C$1:$T$1))))*0.6 + 0.3"),0.77237106918239)</f>
        <v>0.77237106918238996</v>
      </c>
      <c r="S53" s="20">
        <v>75</v>
      </c>
      <c r="T53" s="20">
        <v>75</v>
      </c>
      <c r="U53" s="48">
        <f ca="1">IFERROR(__xludf.DUMMYFUNCTION("SUM( FILTER(C53:T53, ISNUMBER(SEARCH(""Practice"", $C$1:$T$1)) ) )  / 
  SUM( FILTER(C$75:T$75, ISNUMBER(SEARCH(""Practice"", $C$1:$T$1))))*0.1
+
SUM( FILTER(C53:T53, ISNUMBER(SEARCH(""AFTER RETAKE"", $C$1:$T$1)) ) )  / 
  SUM( FILTER(C$75:T$75, ISNUMBER"&amp;"(SEARCH(""AFTER RETAKE"", $C$1:$T$1))))*0.6 + 0.3
"),0.799371069182389)</f>
        <v>0.79937106918238898</v>
      </c>
      <c r="V53" s="20">
        <v>10</v>
      </c>
      <c r="W53" s="20">
        <v>10</v>
      </c>
      <c r="X53" s="20">
        <v>11</v>
      </c>
      <c r="Y53" s="20">
        <v>8</v>
      </c>
      <c r="Z53" s="20" t="e">
        <f t="shared" ca="1" si="18"/>
        <v>#NAME?</v>
      </c>
      <c r="AA53" s="20">
        <v>68</v>
      </c>
      <c r="AB53" s="48">
        <f ca="1">IFERROR(__xludf.DUMMYFUNCTION("SUM( FILTER(C53:AA53, ISNUMBER(SEARCH(""Practice"", $C$1:$AA$1)) ) )  / 
  SUM( FILTER(C$75:AA$75, ISNUMBER(SEARCH(""Practice"", $C$1:$AA$1))))*0.1
+
(SUM( FILTER(C53:T53, ISNUMBER(SEARCH(""AFTER RETAKE"", $C$1:$T$1)) ) )+SUM( FILTER(T53:AA53, ISNUMBER(S"&amp;"EARCH(""BEFORE RETAKE"", $T$1:$AA$1)) ) ))  / 
  SUM( FILTER(C$75:AA$75, ISNUMBER(SEARCH(""BEFORE RETAKE"", $C$1:$AA$1))))*0.6 + 0.3"),0.798583333333333)</f>
        <v>0.79858333333333298</v>
      </c>
      <c r="AC53" s="20">
        <v>68</v>
      </c>
      <c r="AD53" s="20">
        <v>68</v>
      </c>
      <c r="AE53" s="48">
        <f ca="1">IFERROR(__xludf.DUMMYFUNCTION("SUM( FILTER(C53:AA53, ISNUMBER(SEARCH(""Practice"", $C$1:$AA$1)) ) )  / 
  SUM( FILTER(C$75:AA$75, ISNUMBER(SEARCH(""Practice"", $C$1:$AA$1))))*0.1
+
SUM( FILTER(C53:AD53, ISNUMBER(SEARCH(""AFTER RETAKE"", $C$1:$AD$1)) ) )
  / 
  SUM( FILTER(C$75:AD$75, I"&amp;"SNUMBER(SEARCH(""BEFORE RETAKE"", $C$1:$AD$1))))*0.6 
+ 
0.3"),0.798583333333333)</f>
        <v>0.79858333333333298</v>
      </c>
      <c r="AF53" s="20" t="s">
        <v>811</v>
      </c>
      <c r="AG53" s="20">
        <v>0</v>
      </c>
      <c r="AH53" s="20">
        <v>0</v>
      </c>
      <c r="AI53" s="20">
        <v>0</v>
      </c>
      <c r="AJ53" s="20">
        <v>11</v>
      </c>
      <c r="AK53" s="20">
        <v>92</v>
      </c>
      <c r="AM53" s="21">
        <v>0.62</v>
      </c>
      <c r="AO53" s="55">
        <f t="shared" si="3"/>
        <v>49.214285714285715</v>
      </c>
      <c r="AP53" s="21">
        <f t="shared" si="4"/>
        <v>0</v>
      </c>
      <c r="AQ53" s="55">
        <f t="shared" si="5"/>
        <v>90</v>
      </c>
      <c r="AR53" s="21">
        <f t="shared" si="6"/>
        <v>0</v>
      </c>
      <c r="AS53" s="55">
        <f t="shared" si="19"/>
        <v>88.63636363636364</v>
      </c>
      <c r="AT53" s="21">
        <f t="shared" si="8"/>
        <v>0</v>
      </c>
      <c r="AU53" s="55">
        <f t="shared" si="20"/>
        <v>0</v>
      </c>
      <c r="AV53" s="21">
        <f t="shared" si="10"/>
        <v>3</v>
      </c>
      <c r="AW53" s="20">
        <f t="shared" si="11"/>
        <v>66.333333333333329</v>
      </c>
      <c r="AX53" s="20">
        <f t="shared" si="12"/>
        <v>69.333333333333329</v>
      </c>
      <c r="AY53" s="48">
        <f ca="1">IFERROR(__xludf.DUMMYFUNCTION("SUM( FILTER(C53:AA53, ISNUMBER(SEARCH(""Practice"", $C$1:$AA$1)) ) )  / 
  SUM( FILTER(C$75:AA$75, ISNUMBER(SEARCH(""Practice"", $C$1:$AA$1))))*0.1
+
(SUM( FILTER(C53:T53, ISNUMBER(SEARCH(""AFTER RETAKE"", $C$1:$T$1)) ) )
+
SUM( FILTER(U53:AD53, ISNUMBER("&amp;"SEARCH(""AFTER RETAKE"", $U$1:$AD$1)) ) ))  / 
  SUM( FILTER(C$75:AA$75, ISNUMBER(SEARCH(""BEFORE RETAKE"", $C$1:$AA$1))))*0.6 
+ 
 AM53*0.3"),0.684583333333333)</f>
        <v>0.68458333333333299</v>
      </c>
      <c r="AZ53" s="48">
        <f ca="1">IFERROR(__xludf.DUMMYFUNCTION("SUM( FILTER(C53:AA53, ISNUMBER(SEARCH(""Practice"", $C$1:$AA$1)) ) )  / 
  SUM( FILTER(C$75:AA$75, ISNUMBER(SEARCH(""Practice"", $C$1:$AA$1))))*0.1
+
(SUM( FILTER(C53:T53, ISNUMBER(SEARCH(""Before RETAKE"", $C$1:$T$1)) ) )
+
SUM( FILTER(U53:AD53, ISNUMBER"&amp;"(SEARCH(""Before RETAKE"", $U$1:$AD$1)) ) ))  / 
  SUM( FILTER(C$75:AA$75, ISNUMBER(SEARCH(""BEFORE RETAKE"", $C$1:$AA$1))))*0.6 
+ 
AM53* 0.3"),0.666583333333333)</f>
        <v>0.66658333333333297</v>
      </c>
      <c r="BA53" s="55">
        <f t="shared" si="21"/>
        <v>56.962662337662337</v>
      </c>
      <c r="BB53" s="21">
        <f t="shared" si="14"/>
        <v>3</v>
      </c>
      <c r="BC53" s="55">
        <f t="shared" si="15"/>
        <v>71.480769230769241</v>
      </c>
    </row>
    <row r="54" spans="1:55" ht="12.75" x14ac:dyDescent="0.2">
      <c r="A54" s="26" t="s">
        <v>383</v>
      </c>
      <c r="B54" s="26" t="s">
        <v>464</v>
      </c>
      <c r="C54" s="19" t="s">
        <v>8</v>
      </c>
      <c r="D54" s="20">
        <v>4</v>
      </c>
      <c r="E54" s="20">
        <v>4</v>
      </c>
      <c r="F54" s="20">
        <v>0.17</v>
      </c>
      <c r="G54" s="20" t="e">
        <f t="shared" ca="1" si="17"/>
        <v>#NAME?</v>
      </c>
      <c r="H54" s="20">
        <v>75</v>
      </c>
      <c r="I54" s="48">
        <f ca="1">IFERROR(__xludf.DUMMYFUNCTION("Sum(FILTER(C54:H54, $C$1:$H$1=""Unit 1 Practice""))/Sum(FILTER(C$75:H$75, $C$1:$H$1=""Unit 1 Practice""))*0.1 + Sum(FILTER(C54:H54, $C$1:$H$1=""Unit 1 Test (before retake)""))/Sum(FILTER(C$75:H$75, $C$1:$H$1=""Unit 1 Test (before retake)""))*0.6 + 0.3"),0.760126582278481)</f>
        <v>0.76012658227848096</v>
      </c>
      <c r="J54" s="20" t="s">
        <v>462</v>
      </c>
      <c r="K54" s="20">
        <v>75</v>
      </c>
      <c r="L54" s="48">
        <f ca="1">IFERROR(__xludf.DUMMYFUNCTION("SUM( FILTER(C54:K54, ISNUMBER(SEARCH(""Practice"", $C$1:$K$1)) ) )  / 
  SUM( FILTER(C$75:K$75, ISNUMBER(SEARCH(""Practice"", $C$1:$K$1))))*0.1
+
SUM( FILTER(C54:K54, ISNUMBER(SEARCH(""AFTER RETAKE"", $C$1:$K$1)) ) )  / 
  SUM( FILTER(C$75:K$75, ISNUMBER"&amp;"(SEARCH(""AFTER RETAKE"", $C$1:$K$1))))*0.6 + 0.3
"),0.760126582278481)</f>
        <v>0.76012658227848096</v>
      </c>
      <c r="M54" s="20">
        <v>16</v>
      </c>
      <c r="N54" s="20">
        <v>11</v>
      </c>
      <c r="O54" s="20">
        <v>12</v>
      </c>
      <c r="P54" s="20" t="e">
        <f t="shared" ca="1" si="1"/>
        <v>#NAME?</v>
      </c>
      <c r="Q54" s="20">
        <v>30</v>
      </c>
      <c r="R54" s="48">
        <f ca="1">IFERROR(__xludf.DUMMYFUNCTION("SUM( FILTER(C54:T54, ISNUMBER(SEARCH(""Practice"", $C$1:$T$1)) ) )  / 
  SUM( FILTER(C$75:T$75, ISNUMBER(SEARCH(""Practice"", $C$1:$T$1))))*0.1
+
(SUM( FILTER(C54:K54, ISNUMBER(SEARCH(""AFTER RETAKE"", $C$1:$K$1)) ) )+SUM( FILTER(K54:T54, ISNUMBER(SEARCH"&amp;"(""BEFORE RETAKE"", $K$1:$T$1)) ) ))  / 
  SUM( FILTER(C$75:T$75, ISNUMBER(SEARCH(""BEFORE RETAKE"", $C$1:$T$1))))*0.6 + 0.3"),0.66688679245283)</f>
        <v>0.66688679245283</v>
      </c>
      <c r="S54" s="20" t="s">
        <v>462</v>
      </c>
      <c r="T54" s="20">
        <v>30</v>
      </c>
      <c r="U54" s="48">
        <f ca="1">IFERROR(__xludf.DUMMYFUNCTION("SUM( FILTER(C54:T54, ISNUMBER(SEARCH(""Practice"", $C$1:$T$1)) ) )  / 
  SUM( FILTER(C$75:T$75, ISNUMBER(SEARCH(""Practice"", $C$1:$T$1))))*0.1
+
SUM( FILTER(C54:T54, ISNUMBER(SEARCH(""AFTER RETAKE"", $C$1:$T$1)) ) )  / 
  SUM( FILTER(C$75:T$75, ISNUMBER"&amp;"(SEARCH(""AFTER RETAKE"", $C$1:$T$1))))*0.6 + 0.3
"),0.66688679245283)</f>
        <v>0.66688679245283</v>
      </c>
      <c r="V54" s="20">
        <v>10</v>
      </c>
      <c r="W54" s="20">
        <v>0</v>
      </c>
      <c r="X54" s="20">
        <v>0</v>
      </c>
      <c r="Y54" s="20">
        <v>0</v>
      </c>
      <c r="Z54" s="20" t="e">
        <f t="shared" ca="1" si="18"/>
        <v>#NAME?</v>
      </c>
      <c r="AA54" s="20">
        <v>0</v>
      </c>
      <c r="AB54" s="48">
        <f ca="1">IFERROR(__xludf.DUMMYFUNCTION("SUM( FILTER(C54:AA54, ISNUMBER(SEARCH(""Practice"", $C$1:$AA$1)) ) )  / 
  SUM( FILTER(C$75:AA$75, ISNUMBER(SEARCH(""Practice"", $C$1:$AA$1))))*0.1
+
(SUM( FILTER(C54:T54, ISNUMBER(SEARCH(""AFTER RETAKE"", $C$1:$T$1)) ) )+SUM( FILTER(T54:AA54, ISNUMBER(S"&amp;"EARCH(""BEFORE RETAKE"", $T$1:$AA$1)) ) ))  / 
  SUM( FILTER(C$75:AA$75, ISNUMBER(SEARCH(""BEFORE RETAKE"", $C$1:$AA$1))))*0.6 + 0.3"),0.548541666666666)</f>
        <v>0.54854166666666604</v>
      </c>
      <c r="AC54" s="20" t="s">
        <v>462</v>
      </c>
      <c r="AD54" s="20">
        <v>0</v>
      </c>
      <c r="AE54" s="48">
        <f ca="1">IFERROR(__xludf.DUMMYFUNCTION("SUM( FILTER(C54:AA54, ISNUMBER(SEARCH(""Practice"", $C$1:$AA$1)) ) )  / 
  SUM( FILTER(C$75:AA$75, ISNUMBER(SEARCH(""Practice"", $C$1:$AA$1))))*0.1
+
SUM( FILTER(C54:AD54, ISNUMBER(SEARCH(""AFTER RETAKE"", $C$1:$AD$1)) ) )
  / 
  SUM( FILTER(C$75:AD$75, I"&amp;"SNUMBER(SEARCH(""BEFORE RETAKE"", $C$1:$AD$1))))*0.6 
+ 
0.3"),0.548541666666666)</f>
        <v>0.54854166666666604</v>
      </c>
      <c r="AF54" s="20" t="s">
        <v>811</v>
      </c>
      <c r="AG54" s="20">
        <v>0</v>
      </c>
      <c r="AH54" s="20">
        <v>0</v>
      </c>
      <c r="AI54" s="20">
        <v>0</v>
      </c>
      <c r="AJ54" s="20">
        <v>0</v>
      </c>
      <c r="AK54" s="20">
        <v>0</v>
      </c>
      <c r="AM54" s="21">
        <v>0</v>
      </c>
      <c r="AO54" s="55">
        <f t="shared" si="3"/>
        <v>19.452380952380953</v>
      </c>
      <c r="AP54" s="21">
        <f t="shared" si="4"/>
        <v>0</v>
      </c>
      <c r="AQ54" s="55">
        <f t="shared" si="5"/>
        <v>90.697674418604649</v>
      </c>
      <c r="AR54" s="21">
        <f t="shared" si="6"/>
        <v>0</v>
      </c>
      <c r="AS54" s="55">
        <f t="shared" si="19"/>
        <v>22.727272727272727</v>
      </c>
      <c r="AT54" s="21">
        <f t="shared" si="8"/>
        <v>3</v>
      </c>
      <c r="AU54" s="55">
        <f t="shared" si="20"/>
        <v>0</v>
      </c>
      <c r="AV54" s="21">
        <f t="shared" si="10"/>
        <v>3</v>
      </c>
      <c r="AW54" s="20">
        <f t="shared" si="11"/>
        <v>35</v>
      </c>
      <c r="AX54" s="20">
        <f t="shared" si="12"/>
        <v>35</v>
      </c>
      <c r="AY54" s="48">
        <f ca="1">IFERROR(__xludf.DUMMYFUNCTION("SUM( FILTER(C54:AA54, ISNUMBER(SEARCH(""Practice"", $C$1:$AA$1)) ) )  / 
  SUM( FILTER(C$75:AA$75, ISNUMBER(SEARCH(""Practice"", $C$1:$AA$1))))*0.1
+
(SUM( FILTER(C54:T54, ISNUMBER(SEARCH(""AFTER RETAKE"", $C$1:$T$1)) ) )
+
SUM( FILTER(U54:AD54, ISNUMBER("&amp;"SEARCH(""AFTER RETAKE"", $U$1:$AD$1)) ) ))  / 
  SUM( FILTER(C$75:AA$75, ISNUMBER(SEARCH(""BEFORE RETAKE"", $C$1:$AA$1))))*0.6 
+ 
 AM54*0.3"),0.248541666666666)</f>
        <v>0.24854166666666599</v>
      </c>
      <c r="AZ54" s="48">
        <f ca="1">IFERROR(__xludf.DUMMYFUNCTION("SUM( FILTER(C54:AA54, ISNUMBER(SEARCH(""Practice"", $C$1:$AA$1)) ) )  / 
  SUM( FILTER(C$75:AA$75, ISNUMBER(SEARCH(""Practice"", $C$1:$AA$1))))*0.1
+
(SUM( FILTER(C54:T54, ISNUMBER(SEARCH(""Before RETAKE"", $C$1:$T$1)) ) )
+
SUM( FILTER(U54:AD54, ISNUMBER"&amp;"(SEARCH(""Before RETAKE"", $U$1:$AD$1)) ) ))  / 
  SUM( FILTER(C$75:AA$75, ISNUMBER(SEARCH(""BEFORE RETAKE"", $C$1:$AA$1))))*0.6 
+ 
AM54* 0.3"),0.248541666666666)</f>
        <v>0.24854166666666599</v>
      </c>
      <c r="BA54" s="55">
        <f t="shared" si="21"/>
        <v>33.219332024564579</v>
      </c>
      <c r="BB54" s="21">
        <f t="shared" si="14"/>
        <v>6</v>
      </c>
      <c r="BC54" s="55">
        <f t="shared" si="15"/>
        <v>23.403846153846153</v>
      </c>
    </row>
    <row r="55" spans="1:55" ht="12.75" x14ac:dyDescent="0.2">
      <c r="A55" s="26" t="s">
        <v>385</v>
      </c>
      <c r="B55" s="26" t="s">
        <v>464</v>
      </c>
      <c r="C55" s="19" t="s">
        <v>8</v>
      </c>
      <c r="D55" s="20">
        <v>14.5</v>
      </c>
      <c r="E55" s="20">
        <v>14.5</v>
      </c>
      <c r="F55" s="20">
        <v>9.67</v>
      </c>
      <c r="G55" s="20" t="e">
        <f t="shared" ca="1" si="17"/>
        <v>#NAME?</v>
      </c>
      <c r="H55" s="20">
        <v>82</v>
      </c>
      <c r="I55" s="48">
        <f ca="1">IFERROR(__xludf.DUMMYFUNCTION("Sum(FILTER(C55:H55, $C$1:$H$1=""Unit 1 Practice""))/Sum(FILTER(C$75:H$75, $C$1:$H$1=""Unit 1 Practice""))*0.1 + Sum(FILTER(C55:H55, $C$1:$H$1=""Unit 1 Test (before retake)""))/Sum(FILTER(C$75:H$75, $C$1:$H$1=""Unit 1 Test (before retake)""))*0.6 + 0.3"),0.884405063291139)</f>
        <v>0.88440506329113899</v>
      </c>
      <c r="J55" s="20" t="s">
        <v>462</v>
      </c>
      <c r="K55" s="20">
        <v>82</v>
      </c>
      <c r="L55" s="48">
        <f ca="1">IFERROR(__xludf.DUMMYFUNCTION("SUM( FILTER(C55:K55, ISNUMBER(SEARCH(""Practice"", $C$1:$K$1)) ) )  / 
  SUM( FILTER(C$75:K$75, ISNUMBER(SEARCH(""Practice"", $C$1:$K$1))))*0.1
+
SUM( FILTER(C55:K55, ISNUMBER(SEARCH(""AFTER RETAKE"", $C$1:$K$1)) ) )  / 
  SUM( FILTER(C$75:K$75, ISNUMBER"&amp;"(SEARCH(""AFTER RETAKE"", $C$1:$K$1))))*0.6 + 0.3
"),0.884405063291139)</f>
        <v>0.88440506329113899</v>
      </c>
      <c r="M55" s="20">
        <v>18</v>
      </c>
      <c r="N55" s="20">
        <v>10.4</v>
      </c>
      <c r="O55" s="20">
        <v>12</v>
      </c>
      <c r="P55" s="20" t="e">
        <f t="shared" ca="1" si="1"/>
        <v>#NAME?</v>
      </c>
      <c r="Q55" s="20">
        <v>68</v>
      </c>
      <c r="R55" s="48">
        <f ca="1">IFERROR(__xludf.DUMMYFUNCTION("SUM( FILTER(C55:T55, ISNUMBER(SEARCH(""Practice"", $C$1:$T$1)) ) )  / 
  SUM( FILTER(C$75:T$75, ISNUMBER(SEARCH(""Practice"", $C$1:$T$1))))*0.1
+
(SUM( FILTER(C55:K55, ISNUMBER(SEARCH(""AFTER RETAKE"", $C$1:$K$1)) ) )+SUM( FILTER(K55:T55, ISNUMBER(SEARCH"&amp;"(""BEFORE RETAKE"", $K$1:$T$1)) ) ))  / 
  SUM( FILTER(C$75:T$75, ISNUMBER(SEARCH(""BEFORE RETAKE"", $C$1:$T$1))))*0.6 + 0.3"),0.843647798742138)</f>
        <v>0.84364779874213802</v>
      </c>
      <c r="S55" s="20">
        <v>82</v>
      </c>
      <c r="T55" s="20">
        <v>82</v>
      </c>
      <c r="U55" s="48">
        <f ca="1">IFERROR(__xludf.DUMMYFUNCTION("SUM( FILTER(C55:T55, ISNUMBER(SEARCH(""Practice"", $C$1:$T$1)) ) )  / 
  SUM( FILTER(C$75:T$75, ISNUMBER(SEARCH(""Practice"", $C$1:$T$1))))*0.1
+
SUM( FILTER(C55:T55, ISNUMBER(SEARCH(""AFTER RETAKE"", $C$1:$T$1)) ) )  / 
  SUM( FILTER(C$75:T$75, ISNUMBER"&amp;"(SEARCH(""AFTER RETAKE"", $C$1:$T$1))))*0.6 + 0.3
"),0.885647798742138)</f>
        <v>0.88564779874213795</v>
      </c>
      <c r="V55" s="20">
        <v>10</v>
      </c>
      <c r="W55" s="20">
        <v>10</v>
      </c>
      <c r="X55" s="20">
        <v>11</v>
      </c>
      <c r="Y55" s="20">
        <v>11</v>
      </c>
      <c r="Z55" s="20" t="e">
        <f t="shared" ca="1" si="18"/>
        <v>#NAME?</v>
      </c>
      <c r="AA55" s="20">
        <v>68</v>
      </c>
      <c r="AB55" s="48">
        <f ca="1">IFERROR(__xludf.DUMMYFUNCTION("SUM( FILTER(C55:AA55, ISNUMBER(SEARCH(""Practice"", $C$1:$AA$1)) ) )  / 
  SUM( FILTER(C$75:AA$75, ISNUMBER(SEARCH(""Practice"", $C$1:$AA$1))))*0.1
+
(SUM( FILTER(C55:T55, ISNUMBER(SEARCH(""AFTER RETAKE"", $C$1:$T$1)) ) )+SUM( FILTER(T55:AA55, ISNUMBER(S"&amp;"EARCH(""BEFORE RETAKE"", $T$1:$AA$1)) ) ))  / 
  SUM( FILTER(C$75:AA$75, ISNUMBER(SEARCH(""BEFORE RETAKE"", $C$1:$AA$1))))*0.6 + 0.3"),0.858125)</f>
        <v>0.85812500000000003</v>
      </c>
      <c r="AC55" s="20">
        <v>75</v>
      </c>
      <c r="AD55" s="20">
        <v>68</v>
      </c>
      <c r="AE55" s="48">
        <f ca="1">IFERROR(__xludf.DUMMYFUNCTION("SUM( FILTER(C55:AA55, ISNUMBER(SEARCH(""Practice"", $C$1:$AA$1)) ) )  / 
  SUM( FILTER(C$75:AA$75, ISNUMBER(SEARCH(""Practice"", $C$1:$AA$1))))*0.1
+
SUM( FILTER(C55:AD55, ISNUMBER(SEARCH(""AFTER RETAKE"", $C$1:$AD$1)) ) )
  / 
  SUM( FILTER(C$75:AD$75, I"&amp;"SNUMBER(SEARCH(""BEFORE RETAKE"", $C$1:$AD$1))))*0.6 
+ 
0.3"),0.858125)</f>
        <v>0.85812500000000003</v>
      </c>
      <c r="AF55" s="20" t="s">
        <v>811</v>
      </c>
      <c r="AG55" s="20">
        <v>21.8</v>
      </c>
      <c r="AH55" s="20">
        <v>8</v>
      </c>
      <c r="AI55" s="20">
        <v>24.7</v>
      </c>
      <c r="AJ55" s="20">
        <v>12.56</v>
      </c>
      <c r="AK55" s="20">
        <v>100</v>
      </c>
      <c r="AM55" s="21">
        <v>0.62</v>
      </c>
      <c r="AO55" s="55">
        <f t="shared" si="3"/>
        <v>92.071428571428569</v>
      </c>
      <c r="AP55" s="21">
        <f t="shared" si="4"/>
        <v>0</v>
      </c>
      <c r="AQ55" s="55">
        <f t="shared" si="5"/>
        <v>93.95348837209302</v>
      </c>
      <c r="AR55" s="21">
        <f t="shared" si="6"/>
        <v>0</v>
      </c>
      <c r="AS55" s="55">
        <f t="shared" si="19"/>
        <v>95.454545454545453</v>
      </c>
      <c r="AT55" s="21">
        <f t="shared" si="8"/>
        <v>0</v>
      </c>
      <c r="AU55" s="55">
        <f t="shared" si="20"/>
        <v>90.833333333333343</v>
      </c>
      <c r="AV55" s="21">
        <f t="shared" si="10"/>
        <v>0</v>
      </c>
      <c r="AW55" s="20">
        <f t="shared" si="11"/>
        <v>72.666666666666671</v>
      </c>
      <c r="AX55" s="20">
        <f t="shared" si="12"/>
        <v>77.333333333333329</v>
      </c>
      <c r="AY55" s="48">
        <f ca="1">IFERROR(__xludf.DUMMYFUNCTION("SUM( FILTER(C55:AA55, ISNUMBER(SEARCH(""Practice"", $C$1:$AA$1)) ) )  / 
  SUM( FILTER(C$75:AA$75, ISNUMBER(SEARCH(""Practice"", $C$1:$AA$1))))*0.1
+
(SUM( FILTER(C55:T55, ISNUMBER(SEARCH(""AFTER RETAKE"", $C$1:$T$1)) ) )
+
SUM( FILTER(U55:AD55, ISNUMBER("&amp;"SEARCH(""AFTER RETAKE"", $U$1:$AD$1)) ) ))  / 
  SUM( FILTER(C$75:AA$75, ISNUMBER(SEARCH(""BEFORE RETAKE"", $C$1:$AA$1))))*0.6 
+ 
 AM55*0.3"),0.744124999999999)</f>
        <v>0.74412499999999904</v>
      </c>
      <c r="AZ55" s="48">
        <f ca="1">IFERROR(__xludf.DUMMYFUNCTION("SUM( FILTER(C55:AA55, ISNUMBER(SEARCH(""Practice"", $C$1:$AA$1)) ) )  / 
  SUM( FILTER(C$75:AA$75, ISNUMBER(SEARCH(""Practice"", $C$1:$AA$1))))*0.1
+
(SUM( FILTER(C55:T55, ISNUMBER(SEARCH(""Before RETAKE"", $C$1:$T$1)) ) )
+
SUM( FILTER(U55:AD55, ISNUMBER"&amp;"(SEARCH(""Before RETAKE"", $U$1:$AD$1)) ) ))  / 
  SUM( FILTER(C$75:AA$75, ISNUMBER(SEARCH(""BEFORE RETAKE"", $C$1:$AA$1))))*0.6 
+ 
AM55* 0.3"),0.716124999999999)</f>
        <v>0.71612499999999901</v>
      </c>
      <c r="BA55" s="55">
        <f t="shared" si="21"/>
        <v>93.078198932850086</v>
      </c>
      <c r="BB55" s="21">
        <f t="shared" si="14"/>
        <v>0</v>
      </c>
      <c r="BC55" s="55">
        <f t="shared" si="15"/>
        <v>86.980769230769241</v>
      </c>
    </row>
    <row r="56" spans="1:55" ht="12.75" x14ac:dyDescent="0.2">
      <c r="A56" s="26" t="s">
        <v>387</v>
      </c>
      <c r="B56" s="26" t="s">
        <v>464</v>
      </c>
      <c r="C56" s="19" t="s">
        <v>9</v>
      </c>
      <c r="D56" s="20">
        <v>10</v>
      </c>
      <c r="E56" s="20">
        <v>10</v>
      </c>
      <c r="F56" s="20">
        <v>1.17</v>
      </c>
      <c r="G56" s="20" t="e">
        <f t="shared" ca="1" si="17"/>
        <v>#NAME?</v>
      </c>
      <c r="H56" s="20">
        <v>65</v>
      </c>
      <c r="I56" s="48">
        <f ca="1">IFERROR(__xludf.DUMMYFUNCTION("Sum(FILTER(C56:H56, $C$1:$H$1=""Unit 1 Practice""))/Sum(FILTER(C$75:H$75, $C$1:$H$1=""Unit 1 Practice""))*0.1 + Sum(FILTER(C56:H56, $C$1:$H$1=""Unit 1 Test (before retake)""))/Sum(FILTER(C$75:H$75, $C$1:$H$1=""Unit 1 Test (before retake)""))*0.6 + 0.3"),0.734303797468354)</f>
        <v>0.73430379746835395</v>
      </c>
      <c r="J56" s="20" t="s">
        <v>462</v>
      </c>
      <c r="K56" s="20">
        <v>65</v>
      </c>
      <c r="L56" s="48">
        <f ca="1">IFERROR(__xludf.DUMMYFUNCTION("SUM( FILTER(C56:K56, ISNUMBER(SEARCH(""Practice"", $C$1:$K$1)) ) )  / 
  SUM( FILTER(C$75:K$75, ISNUMBER(SEARCH(""Practice"", $C$1:$K$1))))*0.1
+
SUM( FILTER(C56:K56, ISNUMBER(SEARCH(""AFTER RETAKE"", $C$1:$K$1)) ) )  / 
  SUM( FILTER(C$75:K$75, ISNUMBER"&amp;"(SEARCH(""AFTER RETAKE"", $C$1:$K$1))))*0.6 + 0.3
"),0.734303797468354)</f>
        <v>0.73430379746835395</v>
      </c>
      <c r="M56" s="20">
        <v>18</v>
      </c>
      <c r="N56" s="20">
        <v>9</v>
      </c>
      <c r="O56" s="20">
        <v>12</v>
      </c>
      <c r="P56" s="20" t="e">
        <f t="shared" ca="1" si="1"/>
        <v>#NAME?</v>
      </c>
      <c r="Q56" s="20">
        <v>30</v>
      </c>
      <c r="R56" s="48">
        <f ca="1">IFERROR(__xludf.DUMMYFUNCTION("SUM( FILTER(C56:T56, ISNUMBER(SEARCH(""Practice"", $C$1:$T$1)) ) )  / 
  SUM( FILTER(C$75:T$75, ISNUMBER(SEARCH(""Practice"", $C$1:$T$1))))*0.1
+
(SUM( FILTER(C56:K56, ISNUMBER(SEARCH(""AFTER RETAKE"", $C$1:$K$1)) ) )+SUM( FILTER(K56:T56, ISNUMBER(SEARCH"&amp;"(""BEFORE RETAKE"", $K$1:$T$1)) ) ))  / 
  SUM( FILTER(C$75:T$75, ISNUMBER(SEARCH(""BEFORE RETAKE"", $C$1:$T$1))))*0.6 + 0.3"),0.653867924528301)</f>
        <v>0.653867924528301</v>
      </c>
      <c r="S56" s="20" t="s">
        <v>462</v>
      </c>
      <c r="T56" s="20">
        <v>30</v>
      </c>
      <c r="U56" s="48">
        <f ca="1">IFERROR(__xludf.DUMMYFUNCTION("SUM( FILTER(C56:T56, ISNUMBER(SEARCH(""Practice"", $C$1:$T$1)) ) )  / 
  SUM( FILTER(C$75:T$75, ISNUMBER(SEARCH(""Practice"", $C$1:$T$1))))*0.1
+
SUM( FILTER(C56:T56, ISNUMBER(SEARCH(""AFTER RETAKE"", $C$1:$T$1)) ) )  / 
  SUM( FILTER(C$75:T$75, ISNUMBER"&amp;"(SEARCH(""AFTER RETAKE"", $C$1:$T$1))))*0.6 + 0.3
"),0.653867924528301)</f>
        <v>0.653867924528301</v>
      </c>
      <c r="V56" s="20">
        <v>10</v>
      </c>
      <c r="W56" s="20">
        <v>7</v>
      </c>
      <c r="X56" s="20">
        <v>10.5</v>
      </c>
      <c r="Y56" s="20">
        <v>7</v>
      </c>
      <c r="Z56" s="20" t="e">
        <f t="shared" ca="1" si="18"/>
        <v>#NAME?</v>
      </c>
      <c r="AA56" s="20">
        <v>65</v>
      </c>
      <c r="AB56" s="48">
        <f ca="1">IFERROR(__xludf.DUMMYFUNCTION("SUM( FILTER(C56:AA56, ISNUMBER(SEARCH(""Practice"", $C$1:$AA$1)) ) )  / 
  SUM( FILTER(C$75:AA$75, ISNUMBER(SEARCH(""Practice"", $C$1:$AA$1))))*0.1
+
(SUM( FILTER(C56:T56, ISNUMBER(SEARCH(""AFTER RETAKE"", $C$1:$T$1)) ) )+SUM( FILTER(T56:AA56, ISNUMBER(S"&amp;"EARCH(""BEFORE RETAKE"", $T$1:$AA$1)) ) ))  / 
  SUM( FILTER(C$75:AA$75, ISNUMBER(SEARCH(""BEFORE RETAKE"", $C$1:$AA$1))))*0.6 + 0.3"),0.693333333333333)</f>
        <v>0.69333333333333302</v>
      </c>
      <c r="AC56" s="20" t="s">
        <v>462</v>
      </c>
      <c r="AD56" s="20">
        <v>65</v>
      </c>
      <c r="AE56" s="48">
        <f ca="1">IFERROR(__xludf.DUMMYFUNCTION("SUM( FILTER(C56:AA56, ISNUMBER(SEARCH(""Practice"", $C$1:$AA$1)) ) )  / 
  SUM( FILTER(C$75:AA$75, ISNUMBER(SEARCH(""Practice"", $C$1:$AA$1))))*0.1
+
SUM( FILTER(C56:AD56, ISNUMBER(SEARCH(""AFTER RETAKE"", $C$1:$AD$1)) ) )
  / 
  SUM( FILTER(C$75:AD$75, I"&amp;"SNUMBER(SEARCH(""BEFORE RETAKE"", $C$1:$AD$1))))*0.6 
+ 
0.3"),0.693333333333333)</f>
        <v>0.69333333333333302</v>
      </c>
      <c r="AF56" s="20" t="s">
        <v>811</v>
      </c>
      <c r="AG56" s="20">
        <v>21</v>
      </c>
      <c r="AH56" s="20">
        <v>5.5</v>
      </c>
      <c r="AI56" s="20">
        <v>23</v>
      </c>
      <c r="AJ56" s="20">
        <v>8</v>
      </c>
      <c r="AK56" s="20">
        <v>82</v>
      </c>
      <c r="AM56" s="21">
        <v>0.65</v>
      </c>
      <c r="AO56" s="55">
        <f t="shared" si="3"/>
        <v>50.404761904761905</v>
      </c>
      <c r="AP56" s="21">
        <f t="shared" si="4"/>
        <v>0</v>
      </c>
      <c r="AQ56" s="55">
        <f t="shared" si="5"/>
        <v>90.697674418604649</v>
      </c>
      <c r="AR56" s="21">
        <f t="shared" si="6"/>
        <v>0</v>
      </c>
      <c r="AS56" s="55">
        <f t="shared" si="19"/>
        <v>78.409090909090907</v>
      </c>
      <c r="AT56" s="21">
        <f t="shared" si="8"/>
        <v>0</v>
      </c>
      <c r="AU56" s="55">
        <f t="shared" si="20"/>
        <v>82.5</v>
      </c>
      <c r="AV56" s="21">
        <f t="shared" si="10"/>
        <v>0</v>
      </c>
      <c r="AW56" s="20">
        <f t="shared" si="11"/>
        <v>53.333333333333336</v>
      </c>
      <c r="AX56" s="20">
        <f t="shared" si="12"/>
        <v>53.333333333333336</v>
      </c>
      <c r="AY56" s="48">
        <f ca="1">IFERROR(__xludf.DUMMYFUNCTION("SUM( FILTER(C56:AA56, ISNUMBER(SEARCH(""Practice"", $C$1:$AA$1)) ) )  / 
  SUM( FILTER(C$75:AA$75, ISNUMBER(SEARCH(""Practice"", $C$1:$AA$1))))*0.1
+
(SUM( FILTER(C56:T56, ISNUMBER(SEARCH(""AFTER RETAKE"", $C$1:$T$1)) ) )
+
SUM( FILTER(U56:AD56, ISNUMBER("&amp;"SEARCH(""AFTER RETAKE"", $U$1:$AD$1)) ) ))  / 
  SUM( FILTER(C$75:AA$75, ISNUMBER(SEARCH(""BEFORE RETAKE"", $C$1:$AA$1))))*0.6 
+ 
 AM56*0.3"),0.588333333333333)</f>
        <v>0.58833333333333304</v>
      </c>
      <c r="AZ56" s="48">
        <f ca="1">IFERROR(__xludf.DUMMYFUNCTION("SUM( FILTER(C56:AA56, ISNUMBER(SEARCH(""Practice"", $C$1:$AA$1)) ) )  / 
  SUM( FILTER(C$75:AA$75, ISNUMBER(SEARCH(""Practice"", $C$1:$AA$1))))*0.1
+
(SUM( FILTER(C56:T56, ISNUMBER(SEARCH(""Before RETAKE"", $C$1:$T$1)) ) )
+
SUM( FILTER(U56:AD56, ISNUMBER"&amp;"(SEARCH(""Before RETAKE"", $U$1:$AD$1)) ) ))  / 
  SUM( FILTER(C$75:AA$75, ISNUMBER(SEARCH(""BEFORE RETAKE"", $C$1:$AA$1))))*0.6 
+ 
AM56* 0.3"),0.588333333333333)</f>
        <v>0.58833333333333304</v>
      </c>
      <c r="BA56" s="55">
        <f t="shared" si="21"/>
        <v>75.502881808114367</v>
      </c>
      <c r="BB56" s="21">
        <f t="shared" si="14"/>
        <v>0</v>
      </c>
      <c r="BC56" s="55">
        <f t="shared" si="15"/>
        <v>54.173076923076927</v>
      </c>
    </row>
    <row r="57" spans="1:55" ht="12.75" x14ac:dyDescent="0.2">
      <c r="A57" s="26" t="s">
        <v>389</v>
      </c>
      <c r="B57" s="26" t="s">
        <v>464</v>
      </c>
      <c r="C57" s="19" t="s">
        <v>8</v>
      </c>
      <c r="D57" s="20">
        <v>15</v>
      </c>
      <c r="E57" s="20">
        <v>15</v>
      </c>
      <c r="F57" s="20">
        <v>10</v>
      </c>
      <c r="G57" s="20" t="e">
        <f t="shared" ca="1" si="17"/>
        <v>#NAME?</v>
      </c>
      <c r="H57" s="20">
        <v>92</v>
      </c>
      <c r="I57" s="48">
        <f ca="1">IFERROR(__xludf.DUMMYFUNCTION("Sum(FILTER(C57:H57, $C$1:$H$1=""Unit 1 Practice""))/Sum(FILTER(C$75:H$75, $C$1:$H$1=""Unit 1 Practice""))*0.1 + Sum(FILTER(C57:H57, $C$1:$H$1=""Unit 1 Test (before retake)""))/Sum(FILTER(C$75:H$75, $C$1:$H$1=""Unit 1 Test (before retake)""))*0.6 + 0.3"),0.945670886075949)</f>
        <v>0.94567088607594896</v>
      </c>
      <c r="J57" s="20" t="s">
        <v>462</v>
      </c>
      <c r="K57" s="20">
        <v>92</v>
      </c>
      <c r="L57" s="48">
        <f ca="1">IFERROR(__xludf.DUMMYFUNCTION("SUM( FILTER(C57:K57, ISNUMBER(SEARCH(""Practice"", $C$1:$K$1)) ) )  / 
  SUM( FILTER(C$75:K$75, ISNUMBER(SEARCH(""Practice"", $C$1:$K$1))))*0.1
+
SUM( FILTER(C57:K57, ISNUMBER(SEARCH(""AFTER RETAKE"", $C$1:$K$1)) ) )  / 
  SUM( FILTER(C$75:K$75, ISNUMBER"&amp;"(SEARCH(""AFTER RETAKE"", $C$1:$K$1))))*0.6 + 0.3
"),0.945670886075949)</f>
        <v>0.94567088607594896</v>
      </c>
      <c r="M57" s="20">
        <v>18</v>
      </c>
      <c r="N57" s="20">
        <v>11</v>
      </c>
      <c r="O57" s="20">
        <v>12</v>
      </c>
      <c r="P57" s="20" t="e">
        <f t="shared" ca="1" si="1"/>
        <v>#NAME?</v>
      </c>
      <c r="Q57" s="20">
        <v>85</v>
      </c>
      <c r="R57" s="48">
        <f ca="1">IFERROR(__xludf.DUMMYFUNCTION("SUM( FILTER(C57:T57, ISNUMBER(SEARCH(""Practice"", $C$1:$T$1)) ) )  / 
  SUM( FILTER(C$75:T$75, ISNUMBER(SEARCH(""Practice"", $C$1:$T$1))))*0.1
+
(SUM( FILTER(C57:K57, ISNUMBER(SEARCH(""AFTER RETAKE"", $C$1:$K$1)) ) )+SUM( FILTER(K57:T57, ISNUMBER(SEARCH"&amp;"(""BEFORE RETAKE"", $K$1:$T$1)) ) ))  / 
  SUM( FILTER(C$75:T$75, ISNUMBER(SEARCH(""BEFORE RETAKE"", $C$1:$T$1))))*0.6 + 0.3"),0.925654088050314)</f>
        <v>0.92565408805031402</v>
      </c>
      <c r="S57" s="20" t="s">
        <v>462</v>
      </c>
      <c r="T57" s="20">
        <v>85</v>
      </c>
      <c r="U57" s="48">
        <f ca="1">IFERROR(__xludf.DUMMYFUNCTION("SUM( FILTER(C57:T57, ISNUMBER(SEARCH(""Practice"", $C$1:$T$1)) ) )  / 
  SUM( FILTER(C$75:T$75, ISNUMBER(SEARCH(""Practice"", $C$1:$T$1))))*0.1
+
SUM( FILTER(C57:T57, ISNUMBER(SEARCH(""AFTER RETAKE"", $C$1:$T$1)) ) )  / 
  SUM( FILTER(C$75:T$75, ISNUMBER"&amp;"(SEARCH(""AFTER RETAKE"", $C$1:$T$1))))*0.6 + 0.3
"),0.925654088050314)</f>
        <v>0.92565408805031402</v>
      </c>
      <c r="V57" s="20">
        <v>10</v>
      </c>
      <c r="W57" s="20">
        <v>10</v>
      </c>
      <c r="X57" s="20">
        <v>11</v>
      </c>
      <c r="Y57" s="20">
        <v>11</v>
      </c>
      <c r="Z57" s="20" t="e">
        <f t="shared" ca="1" si="18"/>
        <v>#NAME?</v>
      </c>
      <c r="AA57" s="20">
        <v>85</v>
      </c>
      <c r="AB57" s="48">
        <f ca="1">IFERROR(__xludf.DUMMYFUNCTION("SUM( FILTER(C57:AA57, ISNUMBER(SEARCH(""Practice"", $C$1:$AA$1)) ) )  / 
  SUM( FILTER(C$75:AA$75, ISNUMBER(SEARCH(""Practice"", $C$1:$AA$1))))*0.1
+
(SUM( FILTER(C57:T57, ISNUMBER(SEARCH(""AFTER RETAKE"", $C$1:$T$1)) ) )+SUM( FILTER(T57:AA57, ISNUMBER(S"&amp;"EARCH(""BEFORE RETAKE"", $T$1:$AA$1)) ) ))  / 
  SUM( FILTER(C$75:AA$75, ISNUMBER(SEARCH(""BEFORE RETAKE"", $C$1:$AA$1))))*0.6 + 0.3"),0.918791666666666)</f>
        <v>0.91879166666666601</v>
      </c>
      <c r="AC57" s="20" t="s">
        <v>462</v>
      </c>
      <c r="AD57" s="20">
        <v>85</v>
      </c>
      <c r="AE57" s="48">
        <f ca="1">IFERROR(__xludf.DUMMYFUNCTION("SUM( FILTER(C57:AA57, ISNUMBER(SEARCH(""Practice"", $C$1:$AA$1)) ) )  / 
  SUM( FILTER(C$75:AA$75, ISNUMBER(SEARCH(""Practice"", $C$1:$AA$1))))*0.1
+
SUM( FILTER(C57:AD57, ISNUMBER(SEARCH(""AFTER RETAKE"", $C$1:$AD$1)) ) )
  / 
  SUM( FILTER(C$75:AD$75, I"&amp;"SNUMBER(SEARCH(""BEFORE RETAKE"", $C$1:$AD$1))))*0.6 
+ 
0.3"),0.918791666666666)</f>
        <v>0.91879166666666601</v>
      </c>
      <c r="AF57" s="20" t="s">
        <v>811</v>
      </c>
      <c r="AG57" s="20">
        <v>22</v>
      </c>
      <c r="AH57" s="20">
        <v>10</v>
      </c>
      <c r="AI57" s="20">
        <v>28</v>
      </c>
      <c r="AJ57" s="20">
        <v>13</v>
      </c>
      <c r="AK57" s="20">
        <v>100</v>
      </c>
      <c r="AM57" s="21">
        <v>0.95</v>
      </c>
      <c r="AO57" s="55">
        <f t="shared" si="3"/>
        <v>95.238095238095227</v>
      </c>
      <c r="AP57" s="21">
        <f t="shared" si="4"/>
        <v>0</v>
      </c>
      <c r="AQ57" s="55">
        <f t="shared" si="5"/>
        <v>95.348837209302317</v>
      </c>
      <c r="AR57" s="21">
        <f t="shared" si="6"/>
        <v>0</v>
      </c>
      <c r="AS57" s="55">
        <f t="shared" si="19"/>
        <v>95.454545454545453</v>
      </c>
      <c r="AT57" s="21">
        <f t="shared" si="8"/>
        <v>0</v>
      </c>
      <c r="AU57" s="55">
        <f t="shared" si="20"/>
        <v>100</v>
      </c>
      <c r="AV57" s="21">
        <f t="shared" si="10"/>
        <v>0</v>
      </c>
      <c r="AW57" s="20">
        <f t="shared" si="11"/>
        <v>87.333333333333329</v>
      </c>
      <c r="AX57" s="20">
        <f t="shared" si="12"/>
        <v>87.333333333333329</v>
      </c>
      <c r="AY57" s="48">
        <f ca="1">IFERROR(__xludf.DUMMYFUNCTION("SUM( FILTER(C57:AA57, ISNUMBER(SEARCH(""Practice"", $C$1:$AA$1)) ) )  / 
  SUM( FILTER(C$75:AA$75, ISNUMBER(SEARCH(""Practice"", $C$1:$AA$1))))*0.1
+
(SUM( FILTER(C57:T57, ISNUMBER(SEARCH(""AFTER RETAKE"", $C$1:$T$1)) ) )
+
SUM( FILTER(U57:AD57, ISNUMBER("&amp;"SEARCH(""AFTER RETAKE"", $U$1:$AD$1)) ) ))  / 
  SUM( FILTER(C$75:AA$75, ISNUMBER(SEARCH(""BEFORE RETAKE"", $C$1:$AA$1))))*0.6 
+ 
 AM57*0.3"),0.903791666666666)</f>
        <v>0.90379166666666599</v>
      </c>
      <c r="AZ57" s="48">
        <f ca="1">IFERROR(__xludf.DUMMYFUNCTION("SUM( FILTER(C57:AA57, ISNUMBER(SEARCH(""Practice"", $C$1:$AA$1)) ) )  / 
  SUM( FILTER(C$75:AA$75, ISNUMBER(SEARCH(""Practice"", $C$1:$AA$1))))*0.1
+
(SUM( FILTER(C57:T57, ISNUMBER(SEARCH(""Before RETAKE"", $C$1:$T$1)) ) )
+
SUM( FILTER(U57:AD57, ISNUMBER"&amp;"(SEARCH(""Before RETAKE"", $U$1:$AD$1)) ) ))  / 
  SUM( FILTER(C$75:AA$75, ISNUMBER(SEARCH(""BEFORE RETAKE"", $C$1:$AA$1))))*0.6 
+ 
AM57* 0.3"),0.903791666666666)</f>
        <v>0.90379166666666599</v>
      </c>
      <c r="BA57" s="55">
        <f t="shared" si="21"/>
        <v>96.510369475485746</v>
      </c>
      <c r="BB57" s="21">
        <f t="shared" si="14"/>
        <v>0</v>
      </c>
      <c r="BC57" s="55">
        <f t="shared" si="15"/>
        <v>88.461538461538453</v>
      </c>
    </row>
    <row r="58" spans="1:55" ht="12.75" x14ac:dyDescent="0.2">
      <c r="A58" s="26" t="s">
        <v>391</v>
      </c>
      <c r="B58" s="26" t="s">
        <v>461</v>
      </c>
      <c r="C58" s="19" t="s">
        <v>8</v>
      </c>
      <c r="D58" s="20">
        <v>15</v>
      </c>
      <c r="E58" s="20">
        <v>15</v>
      </c>
      <c r="F58" s="20">
        <v>7.66</v>
      </c>
      <c r="G58" s="20" t="e">
        <f t="shared" ca="1" si="17"/>
        <v>#NAME?</v>
      </c>
      <c r="H58" s="20">
        <v>82</v>
      </c>
      <c r="I58" s="48">
        <f ca="1">IFERROR(__xludf.DUMMYFUNCTION("Sum(FILTER(C58:H58, $C$1:$H$1=""Unit 1 Practice""))/Sum(FILTER(C$75:H$75, $C$1:$H$1=""Unit 1 Practice""))*0.1 + Sum(FILTER(C58:H58, $C$1:$H$1=""Unit 1 Test (before retake)""))/Sum(FILTER(C$75:H$75, $C$1:$H$1=""Unit 1 Test (before retake)""))*0.6 + 0.3"),0.881873417721518)</f>
        <v>0.88187341772151795</v>
      </c>
      <c r="J58" s="20" t="s">
        <v>462</v>
      </c>
      <c r="K58" s="20">
        <v>82</v>
      </c>
      <c r="L58" s="48">
        <f ca="1">IFERROR(__xludf.DUMMYFUNCTION("SUM( FILTER(C58:K58, ISNUMBER(SEARCH(""Practice"", $C$1:$K$1)) ) )  / 
  SUM( FILTER(C$75:K$75, ISNUMBER(SEARCH(""Practice"", $C$1:$K$1))))*0.1
+
SUM( FILTER(C58:K58, ISNUMBER(SEARCH(""AFTER RETAKE"", $C$1:$K$1)) ) )  / 
  SUM( FILTER(C$75:K$75, ISNUMBER"&amp;"(SEARCH(""AFTER RETAKE"", $C$1:$K$1))))*0.6 + 0.3
"),0.881873417721518)</f>
        <v>0.88187341772151795</v>
      </c>
      <c r="M58" s="20">
        <v>17</v>
      </c>
      <c r="N58" s="20">
        <v>11</v>
      </c>
      <c r="O58" s="20">
        <v>12</v>
      </c>
      <c r="P58" s="20" t="e">
        <f t="shared" ca="1" si="1"/>
        <v>#NAME?</v>
      </c>
      <c r="Q58" s="20">
        <v>72</v>
      </c>
      <c r="R58" s="48">
        <f ca="1">IFERROR(__xludf.DUMMYFUNCTION("SUM( FILTER(C58:T58, ISNUMBER(SEARCH(""Practice"", $C$1:$T$1)) ) )  / 
  SUM( FILTER(C$75:T$75, ISNUMBER(SEARCH(""Practice"", $C$1:$T$1))))*0.1
+
(SUM( FILTER(C58:K58, ISNUMBER(SEARCH(""AFTER RETAKE"", $C$1:$K$1)) ) )+SUM( FILTER(K58:T58, ISNUMBER(SEARCH"&amp;"(""BEFORE RETAKE"", $K$1:$T$1)) ) ))  / 
  SUM( FILTER(C$75:T$75, ISNUMBER(SEARCH(""BEFORE RETAKE"", $C$1:$T$1))))*0.6 + 0.3"),0.854138364779874)</f>
        <v>0.85413836477987404</v>
      </c>
      <c r="S58" s="20" t="s">
        <v>462</v>
      </c>
      <c r="T58" s="20">
        <v>72</v>
      </c>
      <c r="U58" s="48">
        <f ca="1">IFERROR(__xludf.DUMMYFUNCTION("SUM( FILTER(C58:T58, ISNUMBER(SEARCH(""Practice"", $C$1:$T$1)) ) )  / 
  SUM( FILTER(C$75:T$75, ISNUMBER(SEARCH(""Practice"", $C$1:$T$1))))*0.1
+
SUM( FILTER(C58:T58, ISNUMBER(SEARCH(""AFTER RETAKE"", $C$1:$T$1)) ) )  / 
  SUM( FILTER(C$75:T$75, ISNUMBER"&amp;"(SEARCH(""AFTER RETAKE"", $C$1:$T$1))))*0.6 + 0.3
"),0.854138364779874)</f>
        <v>0.85413836477987404</v>
      </c>
      <c r="V58" s="20">
        <v>10</v>
      </c>
      <c r="W58" s="20">
        <v>9</v>
      </c>
      <c r="X58" s="20">
        <v>11</v>
      </c>
      <c r="Y58" s="20">
        <v>10</v>
      </c>
      <c r="Z58" s="20" t="e">
        <f t="shared" ca="1" si="18"/>
        <v>#NAME?</v>
      </c>
      <c r="AA58" s="20">
        <v>68</v>
      </c>
      <c r="AB58" s="48">
        <f ca="1">IFERROR(__xludf.DUMMYFUNCTION("SUM( FILTER(C58:AA58, ISNUMBER(SEARCH(""Practice"", $C$1:$AA$1)) ) )  / 
  SUM( FILTER(C$75:AA$75, ISNUMBER(SEARCH(""Practice"", $C$1:$AA$1))))*0.1
+
(SUM( FILTER(C58:T58, ISNUMBER(SEARCH(""AFTER RETAKE"", $C$1:$T$1)) ) )+SUM( FILTER(T58:AA58, ISNUMBER(S"&amp;"EARCH(""BEFORE RETAKE"", $T$1:$AA$1)) ) ))  / 
  SUM( FILTER(C$75:AA$75, ISNUMBER(SEARCH(""BEFORE RETAKE"", $C$1:$AA$1))))*0.6 + 0.3"),0.835874999999999)</f>
        <v>0.83587499999999904</v>
      </c>
      <c r="AC58" s="20" t="s">
        <v>462</v>
      </c>
      <c r="AD58" s="20">
        <v>68</v>
      </c>
      <c r="AE58" s="48">
        <f ca="1">IFERROR(__xludf.DUMMYFUNCTION("SUM( FILTER(C58:AA58, ISNUMBER(SEARCH(""Practice"", $C$1:$AA$1)) ) )  / 
  SUM( FILTER(C$75:AA$75, ISNUMBER(SEARCH(""Practice"", $C$1:$AA$1))))*0.1
+
SUM( FILTER(C58:AD58, ISNUMBER(SEARCH(""AFTER RETAKE"", $C$1:$AD$1)) ) )
  / 
  SUM( FILTER(C$75:AD$75, I"&amp;"SNUMBER(SEARCH(""BEFORE RETAKE"", $C$1:$AD$1))))*0.6 
+ 
0.3"),0.835874999999999)</f>
        <v>0.83587499999999904</v>
      </c>
      <c r="AF58" s="20" t="s">
        <v>811</v>
      </c>
      <c r="AG58" s="20">
        <v>21</v>
      </c>
      <c r="AH58" s="20">
        <v>6.5</v>
      </c>
      <c r="AI58" s="20">
        <v>19</v>
      </c>
      <c r="AJ58" s="20">
        <v>13</v>
      </c>
      <c r="AK58" s="20">
        <v>100</v>
      </c>
      <c r="AM58" s="21">
        <v>0.75</v>
      </c>
      <c r="AO58" s="55">
        <f t="shared" si="3"/>
        <v>89.666666666666657</v>
      </c>
      <c r="AP58" s="21">
        <f t="shared" si="4"/>
        <v>0</v>
      </c>
      <c r="AQ58" s="55">
        <f t="shared" si="5"/>
        <v>93.023255813953483</v>
      </c>
      <c r="AR58" s="21">
        <f t="shared" si="6"/>
        <v>0</v>
      </c>
      <c r="AS58" s="55">
        <f t="shared" si="19"/>
        <v>90.909090909090907</v>
      </c>
      <c r="AT58" s="21">
        <f t="shared" si="8"/>
        <v>0</v>
      </c>
      <c r="AU58" s="55">
        <f t="shared" si="20"/>
        <v>77.5</v>
      </c>
      <c r="AV58" s="21">
        <f t="shared" si="10"/>
        <v>0</v>
      </c>
      <c r="AW58" s="20">
        <f t="shared" si="11"/>
        <v>74</v>
      </c>
      <c r="AX58" s="20">
        <f t="shared" si="12"/>
        <v>74</v>
      </c>
      <c r="AY58" s="48">
        <f ca="1">IFERROR(__xludf.DUMMYFUNCTION("SUM( FILTER(C58:AA58, ISNUMBER(SEARCH(""Practice"", $C$1:$AA$1)) ) )  / 
  SUM( FILTER(C$75:AA$75, ISNUMBER(SEARCH(""Practice"", $C$1:$AA$1))))*0.1
+
(SUM( FILTER(C58:T58, ISNUMBER(SEARCH(""AFTER RETAKE"", $C$1:$T$1)) ) )
+
SUM( FILTER(U58:AD58, ISNUMBER("&amp;"SEARCH(""AFTER RETAKE"", $U$1:$AD$1)) ) ))  / 
  SUM( FILTER(C$75:AA$75, ISNUMBER(SEARCH(""BEFORE RETAKE"", $C$1:$AA$1))))*0.6 
+ 
 AM58*0.3"),0.760875)</f>
        <v>0.76087499999999997</v>
      </c>
      <c r="AZ58" s="48">
        <f ca="1">IFERROR(__xludf.DUMMYFUNCTION("SUM( FILTER(C58:AA58, ISNUMBER(SEARCH(""Practice"", $C$1:$AA$1)) ) )  / 
  SUM( FILTER(C$75:AA$75, ISNUMBER(SEARCH(""Practice"", $C$1:$AA$1))))*0.1
+
(SUM( FILTER(C58:T58, ISNUMBER(SEARCH(""Before RETAKE"", $C$1:$T$1)) ) )
+
SUM( FILTER(U58:AD58, ISNUMBER"&amp;"(SEARCH(""Before RETAKE"", $U$1:$AD$1)) ) ))  / 
  SUM( FILTER(C$75:AA$75, ISNUMBER(SEARCH(""BEFORE RETAKE"", $C$1:$AA$1))))*0.6 
+ 
AM58* 0.3"),0.760875)</f>
        <v>0.76087499999999997</v>
      </c>
      <c r="BA58" s="55">
        <f t="shared" si="21"/>
        <v>87.774753347427762</v>
      </c>
      <c r="BB58" s="21">
        <f t="shared" si="14"/>
        <v>0</v>
      </c>
      <c r="BC58" s="55">
        <f t="shared" si="15"/>
        <v>82.038461538461533</v>
      </c>
    </row>
    <row r="59" spans="1:55" ht="12.75" x14ac:dyDescent="0.2">
      <c r="A59" s="26" t="s">
        <v>393</v>
      </c>
      <c r="B59" s="26" t="s">
        <v>461</v>
      </c>
      <c r="C59" s="19" t="s">
        <v>7</v>
      </c>
      <c r="D59" s="20" t="s">
        <v>462</v>
      </c>
      <c r="E59" s="20" t="s">
        <v>462</v>
      </c>
      <c r="F59" s="20" t="s">
        <v>462</v>
      </c>
      <c r="G59" s="20" t="s">
        <v>462</v>
      </c>
      <c r="H59" s="20">
        <v>92</v>
      </c>
      <c r="I59" s="48">
        <f ca="1">IFERROR(__xludf.DUMMYFUNCTION("Sum(FILTER(C59:H59, $C$1:$H$1=""Unit 1 Practice""))/Sum(FILTER(C$75:H$75, $C$1:$H$1=""Unit 1 Practice""))*0.1 + Sum(FILTER(C59:H59, $C$1:$H$1=""Unit 1 Test (before retake)""))/Sum(FILTER(C$75:H$75, $C$1:$H$1=""Unit 1 Test (before retake)""))*0.6 + 0.3"),0.852)</f>
        <v>0.85199999999999998</v>
      </c>
      <c r="J59" s="20" t="s">
        <v>462</v>
      </c>
      <c r="K59" s="20">
        <v>92</v>
      </c>
      <c r="L59" s="48">
        <f ca="1">IFERROR(__xludf.DUMMYFUNCTION("SUM( FILTER(C59:K59, ISNUMBER(SEARCH(""Practice"", $C$1:$K$1)) ) )  / 
  SUM( FILTER(C$75:K$75, ISNUMBER(SEARCH(""Practice"", $C$1:$K$1))))*0.1
+
SUM( FILTER(C59:K59, ISNUMBER(SEARCH(""AFTER RETAKE"", $C$1:$K$1)) ) )  / 
  SUM( FILTER(C$75:K$75, ISNUMBER"&amp;"(SEARCH(""AFTER RETAKE"", $C$1:$K$1))))*0.6 + 0.3
"),0.852)</f>
        <v>0.85199999999999998</v>
      </c>
      <c r="M59" s="20">
        <v>15</v>
      </c>
      <c r="N59" s="20">
        <v>4.7</v>
      </c>
      <c r="O59" s="20">
        <v>12</v>
      </c>
      <c r="P59" s="20" t="e">
        <f t="shared" ca="1" si="1"/>
        <v>#NAME?</v>
      </c>
      <c r="Q59" s="20">
        <v>92</v>
      </c>
      <c r="R59" s="48">
        <f ca="1">IFERROR(__xludf.DUMMYFUNCTION("SUM( FILTER(C59:T59, ISNUMBER(SEARCH(""Practice"", $C$1:$T$1)) ) )  / 
  SUM( FILTER(C$75:T$75, ISNUMBER(SEARCH(""Practice"", $C$1:$T$1))))*0.1
+
(SUM( FILTER(C59:K59, ISNUMBER(SEARCH(""AFTER RETAKE"", $C$1:$K$1)) ) )+SUM( FILTER(K59:T59, ISNUMBER(SEARCH"&amp;"(""BEFORE RETAKE"", $K$1:$T$1)) ) ))  / 
  SUM( FILTER(C$75:T$75, ISNUMBER(SEARCH(""BEFORE RETAKE"", $C$1:$T$1))))*0.6 + 0.3"),0.894264150943396)</f>
        <v>0.89426415094339595</v>
      </c>
      <c r="S59" s="20" t="s">
        <v>462</v>
      </c>
      <c r="T59" s="20">
        <v>92</v>
      </c>
      <c r="U59" s="48">
        <f ca="1">IFERROR(__xludf.DUMMYFUNCTION("SUM( FILTER(C59:T59, ISNUMBER(SEARCH(""Practice"", $C$1:$T$1)) ) )  / 
  SUM( FILTER(C$75:T$75, ISNUMBER(SEARCH(""Practice"", $C$1:$T$1))))*0.1
+
SUM( FILTER(C59:T59, ISNUMBER(SEARCH(""AFTER RETAKE"", $C$1:$T$1)) ) )  / 
  SUM( FILTER(C$75:T$75, ISNUMBER"&amp;"(SEARCH(""AFTER RETAKE"", $C$1:$T$1))))*0.6 + 0.3
"),0.894264150943396)</f>
        <v>0.89426415094339595</v>
      </c>
      <c r="V59" s="20">
        <v>10</v>
      </c>
      <c r="W59" s="20">
        <v>10</v>
      </c>
      <c r="X59" s="20">
        <v>11</v>
      </c>
      <c r="Y59" s="20">
        <v>12</v>
      </c>
      <c r="Z59" s="20" t="e">
        <f t="shared" ca="1" si="18"/>
        <v>#NAME?</v>
      </c>
      <c r="AA59" s="20">
        <v>95</v>
      </c>
      <c r="AB59" s="48">
        <f ca="1">IFERROR(__xludf.DUMMYFUNCTION("SUM( FILTER(C59:AA59, ISNUMBER(SEARCH(""Practice"", $C$1:$AA$1)) ) )  / 
  SUM( FILTER(C$75:AA$75, ISNUMBER(SEARCH(""Practice"", $C$1:$AA$1))))*0.1
+
(SUM( FILTER(C59:T59, ISNUMBER(SEARCH(""AFTER RETAKE"", $C$1:$T$1)) ) )+SUM( FILTER(T59:AA59, ISNUMBER(S"&amp;"EARCH(""BEFORE RETAKE"", $T$1:$AA$1)) ) ))  / 
  SUM( FILTER(C$75:AA$75, ISNUMBER(SEARCH(""BEFORE RETAKE"", $C$1:$AA$1))))*0.6 + 0.3"),0.918708333333333)</f>
        <v>0.91870833333333302</v>
      </c>
      <c r="AC59" s="20" t="s">
        <v>462</v>
      </c>
      <c r="AD59" s="20">
        <v>95</v>
      </c>
      <c r="AE59" s="48">
        <f ca="1">IFERROR(__xludf.DUMMYFUNCTION("SUM( FILTER(C59:AA59, ISNUMBER(SEARCH(""Practice"", $C$1:$AA$1)) ) )  / 
  SUM( FILTER(C$75:AA$75, ISNUMBER(SEARCH(""Practice"", $C$1:$AA$1))))*0.1
+
SUM( FILTER(C59:AD59, ISNUMBER(SEARCH(""AFTER RETAKE"", $C$1:$AD$1)) ) )
  / 
  SUM( FILTER(C$75:AD$75, I"&amp;"SNUMBER(SEARCH(""BEFORE RETAKE"", $C$1:$AD$1))))*0.6 
+ 
0.3"),0.918708333333333)</f>
        <v>0.91870833333333302</v>
      </c>
      <c r="AF59" s="20" t="s">
        <v>811</v>
      </c>
      <c r="AG59" s="20">
        <v>22</v>
      </c>
      <c r="AH59" s="20">
        <v>10</v>
      </c>
      <c r="AI59" s="20">
        <v>27</v>
      </c>
      <c r="AJ59" s="20">
        <v>12.8</v>
      </c>
      <c r="AK59" s="20">
        <v>100</v>
      </c>
      <c r="AM59" s="21">
        <v>0.92</v>
      </c>
      <c r="AO59" s="55">
        <f t="shared" si="3"/>
        <v>0</v>
      </c>
      <c r="AP59" s="21">
        <f t="shared" si="4"/>
        <v>0</v>
      </c>
      <c r="AQ59" s="55">
        <f t="shared" si="5"/>
        <v>73.720930232558132</v>
      </c>
      <c r="AR59" s="21">
        <f t="shared" si="6"/>
        <v>0</v>
      </c>
      <c r="AS59" s="55">
        <f t="shared" si="19"/>
        <v>97.727272727272734</v>
      </c>
      <c r="AT59" s="21">
        <f t="shared" si="8"/>
        <v>0</v>
      </c>
      <c r="AU59" s="55">
        <f t="shared" si="20"/>
        <v>98.333333333333343</v>
      </c>
      <c r="AV59" s="21">
        <f t="shared" si="10"/>
        <v>0</v>
      </c>
      <c r="AW59" s="20">
        <f t="shared" si="11"/>
        <v>93</v>
      </c>
      <c r="AX59" s="20">
        <f t="shared" si="12"/>
        <v>93</v>
      </c>
      <c r="AY59" s="48">
        <f ca="1">IFERROR(__xludf.DUMMYFUNCTION("SUM( FILTER(C59:AA59, ISNUMBER(SEARCH(""Practice"", $C$1:$AA$1)) ) )  / 
  SUM( FILTER(C$75:AA$75, ISNUMBER(SEARCH(""Practice"", $C$1:$AA$1))))*0.1
+
(SUM( FILTER(C59:T59, ISNUMBER(SEARCH(""AFTER RETAKE"", $C$1:$T$1)) ) )
+
SUM( FILTER(U59:AD59, ISNUMBER("&amp;"SEARCH(""AFTER RETAKE"", $U$1:$AD$1)) ) ))  / 
  SUM( FILTER(C$75:AA$75, ISNUMBER(SEARCH(""BEFORE RETAKE"", $C$1:$AA$1))))*0.6 
+ 
 AM59*0.3"),0.894708333333333)</f>
        <v>0.89470833333333299</v>
      </c>
      <c r="AZ59" s="48">
        <f ca="1">IFERROR(__xludf.DUMMYFUNCTION("SUM( FILTER(C59:AA59, ISNUMBER(SEARCH(""Practice"", $C$1:$AA$1)) ) )  / 
  SUM( FILTER(C$75:AA$75, ISNUMBER(SEARCH(""Practice"", $C$1:$AA$1))))*0.1
+
(SUM( FILTER(C59:T59, ISNUMBER(SEARCH(""Before RETAKE"", $C$1:$T$1)) ) )
+
SUM( FILTER(U59:AD59, ISNUMBER"&amp;"(SEARCH(""Before RETAKE"", $U$1:$AD$1)) ) ))  / 
  SUM( FILTER(C$75:AA$75, ISNUMBER(SEARCH(""BEFORE RETAKE"", $C$1:$AA$1))))*0.6 
+ 
AM59* 0.3"),0.894708333333333)</f>
        <v>0.89470833333333299</v>
      </c>
      <c r="BA59" s="55">
        <f t="shared" si="21"/>
        <v>67.445384073291052</v>
      </c>
      <c r="BB59" s="21">
        <f t="shared" si="14"/>
        <v>0</v>
      </c>
      <c r="BC59" s="55">
        <f t="shared" si="15"/>
        <v>94.358974358974351</v>
      </c>
    </row>
    <row r="60" spans="1:55" ht="12.75" x14ac:dyDescent="0.2">
      <c r="A60" s="26" t="s">
        <v>394</v>
      </c>
      <c r="B60" s="26" t="s">
        <v>461</v>
      </c>
      <c r="C60" s="19" t="s">
        <v>8</v>
      </c>
      <c r="D60" s="20">
        <v>14.5</v>
      </c>
      <c r="E60" s="20">
        <v>14.5</v>
      </c>
      <c r="F60" s="20">
        <v>10.67</v>
      </c>
      <c r="G60" s="20" t="e">
        <f t="shared" ref="G60:G68" ca="1" si="22">CONVERT_13PT_SCALE(F60)/2</f>
        <v>#NAME?</v>
      </c>
      <c r="H60" s="20">
        <v>78</v>
      </c>
      <c r="I60" s="48">
        <f ca="1">IFERROR(__xludf.DUMMYFUNCTION("Sum(FILTER(C60:H60, $C$1:$H$1=""Unit 1 Practice""))/Sum(FILTER(C$75:H$75, $C$1:$H$1=""Unit 1 Practice""))*0.1 + Sum(FILTER(C60:H60, $C$1:$H$1=""Unit 1 Test (before retake)""))/Sum(FILTER(C$75:H$75, $C$1:$H$1=""Unit 1 Test (before retake)""))*0.6 + 0.3"),0.862936708860759)</f>
        <v>0.86293670886075902</v>
      </c>
      <c r="J60" s="20" t="s">
        <v>462</v>
      </c>
      <c r="K60" s="20">
        <v>78</v>
      </c>
      <c r="L60" s="48">
        <f ca="1">IFERROR(__xludf.DUMMYFUNCTION("SUM( FILTER(C60:K60, ISNUMBER(SEARCH(""Practice"", $C$1:$K$1)) ) )  / 
  SUM( FILTER(C$75:K$75, ISNUMBER(SEARCH(""Practice"", $C$1:$K$1))))*0.1
+
SUM( FILTER(C60:K60, ISNUMBER(SEARCH(""AFTER RETAKE"", $C$1:$K$1)) ) )  / 
  SUM( FILTER(C$75:K$75, ISNUMBER"&amp;"(SEARCH(""AFTER RETAKE"", $C$1:$K$1))))*0.6 + 0.3
"),0.862936708860759)</f>
        <v>0.86293670886075902</v>
      </c>
      <c r="M60" s="20">
        <v>18</v>
      </c>
      <c r="N60" s="20">
        <v>10</v>
      </c>
      <c r="O60" s="20">
        <v>12</v>
      </c>
      <c r="P60" s="20" t="e">
        <f t="shared" ca="1" si="1"/>
        <v>#NAME?</v>
      </c>
      <c r="Q60" s="20">
        <v>82</v>
      </c>
      <c r="R60" s="48">
        <f ca="1">IFERROR(__xludf.DUMMYFUNCTION("SUM( FILTER(C60:T60, ISNUMBER(SEARCH(""Practice"", $C$1:$T$1)) ) )  / 
  SUM( FILTER(C$75:T$75, ISNUMBER(SEARCH(""Practice"", $C$1:$T$1))))*0.1
+
(SUM( FILTER(C60:K60, ISNUMBER(SEARCH(""AFTER RETAKE"", $C$1:$K$1)) ) )+SUM( FILTER(K60:T60, ISNUMBER(SEARCH"&amp;"(""BEFORE RETAKE"", $K$1:$T$1)) ) ))  / 
  SUM( FILTER(C$75:T$75, ISNUMBER(SEARCH(""BEFORE RETAKE"", $C$1:$T$1))))*0.6 + 0.3"),0.874654088050314)</f>
        <v>0.87465408805031397</v>
      </c>
      <c r="S60" s="20" t="s">
        <v>462</v>
      </c>
      <c r="T60" s="20">
        <v>82</v>
      </c>
      <c r="U60" s="48">
        <f ca="1">IFERROR(__xludf.DUMMYFUNCTION("SUM( FILTER(C60:T60, ISNUMBER(SEARCH(""Practice"", $C$1:$T$1)) ) )  / 
  SUM( FILTER(C$75:T$75, ISNUMBER(SEARCH(""Practice"", $C$1:$T$1))))*0.1
+
SUM( FILTER(C60:T60, ISNUMBER(SEARCH(""AFTER RETAKE"", $C$1:$T$1)) ) )  / 
  SUM( FILTER(C$75:T$75, ISNUMBER"&amp;"(SEARCH(""AFTER RETAKE"", $C$1:$T$1))))*0.6 + 0.3
"),0.874654088050314)</f>
        <v>0.87465408805031397</v>
      </c>
      <c r="V60" s="20">
        <v>10</v>
      </c>
      <c r="W60" s="20">
        <v>10</v>
      </c>
      <c r="X60" s="20">
        <v>11</v>
      </c>
      <c r="Y60" s="20">
        <v>11</v>
      </c>
      <c r="Z60" s="20" t="e">
        <f t="shared" ca="1" si="18"/>
        <v>#NAME?</v>
      </c>
      <c r="AA60" s="20">
        <v>78</v>
      </c>
      <c r="AB60" s="48">
        <f ca="1">IFERROR(__xludf.DUMMYFUNCTION("SUM( FILTER(C60:AA60, ISNUMBER(SEARCH(""Practice"", $C$1:$AA$1)) ) )  / 
  SUM( FILTER(C$75:AA$75, ISNUMBER(SEARCH(""Practice"", $C$1:$AA$1))))*0.1
+
(SUM( FILTER(C60:T60, ISNUMBER(SEARCH(""AFTER RETAKE"", $C$1:$T$1)) ) )+SUM( FILTER(T60:AA60, ISNUMBER(S"&amp;"EARCH(""BEFORE RETAKE"", $T$1:$AA$1)) ) ))  / 
  SUM( FILTER(C$75:AA$75, ISNUMBER(SEARCH(""BEFORE RETAKE"", $C$1:$AA$1))))*0.6 + 0.3"),0.870791666666666)</f>
        <v>0.87079166666666596</v>
      </c>
      <c r="AC60" s="20" t="s">
        <v>462</v>
      </c>
      <c r="AD60" s="20">
        <v>78</v>
      </c>
      <c r="AE60" s="48">
        <f ca="1">IFERROR(__xludf.DUMMYFUNCTION("SUM( FILTER(C60:AA60, ISNUMBER(SEARCH(""Practice"", $C$1:$AA$1)) ) )  / 
  SUM( FILTER(C$75:AA$75, ISNUMBER(SEARCH(""Practice"", $C$1:$AA$1))))*0.1
+
SUM( FILTER(C60:AD60, ISNUMBER(SEARCH(""AFTER RETAKE"", $C$1:$AD$1)) ) )
  / 
  SUM( FILTER(C$75:AD$75, I"&amp;"SNUMBER(SEARCH(""BEFORE RETAKE"", $C$1:$AD$1))))*0.6 
+ 
0.3"),0.870791666666666)</f>
        <v>0.87079166666666596</v>
      </c>
      <c r="AF60" s="20" t="s">
        <v>811</v>
      </c>
      <c r="AG60" s="20">
        <v>22</v>
      </c>
      <c r="AH60" s="20">
        <v>10</v>
      </c>
      <c r="AI60" s="20">
        <v>27</v>
      </c>
      <c r="AJ60" s="20">
        <v>13</v>
      </c>
      <c r="AK60" s="20">
        <v>100</v>
      </c>
      <c r="AM60" s="21">
        <v>0.92</v>
      </c>
      <c r="AO60" s="55">
        <f t="shared" si="3"/>
        <v>94.452380952380949</v>
      </c>
      <c r="AP60" s="21">
        <f t="shared" si="4"/>
        <v>0</v>
      </c>
      <c r="AQ60" s="55">
        <f t="shared" si="5"/>
        <v>93.023255813953483</v>
      </c>
      <c r="AR60" s="21">
        <f t="shared" si="6"/>
        <v>0</v>
      </c>
      <c r="AS60" s="55">
        <f t="shared" si="19"/>
        <v>95.454545454545453</v>
      </c>
      <c r="AT60" s="21">
        <f t="shared" si="8"/>
        <v>0</v>
      </c>
      <c r="AU60" s="55">
        <f t="shared" si="20"/>
        <v>98.333333333333343</v>
      </c>
      <c r="AV60" s="21">
        <f t="shared" si="10"/>
        <v>0</v>
      </c>
      <c r="AW60" s="20">
        <f t="shared" si="11"/>
        <v>79.333333333333329</v>
      </c>
      <c r="AX60" s="20">
        <f t="shared" si="12"/>
        <v>79.333333333333329</v>
      </c>
      <c r="AY60" s="48">
        <f ca="1">IFERROR(__xludf.DUMMYFUNCTION("SUM( FILTER(C60:AA60, ISNUMBER(SEARCH(""Practice"", $C$1:$AA$1)) ) )  / 
  SUM( FILTER(C$75:AA$75, ISNUMBER(SEARCH(""Practice"", $C$1:$AA$1))))*0.1
+
(SUM( FILTER(C60:T60, ISNUMBER(SEARCH(""AFTER RETAKE"", $C$1:$T$1)) ) )
+
SUM( FILTER(U60:AD60, ISNUMBER("&amp;"SEARCH(""AFTER RETAKE"", $U$1:$AD$1)) ) ))  / 
  SUM( FILTER(C$75:AA$75, ISNUMBER(SEARCH(""BEFORE RETAKE"", $C$1:$AA$1))))*0.6 
+ 
 AM60*0.3"),0.846791666666666)</f>
        <v>0.84679166666666605</v>
      </c>
      <c r="AZ60" s="48">
        <f ca="1">IFERROR(__xludf.DUMMYFUNCTION("SUM( FILTER(C60:AA60, ISNUMBER(SEARCH(""Practice"", $C$1:$AA$1)) ) )  / 
  SUM( FILTER(C$75:AA$75, ISNUMBER(SEARCH(""Practice"", $C$1:$AA$1))))*0.1
+
(SUM( FILTER(C60:T60, ISNUMBER(SEARCH(""Before RETAKE"", $C$1:$T$1)) ) )
+
SUM( FILTER(U60:AD60, ISNUMBER"&amp;"(SEARCH(""Before RETAKE"", $U$1:$AD$1)) ) ))  / 
  SUM( FILTER(C$75:AA$75, ISNUMBER(SEARCH(""BEFORE RETAKE"", $C$1:$AA$1))))*0.6 
+ 
AM60* 0.3"),0.846791666666666)</f>
        <v>0.84679166666666605</v>
      </c>
      <c r="BA60" s="55">
        <f t="shared" si="21"/>
        <v>95.3158788885533</v>
      </c>
      <c r="BB60" s="21">
        <f t="shared" si="14"/>
        <v>0</v>
      </c>
      <c r="BC60" s="55">
        <f t="shared" si="15"/>
        <v>89.750000000000014</v>
      </c>
    </row>
    <row r="61" spans="1:55" ht="12.75" x14ac:dyDescent="0.2">
      <c r="A61" s="26" t="s">
        <v>396</v>
      </c>
      <c r="B61" s="26" t="s">
        <v>464</v>
      </c>
      <c r="C61" s="19" t="s">
        <v>8</v>
      </c>
      <c r="D61" s="20">
        <v>12.5</v>
      </c>
      <c r="E61" s="20">
        <v>12.5</v>
      </c>
      <c r="F61" s="20">
        <v>8</v>
      </c>
      <c r="G61" s="20" t="e">
        <f t="shared" ca="1" si="22"/>
        <v>#NAME?</v>
      </c>
      <c r="H61" s="20">
        <v>78</v>
      </c>
      <c r="I61" s="48">
        <f ca="1">IFERROR(__xludf.DUMMYFUNCTION("Sum(FILTER(C61:H61, $C$1:$H$1=""Unit 1 Practice""))/Sum(FILTER(C$75:H$75, $C$1:$H$1=""Unit 1 Practice""))*0.1 + Sum(FILTER(C61:H61, $C$1:$H$1=""Unit 1 Test (before retake)""))/Sum(FILTER(C$75:H$75, $C$1:$H$1=""Unit 1 Test (before retake)""))*0.6 + 0.3"),0.851544303797468)</f>
        <v>0.85154430379746804</v>
      </c>
      <c r="J61" s="20" t="s">
        <v>462</v>
      </c>
      <c r="K61" s="20">
        <v>78</v>
      </c>
      <c r="L61" s="48">
        <f ca="1">IFERROR(__xludf.DUMMYFUNCTION("SUM( FILTER(C61:K61, ISNUMBER(SEARCH(""Practice"", $C$1:$K$1)) ) )  / 
  SUM( FILTER(C$75:K$75, ISNUMBER(SEARCH(""Practice"", $C$1:$K$1))))*0.1
+
SUM( FILTER(C61:K61, ISNUMBER(SEARCH(""AFTER RETAKE"", $C$1:$K$1)) ) )  / 
  SUM( FILTER(C$75:K$75, ISNUMBER"&amp;"(SEARCH(""AFTER RETAKE"", $C$1:$K$1))))*0.6 + 0.3
"),0.851544303797468)</f>
        <v>0.85154430379746804</v>
      </c>
      <c r="M61" s="20">
        <v>9</v>
      </c>
      <c r="N61" s="20">
        <v>10</v>
      </c>
      <c r="O61" s="20">
        <v>12</v>
      </c>
      <c r="P61" s="20" t="e">
        <f t="shared" ca="1" si="1"/>
        <v>#NAME?</v>
      </c>
      <c r="Q61" s="20">
        <v>68</v>
      </c>
      <c r="R61" s="48">
        <f ca="1">IFERROR(__xludf.DUMMYFUNCTION("SUM( FILTER(C61:T61, ISNUMBER(SEARCH(""Practice"", $C$1:$T$1)) ) )  / 
  SUM( FILTER(C$75:T$75, ISNUMBER(SEARCH(""Practice"", $C$1:$T$1))))*0.1
+
(SUM( FILTER(C61:K61, ISNUMBER(SEARCH(""AFTER RETAKE"", $C$1:$K$1)) ) )+SUM( FILTER(K61:T61, ISNUMBER(SEARCH"&amp;"(""BEFORE RETAKE"", $K$1:$T$1)) ) ))  / 
  SUM( FILTER(C$75:T$75, ISNUMBER(SEARCH(""BEFORE RETAKE"", $C$1:$T$1))))*0.6 + 0.3"),0.821333333333333)</f>
        <v>0.82133333333333303</v>
      </c>
      <c r="S61" s="20">
        <v>72</v>
      </c>
      <c r="T61" s="20">
        <v>72</v>
      </c>
      <c r="U61" s="48">
        <f ca="1">IFERROR(__xludf.DUMMYFUNCTION("SUM( FILTER(C61:T61, ISNUMBER(SEARCH(""Practice"", $C$1:$T$1)) ) )  / 
  SUM( FILTER(C$75:T$75, ISNUMBER(SEARCH(""Practice"", $C$1:$T$1))))*0.1
+
SUM( FILTER(C61:T61, ISNUMBER(SEARCH(""AFTER RETAKE"", $C$1:$T$1)) ) )  / 
  SUM( FILTER(C$75:T$75, ISNUMBER"&amp;"(SEARCH(""AFTER RETAKE"", $C$1:$T$1))))*0.6 + 0.3
"),0.833333333333333)</f>
        <v>0.83333333333333304</v>
      </c>
      <c r="V61" s="20">
        <v>10</v>
      </c>
      <c r="W61" s="20">
        <v>10</v>
      </c>
      <c r="X61" s="20">
        <v>11</v>
      </c>
      <c r="Y61" s="20">
        <v>6</v>
      </c>
      <c r="Z61" s="20" t="e">
        <f t="shared" ca="1" si="18"/>
        <v>#NAME?</v>
      </c>
      <c r="AA61" s="20">
        <v>72</v>
      </c>
      <c r="AB61" s="48">
        <f ca="1">IFERROR(__xludf.DUMMYFUNCTION("SUM( FILTER(C61:AA61, ISNUMBER(SEARCH(""Practice"", $C$1:$AA$1)) ) )  / 
  SUM( FILTER(C$75:AA$75, ISNUMBER(SEARCH(""Practice"", $C$1:$AA$1))))*0.1
+
(SUM( FILTER(C61:T61, ISNUMBER(SEARCH(""AFTER RETAKE"", $C$1:$T$1)) ) )+SUM( FILTER(T61:AA61, ISNUMBER(S"&amp;"EARCH(""BEFORE RETAKE"", $T$1:$AA$1)) ) ))  / 
  SUM( FILTER(C$75:AA$75, ISNUMBER(SEARCH(""BEFORE RETAKE"", $C$1:$AA$1))))*0.6 + 0.3"),0.82775)</f>
        <v>0.82774999999999999</v>
      </c>
      <c r="AC61" s="20">
        <v>72</v>
      </c>
      <c r="AD61" s="20">
        <v>72</v>
      </c>
      <c r="AE61" s="48">
        <f ca="1">IFERROR(__xludf.DUMMYFUNCTION("SUM( FILTER(C61:AA61, ISNUMBER(SEARCH(""Practice"", $C$1:$AA$1)) ) )  / 
  SUM( FILTER(C$75:AA$75, ISNUMBER(SEARCH(""Practice"", $C$1:$AA$1))))*0.1
+
SUM( FILTER(C61:AD61, ISNUMBER(SEARCH(""AFTER RETAKE"", $C$1:$AD$1)) ) )
  / 
  SUM( FILTER(C$75:AD$75, I"&amp;"SNUMBER(SEARCH(""BEFORE RETAKE"", $C$1:$AD$1))))*0.6 
+ 
0.3"),0.82775)</f>
        <v>0.82774999999999999</v>
      </c>
      <c r="AF61" s="20" t="s">
        <v>811</v>
      </c>
      <c r="AG61" s="20">
        <v>16</v>
      </c>
      <c r="AH61" s="20">
        <v>6.5</v>
      </c>
      <c r="AI61" s="20">
        <v>0</v>
      </c>
      <c r="AJ61" s="20">
        <v>0</v>
      </c>
      <c r="AK61" s="20">
        <v>0</v>
      </c>
      <c r="AM61" s="21">
        <v>0.78</v>
      </c>
      <c r="AO61" s="55">
        <f t="shared" si="3"/>
        <v>78.571428571428569</v>
      </c>
      <c r="AP61" s="21">
        <f t="shared" si="4"/>
        <v>0</v>
      </c>
      <c r="AQ61" s="55">
        <f t="shared" si="5"/>
        <v>72.093023255813961</v>
      </c>
      <c r="AR61" s="21">
        <f t="shared" si="6"/>
        <v>0</v>
      </c>
      <c r="AS61" s="55">
        <f t="shared" si="19"/>
        <v>84.090909090909093</v>
      </c>
      <c r="AT61" s="21">
        <f t="shared" si="8"/>
        <v>0</v>
      </c>
      <c r="AU61" s="55">
        <f t="shared" si="20"/>
        <v>37.5</v>
      </c>
      <c r="AV61" s="21">
        <f t="shared" si="10"/>
        <v>1</v>
      </c>
      <c r="AW61" s="20">
        <f t="shared" si="11"/>
        <v>72.666666666666671</v>
      </c>
      <c r="AX61" s="20">
        <f t="shared" si="12"/>
        <v>74</v>
      </c>
      <c r="AY61" s="48">
        <f ca="1">IFERROR(__xludf.DUMMYFUNCTION("SUM( FILTER(C61:AA61, ISNUMBER(SEARCH(""Practice"", $C$1:$AA$1)) ) )  / 
  SUM( FILTER(C$75:AA$75, ISNUMBER(SEARCH(""Practice"", $C$1:$AA$1))))*0.1
+
(SUM( FILTER(C61:T61, ISNUMBER(SEARCH(""AFTER RETAKE"", $C$1:$T$1)) ) )
+
SUM( FILTER(U61:AD61, ISNUMBER("&amp;"SEARCH(""AFTER RETAKE"", $U$1:$AD$1)) ) ))  / 
  SUM( FILTER(C$75:AA$75, ISNUMBER(SEARCH(""BEFORE RETAKE"", $C$1:$AA$1))))*0.6 
+ 
 AM61*0.3"),0.76175)</f>
        <v>0.76175000000000004</v>
      </c>
      <c r="AZ61" s="48">
        <f ca="1">IFERROR(__xludf.DUMMYFUNCTION("SUM( FILTER(C61:AA61, ISNUMBER(SEARCH(""Practice"", $C$1:$AA$1)) ) )  / 
  SUM( FILTER(C$75:AA$75, ISNUMBER(SEARCH(""Practice"", $C$1:$AA$1))))*0.1
+
(SUM( FILTER(C61:T61, ISNUMBER(SEARCH(""Before RETAKE"", $C$1:$T$1)) ) )
+
SUM( FILTER(U61:AD61, ISNUMBER"&amp;"(SEARCH(""Before RETAKE"", $U$1:$AD$1)) ) ))  / 
  SUM( FILTER(C$75:AA$75, ISNUMBER(SEARCH(""BEFORE RETAKE"", $C$1:$AA$1))))*0.6 
+ 
AM61* 0.3"),0.75375)</f>
        <v>0.75375000000000003</v>
      </c>
      <c r="BA61" s="55">
        <f t="shared" si="21"/>
        <v>68.063840229537902</v>
      </c>
      <c r="BB61" s="21">
        <f t="shared" si="14"/>
        <v>1</v>
      </c>
      <c r="BC61" s="55">
        <f t="shared" si="15"/>
        <v>50</v>
      </c>
    </row>
    <row r="62" spans="1:55" ht="12.75" x14ac:dyDescent="0.2">
      <c r="A62" s="26" t="s">
        <v>398</v>
      </c>
      <c r="B62" s="26" t="s">
        <v>464</v>
      </c>
      <c r="C62" s="19" t="s">
        <v>8</v>
      </c>
      <c r="D62" s="20">
        <v>14.5</v>
      </c>
      <c r="E62" s="20">
        <v>14.5</v>
      </c>
      <c r="F62" s="20">
        <v>11.5</v>
      </c>
      <c r="G62" s="20" t="e">
        <f t="shared" ca="1" si="22"/>
        <v>#NAME?</v>
      </c>
      <c r="H62" s="20">
        <v>92</v>
      </c>
      <c r="I62" s="48">
        <f ca="1">IFERROR(__xludf.DUMMYFUNCTION("Sum(FILTER(C62:H62, $C$1:$H$1=""Unit 1 Practice""))/Sum(FILTER(C$75:H$75, $C$1:$H$1=""Unit 1 Practice""))*0.1 + Sum(FILTER(C62:H62, $C$1:$H$1=""Unit 1 Test (before retake)""))/Sum(FILTER(C$75:H$75, $C$1:$H$1=""Unit 1 Test (before retake)""))*0.6 + 0.3"),0.948835443037974)</f>
        <v>0.94883544303797396</v>
      </c>
      <c r="J62" s="20" t="s">
        <v>462</v>
      </c>
      <c r="K62" s="20">
        <v>92</v>
      </c>
      <c r="L62" s="48">
        <f ca="1">IFERROR(__xludf.DUMMYFUNCTION("SUM( FILTER(C62:K62, ISNUMBER(SEARCH(""Practice"", $C$1:$K$1)) ) )  / 
  SUM( FILTER(C$75:K$75, ISNUMBER(SEARCH(""Practice"", $C$1:$K$1))))*0.1
+
SUM( FILTER(C62:K62, ISNUMBER(SEARCH(""AFTER RETAKE"", $C$1:$K$1)) ) )  / 
  SUM( FILTER(C$75:K$75, ISNUMBER"&amp;"(SEARCH(""AFTER RETAKE"", $C$1:$K$1))))*0.6 + 0.3
"),0.948835443037974)</f>
        <v>0.94883544303797396</v>
      </c>
      <c r="M62" s="20">
        <v>18</v>
      </c>
      <c r="N62" s="20">
        <v>12</v>
      </c>
      <c r="O62" s="20">
        <v>12</v>
      </c>
      <c r="P62" s="20" t="e">
        <f t="shared" ca="1" si="1"/>
        <v>#NAME?</v>
      </c>
      <c r="Q62" s="20">
        <v>92</v>
      </c>
      <c r="R62" s="48">
        <f ca="1">IFERROR(__xludf.DUMMYFUNCTION("SUM( FILTER(C62:T62, ISNUMBER(SEARCH(""Practice"", $C$1:$T$1)) ) )  / 
  SUM( FILTER(C$75:T$75, ISNUMBER(SEARCH(""Practice"", $C$1:$T$1))))*0.1
+
(SUM( FILTER(C62:K62, ISNUMBER(SEARCH(""AFTER RETAKE"", $C$1:$K$1)) ) )+SUM( FILTER(K62:T62, ISNUMBER(SEARCH"&amp;"(""BEFORE RETAKE"", $K$1:$T$1)) ) ))  / 
  SUM( FILTER(C$75:T$75, ISNUMBER(SEARCH(""BEFORE RETAKE"", $C$1:$T$1))))*0.6 + 0.3"),0.948855345911949)</f>
        <v>0.94885534591194898</v>
      </c>
      <c r="S62" s="20">
        <v>100</v>
      </c>
      <c r="T62" s="20">
        <v>100</v>
      </c>
      <c r="U62" s="48">
        <f ca="1">IFERROR(__xludf.DUMMYFUNCTION("SUM( FILTER(C62:T62, ISNUMBER(SEARCH(""Practice"", $C$1:$T$1)) ) )  / 
  SUM( FILTER(C$75:T$75, ISNUMBER(SEARCH(""Practice"", $C$1:$T$1))))*0.1
+
SUM( FILTER(C62:T62, ISNUMBER(SEARCH(""AFTER RETAKE"", $C$1:$T$1)) ) )  / 
  SUM( FILTER(C$75:T$75, ISNUMBER"&amp;"(SEARCH(""AFTER RETAKE"", $C$1:$T$1))))*0.6 + 0.3
"),0.972855345911949)</f>
        <v>0.972855345911949</v>
      </c>
      <c r="V62" s="20">
        <v>10</v>
      </c>
      <c r="W62" s="20">
        <v>10</v>
      </c>
      <c r="X62" s="20">
        <v>11</v>
      </c>
      <c r="Y62" s="20">
        <v>11</v>
      </c>
      <c r="Z62" s="20" t="e">
        <f t="shared" ca="1" si="18"/>
        <v>#NAME?</v>
      </c>
      <c r="AA62" s="20">
        <v>95</v>
      </c>
      <c r="AB62" s="48">
        <f ca="1">IFERROR(__xludf.DUMMYFUNCTION("SUM( FILTER(C62:AA62, ISNUMBER(SEARCH(""Practice"", $C$1:$AA$1)) ) )  / 
  SUM( FILTER(C$75:AA$75, ISNUMBER(SEARCH(""Practice"", $C$1:$AA$1))))*0.1
+
(SUM( FILTER(C62:T62, ISNUMBER(SEARCH(""AFTER RETAKE"", $C$1:$T$1)) ) )+SUM( FILTER(T62:AA62, ISNUMBER(S"&amp;"EARCH(""BEFORE RETAKE"", $T$1:$AA$1)) ) ))  / 
  SUM( FILTER(C$75:AA$75, ISNUMBER(SEARCH(""BEFORE RETAKE"", $C$1:$AA$1))))*0.6 + 0.3"),0.97025)</f>
        <v>0.97024999999999995</v>
      </c>
      <c r="AC62" s="20" t="s">
        <v>462</v>
      </c>
      <c r="AD62" s="20">
        <v>95</v>
      </c>
      <c r="AE62" s="48">
        <f ca="1">IFERROR(__xludf.DUMMYFUNCTION("SUM( FILTER(C62:AA62, ISNUMBER(SEARCH(""Practice"", $C$1:$AA$1)) ) )  / 
  SUM( FILTER(C$75:AA$75, ISNUMBER(SEARCH(""Practice"", $C$1:$AA$1))))*0.1
+
SUM( FILTER(C62:AD62, ISNUMBER(SEARCH(""AFTER RETAKE"", $C$1:$AD$1)) ) )
  / 
  SUM( FILTER(C$75:AD$75, I"&amp;"SNUMBER(SEARCH(""BEFORE RETAKE"", $C$1:$AD$1))))*0.6 
+ 
0.3"),0.97025)</f>
        <v>0.97024999999999995</v>
      </c>
      <c r="AF62" s="20" t="s">
        <v>811</v>
      </c>
      <c r="AG62" s="20">
        <v>22</v>
      </c>
      <c r="AH62" s="20">
        <v>9.5</v>
      </c>
      <c r="AI62" s="20">
        <v>28</v>
      </c>
      <c r="AJ62" s="20">
        <v>12.42</v>
      </c>
      <c r="AK62" s="20">
        <v>95</v>
      </c>
      <c r="AM62" s="21">
        <v>1</v>
      </c>
      <c r="AO62" s="55">
        <f t="shared" si="3"/>
        <v>96.428571428571431</v>
      </c>
      <c r="AP62" s="21">
        <f t="shared" si="4"/>
        <v>0</v>
      </c>
      <c r="AQ62" s="55">
        <f t="shared" si="5"/>
        <v>97.674418604651152</v>
      </c>
      <c r="AR62" s="21">
        <f t="shared" si="6"/>
        <v>0</v>
      </c>
      <c r="AS62" s="55">
        <f t="shared" si="19"/>
        <v>95.454545454545453</v>
      </c>
      <c r="AT62" s="21">
        <f t="shared" si="8"/>
        <v>0</v>
      </c>
      <c r="AU62" s="55">
        <f t="shared" si="20"/>
        <v>99.166666666666657</v>
      </c>
      <c r="AV62" s="21">
        <f t="shared" si="10"/>
        <v>0</v>
      </c>
      <c r="AW62" s="20">
        <f t="shared" si="11"/>
        <v>93</v>
      </c>
      <c r="AX62" s="20">
        <f t="shared" si="12"/>
        <v>95.666666666666671</v>
      </c>
      <c r="AY62" s="48">
        <f ca="1">IFERROR(__xludf.DUMMYFUNCTION("SUM( FILTER(C62:AA62, ISNUMBER(SEARCH(""Practice"", $C$1:$AA$1)) ) )  / 
  SUM( FILTER(C$75:AA$75, ISNUMBER(SEARCH(""Practice"", $C$1:$AA$1))))*0.1
+
(SUM( FILTER(C62:T62, ISNUMBER(SEARCH(""AFTER RETAKE"", $C$1:$T$1)) ) )
+
SUM( FILTER(U62:AD62, ISNUMBER("&amp;"SEARCH(""AFTER RETAKE"", $U$1:$AD$1)) ) ))  / 
  SUM( FILTER(C$75:AA$75, ISNUMBER(SEARCH(""BEFORE RETAKE"", $C$1:$AA$1))))*0.6 
+ 
 AM62*0.3"),0.97025)</f>
        <v>0.97024999999999995</v>
      </c>
      <c r="AZ62" s="48">
        <f ca="1">IFERROR(__xludf.DUMMYFUNCTION("SUM( FILTER(C62:AA62, ISNUMBER(SEARCH(""Practice"", $C$1:$AA$1)) ) )  / 
  SUM( FILTER(C$75:AA$75, ISNUMBER(SEARCH(""Practice"", $C$1:$AA$1))))*0.1
+
(SUM( FILTER(C62:T62, ISNUMBER(SEARCH(""Before RETAKE"", $C$1:$T$1)) ) )
+
SUM( FILTER(U62:AD62, ISNUMBER"&amp;"(SEARCH(""Before RETAKE"", $U$1:$AD$1)) ) ))  / 
  SUM( FILTER(C$75:AA$75, ISNUMBER(SEARCH(""BEFORE RETAKE"", $C$1:$AA$1))))*0.6 
+ 
AM62* 0.3"),0.95425)</f>
        <v>0.95425000000000004</v>
      </c>
      <c r="BA62" s="55">
        <f t="shared" si="21"/>
        <v>97.181050538608673</v>
      </c>
      <c r="BB62" s="21">
        <f t="shared" si="14"/>
        <v>0</v>
      </c>
      <c r="BC62" s="55">
        <f t="shared" si="15"/>
        <v>90.230769230769241</v>
      </c>
    </row>
    <row r="63" spans="1:55" ht="12.75" x14ac:dyDescent="0.2">
      <c r="A63" s="26" t="s">
        <v>400</v>
      </c>
      <c r="B63" s="26" t="s">
        <v>464</v>
      </c>
      <c r="C63" s="19" t="s">
        <v>8</v>
      </c>
      <c r="D63" s="20">
        <v>14</v>
      </c>
      <c r="E63" s="20">
        <v>14</v>
      </c>
      <c r="F63" s="20">
        <v>10.5</v>
      </c>
      <c r="G63" s="20" t="e">
        <f t="shared" ca="1" si="22"/>
        <v>#NAME?</v>
      </c>
      <c r="H63" s="20">
        <v>78</v>
      </c>
      <c r="I63" s="48">
        <f ca="1">IFERROR(__xludf.DUMMYFUNCTION("Sum(FILTER(C63:H63, $C$1:$H$1=""Unit 1 Practice""))/Sum(FILTER(C$75:H$75, $C$1:$H$1=""Unit 1 Practice""))*0.1 + Sum(FILTER(C63:H63, $C$1:$H$1=""Unit 1 Test (before retake)""))/Sum(FILTER(C$75:H$75, $C$1:$H$1=""Unit 1 Test (before retake)""))*0.6 + 0.3"),0.861670886075949)</f>
        <v>0.86167088607594899</v>
      </c>
      <c r="J63" s="20" t="s">
        <v>462</v>
      </c>
      <c r="K63" s="20">
        <v>78</v>
      </c>
      <c r="L63" s="48">
        <f ca="1">IFERROR(__xludf.DUMMYFUNCTION("SUM( FILTER(C63:K63, ISNUMBER(SEARCH(""Practice"", $C$1:$K$1)) ) )  / 
  SUM( FILTER(C$75:K$75, ISNUMBER(SEARCH(""Practice"", $C$1:$K$1))))*0.1
+
SUM( FILTER(C63:K63, ISNUMBER(SEARCH(""AFTER RETAKE"", $C$1:$K$1)) ) )  / 
  SUM( FILTER(C$75:K$75, ISNUMBER"&amp;"(SEARCH(""AFTER RETAKE"", $C$1:$K$1))))*0.6 + 0.3
"),0.861670886075949)</f>
        <v>0.86167088607594899</v>
      </c>
      <c r="M63" s="20">
        <v>0</v>
      </c>
      <c r="N63" s="20">
        <v>9</v>
      </c>
      <c r="O63" s="20">
        <v>0</v>
      </c>
      <c r="P63" s="20" t="e">
        <f t="shared" ca="1" si="1"/>
        <v>#NAME?</v>
      </c>
      <c r="Q63" s="20">
        <v>78</v>
      </c>
      <c r="R63" s="48">
        <f ca="1">IFERROR(__xludf.DUMMYFUNCTION("SUM( FILTER(C63:T63, ISNUMBER(SEARCH(""Practice"", $C$1:$T$1)) ) )  / 
  SUM( FILTER(C$75:T$75, ISNUMBER(SEARCH(""Practice"", $C$1:$T$1))))*0.1
+
(SUM( FILTER(C63:K63, ISNUMBER(SEARCH(""AFTER RETAKE"", $C$1:$K$1)) ) )+SUM( FILTER(K63:T63, ISNUMBER(SEARCH"&amp;"(""BEFORE RETAKE"", $K$1:$T$1)) ) ))  / 
  SUM( FILTER(C$75:T$75, ISNUMBER(SEARCH(""BEFORE RETAKE"", $C$1:$T$1))))*0.6 + 0.3"),0.820201257861635)</f>
        <v>0.820201257861635</v>
      </c>
      <c r="S63" s="20" t="s">
        <v>462</v>
      </c>
      <c r="T63" s="20">
        <v>78</v>
      </c>
      <c r="U63" s="48">
        <f ca="1">IFERROR(__xludf.DUMMYFUNCTION("SUM( FILTER(C63:T63, ISNUMBER(SEARCH(""Practice"", $C$1:$T$1)) ) )  / 
  SUM( FILTER(C$75:T$75, ISNUMBER(SEARCH(""Practice"", $C$1:$T$1))))*0.1
+
SUM( FILTER(C63:T63, ISNUMBER(SEARCH(""AFTER RETAKE"", $C$1:$T$1)) ) )  / 
  SUM( FILTER(C$75:T$75, ISNUMBER"&amp;"(SEARCH(""AFTER RETAKE"", $C$1:$T$1))))*0.6 + 0.3
"),0.820201257861635)</f>
        <v>0.820201257861635</v>
      </c>
      <c r="V63" s="20">
        <v>10</v>
      </c>
      <c r="W63" s="20">
        <v>10</v>
      </c>
      <c r="X63" s="20">
        <v>11</v>
      </c>
      <c r="Y63" s="20">
        <v>9</v>
      </c>
      <c r="Z63" s="20" t="e">
        <f t="shared" ca="1" si="18"/>
        <v>#NAME?</v>
      </c>
      <c r="AA63" s="20">
        <v>75</v>
      </c>
      <c r="AB63" s="48">
        <f ca="1">IFERROR(__xludf.DUMMYFUNCTION("SUM( FILTER(C63:AA63, ISNUMBER(SEARCH(""Practice"", $C$1:$AA$1)) ) )  / 
  SUM( FILTER(C$75:AA$75, ISNUMBER(SEARCH(""Practice"", $C$1:$AA$1))))*0.1
+
(SUM( FILTER(C63:T63, ISNUMBER(SEARCH(""AFTER RETAKE"", $C$1:$T$1)) ) )+SUM( FILTER(T63:AA63, ISNUMBER(S"&amp;"EARCH(""BEFORE RETAKE"", $T$1:$AA$1)) ) ))  / 
  SUM( FILTER(C$75:AA$75, ISNUMBER(SEARCH(""BEFORE RETAKE"", $C$1:$AA$1))))*0.6 + 0.3"),0.827208333333333)</f>
        <v>0.82720833333333299</v>
      </c>
      <c r="AC63" s="20" t="s">
        <v>462</v>
      </c>
      <c r="AD63" s="20">
        <v>75</v>
      </c>
      <c r="AE63" s="48">
        <f ca="1">IFERROR(__xludf.DUMMYFUNCTION("SUM( FILTER(C63:AA63, ISNUMBER(SEARCH(""Practice"", $C$1:$AA$1)) ) )  / 
  SUM( FILTER(C$75:AA$75, ISNUMBER(SEARCH(""Practice"", $C$1:$AA$1))))*0.1
+
SUM( FILTER(C63:AD63, ISNUMBER(SEARCH(""AFTER RETAKE"", $C$1:$AD$1)) ) )
  / 
  SUM( FILTER(C$75:AD$75, I"&amp;"SNUMBER(SEARCH(""BEFORE RETAKE"", $C$1:$AD$1))))*0.6 
+ 
0.3"),0.827208333333333)</f>
        <v>0.82720833333333299</v>
      </c>
      <c r="AF63" s="20" t="s">
        <v>811</v>
      </c>
      <c r="AG63" s="20">
        <v>21</v>
      </c>
      <c r="AH63" s="20">
        <v>0</v>
      </c>
      <c r="AI63" s="20">
        <v>0</v>
      </c>
      <c r="AJ63" s="20">
        <v>12.36</v>
      </c>
      <c r="AK63" s="20">
        <v>95</v>
      </c>
      <c r="AM63" s="21">
        <v>0.65</v>
      </c>
      <c r="AO63" s="55">
        <f t="shared" si="3"/>
        <v>91.666666666666657</v>
      </c>
      <c r="AP63" s="21">
        <f t="shared" si="4"/>
        <v>0</v>
      </c>
      <c r="AQ63" s="55">
        <f t="shared" si="5"/>
        <v>20.930232558139533</v>
      </c>
      <c r="AR63" s="21">
        <f t="shared" si="6"/>
        <v>2</v>
      </c>
      <c r="AS63" s="55">
        <f t="shared" si="19"/>
        <v>90.909090909090907</v>
      </c>
      <c r="AT63" s="21">
        <f t="shared" si="8"/>
        <v>0</v>
      </c>
      <c r="AU63" s="55">
        <f t="shared" si="20"/>
        <v>35</v>
      </c>
      <c r="AV63" s="21">
        <f t="shared" si="10"/>
        <v>2</v>
      </c>
      <c r="AW63" s="20">
        <f t="shared" si="11"/>
        <v>77</v>
      </c>
      <c r="AX63" s="20">
        <f t="shared" si="12"/>
        <v>77</v>
      </c>
      <c r="AY63" s="48">
        <f ca="1">IFERROR(__xludf.DUMMYFUNCTION("SUM( FILTER(C63:AA63, ISNUMBER(SEARCH(""Practice"", $C$1:$AA$1)) ) )  / 
  SUM( FILTER(C$75:AA$75, ISNUMBER(SEARCH(""Practice"", $C$1:$AA$1))))*0.1
+
(SUM( FILTER(C63:T63, ISNUMBER(SEARCH(""AFTER RETAKE"", $C$1:$T$1)) ) )
+
SUM( FILTER(U63:AD63, ISNUMBER("&amp;"SEARCH(""AFTER RETAKE"", $U$1:$AD$1)) ) ))  / 
  SUM( FILTER(C$75:AA$75, ISNUMBER(SEARCH(""BEFORE RETAKE"", $C$1:$AA$1))))*0.6 
+ 
 AM63*0.3"),0.722208333333333)</f>
        <v>0.72220833333333301</v>
      </c>
      <c r="AZ63" s="48">
        <f ca="1">IFERROR(__xludf.DUMMYFUNCTION("SUM( FILTER(C63:AA63, ISNUMBER(SEARCH(""Practice"", $C$1:$AA$1)) ) )  / 
  SUM( FILTER(C$75:AA$75, ISNUMBER(SEARCH(""Practice"", $C$1:$AA$1))))*0.1
+
(SUM( FILTER(C63:T63, ISNUMBER(SEARCH(""Before RETAKE"", $C$1:$T$1)) ) )
+
SUM( FILTER(U63:AD63, ISNUMBER"&amp;"(SEARCH(""Before RETAKE"", $U$1:$AD$1)) ) ))  / 
  SUM( FILTER(C$75:AA$75, ISNUMBER(SEARCH(""BEFORE RETAKE"", $C$1:$AA$1))))*0.6 
+ 
AM63* 0.3"),0.722208333333333)</f>
        <v>0.72220833333333301</v>
      </c>
      <c r="BA63" s="55">
        <f t="shared" si="21"/>
        <v>59.626497533474279</v>
      </c>
      <c r="BB63" s="21">
        <f t="shared" si="14"/>
        <v>4</v>
      </c>
      <c r="BC63" s="55">
        <f t="shared" si="15"/>
        <v>61.269230769230766</v>
      </c>
    </row>
    <row r="64" spans="1:55" ht="12.75" x14ac:dyDescent="0.2">
      <c r="A64" s="26" t="s">
        <v>402</v>
      </c>
      <c r="B64" s="26" t="s">
        <v>461</v>
      </c>
      <c r="C64" s="19" t="s">
        <v>8</v>
      </c>
      <c r="D64" s="20"/>
      <c r="E64" s="20"/>
      <c r="F64" s="20">
        <v>10</v>
      </c>
      <c r="G64" s="20" t="e">
        <f t="shared" ca="1" si="22"/>
        <v>#NAME?</v>
      </c>
      <c r="H64" s="20">
        <v>88</v>
      </c>
      <c r="I64" s="48">
        <f ca="1">IFERROR(__xludf.DUMMYFUNCTION("Sum(FILTER(C64:H64, $C$1:$H$1=""Unit 1 Practice""))/Sum(FILTER(C$75:H$75, $C$1:$H$1=""Unit 1 Practice""))*0.1 + Sum(FILTER(C64:H64, $C$1:$H$1=""Unit 1 Test (before retake)""))/Sum(FILTER(C$75:H$75, $C$1:$H$1=""Unit 1 Test (before retake)""))*0.6 + 0.3"),0.883696202531645)</f>
        <v>0.88369620253164505</v>
      </c>
      <c r="J64" s="20" t="s">
        <v>462</v>
      </c>
      <c r="K64" s="20">
        <v>88</v>
      </c>
      <c r="L64" s="48">
        <f ca="1">IFERROR(__xludf.DUMMYFUNCTION("SUM( FILTER(C64:K64, ISNUMBER(SEARCH(""Practice"", $C$1:$K$1)) ) )  / 
  SUM( FILTER(C$75:K$75, ISNUMBER(SEARCH(""Practice"", $C$1:$K$1))))*0.1
+
SUM( FILTER(C64:K64, ISNUMBER(SEARCH(""AFTER RETAKE"", $C$1:$K$1)) ) )  / 
  SUM( FILTER(C$75:K$75, ISNUMBER"&amp;"(SEARCH(""AFTER RETAKE"", $C$1:$K$1))))*0.6 + 0.3
"),0.883696202531645)</f>
        <v>0.88369620253164505</v>
      </c>
      <c r="M64" s="20">
        <v>18</v>
      </c>
      <c r="N64" s="20">
        <v>10</v>
      </c>
      <c r="O64" s="20">
        <v>12</v>
      </c>
      <c r="P64" s="20" t="e">
        <f t="shared" ca="1" si="1"/>
        <v>#NAME?</v>
      </c>
      <c r="Q64" s="20">
        <v>85</v>
      </c>
      <c r="R64" s="48">
        <f ca="1">IFERROR(__xludf.DUMMYFUNCTION("SUM( FILTER(C64:T64, ISNUMBER(SEARCH(""Practice"", $C$1:$T$1)) ) )  / 
  SUM( FILTER(C$75:T$75, ISNUMBER(SEARCH(""Practice"", $C$1:$T$1))))*0.1
+
(SUM( FILTER(C64:K64, ISNUMBER(SEARCH(""AFTER RETAKE"", $C$1:$K$1)) ) )+SUM( FILTER(K64:T64, ISNUMBER(SEARCH"&amp;"(""BEFORE RETAKE"", $K$1:$T$1)) ) ))  / 
  SUM( FILTER(C$75:T$75, ISNUMBER(SEARCH(""BEFORE RETAKE"", $C$1:$T$1))))*0.6 + 0.3"),0.894157232704402)</f>
        <v>0.89415723270440195</v>
      </c>
      <c r="S64" s="20" t="s">
        <v>462</v>
      </c>
      <c r="T64" s="20">
        <v>85</v>
      </c>
      <c r="U64" s="48">
        <f ca="1">IFERROR(__xludf.DUMMYFUNCTION("SUM( FILTER(C64:T64, ISNUMBER(SEARCH(""Practice"", $C$1:$T$1)) ) )  / 
  SUM( FILTER(C$75:T$75, ISNUMBER(SEARCH(""Practice"", $C$1:$T$1))))*0.1
+
SUM( FILTER(C64:T64, ISNUMBER(SEARCH(""AFTER RETAKE"", $C$1:$T$1)) ) )  / 
  SUM( FILTER(C$75:T$75, ISNUMBER"&amp;"(SEARCH(""AFTER RETAKE"", $C$1:$T$1))))*0.6 + 0.3
"),0.894157232704402)</f>
        <v>0.89415723270440195</v>
      </c>
      <c r="V64" s="20">
        <v>10</v>
      </c>
      <c r="W64" s="20">
        <v>10</v>
      </c>
      <c r="X64" s="20">
        <v>11</v>
      </c>
      <c r="Y64" s="20">
        <v>11</v>
      </c>
      <c r="Z64" s="20" t="e">
        <f t="shared" ca="1" si="18"/>
        <v>#NAME?</v>
      </c>
      <c r="AA64" s="20">
        <v>95</v>
      </c>
      <c r="AB64" s="48">
        <f ca="1">IFERROR(__xludf.DUMMYFUNCTION("SUM( FILTER(C64:AA64, ISNUMBER(SEARCH(""Practice"", $C$1:$AA$1)) ) )  / 
  SUM( FILTER(C$75:AA$75, ISNUMBER(SEARCH(""Practice"", $C$1:$AA$1))))*0.1
+
(SUM( FILTER(C64:T64, ISNUMBER(SEARCH(""AFTER RETAKE"", $C$1:$T$1)) ) )+SUM( FILTER(T64:AA64, ISNUMBER(S"&amp;"EARCH(""BEFORE RETAKE"", $T$1:$AA$1)) ) ))  / 
  SUM( FILTER(C$75:AA$75, ISNUMBER(SEARCH(""BEFORE RETAKE"", $C$1:$AA$1))))*0.6 + 0.3"),0.917875)</f>
        <v>0.917875</v>
      </c>
      <c r="AC64" s="20" t="s">
        <v>462</v>
      </c>
      <c r="AD64" s="20">
        <v>95</v>
      </c>
      <c r="AE64" s="48">
        <f ca="1">IFERROR(__xludf.DUMMYFUNCTION("SUM( FILTER(C64:AA64, ISNUMBER(SEARCH(""Practice"", $C$1:$AA$1)) ) )  / 
  SUM( FILTER(C$75:AA$75, ISNUMBER(SEARCH(""Practice"", $C$1:$AA$1))))*0.1
+
SUM( FILTER(C64:AD64, ISNUMBER(SEARCH(""AFTER RETAKE"", $C$1:$AD$1)) ) )
  / 
  SUM( FILTER(C$75:AD$75, I"&amp;"SNUMBER(SEARCH(""BEFORE RETAKE"", $C$1:$AD$1))))*0.6 
+ 
0.3"),0.917875)</f>
        <v>0.917875</v>
      </c>
      <c r="AF64" s="20" t="s">
        <v>811</v>
      </c>
      <c r="AG64" s="20">
        <v>21</v>
      </c>
      <c r="AH64" s="20">
        <v>9</v>
      </c>
      <c r="AI64" s="20">
        <v>27.5</v>
      </c>
      <c r="AJ64" s="20">
        <v>12.3</v>
      </c>
      <c r="AK64" s="20">
        <v>95</v>
      </c>
      <c r="AM64" s="21">
        <v>0.92</v>
      </c>
      <c r="AO64" s="55">
        <f t="shared" si="3"/>
        <v>23.809523809523807</v>
      </c>
      <c r="AP64" s="21">
        <f t="shared" si="4"/>
        <v>0</v>
      </c>
      <c r="AQ64" s="55">
        <f t="shared" si="5"/>
        <v>93.023255813953483</v>
      </c>
      <c r="AR64" s="21">
        <f t="shared" si="6"/>
        <v>0</v>
      </c>
      <c r="AS64" s="55">
        <f t="shared" si="19"/>
        <v>95.454545454545453</v>
      </c>
      <c r="AT64" s="21">
        <f t="shared" si="8"/>
        <v>0</v>
      </c>
      <c r="AU64" s="55">
        <f t="shared" si="20"/>
        <v>95.833333333333343</v>
      </c>
      <c r="AV64" s="21">
        <f t="shared" si="10"/>
        <v>0</v>
      </c>
      <c r="AW64" s="20">
        <f t="shared" si="11"/>
        <v>89.333333333333329</v>
      </c>
      <c r="AX64" s="20">
        <f t="shared" si="12"/>
        <v>89.333333333333329</v>
      </c>
      <c r="AY64" s="48">
        <f ca="1">IFERROR(__xludf.DUMMYFUNCTION("SUM( FILTER(C64:AA64, ISNUMBER(SEARCH(""Practice"", $C$1:$AA$1)) ) )  / 
  SUM( FILTER(C$75:AA$75, ISNUMBER(SEARCH(""Practice"", $C$1:$AA$1))))*0.1
+
(SUM( FILTER(C64:T64, ISNUMBER(SEARCH(""AFTER RETAKE"", $C$1:$T$1)) ) )
+
SUM( FILTER(U64:AD64, ISNUMBER("&amp;"SEARCH(""AFTER RETAKE"", $U$1:$AD$1)) ) ))  / 
  SUM( FILTER(C$75:AA$75, ISNUMBER(SEARCH(""BEFORE RETAKE"", $C$1:$AA$1))))*0.6 
+ 
 AM64*0.3"),0.893875)</f>
        <v>0.89387499999999998</v>
      </c>
      <c r="AZ64" s="48">
        <f ca="1">IFERROR(__xludf.DUMMYFUNCTION("SUM( FILTER(C64:AA64, ISNUMBER(SEARCH(""Practice"", $C$1:$AA$1)) ) )  / 
  SUM( FILTER(C$75:AA$75, ISNUMBER(SEARCH(""Practice"", $C$1:$AA$1))))*0.1
+
(SUM( FILTER(C64:T64, ISNUMBER(SEARCH(""Before RETAKE"", $C$1:$T$1)) ) )
+
SUM( FILTER(U64:AD64, ISNUMBER"&amp;"(SEARCH(""Before RETAKE"", $U$1:$AD$1)) ) ))  / 
  SUM( FILTER(C$75:AA$75, ISNUMBER(SEARCH(""BEFORE RETAKE"", $C$1:$AA$1))))*0.6 
+ 
AM64* 0.3"),0.893875)</f>
        <v>0.89387499999999998</v>
      </c>
      <c r="BA64" s="55">
        <f t="shared" si="21"/>
        <v>77.030164602839022</v>
      </c>
      <c r="BB64" s="21">
        <f t="shared" si="14"/>
        <v>0</v>
      </c>
      <c r="BC64" s="55">
        <f t="shared" si="15"/>
        <v>87.115384615384599</v>
      </c>
    </row>
    <row r="65" spans="1:58" ht="12.75" x14ac:dyDescent="0.2">
      <c r="A65" s="26" t="s">
        <v>404</v>
      </c>
      <c r="B65" s="26" t="s">
        <v>464</v>
      </c>
      <c r="C65" s="19" t="s">
        <v>8</v>
      </c>
      <c r="D65" s="20">
        <v>13</v>
      </c>
      <c r="E65" s="20">
        <v>13</v>
      </c>
      <c r="F65" s="20">
        <v>0</v>
      </c>
      <c r="G65" s="20" t="e">
        <f t="shared" ca="1" si="22"/>
        <v>#NAME?</v>
      </c>
      <c r="H65" s="20">
        <v>92</v>
      </c>
      <c r="I65" s="48">
        <f ca="1">IFERROR(__xludf.DUMMYFUNCTION("Sum(FILTER(C65:H65, $C$1:$H$1=""Unit 1 Practice""))/Sum(FILTER(C$75:H$75, $C$1:$H$1=""Unit 1 Practice""))*0.1 + Sum(FILTER(C65:H65, $C$1:$H$1=""Unit 1 Test (before retake)""))/Sum(FILTER(C$75:H$75, $C$1:$H$1=""Unit 1 Test (before retake)""))*0.6 + 0.3"),0.884911392405063)</f>
        <v>0.884911392405063</v>
      </c>
      <c r="J65" s="20" t="s">
        <v>462</v>
      </c>
      <c r="K65" s="20">
        <v>92</v>
      </c>
      <c r="L65" s="48">
        <f ca="1">IFERROR(__xludf.DUMMYFUNCTION("SUM( FILTER(C65:K65, ISNUMBER(SEARCH(""Practice"", $C$1:$K$1)) ) )  / 
  SUM( FILTER(C$75:K$75, ISNUMBER(SEARCH(""Practice"", $C$1:$K$1))))*0.1
+
SUM( FILTER(C65:K65, ISNUMBER(SEARCH(""AFTER RETAKE"", $C$1:$K$1)) ) )  / 
  SUM( FILTER(C$75:K$75, ISNUMBER"&amp;"(SEARCH(""AFTER RETAKE"", $C$1:$K$1))))*0.6 + 0.3
"),0.884911392405063)</f>
        <v>0.884911392405063</v>
      </c>
      <c r="M65" s="20">
        <v>17</v>
      </c>
      <c r="N65" s="20">
        <v>9.9499999999999993</v>
      </c>
      <c r="O65" s="20">
        <v>10</v>
      </c>
      <c r="P65" s="20" t="e">
        <f t="shared" ca="1" si="1"/>
        <v>#NAME?</v>
      </c>
      <c r="Q65" s="20">
        <v>78</v>
      </c>
      <c r="R65" s="48">
        <f ca="1">IFERROR(__xludf.DUMMYFUNCTION("SUM( FILTER(C65:T65, ISNUMBER(SEARCH(""Practice"", $C$1:$T$1)) ) )  / 
  SUM( FILTER(C$75:T$75, ISNUMBER(SEARCH(""Practice"", $C$1:$T$1))))*0.1
+
(SUM( FILTER(C65:K65, ISNUMBER(SEARCH(""AFTER RETAKE"", $C$1:$K$1)) ) )+SUM( FILTER(K65:T65, ISNUMBER(SEARCH"&amp;"(""BEFORE RETAKE"", $K$1:$T$1)) ) ))  / 
  SUM( FILTER(C$75:T$75, ISNUMBER(SEARCH(""BEFORE RETAKE"", $C$1:$T$1))))*0.6 + 0.3"),0.870974842767295)</f>
        <v>0.87097484276729498</v>
      </c>
      <c r="S65" s="20" t="s">
        <v>462</v>
      </c>
      <c r="T65" s="20">
        <v>78</v>
      </c>
      <c r="U65" s="48">
        <f ca="1">IFERROR(__xludf.DUMMYFUNCTION("SUM( FILTER(C65:T65, ISNUMBER(SEARCH(""Practice"", $C$1:$T$1)) ) )  / 
  SUM( FILTER(C$75:T$75, ISNUMBER(SEARCH(""Practice"", $C$1:$T$1))))*0.1
+
SUM( FILTER(C65:T65, ISNUMBER(SEARCH(""AFTER RETAKE"", $C$1:$T$1)) ) )  / 
  SUM( FILTER(C$75:T$75, ISNUMBER"&amp;"(SEARCH(""AFTER RETAKE"", $C$1:$T$1))))*0.6 + 0.3
"),0.870974842767295)</f>
        <v>0.87097484276729498</v>
      </c>
      <c r="V65" s="20">
        <v>10</v>
      </c>
      <c r="W65" s="20">
        <v>10</v>
      </c>
      <c r="X65" s="20">
        <v>8</v>
      </c>
      <c r="Y65" s="20">
        <v>4</v>
      </c>
      <c r="Z65" s="20" t="e">
        <f t="shared" ca="1" si="18"/>
        <v>#NAME?</v>
      </c>
      <c r="AA65" s="20">
        <v>68</v>
      </c>
      <c r="AB65" s="48">
        <f ca="1">IFERROR(__xludf.DUMMYFUNCTION("SUM( FILTER(C65:AA65, ISNUMBER(SEARCH(""Practice"", $C$1:$AA$1)) ) )  / 
  SUM( FILTER(C$75:AA$75, ISNUMBER(SEARCH(""Practice"", $C$1:$AA$1))))*0.1
+
(SUM( FILTER(C65:T65, ISNUMBER(SEARCH(""AFTER RETAKE"", $C$1:$T$1)) ) )+SUM( FILTER(T65:AA65, ISNUMBER(S"&amp;"EARCH(""BEFORE RETAKE"", $T$1:$AA$1)) ) ))  / 
  SUM( FILTER(C$75:AA$75, ISNUMBER(SEARCH(""BEFORE RETAKE"", $C$1:$AA$1))))*0.6 + 0.3"),0.842229166666666)</f>
        <v>0.84222916666666603</v>
      </c>
      <c r="AC65" s="20">
        <v>72</v>
      </c>
      <c r="AD65" s="20">
        <v>72</v>
      </c>
      <c r="AE65" s="48">
        <f ca="1">IFERROR(__xludf.DUMMYFUNCTION("SUM( FILTER(C65:AA65, ISNUMBER(SEARCH(""Practice"", $C$1:$AA$1)) ) )  / 
  SUM( FILTER(C$75:AA$75, ISNUMBER(SEARCH(""Practice"", $C$1:$AA$1))))*0.1
+
SUM( FILTER(C65:AD65, ISNUMBER(SEARCH(""AFTER RETAKE"", $C$1:$AD$1)) ) )
  / 
  SUM( FILTER(C$75:AD$75, I"&amp;"SNUMBER(SEARCH(""BEFORE RETAKE"", $C$1:$AD$1))))*0.6 
+ 
0.3"),0.850229166666666)</f>
        <v>0.85022916666666604</v>
      </c>
      <c r="AF65" s="20" t="s">
        <v>811</v>
      </c>
      <c r="AG65" s="20">
        <v>22</v>
      </c>
      <c r="AH65" s="20">
        <v>8</v>
      </c>
      <c r="AI65" s="20">
        <v>27.5</v>
      </c>
      <c r="AJ65" s="20">
        <v>12.33</v>
      </c>
      <c r="AK65" s="20">
        <v>95</v>
      </c>
      <c r="AM65" s="21">
        <v>0.85</v>
      </c>
      <c r="AO65" s="55">
        <f t="shared" si="3"/>
        <v>61.904761904761905</v>
      </c>
      <c r="AP65" s="21">
        <f t="shared" si="4"/>
        <v>1</v>
      </c>
      <c r="AQ65" s="55">
        <f t="shared" si="5"/>
        <v>85.930232558139537</v>
      </c>
      <c r="AR65" s="21">
        <f t="shared" si="6"/>
        <v>0</v>
      </c>
      <c r="AS65" s="55">
        <f t="shared" si="19"/>
        <v>72.727272727272734</v>
      </c>
      <c r="AT65" s="21">
        <f t="shared" si="8"/>
        <v>0</v>
      </c>
      <c r="AU65" s="55">
        <f t="shared" si="20"/>
        <v>95.833333333333343</v>
      </c>
      <c r="AV65" s="21">
        <f t="shared" si="10"/>
        <v>0</v>
      </c>
      <c r="AW65" s="20">
        <f t="shared" si="11"/>
        <v>79.333333333333329</v>
      </c>
      <c r="AX65" s="20">
        <f t="shared" si="12"/>
        <v>80.666666666666671</v>
      </c>
      <c r="AY65" s="48">
        <f ca="1">IFERROR(__xludf.DUMMYFUNCTION("SUM( FILTER(C65:AA65, ISNUMBER(SEARCH(""Practice"", $C$1:$AA$1)) ) )  / 
  SUM( FILTER(C$75:AA$75, ISNUMBER(SEARCH(""Practice"", $C$1:$AA$1))))*0.1
+
(SUM( FILTER(C65:T65, ISNUMBER(SEARCH(""AFTER RETAKE"", $C$1:$T$1)) ) )
+
SUM( FILTER(U65:AD65, ISNUMBER("&amp;"SEARCH(""AFTER RETAKE"", $U$1:$AD$1)) ) ))  / 
  SUM( FILTER(C$75:AA$75, ISNUMBER(SEARCH(""BEFORE RETAKE"", $C$1:$AA$1))))*0.6 
+ 
 AM65*0.3"),0.805229166666666)</f>
        <v>0.805229166666666</v>
      </c>
      <c r="AZ65" s="48">
        <f ca="1">IFERROR(__xludf.DUMMYFUNCTION("SUM( FILTER(C65:AA65, ISNUMBER(SEARCH(""Practice"", $C$1:$AA$1)) ) )  / 
  SUM( FILTER(C$75:AA$75, ISNUMBER(SEARCH(""Practice"", $C$1:$AA$1))))*0.1
+
(SUM( FILTER(C65:T65, ISNUMBER(SEARCH(""Before RETAKE"", $C$1:$T$1)) ) )
+
SUM( FILTER(U65:AD65, ISNUMBER"&amp;"(SEARCH(""Before RETAKE"", $U$1:$AD$1)) ) ))  / 
  SUM( FILTER(C$75:AA$75, ISNUMBER(SEARCH(""BEFORE RETAKE"", $C$1:$AA$1))))*0.6 
+ 
AM65* 0.3"),0.797229166666666)</f>
        <v>0.79722916666666599</v>
      </c>
      <c r="BA65" s="55">
        <f t="shared" si="21"/>
        <v>79.098900130876871</v>
      </c>
      <c r="BB65" s="21">
        <f t="shared" si="14"/>
        <v>1</v>
      </c>
      <c r="BC65" s="55">
        <f t="shared" si="15"/>
        <v>50.63461538461538</v>
      </c>
    </row>
    <row r="66" spans="1:58" ht="12.75" x14ac:dyDescent="0.2">
      <c r="A66" s="26" t="s">
        <v>406</v>
      </c>
      <c r="B66" s="26" t="s">
        <v>461</v>
      </c>
      <c r="C66" s="19" t="s">
        <v>7</v>
      </c>
      <c r="D66" s="20">
        <v>15</v>
      </c>
      <c r="E66" s="20">
        <v>15</v>
      </c>
      <c r="F66" s="20">
        <v>11</v>
      </c>
      <c r="G66" s="20" t="e">
        <f t="shared" ca="1" si="22"/>
        <v>#NAME?</v>
      </c>
      <c r="H66" s="20">
        <v>92</v>
      </c>
      <c r="I66" s="48">
        <f ca="1">IFERROR(__xludf.DUMMYFUNCTION("Sum(FILTER(C66:H66, $C$1:$H$1=""Unit 1 Practice""))/Sum(FILTER(C$75:H$75, $C$1:$H$1=""Unit 1 Practice""))*0.1 + Sum(FILTER(C66:H66, $C$1:$H$1=""Unit 1 Test (before retake)""))/Sum(FILTER(C$75:H$75, $C$1:$H$1=""Unit 1 Test (before retake)""))*0.6 + 0.3"),0.948202531645569)</f>
        <v>0.948202531645569</v>
      </c>
      <c r="J66" s="20" t="s">
        <v>462</v>
      </c>
      <c r="K66" s="20">
        <v>92</v>
      </c>
      <c r="L66" s="48">
        <f ca="1">IFERROR(__xludf.DUMMYFUNCTION("SUM( FILTER(C66:K66, ISNUMBER(SEARCH(""Practice"", $C$1:$K$1)) ) )  / 
  SUM( FILTER(C$75:K$75, ISNUMBER(SEARCH(""Practice"", $C$1:$K$1))))*0.1
+
SUM( FILTER(C66:K66, ISNUMBER(SEARCH(""AFTER RETAKE"", $C$1:$K$1)) ) )  / 
  SUM( FILTER(C$75:K$75, ISNUMBER"&amp;"(SEARCH(""AFTER RETAKE"", $C$1:$K$1))))*0.6 + 0.3
"),0.948202531645569)</f>
        <v>0.948202531645569</v>
      </c>
      <c r="M66" s="20">
        <v>18</v>
      </c>
      <c r="N66" s="20">
        <v>13</v>
      </c>
      <c r="O66" s="20">
        <v>12</v>
      </c>
      <c r="P66" s="20" t="e">
        <f t="shared" ca="1" si="1"/>
        <v>#NAME?</v>
      </c>
      <c r="Q66" s="20">
        <v>92</v>
      </c>
      <c r="R66" s="48">
        <f ca="1">IFERROR(__xludf.DUMMYFUNCTION("SUM( FILTER(C66:T66, ISNUMBER(SEARCH(""Practice"", $C$1:$T$1)) ) )  / 
  SUM( FILTER(C$75:T$75, ISNUMBER(SEARCH(""Practice"", $C$1:$T$1))))*0.1
+
(SUM( FILTER(C66:K66, ISNUMBER(SEARCH(""AFTER RETAKE"", $C$1:$K$1)) ) )+SUM( FILTER(K66:T66, ISNUMBER(SEARCH"&amp;"(""BEFORE RETAKE"", $K$1:$T$1)) ) ))  / 
  SUM( FILTER(C$75:T$75, ISNUMBER(SEARCH(""BEFORE RETAKE"", $C$1:$T$1))))*0.6 + 0.3"),0.949169811320754)</f>
        <v>0.94916981132075395</v>
      </c>
      <c r="S66" s="20" t="s">
        <v>462</v>
      </c>
      <c r="T66" s="20">
        <v>92</v>
      </c>
      <c r="U66" s="48">
        <f ca="1">IFERROR(__xludf.DUMMYFUNCTION("SUM( FILTER(C66:T66, ISNUMBER(SEARCH(""Practice"", $C$1:$T$1)) ) )  / 
  SUM( FILTER(C$75:T$75, ISNUMBER(SEARCH(""Practice"", $C$1:$T$1))))*0.1
+
SUM( FILTER(C66:T66, ISNUMBER(SEARCH(""AFTER RETAKE"", $C$1:$T$1)) ) )  / 
  SUM( FILTER(C$75:T$75, ISNUMBER"&amp;"(SEARCH(""AFTER RETAKE"", $C$1:$T$1))))*0.6 + 0.3
"),0.949169811320754)</f>
        <v>0.94916981132075395</v>
      </c>
      <c r="V66" s="20">
        <v>10</v>
      </c>
      <c r="W66" s="20">
        <v>10</v>
      </c>
      <c r="X66" s="20">
        <v>11</v>
      </c>
      <c r="Y66" s="20">
        <v>11</v>
      </c>
      <c r="Z66" s="20" t="e">
        <f t="shared" ca="1" si="18"/>
        <v>#NAME?</v>
      </c>
      <c r="AA66" s="20">
        <v>100</v>
      </c>
      <c r="AB66" s="48">
        <f ca="1">IFERROR(__xludf.DUMMYFUNCTION("SUM( FILTER(C66:AA66, ISNUMBER(SEARCH(""Practice"", $C$1:$AA$1)) ) )  / 
  SUM( FILTER(C$75:AA$75, ISNUMBER(SEARCH(""Practice"", $C$1:$AA$1))))*0.1
+
(SUM( FILTER(C66:T66, ISNUMBER(SEARCH(""AFTER RETAKE"", $C$1:$T$1)) ) )+SUM( FILTER(T66:AA66, ISNUMBER(S"&amp;"EARCH(""BEFORE RETAKE"", $T$1:$AA$1)) ) ))  / 
  SUM( FILTER(C$75:AA$75, ISNUMBER(SEARCH(""BEFORE RETAKE"", $C$1:$AA$1))))*0.6 + 0.3"),0.964458333333333)</f>
        <v>0.96445833333333297</v>
      </c>
      <c r="AC66" s="20" t="s">
        <v>462</v>
      </c>
      <c r="AD66" s="20">
        <v>100</v>
      </c>
      <c r="AE66" s="48">
        <f ca="1">IFERROR(__xludf.DUMMYFUNCTION("SUM( FILTER(C66:AA66, ISNUMBER(SEARCH(""Practice"", $C$1:$AA$1)) ) )  / 
  SUM( FILTER(C$75:AA$75, ISNUMBER(SEARCH(""Practice"", $C$1:$AA$1))))*0.1
+
SUM( FILTER(C66:AD66, ISNUMBER(SEARCH(""AFTER RETAKE"", $C$1:$AD$1)) ) )
  / 
  SUM( FILTER(C$75:AD$75, I"&amp;"SNUMBER(SEARCH(""BEFORE RETAKE"", $C$1:$AD$1))))*0.6 
+ 
0.3"),0.964458333333333)</f>
        <v>0.96445833333333297</v>
      </c>
      <c r="AF66" s="20" t="s">
        <v>811</v>
      </c>
      <c r="AG66" s="20">
        <v>22</v>
      </c>
      <c r="AH66" s="20">
        <v>10</v>
      </c>
      <c r="AI66" s="20">
        <v>28</v>
      </c>
      <c r="AJ66" s="20">
        <v>12</v>
      </c>
      <c r="AK66" s="20">
        <v>95</v>
      </c>
      <c r="AM66" s="21">
        <v>1</v>
      </c>
      <c r="AO66" s="55">
        <f t="shared" si="3"/>
        <v>97.61904761904762</v>
      </c>
      <c r="AP66" s="21">
        <f t="shared" si="4"/>
        <v>0</v>
      </c>
      <c r="AQ66" s="55">
        <f t="shared" si="5"/>
        <v>100</v>
      </c>
      <c r="AR66" s="21">
        <f t="shared" si="6"/>
        <v>0</v>
      </c>
      <c r="AS66" s="55">
        <f t="shared" si="19"/>
        <v>95.454545454545453</v>
      </c>
      <c r="AT66" s="21">
        <f t="shared" si="8"/>
        <v>0</v>
      </c>
      <c r="AU66" s="55">
        <f t="shared" si="20"/>
        <v>100</v>
      </c>
      <c r="AV66" s="21">
        <f t="shared" si="10"/>
        <v>0</v>
      </c>
      <c r="AW66" s="20">
        <f t="shared" si="11"/>
        <v>94.666666666666671</v>
      </c>
      <c r="AX66" s="20">
        <f t="shared" si="12"/>
        <v>94.666666666666671</v>
      </c>
      <c r="AY66" s="48">
        <f ca="1">IFERROR(__xludf.DUMMYFUNCTION("SUM( FILTER(C66:AA66, ISNUMBER(SEARCH(""Practice"", $C$1:$AA$1)) ) )  / 
  SUM( FILTER(C$75:AA$75, ISNUMBER(SEARCH(""Practice"", $C$1:$AA$1))))*0.1
+
(SUM( FILTER(C66:T66, ISNUMBER(SEARCH(""AFTER RETAKE"", $C$1:$T$1)) ) )
+
SUM( FILTER(U66:AD66, ISNUMBER("&amp;"SEARCH(""AFTER RETAKE"", $U$1:$AD$1)) ) ))  / 
  SUM( FILTER(C$75:AA$75, ISNUMBER(SEARCH(""BEFORE RETAKE"", $C$1:$AA$1))))*0.6 
+ 
 AM66*0.3"),0.964458333333333)</f>
        <v>0.96445833333333297</v>
      </c>
      <c r="AZ66" s="48">
        <f ca="1">IFERROR(__xludf.DUMMYFUNCTION("SUM( FILTER(C66:AA66, ISNUMBER(SEARCH(""Practice"", $C$1:$AA$1)) ) )  / 
  SUM( FILTER(C$75:AA$75, ISNUMBER(SEARCH(""Practice"", $C$1:$AA$1))))*0.1
+
(SUM( FILTER(C66:T66, ISNUMBER(SEARCH(""Before RETAKE"", $C$1:$T$1)) ) )
+
SUM( FILTER(U66:AD66, ISNUMBER"&amp;"(SEARCH(""Before RETAKE"", $U$1:$AD$1)) ) ))  / 
  SUM( FILTER(C$75:AA$75, ISNUMBER(SEARCH(""BEFORE RETAKE"", $C$1:$AA$1))))*0.6 
+ 
AM66* 0.3"),0.964458333333333)</f>
        <v>0.96445833333333297</v>
      </c>
      <c r="BA66" s="55">
        <f t="shared" si="21"/>
        <v>98.268398268398272</v>
      </c>
      <c r="BB66" s="21">
        <f t="shared" si="14"/>
        <v>0</v>
      </c>
      <c r="BC66" s="55">
        <f t="shared" si="15"/>
        <v>88.461538461538453</v>
      </c>
    </row>
    <row r="67" spans="1:58" ht="12.75" x14ac:dyDescent="0.2">
      <c r="A67" s="26" t="s">
        <v>408</v>
      </c>
      <c r="B67" s="26" t="s">
        <v>461</v>
      </c>
      <c r="C67" s="19" t="s">
        <v>8</v>
      </c>
      <c r="D67" s="20">
        <v>6.5</v>
      </c>
      <c r="E67" s="20">
        <v>6.5</v>
      </c>
      <c r="F67" s="20">
        <v>8.33</v>
      </c>
      <c r="G67" s="20" t="e">
        <f t="shared" ca="1" si="22"/>
        <v>#NAME?</v>
      </c>
      <c r="H67" s="20">
        <v>85</v>
      </c>
      <c r="I67" s="48">
        <f ca="1">IFERROR(__xludf.DUMMYFUNCTION("Sum(FILTER(C67:H67, $C$1:$H$1=""Unit 1 Practice""))/Sum(FILTER(C$75:H$75, $C$1:$H$1=""Unit 1 Practice""))*0.1 + Sum(FILTER(C67:H67, $C$1:$H$1=""Unit 1 Test (before retake)""))/Sum(FILTER(C$75:H$75, $C$1:$H$1=""Unit 1 Test (before retake)""))*0.6 + 0.3"),0.878354430379746)</f>
        <v>0.87835443037974603</v>
      </c>
      <c r="J67" s="20" t="s">
        <v>462</v>
      </c>
      <c r="K67" s="20">
        <v>85</v>
      </c>
      <c r="L67" s="48">
        <f ca="1">IFERROR(__xludf.DUMMYFUNCTION("SUM( FILTER(C67:K67, ISNUMBER(SEARCH(""Practice"", $C$1:$K$1)) ) )  / 
  SUM( FILTER(C$75:K$75, ISNUMBER(SEARCH(""Practice"", $C$1:$K$1))))*0.1
+
SUM( FILTER(C67:K67, ISNUMBER(SEARCH(""AFTER RETAKE"", $C$1:$K$1)) ) )  / 
  SUM( FILTER(C$75:K$75, ISNUMBER"&amp;"(SEARCH(""AFTER RETAKE"", $C$1:$K$1))))*0.6 + 0.3
"),0.878354430379746)</f>
        <v>0.87835443037974603</v>
      </c>
      <c r="M67" s="20">
        <v>18</v>
      </c>
      <c r="N67" s="20">
        <v>9.6999999999999993</v>
      </c>
      <c r="O67" s="20">
        <v>12</v>
      </c>
      <c r="P67" s="20" t="e">
        <f t="shared" ca="1" si="1"/>
        <v>#NAME?</v>
      </c>
      <c r="Q67" s="20">
        <v>75</v>
      </c>
      <c r="R67" s="48">
        <f ca="1">IFERROR(__xludf.DUMMYFUNCTION("SUM( FILTER(C67:T67, ISNUMBER(SEARCH(""Practice"", $C$1:$T$1)) ) )  / 
  SUM( FILTER(C$75:T$75, ISNUMBER(SEARCH(""Practice"", $C$1:$T$1))))*0.1
+
(SUM( FILTER(C67:K67, ISNUMBER(SEARCH(""AFTER RETAKE"", $C$1:$K$1)) ) )+SUM( FILTER(K67:T67, ISNUMBER(SEARCH"&amp;"(""BEFORE RETAKE"", $K$1:$T$1)) ) ))  / 
  SUM( FILTER(C$75:T$75, ISNUMBER(SEARCH(""BEFORE RETAKE"", $C$1:$T$1))))*0.6 + 0.3"),0.86125786163522)</f>
        <v>0.86125786163522</v>
      </c>
      <c r="S67" s="20">
        <v>92</v>
      </c>
      <c r="T67" s="20">
        <v>92</v>
      </c>
      <c r="U67" s="48">
        <f ca="1">IFERROR(__xludf.DUMMYFUNCTION("SUM( FILTER(C67:T67, ISNUMBER(SEARCH(""Practice"", $C$1:$T$1)) ) )  / 
  SUM( FILTER(C$75:T$75, ISNUMBER(SEARCH(""Practice"", $C$1:$T$1))))*0.1
+
SUM( FILTER(C67:T67, ISNUMBER(SEARCH(""AFTER RETAKE"", $C$1:$T$1)) ) )  / 
  SUM( FILTER(C$75:T$75, ISNUMBER"&amp;"(SEARCH(""AFTER RETAKE"", $C$1:$T$1))))*0.6 + 0.3
"),0.91225786163522)</f>
        <v>0.91225786163522005</v>
      </c>
      <c r="V67" s="20">
        <v>10</v>
      </c>
      <c r="W67" s="20">
        <v>10</v>
      </c>
      <c r="X67" s="20">
        <v>11</v>
      </c>
      <c r="Y67" s="20">
        <v>11</v>
      </c>
      <c r="Z67" s="20" t="e">
        <f t="shared" ca="1" si="18"/>
        <v>#NAME?</v>
      </c>
      <c r="AA67" s="20">
        <v>75</v>
      </c>
      <c r="AB67" s="48">
        <f ca="1">IFERROR(__xludf.DUMMYFUNCTION("SUM( FILTER(C67:AA67, ISNUMBER(SEARCH(""Practice"", $C$1:$AA$1)) ) )  / 
  SUM( FILTER(C$75:AA$75, ISNUMBER(SEARCH(""Practice"", $C$1:$AA$1))))*0.1
+
(SUM( FILTER(C67:T67, ISNUMBER(SEARCH(""AFTER RETAKE"", $C$1:$T$1)) ) )+SUM( FILTER(T67:AA67, ISNUMBER(S"&amp;"EARCH(""BEFORE RETAKE"", $T$1:$AA$1)) ) ))  / 
  SUM( FILTER(C$75:AA$75, ISNUMBER(SEARCH(""BEFORE RETAKE"", $C$1:$AA$1))))*0.6 + 0.3"),0.889916666666666)</f>
        <v>0.88991666666666602</v>
      </c>
      <c r="AC67" s="20">
        <v>75</v>
      </c>
      <c r="AD67" s="20">
        <v>75</v>
      </c>
      <c r="AE67" s="48">
        <f ca="1">IFERROR(__xludf.DUMMYFUNCTION("SUM( FILTER(C67:AA67, ISNUMBER(SEARCH(""Practice"", $C$1:$AA$1)) ) )  / 
  SUM( FILTER(C$75:AA$75, ISNUMBER(SEARCH(""Practice"", $C$1:$AA$1))))*0.1
+
SUM( FILTER(C67:AD67, ISNUMBER(SEARCH(""AFTER RETAKE"", $C$1:$AD$1)) ) )
  / 
  SUM( FILTER(C$75:AD$75, I"&amp;"SNUMBER(SEARCH(""BEFORE RETAKE"", $C$1:$AD$1))))*0.6 
+ 
0.3"),0.889916666666666)</f>
        <v>0.88991666666666602</v>
      </c>
      <c r="AF67" s="20" t="s">
        <v>811</v>
      </c>
      <c r="AG67" s="20">
        <v>21.8</v>
      </c>
      <c r="AH67" s="20">
        <v>9.25</v>
      </c>
      <c r="AI67" s="20">
        <v>17</v>
      </c>
      <c r="AJ67" s="20">
        <v>13</v>
      </c>
      <c r="AK67" s="20">
        <v>100</v>
      </c>
      <c r="AM67" s="21">
        <v>0.82</v>
      </c>
      <c r="AO67" s="55">
        <f t="shared" si="3"/>
        <v>50.785714285714278</v>
      </c>
      <c r="AP67" s="21">
        <f t="shared" si="4"/>
        <v>0</v>
      </c>
      <c r="AQ67" s="55">
        <f t="shared" si="5"/>
        <v>92.325581395348848</v>
      </c>
      <c r="AR67" s="21">
        <f t="shared" si="6"/>
        <v>0</v>
      </c>
      <c r="AS67" s="55">
        <f t="shared" si="19"/>
        <v>95.454545454545453</v>
      </c>
      <c r="AT67" s="21">
        <f t="shared" si="8"/>
        <v>0</v>
      </c>
      <c r="AU67" s="55">
        <f t="shared" si="20"/>
        <v>80.083333333333329</v>
      </c>
      <c r="AV67" s="21">
        <f t="shared" si="10"/>
        <v>0</v>
      </c>
      <c r="AW67" s="20">
        <f t="shared" si="11"/>
        <v>78.333333333333329</v>
      </c>
      <c r="AX67" s="20">
        <f t="shared" si="12"/>
        <v>84</v>
      </c>
      <c r="AY67" s="48">
        <f ca="1">IFERROR(__xludf.DUMMYFUNCTION("SUM( FILTER(C67:AA67, ISNUMBER(SEARCH(""Practice"", $C$1:$AA$1)) ) )  / 
  SUM( FILTER(C$75:AA$75, ISNUMBER(SEARCH(""Practice"", $C$1:$AA$1))))*0.1
+
(SUM( FILTER(C67:T67, ISNUMBER(SEARCH(""AFTER RETAKE"", $C$1:$T$1)) ) )
+
SUM( FILTER(U67:AD67, ISNUMBER("&amp;"SEARCH(""AFTER RETAKE"", $U$1:$AD$1)) ) ))  / 
  SUM( FILTER(C$75:AA$75, ISNUMBER(SEARCH(""BEFORE RETAKE"", $C$1:$AA$1))))*0.6 
+ 
 AM67*0.3"),0.835916666666666)</f>
        <v>0.83591666666666598</v>
      </c>
      <c r="AZ67" s="48">
        <f ca="1">IFERROR(__xludf.DUMMYFUNCTION("SUM( FILTER(C67:AA67, ISNUMBER(SEARCH(""Practice"", $C$1:$AA$1)) ) )  / 
  SUM( FILTER(C$75:AA$75, ISNUMBER(SEARCH(""Practice"", $C$1:$AA$1))))*0.1
+
(SUM( FILTER(C67:T67, ISNUMBER(SEARCH(""Before RETAKE"", $C$1:$T$1)) ) )
+
SUM( FILTER(U67:AD67, ISNUMBER"&amp;"(SEARCH(""Before RETAKE"", $U$1:$AD$1)) ) ))  / 
  SUM( FILTER(C$75:AA$75, ISNUMBER(SEARCH(""BEFORE RETAKE"", $C$1:$AA$1))))*0.6 
+ 
AM67* 0.3"),0.801916666666666)</f>
        <v>0.80191666666666594</v>
      </c>
      <c r="BA67" s="55">
        <f t="shared" si="21"/>
        <v>79.662293617235477</v>
      </c>
      <c r="BB67" s="21">
        <f t="shared" si="14"/>
        <v>0</v>
      </c>
      <c r="BC67" s="55">
        <f t="shared" si="15"/>
        <v>85.249999999999986</v>
      </c>
    </row>
    <row r="68" spans="1:58" ht="12.75" x14ac:dyDescent="0.2">
      <c r="A68" s="26" t="s">
        <v>410</v>
      </c>
      <c r="B68" s="26" t="s">
        <v>464</v>
      </c>
      <c r="C68" s="19" t="s">
        <v>8</v>
      </c>
      <c r="D68" s="20">
        <v>10.5</v>
      </c>
      <c r="E68" s="20">
        <v>10.5</v>
      </c>
      <c r="F68" s="20">
        <v>8.5</v>
      </c>
      <c r="G68" s="20" t="e">
        <f t="shared" ca="1" si="22"/>
        <v>#NAME?</v>
      </c>
      <c r="H68" s="20">
        <v>75</v>
      </c>
      <c r="I68" s="48">
        <f ca="1">IFERROR(__xludf.DUMMYFUNCTION("Sum(FILTER(C68:H68, $C$1:$H$1=""Unit 1 Practice""))/Sum(FILTER(C$75:H$75, $C$1:$H$1=""Unit 1 Practice""))*0.1 + Sum(FILTER(C68:H68, $C$1:$H$1=""Unit 1 Test (before retake)""))/Sum(FILTER(C$75:H$75, $C$1:$H$1=""Unit 1 Test (before retake)""))*0.6 + 0.3"),0.830379746835443)</f>
        <v>0.83037974683544302</v>
      </c>
      <c r="J68" s="20" t="s">
        <v>462</v>
      </c>
      <c r="K68" s="20">
        <v>75</v>
      </c>
      <c r="L68" s="48">
        <f ca="1">IFERROR(__xludf.DUMMYFUNCTION("SUM( FILTER(C68:K68, ISNUMBER(SEARCH(""Practice"", $C$1:$K$1)) ) )  / 
  SUM( FILTER(C$75:K$75, ISNUMBER(SEARCH(""Practice"", $C$1:$K$1))))*0.1
+
SUM( FILTER(C68:K68, ISNUMBER(SEARCH(""AFTER RETAKE"", $C$1:$K$1)) ) )  / 
  SUM( FILTER(C$75:K$75, ISNUMBER"&amp;"(SEARCH(""AFTER RETAKE"", $C$1:$K$1))))*0.6 + 0.3
"),0.830379746835443)</f>
        <v>0.83037974683544302</v>
      </c>
      <c r="M68" s="20">
        <v>16</v>
      </c>
      <c r="N68" s="20">
        <v>8.1</v>
      </c>
      <c r="O68" s="20">
        <v>12</v>
      </c>
      <c r="P68" s="20" t="e">
        <f t="shared" ca="1" si="1"/>
        <v>#NAME?</v>
      </c>
      <c r="Q68" s="20">
        <v>72</v>
      </c>
      <c r="R68" s="48">
        <f ca="1">IFERROR(__xludf.DUMMYFUNCTION("SUM( FILTER(C68:T68, ISNUMBER(SEARCH(""Practice"", $C$1:$T$1)) ) )  / 
  SUM( FILTER(C$75:T$75, ISNUMBER(SEARCH(""Practice"", $C$1:$T$1))))*0.1
+
(SUM( FILTER(C68:K68, ISNUMBER(SEARCH(""AFTER RETAKE"", $C$1:$K$1)) ) )+SUM( FILTER(K68:T68, ISNUMBER(SEARCH"&amp;"(""BEFORE RETAKE"", $K$1:$T$1)) ) ))  / 
  SUM( FILTER(C$75:T$75, ISNUMBER(SEARCH(""BEFORE RETAKE"", $C$1:$T$1))))*0.6 + 0.3"),0.825968553459119)</f>
        <v>0.82596855345911901</v>
      </c>
      <c r="S68" s="20">
        <v>85</v>
      </c>
      <c r="T68" s="20">
        <v>85</v>
      </c>
      <c r="U68" s="48">
        <f ca="1">IFERROR(__xludf.DUMMYFUNCTION("SUM( FILTER(C68:T68, ISNUMBER(SEARCH(""Practice"", $C$1:$T$1)) ) )  / 
  SUM( FILTER(C$75:T$75, ISNUMBER(SEARCH(""Practice"", $C$1:$T$1))))*0.1
+
SUM( FILTER(C68:T68, ISNUMBER(SEARCH(""AFTER RETAKE"", $C$1:$T$1)) ) )  / 
  SUM( FILTER(C$75:T$75, ISNUMBER"&amp;"(SEARCH(""AFTER RETAKE"", $C$1:$T$1))))*0.6 + 0.3
"),0.864968553459119)</f>
        <v>0.86496855345911905</v>
      </c>
      <c r="V68" s="20">
        <v>10</v>
      </c>
      <c r="W68" s="20">
        <v>8</v>
      </c>
      <c r="X68" s="20">
        <v>10</v>
      </c>
      <c r="Y68" s="20">
        <v>10</v>
      </c>
      <c r="Z68" s="20" t="e">
        <f t="shared" ca="1" si="18"/>
        <v>#NAME?</v>
      </c>
      <c r="AA68" s="20">
        <v>75</v>
      </c>
      <c r="AB68" s="48">
        <f ca="1">IFERROR(__xludf.DUMMYFUNCTION("SUM( FILTER(C68:AA68, ISNUMBER(SEARCH(""Practice"", $C$1:$AA$1)) ) )  / 
  SUM( FILTER(C$75:AA$75, ISNUMBER(SEARCH(""Practice"", $C$1:$AA$1))))*0.1
+
(SUM( FILTER(C68:T68, ISNUMBER(SEARCH(""AFTER RETAKE"", $C$1:$T$1)) ) )+SUM( FILTER(T68:AA68, ISNUMBER(S"&amp;"EARCH(""BEFORE RETAKE"", $T$1:$AA$1)) ) ))  / 
  SUM( FILTER(C$75:AA$75, ISNUMBER(SEARCH(""BEFORE RETAKE"", $C$1:$AA$1))))*0.6 + 0.3"),0.856291666666666)</f>
        <v>0.85629166666666601</v>
      </c>
      <c r="AC68" s="20" t="s">
        <v>462</v>
      </c>
      <c r="AD68" s="20">
        <v>75</v>
      </c>
      <c r="AE68" s="48">
        <f ca="1">IFERROR(__xludf.DUMMYFUNCTION("SUM( FILTER(C68:AA68, ISNUMBER(SEARCH(""Practice"", $C$1:$AA$1)) ) )  / 
  SUM( FILTER(C$75:AA$75, ISNUMBER(SEARCH(""Practice"", $C$1:$AA$1))))*0.1
+
SUM( FILTER(C68:AD68, ISNUMBER(SEARCH(""AFTER RETAKE"", $C$1:$AD$1)) ) )
  / 
  SUM( FILTER(C$75:AD$75, I"&amp;"SNUMBER(SEARCH(""BEFORE RETAKE"", $C$1:$AD$1))))*0.6 
+ 
0.3"),0.856291666666666)</f>
        <v>0.85629166666666601</v>
      </c>
      <c r="AF68" s="20" t="s">
        <v>811</v>
      </c>
      <c r="AG68" s="20">
        <v>21</v>
      </c>
      <c r="AH68" s="20">
        <v>8</v>
      </c>
      <c r="AI68" s="20">
        <v>27</v>
      </c>
      <c r="AJ68" s="20">
        <v>11.83</v>
      </c>
      <c r="AK68" s="20">
        <v>95</v>
      </c>
      <c r="AM68" s="21">
        <v>0.72</v>
      </c>
      <c r="AO68" s="55">
        <f t="shared" si="3"/>
        <v>70.238095238095227</v>
      </c>
      <c r="AP68" s="21">
        <f t="shared" si="4"/>
        <v>0</v>
      </c>
      <c r="AQ68" s="55">
        <f t="shared" si="5"/>
        <v>83.95348837209302</v>
      </c>
      <c r="AR68" s="21">
        <f t="shared" si="6"/>
        <v>0</v>
      </c>
      <c r="AS68" s="55">
        <f t="shared" si="19"/>
        <v>86.36363636363636</v>
      </c>
      <c r="AT68" s="21">
        <f t="shared" si="8"/>
        <v>0</v>
      </c>
      <c r="AU68" s="55">
        <f t="shared" si="20"/>
        <v>93.333333333333329</v>
      </c>
      <c r="AV68" s="21">
        <f t="shared" si="10"/>
        <v>0</v>
      </c>
      <c r="AW68" s="20">
        <f t="shared" si="11"/>
        <v>74</v>
      </c>
      <c r="AX68" s="20">
        <f t="shared" si="12"/>
        <v>78.333333333333329</v>
      </c>
      <c r="AY68" s="48">
        <f ca="1">IFERROR(__xludf.DUMMYFUNCTION("SUM( FILTER(C68:AA68, ISNUMBER(SEARCH(""Practice"", $C$1:$AA$1)) ) )  / 
  SUM( FILTER(C$75:AA$75, ISNUMBER(SEARCH(""Practice"", $C$1:$AA$1))))*0.1
+
(SUM( FILTER(C68:T68, ISNUMBER(SEARCH(""AFTER RETAKE"", $C$1:$T$1)) ) )
+
SUM( FILTER(U68:AD68, ISNUMBER("&amp;"SEARCH(""AFTER RETAKE"", $U$1:$AD$1)) ) ))  / 
  SUM( FILTER(C$75:AA$75, ISNUMBER(SEARCH(""BEFORE RETAKE"", $C$1:$AA$1))))*0.6 
+ 
 AM68*0.3"),0.772291666666666)</f>
        <v>0.77229166666666604</v>
      </c>
      <c r="AZ68" s="48">
        <f ca="1">IFERROR(__xludf.DUMMYFUNCTION("SUM( FILTER(C68:AA68, ISNUMBER(SEARCH(""Practice"", $C$1:$AA$1)) ) )  / 
  SUM( FILTER(C$75:AA$75, ISNUMBER(SEARCH(""Practice"", $C$1:$AA$1))))*0.1
+
(SUM( FILTER(C68:T68, ISNUMBER(SEARCH(""Before RETAKE"", $C$1:$T$1)) ) )
+
SUM( FILTER(U68:AD68, ISNUMBER"&amp;"(SEARCH(""Before RETAKE"", $U$1:$AD$1)) ) ))  / 
  SUM( FILTER(C$75:AA$75, ISNUMBER(SEARCH(""BEFORE RETAKE"", $C$1:$AA$1))))*0.6 
+ 
AM68* 0.3"),0.746291666666666)</f>
        <v>0.74629166666666602</v>
      </c>
      <c r="BA68" s="55">
        <f t="shared" si="21"/>
        <v>83.472138326789477</v>
      </c>
      <c r="BB68" s="21">
        <f t="shared" si="14"/>
        <v>0</v>
      </c>
      <c r="BC68" s="55">
        <f t="shared" si="15"/>
        <v>81.403846153846146</v>
      </c>
    </row>
    <row r="69" spans="1:58" ht="12.75" x14ac:dyDescent="0.2">
      <c r="G69" s="20"/>
      <c r="I69" s="48"/>
      <c r="L69" s="48"/>
      <c r="R69" s="48"/>
      <c r="U69" s="48"/>
      <c r="AB69" s="48"/>
      <c r="AY69" s="48"/>
      <c r="AZ69" s="48"/>
    </row>
    <row r="70" spans="1:58" ht="12.75" x14ac:dyDescent="0.2">
      <c r="A70" s="24" t="s">
        <v>740</v>
      </c>
      <c r="B70" s="24"/>
      <c r="C70" s="24"/>
      <c r="D70" s="50">
        <f t="shared" ref="D70:H70" si="23">AVERAGE(D3:D68)</f>
        <v>12.466101694915254</v>
      </c>
      <c r="E70" s="50">
        <f t="shared" si="23"/>
        <v>10.098360655737705</v>
      </c>
      <c r="F70" s="50">
        <f t="shared" si="23"/>
        <v>8.2566129032258093</v>
      </c>
      <c r="G70" s="50" t="e">
        <f t="shared" ca="1" si="23"/>
        <v>#NAME?</v>
      </c>
      <c r="H70" s="50">
        <f t="shared" si="23"/>
        <v>79.454545454545453</v>
      </c>
      <c r="I70" s="47"/>
      <c r="J70" s="50">
        <f t="shared" ref="J70:K70" si="24">AVERAGE(J3:J68)</f>
        <v>62</v>
      </c>
      <c r="K70" s="50">
        <f t="shared" si="24"/>
        <v>80.13636363636364</v>
      </c>
      <c r="L70" s="47"/>
      <c r="M70" s="50">
        <f t="shared" ref="M70:Q70" si="25">AVERAGE(M3:M68)</f>
        <v>15.5</v>
      </c>
      <c r="N70" s="50">
        <f t="shared" si="25"/>
        <v>9.1007692307692309</v>
      </c>
      <c r="O70" s="50">
        <f t="shared" si="25"/>
        <v>9.7742424242424235</v>
      </c>
      <c r="P70" s="50" t="e">
        <f t="shared" ca="1" si="25"/>
        <v>#NAME?</v>
      </c>
      <c r="Q70" s="50">
        <f t="shared" si="25"/>
        <v>72.738461538461536</v>
      </c>
      <c r="R70" s="47"/>
      <c r="S70" s="50">
        <f t="shared" ref="S70:T70" si="26">AVERAGE(S3:S68)</f>
        <v>79.319999999999993</v>
      </c>
      <c r="T70" s="50">
        <f t="shared" si="26"/>
        <v>78.907692307692301</v>
      </c>
      <c r="U70" s="47"/>
      <c r="V70" s="50">
        <f t="shared" ref="V70:AA70" si="27">AVERAGE(V3:V68)</f>
        <v>8.796153846153846</v>
      </c>
      <c r="W70" s="50">
        <f t="shared" si="27"/>
        <v>9.0615384615384613</v>
      </c>
      <c r="X70" s="50">
        <f t="shared" si="27"/>
        <v>9.3923076923076927</v>
      </c>
      <c r="Y70" s="50">
        <f t="shared" si="27"/>
        <v>7.9923076923076923</v>
      </c>
      <c r="Z70" s="50" t="e">
        <f t="shared" ca="1" si="27"/>
        <v>#NAME?</v>
      </c>
      <c r="AA70" s="50">
        <f t="shared" si="27"/>
        <v>76.41538461538461</v>
      </c>
      <c r="AB70" s="47"/>
      <c r="AC70" s="50">
        <f t="shared" ref="AC70:AD70" si="28">AVERAGE(AC3:AC68)</f>
        <v>74.684210526315795</v>
      </c>
      <c r="AD70" s="50">
        <f t="shared" si="28"/>
        <v>76.984615384615381</v>
      </c>
      <c r="AE70" s="24"/>
      <c r="AF70" s="24"/>
      <c r="AG70" s="50">
        <f t="shared" ref="AG70:AM70" si="29">AVERAGE(AG3:AG68)</f>
        <v>18.070769230769226</v>
      </c>
      <c r="AH70" s="50">
        <f t="shared" si="29"/>
        <v>7.0830769230769235</v>
      </c>
      <c r="AI70" s="50">
        <f t="shared" si="29"/>
        <v>12.180000000000001</v>
      </c>
      <c r="AJ70" s="50">
        <f t="shared" si="29"/>
        <v>10.28753846153846</v>
      </c>
      <c r="AK70" s="50">
        <f t="shared" si="29"/>
        <v>85.107692307692304</v>
      </c>
      <c r="AL70" s="24" t="e">
        <f t="shared" si="29"/>
        <v>#DIV/0!</v>
      </c>
      <c r="AM70" s="24">
        <f t="shared" si="29"/>
        <v>0.76046153846153841</v>
      </c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47"/>
      <c r="AZ70" s="47"/>
      <c r="BA70" s="24"/>
      <c r="BB70" s="24"/>
      <c r="BC70" s="24"/>
      <c r="BD70" s="24"/>
      <c r="BE70" s="24"/>
      <c r="BF70" s="24"/>
    </row>
    <row r="71" spans="1:58" ht="12.75" x14ac:dyDescent="0.2">
      <c r="A71" s="24" t="s">
        <v>812</v>
      </c>
      <c r="B71" s="24"/>
      <c r="C71" s="24"/>
      <c r="D71" s="47">
        <f t="shared" ref="D71:H71" si="30">D70/D75</f>
        <v>0.83107344632768365</v>
      </c>
      <c r="E71" s="47">
        <f t="shared" si="30"/>
        <v>0.72131147540983609</v>
      </c>
      <c r="F71" s="47">
        <f t="shared" si="30"/>
        <v>0.63512406947890843</v>
      </c>
      <c r="G71" s="47" t="e">
        <f t="shared" ca="1" si="30"/>
        <v>#NAME?</v>
      </c>
      <c r="H71" s="47">
        <f t="shared" si="30"/>
        <v>0.79454545454545455</v>
      </c>
      <c r="I71" s="47"/>
      <c r="J71" s="47" t="e">
        <f t="shared" ref="J71:K71" si="31">J70/J75</f>
        <v>#DIV/0!</v>
      </c>
      <c r="K71" s="47">
        <f t="shared" si="31"/>
        <v>0.80136363636363639</v>
      </c>
      <c r="L71" s="47"/>
      <c r="M71" s="47">
        <f t="shared" ref="M71:Q71" si="32">M70/M75</f>
        <v>0.86111111111111116</v>
      </c>
      <c r="N71" s="47">
        <f t="shared" si="32"/>
        <v>0.75839743589743591</v>
      </c>
      <c r="O71" s="47">
        <f t="shared" si="32"/>
        <v>0.75186480186480176</v>
      </c>
      <c r="P71" s="47" t="e">
        <f t="shared" ca="1" si="32"/>
        <v>#NAME?</v>
      </c>
      <c r="Q71" s="47">
        <f t="shared" si="32"/>
        <v>0.72738461538461541</v>
      </c>
      <c r="R71" s="47"/>
      <c r="S71" s="47">
        <f t="shared" ref="S71:T71" si="33">S70/S75</f>
        <v>0.79319999999999991</v>
      </c>
      <c r="T71" s="47">
        <f t="shared" si="33"/>
        <v>0.78907692307692301</v>
      </c>
      <c r="U71" s="47"/>
      <c r="V71" s="47">
        <f t="shared" ref="V71:AA71" si="34">V70/V75</f>
        <v>0.87961538461538458</v>
      </c>
      <c r="W71" s="47">
        <f t="shared" si="34"/>
        <v>0.90615384615384609</v>
      </c>
      <c r="X71" s="47">
        <f t="shared" si="34"/>
        <v>0.85384615384615392</v>
      </c>
      <c r="Y71" s="47">
        <f t="shared" si="34"/>
        <v>0.61479289940828408</v>
      </c>
      <c r="Z71" s="47" t="e">
        <f t="shared" ca="1" si="34"/>
        <v>#NAME?</v>
      </c>
      <c r="AA71" s="47">
        <f t="shared" si="34"/>
        <v>0.76415384615384607</v>
      </c>
      <c r="AB71" s="47"/>
      <c r="AC71" s="47">
        <f t="shared" ref="AC71:AD71" si="35">AC70/AC75</f>
        <v>0.74684210526315797</v>
      </c>
      <c r="AD71" s="47">
        <f t="shared" si="35"/>
        <v>0.76984615384615385</v>
      </c>
      <c r="AE71" s="47"/>
      <c r="AF71" s="47">
        <f t="shared" ref="AF71:AM71" si="36">AF70/AF75</f>
        <v>0</v>
      </c>
      <c r="AG71" s="47">
        <f t="shared" si="36"/>
        <v>0.82139860139860121</v>
      </c>
      <c r="AH71" s="47">
        <f t="shared" si="36"/>
        <v>0.7083076923076923</v>
      </c>
      <c r="AI71" s="47">
        <f t="shared" si="36"/>
        <v>0.43500000000000005</v>
      </c>
      <c r="AJ71" s="47">
        <f t="shared" si="36"/>
        <v>0.79134911242603545</v>
      </c>
      <c r="AK71" s="47">
        <f t="shared" si="36"/>
        <v>1.7021538461538461</v>
      </c>
      <c r="AL71" s="47" t="e">
        <f t="shared" si="36"/>
        <v>#DIV/0!</v>
      </c>
      <c r="AM71" s="47">
        <f t="shared" si="36"/>
        <v>7.6046153846153841E-3</v>
      </c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47"/>
      <c r="AZ71" s="47"/>
      <c r="BA71" s="24"/>
      <c r="BB71" s="24"/>
      <c r="BC71" s="24"/>
      <c r="BD71" s="24"/>
      <c r="BE71" s="24"/>
      <c r="BF71" s="24"/>
    </row>
    <row r="72" spans="1:58" ht="12.75" x14ac:dyDescent="0.2">
      <c r="A72" s="24" t="s">
        <v>813</v>
      </c>
      <c r="B72" s="24"/>
      <c r="C72" s="24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47"/>
      <c r="AZ72" s="47"/>
      <c r="BA72" s="24"/>
      <c r="BB72" s="24"/>
      <c r="BC72" s="24"/>
      <c r="BD72" s="24"/>
      <c r="BE72" s="24"/>
      <c r="BF72" s="24"/>
    </row>
    <row r="73" spans="1:58" ht="12.75" x14ac:dyDescent="0.2">
      <c r="A73" s="24" t="s">
        <v>814</v>
      </c>
      <c r="B73" s="24"/>
      <c r="C73" s="24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47"/>
      <c r="AZ73" s="47"/>
      <c r="BA73" s="24"/>
      <c r="BB73" s="24"/>
      <c r="BC73" s="24"/>
      <c r="BD73" s="24"/>
      <c r="BE73" s="24"/>
      <c r="BF73" s="24"/>
    </row>
    <row r="74" spans="1:58" ht="12.75" x14ac:dyDescent="0.2">
      <c r="A74" s="24"/>
      <c r="B74" s="24"/>
      <c r="C74" s="24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47"/>
      <c r="AZ74" s="47"/>
      <c r="BA74" s="24"/>
      <c r="BB74" s="24"/>
      <c r="BC74" s="24"/>
      <c r="BD74" s="24"/>
      <c r="BE74" s="24"/>
      <c r="BF74" s="24"/>
    </row>
    <row r="75" spans="1:58" ht="12.75" x14ac:dyDescent="0.2">
      <c r="A75" s="24" t="s">
        <v>743</v>
      </c>
      <c r="B75" s="24"/>
      <c r="C75" s="24"/>
      <c r="D75" s="24">
        <v>15</v>
      </c>
      <c r="E75" s="24">
        <v>14</v>
      </c>
      <c r="F75" s="24">
        <v>13</v>
      </c>
      <c r="G75" s="24">
        <v>50</v>
      </c>
      <c r="H75" s="24">
        <v>100</v>
      </c>
      <c r="I75" s="47"/>
      <c r="J75" s="24"/>
      <c r="K75" s="24">
        <v>100</v>
      </c>
      <c r="L75" s="47"/>
      <c r="M75" s="24">
        <v>18</v>
      </c>
      <c r="N75" s="24">
        <v>12</v>
      </c>
      <c r="O75" s="24">
        <v>13</v>
      </c>
      <c r="P75" s="24">
        <v>50</v>
      </c>
      <c r="Q75" s="24">
        <v>100</v>
      </c>
      <c r="R75" s="47"/>
      <c r="S75" s="24">
        <v>100</v>
      </c>
      <c r="T75" s="24">
        <v>100</v>
      </c>
      <c r="U75" s="47"/>
      <c r="V75" s="24">
        <v>10</v>
      </c>
      <c r="W75" s="24">
        <v>10</v>
      </c>
      <c r="X75" s="24">
        <v>11</v>
      </c>
      <c r="Y75" s="24">
        <v>13</v>
      </c>
      <c r="Z75" s="24">
        <v>50</v>
      </c>
      <c r="AA75" s="24">
        <v>100</v>
      </c>
      <c r="AB75" s="47"/>
      <c r="AC75" s="24">
        <v>100</v>
      </c>
      <c r="AD75" s="24">
        <v>100</v>
      </c>
      <c r="AE75" s="24"/>
      <c r="AF75" s="24">
        <v>24</v>
      </c>
      <c r="AG75" s="24">
        <v>22</v>
      </c>
      <c r="AH75" s="24">
        <v>10</v>
      </c>
      <c r="AI75" s="24">
        <v>28</v>
      </c>
      <c r="AJ75" s="24">
        <v>13</v>
      </c>
      <c r="AK75" s="24">
        <v>50</v>
      </c>
      <c r="AL75" s="24">
        <v>20</v>
      </c>
      <c r="AM75" s="24">
        <v>100</v>
      </c>
      <c r="AN75" s="24"/>
      <c r="AO75" s="24"/>
      <c r="AP75" s="24"/>
      <c r="AQ75" s="24"/>
      <c r="AR75" s="24"/>
      <c r="AS75" s="24"/>
      <c r="AT75" s="24"/>
      <c r="AU75" s="56"/>
      <c r="AV75" s="24"/>
      <c r="AW75" s="24"/>
      <c r="AX75" s="24"/>
      <c r="AY75" s="47"/>
      <c r="AZ75" s="47"/>
      <c r="BA75" s="56"/>
      <c r="BB75" s="24"/>
      <c r="BC75" s="56"/>
      <c r="BD75" s="56"/>
      <c r="BE75" s="56"/>
      <c r="BF75" s="56"/>
    </row>
    <row r="76" spans="1:58" ht="12.75" x14ac:dyDescent="0.2">
      <c r="I76" s="48"/>
      <c r="L76" s="48"/>
      <c r="R76" s="48"/>
      <c r="U76" s="48"/>
      <c r="AB76" s="48"/>
      <c r="AY76" s="48"/>
      <c r="AZ76" s="48"/>
    </row>
    <row r="77" spans="1:58" ht="15.75" x14ac:dyDescent="0.25">
      <c r="C77" s="52" t="s">
        <v>744</v>
      </c>
      <c r="I77" s="48"/>
      <c r="L77" s="48"/>
      <c r="R77" s="48"/>
      <c r="U77" s="48"/>
      <c r="AB77" s="48"/>
      <c r="AY77" s="48"/>
      <c r="AZ77" s="48"/>
    </row>
    <row r="78" spans="1:58" ht="12.75" x14ac:dyDescent="0.2">
      <c r="C78" s="38"/>
      <c r="I78" s="48"/>
      <c r="L78" s="48"/>
      <c r="R78" s="48"/>
      <c r="U78" s="48"/>
      <c r="AB78" s="48"/>
      <c r="AY78" s="48"/>
      <c r="AZ78" s="48"/>
    </row>
    <row r="79" spans="1:58" ht="25.5" x14ac:dyDescent="0.2">
      <c r="C79" s="25" t="s">
        <v>745</v>
      </c>
      <c r="D79" s="25" t="s">
        <v>746</v>
      </c>
      <c r="E79" s="25" t="s">
        <v>747</v>
      </c>
      <c r="F79" s="25" t="s">
        <v>748</v>
      </c>
      <c r="I79" s="48"/>
      <c r="L79" s="48"/>
      <c r="R79" s="48"/>
      <c r="U79" s="48"/>
      <c r="AB79" s="48"/>
      <c r="AY79" s="48"/>
      <c r="AZ79" s="48"/>
    </row>
    <row r="80" spans="1:58" ht="12.75" x14ac:dyDescent="0.2">
      <c r="C80" s="38">
        <f>COUNTIF(J3:J68, "&gt;0")</f>
        <v>5</v>
      </c>
      <c r="D80" s="38">
        <f>COUNTIF(S3:S68, "&gt;0")</f>
        <v>25</v>
      </c>
      <c r="E80" s="38">
        <f>COUNTIF(AC3:AC68, "&gt;0")</f>
        <v>19</v>
      </c>
      <c r="F80" s="21">
        <f>SUM(C80:E80)</f>
        <v>49</v>
      </c>
      <c r="I80" s="48"/>
      <c r="L80" s="48"/>
      <c r="R80" s="48"/>
      <c r="U80" s="48"/>
      <c r="AB80" s="48"/>
      <c r="AY80" s="48"/>
      <c r="AZ80" s="48"/>
    </row>
    <row r="83" spans="3:25" ht="76.5" x14ac:dyDescent="0.2">
      <c r="C83" s="25" t="s">
        <v>749</v>
      </c>
      <c r="D83" s="25" t="s">
        <v>750</v>
      </c>
      <c r="E83" s="25" t="s">
        <v>751</v>
      </c>
      <c r="F83" s="25" t="s">
        <v>752</v>
      </c>
      <c r="I83" s="48"/>
      <c r="K83" s="25" t="s">
        <v>753</v>
      </c>
      <c r="L83" s="53"/>
      <c r="M83" s="25" t="s">
        <v>754</v>
      </c>
      <c r="N83" s="25" t="s">
        <v>755</v>
      </c>
      <c r="O83" s="25" t="s">
        <v>756</v>
      </c>
      <c r="R83" s="48"/>
      <c r="U83" s="48"/>
      <c r="V83" s="25" t="s">
        <v>757</v>
      </c>
      <c r="W83" s="25" t="s">
        <v>758</v>
      </c>
      <c r="X83" s="25" t="s">
        <v>759</v>
      </c>
      <c r="Y83" s="25" t="s">
        <v>760</v>
      </c>
    </row>
    <row r="84" spans="3:25" ht="12.75" x14ac:dyDescent="0.2">
      <c r="C84" s="21">
        <f ca="1">IFERROR(__xludf.DUMMYFUNCTION(" COUNT(
FILTER(H3:H68, 
ISNUMBER(H3:H68), 
ISNUMBER(J3:J68), 
H3:H68 &gt;= J3:J68
)
)
"),1)</f>
        <v>1</v>
      </c>
      <c r="D84" s="38">
        <f ca="1">IFERROR(__xludf.DUMMYFUNCTION(" COUNT(
FILTER(H3:H68, 
ISNUMBER(H3:H68), 
ISNUMBER(J3:J68), 
J3:J68 - H3:H68 &lt; 5,J3:J68 - H3:H68 &gt; 0 
)
)"),2)</f>
        <v>2</v>
      </c>
      <c r="E84" s="38">
        <f ca="1">IFERROR(__xludf.DUMMYFUNCTION(" COUNT(
FILTER(H3:H68, 
ISNUMBER(H3:H68), 
ISNUMBER(J3:J68), 
J3:J68 - H3:H68 &lt; 10,J3:J68 - H3:H68 &gt;= 5 
)
)"),1)</f>
        <v>1</v>
      </c>
      <c r="F84" s="21">
        <f ca="1">IFERROR(__xludf.DUMMYFUNCTION(" COUNT(
FILTER(H3:H68, 
ISNUMBER(H3:H68), 
ISNUMBER(J3:J68), 
J3:J68 - H3:H68 &gt;= 10 
)
)"),1)</f>
        <v>1</v>
      </c>
      <c r="I84" s="48"/>
      <c r="K84" s="21">
        <f ca="1">IFERROR(__xludf.DUMMYFUNCTION(" COUNT(
FILTER(Q3:Q68, 
ISNUMBER(Q3:Q68), 
ISNUMBER(S3:S68), 
Q3:Q68 &gt;= S3:S68
)
)
"),2)</f>
        <v>2</v>
      </c>
      <c r="L84" s="48"/>
      <c r="M84" s="38">
        <f ca="1">IFERROR(__xludf.DUMMYFUNCTION(" COUNT(
FILTER(Q3:Q68, 
ISNUMBER(Q3:Q68), 
ISNUMBER(S3:S68), 
S3:S68 - Q3:Q68 &lt; 5,S3:S68 - Q3:Q68 &gt; 0 
)
)"),2)</f>
        <v>2</v>
      </c>
      <c r="N84" s="38">
        <f ca="1">IFERROR(__xludf.DUMMYFUNCTION(" COUNT(
FILTER(Q3:Q68, 
ISNUMBER(Q3:Q68), 
ISNUMBER(S3:S68), 
S3:S68 - Q3:Q68 &lt; 10,S3:S68 - Q3:Q68 &gt;= 5 
)
)"),4)</f>
        <v>4</v>
      </c>
      <c r="O84" s="21">
        <f ca="1">IFERROR(__xludf.DUMMYFUNCTION(" COUNT(
FILTER(Q3:Q68, 
ISNUMBER(Q3:Q68), 
ISNUMBER(S3:S68), 
S3:S68 - Q3:Q68 &gt;= 10 
)
)"),17)</f>
        <v>17</v>
      </c>
      <c r="R84" s="48"/>
      <c r="U84" s="48"/>
      <c r="V84" s="21">
        <f ca="1">IFERROR(__xludf.DUMMYFUNCTION(" COUNT(
FILTER(AA3:AA68, 
ISNUMBER(AA3:AA68), 
ISNUMBER(AC3:AC68), 
AA3:AA68 &gt;= AC3:AC68
)
)
"),7)</f>
        <v>7</v>
      </c>
      <c r="W84" s="38">
        <f ca="1">IFERROR(__xludf.DUMMYFUNCTION(" COUNT(
FILTER(AA3:AA68, 
ISNUMBER(AA3:AA68), 
ISNUMBER(AC3:AC68), 
AC3:AC68 - AA3:AA68 &lt; 5,AC3:AC68 - AA3:AA68 &gt; 0 
)
)"),5)</f>
        <v>5</v>
      </c>
      <c r="X84" s="38">
        <f ca="1">IFERROR(__xludf.DUMMYFUNCTION(" COUNT(
FILTER(AA3:AA68, 
ISNUMBER(AA3:AA68), 
ISNUMBER(AC3:AC68), 
AC3:AC68 - AA3:AA68 &lt; 10,AC3:AC68 - AA3:AA68 &gt;= 5 
)
)"),5)</f>
        <v>5</v>
      </c>
      <c r="Y84" s="21">
        <f ca="1">IFERROR(__xludf.DUMMYFUNCTION(" COUNT(
FILTER(AA3:AA68, 
ISNUMBER(AA3:AA68), 
ISNUMBER(AC3:AC68), 
AC3:AC68 - AA3:AA68 &gt;= 10 
)
)"),2)</f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T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 x14ac:dyDescent="0.2"/>
  <cols>
    <col min="1" max="1" width="27.42578125" customWidth="1"/>
    <col min="2" max="2" width="10.42578125" customWidth="1"/>
  </cols>
  <sheetData>
    <row r="1" spans="1:46" ht="15" customHeight="1" x14ac:dyDescent="0.2">
      <c r="A1" s="25" t="s">
        <v>693</v>
      </c>
      <c r="B1" s="25" t="s">
        <v>694</v>
      </c>
      <c r="C1" s="25" t="s">
        <v>776</v>
      </c>
      <c r="D1" s="25" t="s">
        <v>815</v>
      </c>
      <c r="E1" s="25" t="s">
        <v>816</v>
      </c>
      <c r="F1" s="25" t="s">
        <v>779</v>
      </c>
      <c r="G1" s="25" t="s">
        <v>703</v>
      </c>
      <c r="H1" s="25" t="s">
        <v>705</v>
      </c>
      <c r="I1" s="25" t="s">
        <v>706</v>
      </c>
      <c r="J1" s="25" t="s">
        <v>782</v>
      </c>
      <c r="K1" s="25" t="s">
        <v>783</v>
      </c>
      <c r="L1" s="25" t="s">
        <v>817</v>
      </c>
      <c r="M1" s="25" t="s">
        <v>785</v>
      </c>
      <c r="N1" s="25" t="s">
        <v>712</v>
      </c>
      <c r="O1" s="25" t="s">
        <v>713</v>
      </c>
      <c r="P1" s="25" t="s">
        <v>714</v>
      </c>
      <c r="Q1" s="25" t="s">
        <v>788</v>
      </c>
      <c r="R1" s="25" t="s">
        <v>789</v>
      </c>
      <c r="S1" s="25" t="s">
        <v>790</v>
      </c>
      <c r="T1" s="25" t="s">
        <v>818</v>
      </c>
      <c r="U1" s="25" t="s">
        <v>792</v>
      </c>
      <c r="V1" s="25" t="s">
        <v>723</v>
      </c>
      <c r="W1" s="25" t="s">
        <v>725</v>
      </c>
      <c r="X1" s="25" t="s">
        <v>726</v>
      </c>
      <c r="Y1" s="25" t="s">
        <v>819</v>
      </c>
      <c r="Z1" s="25" t="s">
        <v>796</v>
      </c>
      <c r="AA1" s="25" t="s">
        <v>797</v>
      </c>
      <c r="AB1" s="25" t="s">
        <v>820</v>
      </c>
      <c r="AC1" s="25" t="s">
        <v>799</v>
      </c>
      <c r="AD1" s="25" t="s">
        <v>800</v>
      </c>
      <c r="AE1" s="25" t="s">
        <v>801</v>
      </c>
      <c r="AF1" s="25" t="s">
        <v>808</v>
      </c>
      <c r="AG1" s="25" t="s">
        <v>809</v>
      </c>
      <c r="AH1" s="25" t="s">
        <v>803</v>
      </c>
      <c r="AI1" s="25" t="s">
        <v>728</v>
      </c>
      <c r="AJ1" s="25" t="s">
        <v>804</v>
      </c>
      <c r="AK1" s="25" t="s">
        <v>729</v>
      </c>
      <c r="AL1" s="25" t="s">
        <v>805</v>
      </c>
      <c r="AM1" s="25" t="s">
        <v>730</v>
      </c>
      <c r="AN1" s="25" t="s">
        <v>806</v>
      </c>
      <c r="AO1" s="25" t="s">
        <v>807</v>
      </c>
      <c r="AP1" s="25" t="s">
        <v>731</v>
      </c>
      <c r="AQ1" s="25" t="s">
        <v>732</v>
      </c>
      <c r="AR1" s="25" t="s">
        <v>736</v>
      </c>
      <c r="AS1" s="25" t="s">
        <v>737</v>
      </c>
      <c r="AT1" s="25" t="s">
        <v>738</v>
      </c>
    </row>
    <row r="2" spans="1:46" ht="15" customHeight="1" x14ac:dyDescent="0.2">
      <c r="A2" s="18" t="s">
        <v>29</v>
      </c>
      <c r="B2" s="43" t="s">
        <v>7</v>
      </c>
      <c r="C2" s="57">
        <v>15</v>
      </c>
      <c r="D2" s="57">
        <v>14</v>
      </c>
      <c r="E2" s="57">
        <v>8.83</v>
      </c>
      <c r="F2" s="57" t="e">
        <f t="shared" ref="F2:F5" ca="1" si="0">CONVERT_13PT_SCALE(E2)</f>
        <v>#NAME?</v>
      </c>
      <c r="G2" s="57">
        <v>85</v>
      </c>
      <c r="H2" s="20"/>
      <c r="I2" s="57">
        <v>85</v>
      </c>
      <c r="J2" s="57">
        <v>11</v>
      </c>
      <c r="K2" s="57">
        <v>12</v>
      </c>
      <c r="L2" s="57">
        <v>10</v>
      </c>
      <c r="M2" s="20" t="e">
        <f t="shared" ref="M2:M25" ca="1" si="1">CONVERT_13PT_SCALE(L2)</f>
        <v>#NAME?</v>
      </c>
      <c r="N2" s="57">
        <v>85</v>
      </c>
      <c r="O2" s="20"/>
      <c r="P2" s="57">
        <v>85</v>
      </c>
      <c r="Q2" s="20">
        <f>VLOOKUP(A2,'Raw Summary Data'!A4:T27, 12, FALSE)</f>
        <v>9.75</v>
      </c>
      <c r="R2" s="20">
        <f>VLOOKUP(A2, 'Raw Summary Data'!A4:T27, 11, 0)</f>
        <v>10</v>
      </c>
      <c r="S2" s="20">
        <f>VLOOKUP(A2, 'Raw Summary Data'!A4:T27, 14, 0)</f>
        <v>11</v>
      </c>
      <c r="T2" s="20">
        <f>VLOOKUP(A2, 'Raw Summary Data'!A4:T27, 13, 0)</f>
        <v>9.5</v>
      </c>
      <c r="U2" s="20" t="e">
        <f t="shared" ref="U2:U25" ca="1" si="2">CONVERT_13PT_SCALE(T2)</f>
        <v>#NAME?</v>
      </c>
      <c r="V2" s="20">
        <v>100</v>
      </c>
      <c r="W2" s="20"/>
      <c r="X2" s="20">
        <f>VLOOKUP(A2, 'Raw Summary Data'!A4:T27, 15, 0)</f>
        <v>100</v>
      </c>
      <c r="Y2" s="20"/>
      <c r="Z2" s="20">
        <f>VLOOKUP(A2, 'Raw Summary Data'!A4:T27, 19, 0)</f>
        <v>22</v>
      </c>
      <c r="AA2" s="20">
        <f>VLOOKUP(A2, 'Raw Summary Data'!A4:T27, 20, 0)</f>
        <v>9.0500000000000007</v>
      </c>
      <c r="AB2" s="20">
        <f>VLOOKUP(A2, 'Raw Summary Data'!A4:T27, 17, 0)</f>
        <v>5.5</v>
      </c>
      <c r="AC2" s="20">
        <f>VLOOKUP(A2, 'Raw Summary Data'!A4:T27, 18, 0)</f>
        <v>11.56</v>
      </c>
      <c r="AD2" s="20" t="e">
        <f t="shared" ref="AD2:AD25" ca="1" si="3">CONVERT_13PT_SCALE(AC2)</f>
        <v>#NAME?</v>
      </c>
    </row>
    <row r="3" spans="1:46" ht="15" customHeight="1" x14ac:dyDescent="0.2">
      <c r="A3" s="18" t="s">
        <v>32</v>
      </c>
      <c r="B3" s="43" t="s">
        <v>9</v>
      </c>
      <c r="C3" s="57">
        <v>15</v>
      </c>
      <c r="D3" s="57">
        <v>0</v>
      </c>
      <c r="E3" s="57">
        <v>9</v>
      </c>
      <c r="F3" s="57" t="e">
        <f t="shared" ca="1" si="0"/>
        <v>#NAME?</v>
      </c>
      <c r="G3" s="57">
        <v>78</v>
      </c>
      <c r="H3" s="20"/>
      <c r="I3" s="57">
        <v>82</v>
      </c>
      <c r="J3" s="57">
        <v>12</v>
      </c>
      <c r="K3" s="57">
        <v>12</v>
      </c>
      <c r="L3" s="57">
        <v>9.6999999999999993</v>
      </c>
      <c r="M3" s="20" t="e">
        <f t="shared" ca="1" si="1"/>
        <v>#NAME?</v>
      </c>
      <c r="N3" s="57">
        <v>78</v>
      </c>
      <c r="O3" s="20"/>
      <c r="P3" s="57">
        <v>78</v>
      </c>
      <c r="Q3" s="20">
        <f>VLOOKUP(A3,'Raw Summary Data'!A5:T28, 12, FALSE)</f>
        <v>9.75</v>
      </c>
      <c r="R3" s="20">
        <f>VLOOKUP(A3, 'Raw Summary Data'!A5:T28, 11, 0)</f>
        <v>9</v>
      </c>
      <c r="S3" s="20">
        <f>VLOOKUP(A3, 'Raw Summary Data'!A5:T28, 14, 0)</f>
        <v>9</v>
      </c>
      <c r="T3" s="20">
        <f>VLOOKUP(A3, 'Raw Summary Data'!A5:T28, 13, 0)</f>
        <v>7</v>
      </c>
      <c r="U3" s="20" t="e">
        <f t="shared" ca="1" si="2"/>
        <v>#NAME?</v>
      </c>
      <c r="V3" s="20">
        <v>75</v>
      </c>
      <c r="W3" s="20"/>
      <c r="X3" s="20">
        <f>VLOOKUP(A3, 'Raw Summary Data'!A5:T28, 15, 0)</f>
        <v>75</v>
      </c>
      <c r="Y3" s="20"/>
      <c r="Z3" s="20">
        <f>VLOOKUP(A3, 'Raw Summary Data'!A5:T28, 19, 0)</f>
        <v>0</v>
      </c>
      <c r="AA3" s="20">
        <f>VLOOKUP(A3, 'Raw Summary Data'!A5:T28, 20, 0)</f>
        <v>0</v>
      </c>
      <c r="AB3" s="20">
        <f>VLOOKUP(A3, 'Raw Summary Data'!A5:T28, 17, 0)</f>
        <v>0</v>
      </c>
      <c r="AC3" s="20">
        <f>VLOOKUP(A3, 'Raw Summary Data'!A5:T28, 18, 0)</f>
        <v>0</v>
      </c>
      <c r="AD3" s="20" t="e">
        <f t="shared" ca="1" si="3"/>
        <v>#NAME?</v>
      </c>
    </row>
    <row r="4" spans="1:46" ht="15" customHeight="1" x14ac:dyDescent="0.2">
      <c r="A4" s="18" t="s">
        <v>35</v>
      </c>
      <c r="B4" s="43" t="s">
        <v>8</v>
      </c>
      <c r="C4" s="57">
        <v>14</v>
      </c>
      <c r="D4" s="57">
        <v>13.75</v>
      </c>
      <c r="E4" s="57">
        <v>7.16</v>
      </c>
      <c r="F4" s="57" t="e">
        <f t="shared" ca="1" si="0"/>
        <v>#NAME?</v>
      </c>
      <c r="G4" s="57">
        <v>85</v>
      </c>
      <c r="H4" s="20"/>
      <c r="I4" s="57">
        <v>95</v>
      </c>
      <c r="J4" s="57">
        <v>15</v>
      </c>
      <c r="K4" s="57">
        <v>10</v>
      </c>
      <c r="L4" s="57">
        <v>12.4</v>
      </c>
      <c r="M4" s="20" t="e">
        <f t="shared" ca="1" si="1"/>
        <v>#NAME?</v>
      </c>
      <c r="N4" s="57">
        <v>85</v>
      </c>
      <c r="O4" s="20"/>
      <c r="P4" s="57">
        <v>85</v>
      </c>
      <c r="Q4" s="20">
        <f>VLOOKUP(A4,'Raw Summary Data'!A6:T29, 12, FALSE)</f>
        <v>9</v>
      </c>
      <c r="R4" s="20">
        <f>VLOOKUP(A4, 'Raw Summary Data'!A6:T29, 11, 0)</f>
        <v>10</v>
      </c>
      <c r="S4" s="20">
        <f>VLOOKUP(A4, 'Raw Summary Data'!A6:T29, 14, 0)</f>
        <v>10</v>
      </c>
      <c r="T4" s="20">
        <f>VLOOKUP(A4, 'Raw Summary Data'!A6:T29, 13, 0)</f>
        <v>7.5</v>
      </c>
      <c r="U4" s="20" t="e">
        <f t="shared" ca="1" si="2"/>
        <v>#NAME?</v>
      </c>
      <c r="V4" s="20">
        <v>85</v>
      </c>
      <c r="W4" s="20"/>
      <c r="X4" s="20">
        <f>VLOOKUP(A4, 'Raw Summary Data'!A6:T29, 15, 0)</f>
        <v>85</v>
      </c>
      <c r="Y4" s="20"/>
      <c r="Z4" s="20">
        <f>VLOOKUP(A4, 'Raw Summary Data'!A6:T29, 19, 0)</f>
        <v>20</v>
      </c>
      <c r="AA4" s="20">
        <f>VLOOKUP(A4, 'Raw Summary Data'!A6:T29, 20, 0)</f>
        <v>8.35</v>
      </c>
      <c r="AB4" s="20">
        <f>VLOOKUP(A4, 'Raw Summary Data'!A6:T29, 17, 0)</f>
        <v>21</v>
      </c>
      <c r="AC4" s="20">
        <f>VLOOKUP(A4, 'Raw Summary Data'!A6:T29, 18, 0)</f>
        <v>12.47</v>
      </c>
      <c r="AD4" s="20" t="e">
        <f t="shared" ca="1" si="3"/>
        <v>#NAME?</v>
      </c>
    </row>
    <row r="5" spans="1:46" ht="15" customHeight="1" x14ac:dyDescent="0.2">
      <c r="A5" s="18" t="s">
        <v>37</v>
      </c>
      <c r="B5" s="43" t="s">
        <v>8</v>
      </c>
      <c r="C5" s="57">
        <v>14</v>
      </c>
      <c r="D5" s="57">
        <v>14</v>
      </c>
      <c r="E5" s="57">
        <v>11</v>
      </c>
      <c r="F5" s="57" t="e">
        <f t="shared" ca="1" si="0"/>
        <v>#NAME?</v>
      </c>
      <c r="G5" s="57">
        <v>88</v>
      </c>
      <c r="H5" s="20"/>
      <c r="I5" s="57">
        <v>82</v>
      </c>
      <c r="J5" s="57">
        <v>15</v>
      </c>
      <c r="K5" s="57">
        <v>10</v>
      </c>
      <c r="L5" s="57">
        <v>7.7</v>
      </c>
      <c r="M5" s="20" t="e">
        <f t="shared" ca="1" si="1"/>
        <v>#NAME?</v>
      </c>
      <c r="N5" s="57">
        <v>72</v>
      </c>
      <c r="O5" s="20">
        <v>88</v>
      </c>
      <c r="P5" s="57">
        <v>88</v>
      </c>
      <c r="Q5" s="20">
        <f>VLOOKUP(A5,'Raw Summary Data'!A7:T30, 12, FALSE)</f>
        <v>8.5</v>
      </c>
      <c r="R5" s="20">
        <f>VLOOKUP(A5, 'Raw Summary Data'!A7:T30, 11, 0)</f>
        <v>10</v>
      </c>
      <c r="S5" s="20">
        <f>VLOOKUP(A5, 'Raw Summary Data'!A7:T30, 14, 0)</f>
        <v>10</v>
      </c>
      <c r="T5" s="20">
        <f>VLOOKUP(A5, 'Raw Summary Data'!A7:T30, 13, 0)</f>
        <v>8</v>
      </c>
      <c r="U5" s="20" t="e">
        <f t="shared" ca="1" si="2"/>
        <v>#NAME?</v>
      </c>
      <c r="V5" s="20">
        <v>78</v>
      </c>
      <c r="W5" s="20">
        <v>72</v>
      </c>
      <c r="X5" s="20">
        <f>VLOOKUP(A5, 'Raw Summary Data'!A7:T30, 15, 0)</f>
        <v>78</v>
      </c>
      <c r="Y5" s="20"/>
      <c r="Z5" s="20">
        <f>VLOOKUP(A5, 'Raw Summary Data'!A7:T30, 19, 0)</f>
        <v>22</v>
      </c>
      <c r="AA5" s="20">
        <f>VLOOKUP(A5, 'Raw Summary Data'!A7:T30, 20, 0)</f>
        <v>9</v>
      </c>
      <c r="AB5" s="20">
        <f>VLOOKUP(A5, 'Raw Summary Data'!A7:T30, 17, 0)</f>
        <v>0</v>
      </c>
      <c r="AC5" s="20">
        <f>VLOOKUP(A5, 'Raw Summary Data'!A7:T30, 18, 0)</f>
        <v>9.01</v>
      </c>
      <c r="AD5" s="20" t="e">
        <f t="shared" ca="1" si="3"/>
        <v>#NAME?</v>
      </c>
    </row>
    <row r="6" spans="1:46" ht="15" customHeight="1" x14ac:dyDescent="0.2">
      <c r="A6" s="18" t="s">
        <v>40</v>
      </c>
      <c r="B6" s="43" t="s">
        <v>8</v>
      </c>
      <c r="C6" s="57"/>
      <c r="D6" s="57"/>
      <c r="E6" s="57"/>
      <c r="F6" s="57"/>
      <c r="G6" s="57">
        <v>95</v>
      </c>
      <c r="H6" s="20"/>
      <c r="I6" s="57">
        <v>92</v>
      </c>
      <c r="J6" s="57">
        <v>18</v>
      </c>
      <c r="K6" s="57">
        <v>12</v>
      </c>
      <c r="L6" s="57">
        <v>10</v>
      </c>
      <c r="M6" s="20" t="e">
        <f t="shared" ca="1" si="1"/>
        <v>#NAME?</v>
      </c>
      <c r="N6" s="57">
        <v>95</v>
      </c>
      <c r="O6" s="20"/>
      <c r="P6" s="57">
        <v>95</v>
      </c>
      <c r="Q6" s="20">
        <f>VLOOKUP(A6,'Raw Summary Data'!A8:T31, 12, FALSE)</f>
        <v>10</v>
      </c>
      <c r="R6" s="20">
        <f>VLOOKUP(A6, 'Raw Summary Data'!A8:T31, 11, 0)</f>
        <v>10</v>
      </c>
      <c r="S6" s="20">
        <f>VLOOKUP(A6, 'Raw Summary Data'!A8:T31, 14, 0)</f>
        <v>11</v>
      </c>
      <c r="T6" s="20">
        <f>VLOOKUP(A6, 'Raw Summary Data'!A8:T31, 13, 0)</f>
        <v>10.5</v>
      </c>
      <c r="U6" s="20" t="e">
        <f t="shared" ca="1" si="2"/>
        <v>#NAME?</v>
      </c>
      <c r="V6" s="20">
        <v>100</v>
      </c>
      <c r="W6" s="20"/>
      <c r="X6" s="20">
        <f>VLOOKUP(A6, 'Raw Summary Data'!A8:T31, 15, 0)</f>
        <v>100</v>
      </c>
      <c r="Y6" s="20"/>
      <c r="Z6" s="20">
        <f>VLOOKUP(A6, 'Raw Summary Data'!A8:T31, 19, 0)</f>
        <v>22</v>
      </c>
      <c r="AA6" s="20">
        <f>VLOOKUP(A6, 'Raw Summary Data'!A8:T31, 20, 0)</f>
        <v>10</v>
      </c>
      <c r="AB6" s="20">
        <f>VLOOKUP(A6, 'Raw Summary Data'!A8:T31, 17, 0)</f>
        <v>28</v>
      </c>
      <c r="AC6" s="20">
        <f>VLOOKUP(A6, 'Raw Summary Data'!A8:T31, 18, 0)</f>
        <v>12</v>
      </c>
      <c r="AD6" s="20" t="e">
        <f t="shared" ca="1" si="3"/>
        <v>#NAME?</v>
      </c>
    </row>
    <row r="7" spans="1:46" ht="15" customHeight="1" x14ac:dyDescent="0.2">
      <c r="A7" s="18" t="s">
        <v>43</v>
      </c>
      <c r="B7" s="43" t="s">
        <v>8</v>
      </c>
      <c r="C7" s="57">
        <v>8</v>
      </c>
      <c r="D7" s="57">
        <v>12</v>
      </c>
      <c r="E7" s="57">
        <v>7</v>
      </c>
      <c r="F7" s="57" t="e">
        <f t="shared" ref="F7:F16" ca="1" si="4">CONVERT_13PT_SCALE(E7)</f>
        <v>#NAME?</v>
      </c>
      <c r="G7" s="57">
        <v>100</v>
      </c>
      <c r="H7" s="20"/>
      <c r="I7" s="57">
        <v>85</v>
      </c>
      <c r="J7" s="57">
        <v>17</v>
      </c>
      <c r="K7" s="57">
        <v>12</v>
      </c>
      <c r="L7" s="57">
        <v>11.1</v>
      </c>
      <c r="M7" s="20" t="e">
        <f t="shared" ca="1" si="1"/>
        <v>#NAME?</v>
      </c>
      <c r="N7" s="57">
        <v>100</v>
      </c>
      <c r="O7" s="20"/>
      <c r="P7" s="57">
        <v>100</v>
      </c>
      <c r="Q7" s="20">
        <f>VLOOKUP(A7,'Raw Summary Data'!A9:T32, 12, FALSE)</f>
        <v>9</v>
      </c>
      <c r="R7" s="20">
        <f>VLOOKUP(A7, 'Raw Summary Data'!A9:T32, 11, 0)</f>
        <v>10</v>
      </c>
      <c r="S7" s="20">
        <f>VLOOKUP(A7, 'Raw Summary Data'!A9:T32, 14, 0)</f>
        <v>9</v>
      </c>
      <c r="T7" s="20">
        <f>VLOOKUP(A7, 'Raw Summary Data'!A9:T32, 13, 0)</f>
        <v>9</v>
      </c>
      <c r="U7" s="20" t="e">
        <f t="shared" ca="1" si="2"/>
        <v>#NAME?</v>
      </c>
      <c r="V7" s="20">
        <v>78</v>
      </c>
      <c r="W7" s="20">
        <v>75</v>
      </c>
      <c r="X7" s="20">
        <f>VLOOKUP(A7, 'Raw Summary Data'!A9:T32, 15, 0)</f>
        <v>78</v>
      </c>
      <c r="Y7" s="20"/>
      <c r="Z7" s="20">
        <f>VLOOKUP(A7, 'Raw Summary Data'!A9:T32, 19, 0)</f>
        <v>0</v>
      </c>
      <c r="AA7" s="20">
        <f>VLOOKUP(A7, 'Raw Summary Data'!A9:T32, 20, 0)</f>
        <v>6</v>
      </c>
      <c r="AB7" s="20">
        <f>VLOOKUP(A7, 'Raw Summary Data'!A9:T32, 17, 0)</f>
        <v>0</v>
      </c>
      <c r="AC7" s="20">
        <f>VLOOKUP(A7, 'Raw Summary Data'!A9:T32, 18, 0)</f>
        <v>11</v>
      </c>
      <c r="AD7" s="20" t="e">
        <f t="shared" ca="1" si="3"/>
        <v>#NAME?</v>
      </c>
    </row>
    <row r="8" spans="1:46" ht="15" customHeight="1" x14ac:dyDescent="0.2">
      <c r="A8" s="18" t="s">
        <v>46</v>
      </c>
      <c r="B8" s="43" t="s">
        <v>9</v>
      </c>
      <c r="C8" s="57">
        <v>10</v>
      </c>
      <c r="D8" s="57">
        <v>12</v>
      </c>
      <c r="E8" s="57">
        <v>10.66</v>
      </c>
      <c r="F8" s="57" t="e">
        <f t="shared" ca="1" si="4"/>
        <v>#NAME?</v>
      </c>
      <c r="G8" s="57">
        <v>80</v>
      </c>
      <c r="H8" s="20"/>
      <c r="I8" s="57">
        <v>85</v>
      </c>
      <c r="J8" s="57">
        <v>18</v>
      </c>
      <c r="K8" s="57">
        <v>10</v>
      </c>
      <c r="L8" s="57">
        <v>9.4</v>
      </c>
      <c r="M8" s="20" t="e">
        <f t="shared" ca="1" si="1"/>
        <v>#NAME?</v>
      </c>
      <c r="N8" s="57">
        <v>68</v>
      </c>
      <c r="O8" s="20">
        <v>80</v>
      </c>
      <c r="P8" s="57">
        <v>80</v>
      </c>
      <c r="Q8" s="20">
        <f>VLOOKUP(A8,'Raw Summary Data'!A10:T33, 12, FALSE)</f>
        <v>8</v>
      </c>
      <c r="R8" s="20">
        <f>VLOOKUP(A8, 'Raw Summary Data'!A10:T33, 11, 0)</f>
        <v>10</v>
      </c>
      <c r="S8" s="20">
        <f>VLOOKUP(A8, 'Raw Summary Data'!A10:T33, 14, 0)</f>
        <v>10</v>
      </c>
      <c r="T8" s="20">
        <f>VLOOKUP(A8, 'Raw Summary Data'!A10:T33, 13, 0)</f>
        <v>9.5</v>
      </c>
      <c r="U8" s="20" t="e">
        <f t="shared" ca="1" si="2"/>
        <v>#NAME?</v>
      </c>
      <c r="V8" s="20">
        <v>75</v>
      </c>
      <c r="W8" s="20">
        <v>65</v>
      </c>
      <c r="X8" s="20">
        <f>VLOOKUP(A8, 'Raw Summary Data'!A10:T33, 15, 0)</f>
        <v>75</v>
      </c>
      <c r="Y8" s="20"/>
      <c r="Z8" s="20">
        <f>VLOOKUP(A8, 'Raw Summary Data'!A10:T33, 19, 0)</f>
        <v>22</v>
      </c>
      <c r="AA8" s="20">
        <f>VLOOKUP(A8, 'Raw Summary Data'!A10:T33, 20, 0)</f>
        <v>10</v>
      </c>
      <c r="AB8" s="20">
        <f>VLOOKUP(A8, 'Raw Summary Data'!A10:T33, 17, 0)</f>
        <v>26</v>
      </c>
      <c r="AC8" s="20">
        <f>VLOOKUP(A8, 'Raw Summary Data'!A10:T33, 18, 0)</f>
        <v>11.47</v>
      </c>
      <c r="AD8" s="20" t="e">
        <f t="shared" ca="1" si="3"/>
        <v>#NAME?</v>
      </c>
    </row>
    <row r="9" spans="1:46" ht="15" customHeight="1" x14ac:dyDescent="0.2">
      <c r="A9" s="18" t="s">
        <v>48</v>
      </c>
      <c r="B9" s="43" t="s">
        <v>8</v>
      </c>
      <c r="C9" s="57">
        <v>7</v>
      </c>
      <c r="D9" s="57">
        <v>7.5</v>
      </c>
      <c r="E9" s="57">
        <v>10</v>
      </c>
      <c r="F9" s="57" t="e">
        <f t="shared" ca="1" si="4"/>
        <v>#NAME?</v>
      </c>
      <c r="G9" s="57">
        <v>65</v>
      </c>
      <c r="H9" s="20"/>
      <c r="I9" s="57">
        <v>65</v>
      </c>
      <c r="J9" s="57">
        <v>16</v>
      </c>
      <c r="K9" s="57">
        <v>1</v>
      </c>
      <c r="L9" s="57">
        <v>10</v>
      </c>
      <c r="M9" s="20" t="e">
        <f t="shared" ca="1" si="1"/>
        <v>#NAME?</v>
      </c>
      <c r="N9" s="57">
        <v>65</v>
      </c>
      <c r="O9" s="20"/>
      <c r="P9" s="57">
        <v>65</v>
      </c>
      <c r="Q9" s="20">
        <f>VLOOKUP(A9,'Raw Summary Data'!A11:T34, 12, FALSE)</f>
        <v>4</v>
      </c>
      <c r="R9" s="20">
        <f>VLOOKUP(A9, 'Raw Summary Data'!A11:T34, 11, 0)</f>
        <v>10</v>
      </c>
      <c r="S9" s="20">
        <f>VLOOKUP(A9, 'Raw Summary Data'!A11:T34, 14, 0)</f>
        <v>11</v>
      </c>
      <c r="T9" s="20">
        <f>VLOOKUP(A9, 'Raw Summary Data'!A11:T34, 13, 0)</f>
        <v>9</v>
      </c>
      <c r="U9" s="20" t="e">
        <f t="shared" ca="1" si="2"/>
        <v>#NAME?</v>
      </c>
      <c r="V9" s="20">
        <v>65</v>
      </c>
      <c r="W9" s="20"/>
      <c r="X9" s="20">
        <f>VLOOKUP(A9, 'Raw Summary Data'!A11:T34, 15, 0)</f>
        <v>65</v>
      </c>
      <c r="Y9" s="20"/>
      <c r="Z9" s="20">
        <f>VLOOKUP(A9, 'Raw Summary Data'!A11:T34, 19, 0)</f>
        <v>19.2</v>
      </c>
      <c r="AA9" s="20">
        <f>VLOOKUP(A9, 'Raw Summary Data'!A11:T34, 20, 0)</f>
        <v>0</v>
      </c>
      <c r="AB9" s="20">
        <f>VLOOKUP(A9, 'Raw Summary Data'!A11:T34, 17, 0)</f>
        <v>0</v>
      </c>
      <c r="AC9" s="20">
        <f>VLOOKUP(A9, 'Raw Summary Data'!A11:T34, 18, 0)</f>
        <v>0.73</v>
      </c>
      <c r="AD9" s="20" t="e">
        <f t="shared" ca="1" si="3"/>
        <v>#NAME?</v>
      </c>
    </row>
    <row r="10" spans="1:46" ht="15" customHeight="1" x14ac:dyDescent="0.2">
      <c r="A10" s="18" t="s">
        <v>51</v>
      </c>
      <c r="B10" s="43" t="s">
        <v>8</v>
      </c>
      <c r="C10" s="57">
        <v>8.5</v>
      </c>
      <c r="D10" s="57">
        <v>5.25</v>
      </c>
      <c r="E10" s="57">
        <v>5.16</v>
      </c>
      <c r="F10" s="57" t="e">
        <f t="shared" ca="1" si="4"/>
        <v>#NAME?</v>
      </c>
      <c r="G10" s="57">
        <v>68</v>
      </c>
      <c r="H10" s="20"/>
      <c r="I10" s="57">
        <v>75</v>
      </c>
      <c r="J10" s="57">
        <v>13</v>
      </c>
      <c r="K10" s="57">
        <v>12</v>
      </c>
      <c r="L10" s="57">
        <v>8</v>
      </c>
      <c r="M10" s="20" t="e">
        <f t="shared" ca="1" si="1"/>
        <v>#NAME?</v>
      </c>
      <c r="N10" s="57">
        <v>68</v>
      </c>
      <c r="O10" s="20"/>
      <c r="P10" s="57">
        <v>68</v>
      </c>
      <c r="Q10" s="20">
        <f>VLOOKUP(A10,'Raw Summary Data'!A12:T35, 12, FALSE)</f>
        <v>10</v>
      </c>
      <c r="R10" s="20">
        <f>VLOOKUP(A10, 'Raw Summary Data'!A12:T35, 11, 0)</f>
        <v>10</v>
      </c>
      <c r="S10" s="20">
        <f>VLOOKUP(A10, 'Raw Summary Data'!A12:T35, 14, 0)</f>
        <v>11</v>
      </c>
      <c r="T10" s="20">
        <f>VLOOKUP(A10, 'Raw Summary Data'!A12:T35, 13, 0)</f>
        <v>8.5</v>
      </c>
      <c r="U10" s="20" t="e">
        <f t="shared" ca="1" si="2"/>
        <v>#NAME?</v>
      </c>
      <c r="V10" s="20">
        <v>68</v>
      </c>
      <c r="W10" s="20"/>
      <c r="X10" s="20">
        <f>VLOOKUP(A10, 'Raw Summary Data'!A12:T35, 15, 0)</f>
        <v>68</v>
      </c>
      <c r="Y10" s="20"/>
      <c r="Z10" s="20">
        <f>VLOOKUP(A10, 'Raw Summary Data'!A12:T35, 19, 0)</f>
        <v>16</v>
      </c>
      <c r="AA10" s="20">
        <f>VLOOKUP(A10, 'Raw Summary Data'!A12:T35, 20, 0)</f>
        <v>9.25</v>
      </c>
      <c r="AB10" s="20">
        <f>VLOOKUP(A10, 'Raw Summary Data'!A12:T35, 17, 0)</f>
        <v>24</v>
      </c>
      <c r="AC10" s="20">
        <f>VLOOKUP(A10, 'Raw Summary Data'!A12:T35, 18, 0)</f>
        <v>6.84</v>
      </c>
      <c r="AD10" s="20" t="e">
        <f t="shared" ca="1" si="3"/>
        <v>#NAME?</v>
      </c>
    </row>
    <row r="11" spans="1:46" ht="15" customHeight="1" x14ac:dyDescent="0.2">
      <c r="A11" s="18" t="s">
        <v>54</v>
      </c>
      <c r="B11" s="43" t="s">
        <v>7</v>
      </c>
      <c r="C11" s="57">
        <v>14.5</v>
      </c>
      <c r="D11" s="57">
        <v>10</v>
      </c>
      <c r="E11" s="57">
        <v>9.83</v>
      </c>
      <c r="F11" s="57" t="e">
        <f t="shared" ca="1" si="4"/>
        <v>#NAME?</v>
      </c>
      <c r="G11" s="57">
        <v>82</v>
      </c>
      <c r="H11" s="20"/>
      <c r="I11" s="57">
        <v>88</v>
      </c>
      <c r="J11" s="57">
        <v>15</v>
      </c>
      <c r="K11" s="57">
        <v>10</v>
      </c>
      <c r="L11" s="57">
        <v>11.7</v>
      </c>
      <c r="M11" s="20" t="e">
        <f t="shared" ca="1" si="1"/>
        <v>#NAME?</v>
      </c>
      <c r="N11" s="57">
        <v>82</v>
      </c>
      <c r="O11" s="20"/>
      <c r="P11" s="57">
        <v>82</v>
      </c>
      <c r="Q11" s="20">
        <f>VLOOKUP(A11,'Raw Summary Data'!A13:T36, 12, FALSE)</f>
        <v>10</v>
      </c>
      <c r="R11" s="20">
        <f>VLOOKUP(A11, 'Raw Summary Data'!A13:T36, 11, 0)</f>
        <v>10</v>
      </c>
      <c r="S11" s="20">
        <f>VLOOKUP(A11, 'Raw Summary Data'!A13:T36, 14, 0)</f>
        <v>0</v>
      </c>
      <c r="T11" s="20">
        <f>VLOOKUP(A11, 'Raw Summary Data'!A13:T36, 13, 0)</f>
        <v>9.5</v>
      </c>
      <c r="U11" s="20" t="e">
        <f t="shared" ca="1" si="2"/>
        <v>#NAME?</v>
      </c>
      <c r="V11" s="20">
        <v>84</v>
      </c>
      <c r="W11" s="20"/>
      <c r="X11" s="20">
        <f>VLOOKUP(A11, 'Raw Summary Data'!A13:T36, 15, 0)</f>
        <v>84</v>
      </c>
      <c r="Y11" s="20"/>
      <c r="Z11" s="20">
        <f>VLOOKUP(A11, 'Raw Summary Data'!A13:T36, 19, 0)</f>
        <v>0</v>
      </c>
      <c r="AA11" s="20">
        <f>VLOOKUP(A11, 'Raw Summary Data'!A13:T36, 20, 0)</f>
        <v>0</v>
      </c>
      <c r="AB11" s="20">
        <f>VLOOKUP(A11, 'Raw Summary Data'!A13:T36, 17, 0)</f>
        <v>0</v>
      </c>
      <c r="AC11" s="20">
        <f>VLOOKUP(A11, 'Raw Summary Data'!A13:T36, 18, 0)</f>
        <v>13</v>
      </c>
      <c r="AD11" s="20" t="e">
        <f t="shared" ca="1" si="3"/>
        <v>#NAME?</v>
      </c>
    </row>
    <row r="12" spans="1:46" ht="15" customHeight="1" x14ac:dyDescent="0.2">
      <c r="A12" s="18" t="s">
        <v>56</v>
      </c>
      <c r="B12" s="43" t="s">
        <v>8</v>
      </c>
      <c r="C12" s="57">
        <v>2</v>
      </c>
      <c r="D12" s="57">
        <v>0</v>
      </c>
      <c r="E12" s="57">
        <v>3.83</v>
      </c>
      <c r="F12" s="57" t="e">
        <f t="shared" ca="1" si="4"/>
        <v>#NAME?</v>
      </c>
      <c r="G12" s="57">
        <v>72</v>
      </c>
      <c r="H12" s="20"/>
      <c r="I12" s="57">
        <v>30</v>
      </c>
      <c r="J12" s="57">
        <v>18</v>
      </c>
      <c r="K12" s="57">
        <v>6</v>
      </c>
      <c r="L12" s="57">
        <v>6.65</v>
      </c>
      <c r="M12" s="20" t="e">
        <f t="shared" ca="1" si="1"/>
        <v>#NAME?</v>
      </c>
      <c r="N12" s="57">
        <v>62</v>
      </c>
      <c r="O12" s="20">
        <v>72</v>
      </c>
      <c r="P12" s="57">
        <v>72</v>
      </c>
      <c r="Q12" s="20">
        <f>VLOOKUP(A12,'Raw Summary Data'!A14:T37, 12, FALSE)</f>
        <v>9</v>
      </c>
      <c r="R12" s="20">
        <f>VLOOKUP(A12, 'Raw Summary Data'!A14:T37, 11, 0)</f>
        <v>9</v>
      </c>
      <c r="S12" s="20">
        <f>VLOOKUP(A12, 'Raw Summary Data'!A14:T37, 14, 0)</f>
        <v>10</v>
      </c>
      <c r="T12" s="20">
        <f>VLOOKUP(A12, 'Raw Summary Data'!A14:T37, 13, 0)</f>
        <v>8.5</v>
      </c>
      <c r="U12" s="20" t="e">
        <f t="shared" ca="1" si="2"/>
        <v>#NAME?</v>
      </c>
      <c r="V12" s="20">
        <v>65</v>
      </c>
      <c r="W12" s="20">
        <v>68</v>
      </c>
      <c r="X12" s="20">
        <f>VLOOKUP(A12, 'Raw Summary Data'!A14:T37, 15, 0)</f>
        <v>68</v>
      </c>
      <c r="Y12" s="20"/>
      <c r="Z12" s="20">
        <f>VLOOKUP(A12, 'Raw Summary Data'!A14:T37, 19, 0)</f>
        <v>20.2</v>
      </c>
      <c r="AA12" s="20">
        <f>VLOOKUP(A12, 'Raw Summary Data'!A14:T37, 20, 0)</f>
        <v>1</v>
      </c>
      <c r="AB12" s="20">
        <f>VLOOKUP(A12, 'Raw Summary Data'!A14:T37, 17, 0)</f>
        <v>26</v>
      </c>
      <c r="AC12" s="20">
        <f>VLOOKUP(A12, 'Raw Summary Data'!A14:T37, 18, 0)</f>
        <v>7.6</v>
      </c>
      <c r="AD12" s="20" t="e">
        <f t="shared" ca="1" si="3"/>
        <v>#NAME?</v>
      </c>
    </row>
    <row r="13" spans="1:46" ht="15" customHeight="1" x14ac:dyDescent="0.2">
      <c r="A13" s="18" t="s">
        <v>59</v>
      </c>
      <c r="B13" s="43" t="s">
        <v>8</v>
      </c>
      <c r="C13" s="57">
        <v>15</v>
      </c>
      <c r="D13" s="57">
        <v>10.75</v>
      </c>
      <c r="E13" s="57">
        <v>6.49</v>
      </c>
      <c r="F13" s="57" t="e">
        <f t="shared" ca="1" si="4"/>
        <v>#NAME?</v>
      </c>
      <c r="G13" s="57">
        <v>72</v>
      </c>
      <c r="H13" s="20"/>
      <c r="I13" s="57">
        <v>82</v>
      </c>
      <c r="J13" s="57">
        <v>16</v>
      </c>
      <c r="K13" s="57">
        <v>12</v>
      </c>
      <c r="L13" s="57">
        <v>8</v>
      </c>
      <c r="M13" s="20" t="e">
        <f t="shared" ca="1" si="1"/>
        <v>#NAME?</v>
      </c>
      <c r="N13" s="57">
        <v>72</v>
      </c>
      <c r="O13" s="20"/>
      <c r="P13" s="57">
        <v>72</v>
      </c>
      <c r="Q13" s="20">
        <f>VLOOKUP(A13,'Raw Summary Data'!A15:T38, 12, FALSE)</f>
        <v>7</v>
      </c>
      <c r="R13" s="20">
        <f>VLOOKUP(A13, 'Raw Summary Data'!A15:T38, 11, 0)</f>
        <v>10</v>
      </c>
      <c r="S13" s="20">
        <f>VLOOKUP(A13, 'Raw Summary Data'!A15:T38, 14, 0)</f>
        <v>11</v>
      </c>
      <c r="T13" s="20">
        <f>VLOOKUP(A13, 'Raw Summary Data'!A15:T38, 13, 0)</f>
        <v>8.5</v>
      </c>
      <c r="U13" s="20" t="e">
        <f t="shared" ca="1" si="2"/>
        <v>#NAME?</v>
      </c>
      <c r="V13" s="20">
        <v>85</v>
      </c>
      <c r="W13" s="20"/>
      <c r="X13" s="20">
        <f>VLOOKUP(A13, 'Raw Summary Data'!A15:T38, 15, 0)</f>
        <v>85</v>
      </c>
      <c r="Y13" s="20"/>
      <c r="Z13" s="20">
        <f>VLOOKUP(A13, 'Raw Summary Data'!A15:T38, 19, 0)</f>
        <v>0</v>
      </c>
      <c r="AA13" s="20">
        <f>VLOOKUP(A13, 'Raw Summary Data'!A15:T38, 20, 0)</f>
        <v>0</v>
      </c>
      <c r="AB13" s="20">
        <f>VLOOKUP(A13, 'Raw Summary Data'!A15:T38, 17, 0)</f>
        <v>0</v>
      </c>
      <c r="AC13" s="20">
        <f>VLOOKUP(A13, 'Raw Summary Data'!A15:T38, 18, 0)</f>
        <v>0</v>
      </c>
      <c r="AD13" s="20" t="e">
        <f t="shared" ca="1" si="3"/>
        <v>#NAME?</v>
      </c>
    </row>
    <row r="14" spans="1:46" ht="15" customHeight="1" x14ac:dyDescent="0.2">
      <c r="A14" s="18" t="s">
        <v>61</v>
      </c>
      <c r="B14" s="43" t="s">
        <v>9</v>
      </c>
      <c r="C14" s="57">
        <v>4</v>
      </c>
      <c r="D14" s="57">
        <v>4</v>
      </c>
      <c r="E14" s="57">
        <v>4.66</v>
      </c>
      <c r="F14" s="57" t="e">
        <f t="shared" ca="1" si="4"/>
        <v>#NAME?</v>
      </c>
      <c r="G14" s="57">
        <v>68</v>
      </c>
      <c r="H14" s="20"/>
      <c r="I14" s="57">
        <v>83</v>
      </c>
      <c r="J14" s="57">
        <v>7</v>
      </c>
      <c r="K14" s="57">
        <v>0</v>
      </c>
      <c r="L14" s="57">
        <v>9.1</v>
      </c>
      <c r="M14" s="20" t="e">
        <f t="shared" ca="1" si="1"/>
        <v>#NAME?</v>
      </c>
      <c r="N14" s="57">
        <v>65</v>
      </c>
      <c r="O14" s="20">
        <v>68</v>
      </c>
      <c r="P14" s="57">
        <v>68</v>
      </c>
      <c r="Q14" s="20">
        <f>VLOOKUP(A14,'Raw Summary Data'!A16:T39, 12, FALSE)</f>
        <v>6</v>
      </c>
      <c r="R14" s="20">
        <f>VLOOKUP(A14, 'Raw Summary Data'!A16:T39, 11, 0)</f>
        <v>10</v>
      </c>
      <c r="S14" s="20">
        <f>VLOOKUP(A14, 'Raw Summary Data'!A16:T39, 14, 0)</f>
        <v>8</v>
      </c>
      <c r="T14" s="20">
        <f>VLOOKUP(A14, 'Raw Summary Data'!A16:T39, 13, 0)</f>
        <v>7</v>
      </c>
      <c r="U14" s="20" t="e">
        <f t="shared" ca="1" si="2"/>
        <v>#NAME?</v>
      </c>
      <c r="V14" s="20">
        <v>78</v>
      </c>
      <c r="W14" s="20"/>
      <c r="X14" s="20">
        <f>VLOOKUP(A14, 'Raw Summary Data'!A16:T39, 15, 0)</f>
        <v>78</v>
      </c>
      <c r="Y14" s="20"/>
      <c r="Z14" s="20">
        <f>VLOOKUP(A14, 'Raw Summary Data'!A16:T39, 19, 0)</f>
        <v>21</v>
      </c>
      <c r="AA14" s="20">
        <f>VLOOKUP(A14, 'Raw Summary Data'!A16:T39, 20, 0)</f>
        <v>0</v>
      </c>
      <c r="AB14" s="20">
        <f>VLOOKUP(A14, 'Raw Summary Data'!A16:T39, 17, 0)</f>
        <v>0</v>
      </c>
      <c r="AC14" s="20">
        <f>VLOOKUP(A14, 'Raw Summary Data'!A16:T39, 18, 0)</f>
        <v>10.220000000000001</v>
      </c>
      <c r="AD14" s="20" t="e">
        <f t="shared" ca="1" si="3"/>
        <v>#NAME?</v>
      </c>
    </row>
    <row r="15" spans="1:46" ht="15" customHeight="1" x14ac:dyDescent="0.2">
      <c r="A15" s="18" t="s">
        <v>63</v>
      </c>
      <c r="B15" s="43" t="s">
        <v>7</v>
      </c>
      <c r="C15" s="57">
        <v>15</v>
      </c>
      <c r="D15" s="57">
        <v>14</v>
      </c>
      <c r="E15" s="57">
        <v>11</v>
      </c>
      <c r="F15" s="57" t="e">
        <f t="shared" ca="1" si="4"/>
        <v>#NAME?</v>
      </c>
      <c r="G15" s="57">
        <v>95</v>
      </c>
      <c r="H15" s="20"/>
      <c r="I15" s="57">
        <v>92</v>
      </c>
      <c r="J15" s="57">
        <v>18</v>
      </c>
      <c r="K15" s="57">
        <v>12</v>
      </c>
      <c r="L15" s="57">
        <v>10</v>
      </c>
      <c r="M15" s="20" t="e">
        <f t="shared" ca="1" si="1"/>
        <v>#NAME?</v>
      </c>
      <c r="N15" s="57">
        <v>95</v>
      </c>
      <c r="O15" s="20"/>
      <c r="P15" s="57">
        <v>95</v>
      </c>
      <c r="Q15" s="20">
        <f>VLOOKUP(A15,'Raw Summary Data'!A17:T40, 12, FALSE)</f>
        <v>10</v>
      </c>
      <c r="R15" s="20">
        <f>VLOOKUP(A15, 'Raw Summary Data'!A17:T40, 11, 0)</f>
        <v>9</v>
      </c>
      <c r="S15" s="20">
        <f>VLOOKUP(A15, 'Raw Summary Data'!A17:T40, 14, 0)</f>
        <v>11</v>
      </c>
      <c r="T15" s="20">
        <f>VLOOKUP(A15, 'Raw Summary Data'!A17:T40, 13, 0)</f>
        <v>9.5</v>
      </c>
      <c r="U15" s="20" t="e">
        <f t="shared" ca="1" si="2"/>
        <v>#NAME?</v>
      </c>
      <c r="V15" s="20">
        <v>100</v>
      </c>
      <c r="W15" s="20"/>
      <c r="X15" s="20">
        <f>VLOOKUP(A15, 'Raw Summary Data'!A17:T40, 15, 0)</f>
        <v>100</v>
      </c>
      <c r="Y15" s="20"/>
      <c r="Z15" s="20">
        <f>VLOOKUP(A15, 'Raw Summary Data'!A17:T40, 19, 0)</f>
        <v>22</v>
      </c>
      <c r="AA15" s="20">
        <f>VLOOKUP(A15, 'Raw Summary Data'!A17:T40, 20, 0)</f>
        <v>10</v>
      </c>
      <c r="AB15" s="20">
        <f>VLOOKUP(A15, 'Raw Summary Data'!A17:T40, 17, 0)</f>
        <v>23</v>
      </c>
      <c r="AC15" s="20">
        <f>VLOOKUP(A15, 'Raw Summary Data'!A17:T40, 18, 0)</f>
        <v>12.34</v>
      </c>
      <c r="AD15" s="20" t="e">
        <f t="shared" ca="1" si="3"/>
        <v>#NAME?</v>
      </c>
    </row>
    <row r="16" spans="1:46" ht="15" customHeight="1" x14ac:dyDescent="0.2">
      <c r="A16" s="18" t="s">
        <v>65</v>
      </c>
      <c r="B16" s="43" t="s">
        <v>9</v>
      </c>
      <c r="C16" s="57">
        <v>13</v>
      </c>
      <c r="D16" s="57">
        <v>14.5</v>
      </c>
      <c r="E16" s="57">
        <v>11.17</v>
      </c>
      <c r="F16" s="57" t="e">
        <f t="shared" ca="1" si="4"/>
        <v>#NAME?</v>
      </c>
      <c r="G16" s="57">
        <v>68</v>
      </c>
      <c r="H16" s="20"/>
      <c r="I16" s="57">
        <v>80</v>
      </c>
      <c r="J16" s="57">
        <v>9</v>
      </c>
      <c r="K16" s="57">
        <v>0</v>
      </c>
      <c r="L16" s="57">
        <v>10</v>
      </c>
      <c r="M16" s="20" t="e">
        <f t="shared" ca="1" si="1"/>
        <v>#NAME?</v>
      </c>
      <c r="N16" s="57">
        <v>68</v>
      </c>
      <c r="O16" s="20">
        <v>65</v>
      </c>
      <c r="P16" s="57">
        <v>68</v>
      </c>
      <c r="Q16" s="20">
        <f>VLOOKUP(A16,'Raw Summary Data'!A18:T41, 12, FALSE)</f>
        <v>9</v>
      </c>
      <c r="R16" s="20">
        <f>VLOOKUP(A16, 'Raw Summary Data'!A18:T41, 11, 0)</f>
        <v>9</v>
      </c>
      <c r="S16" s="20">
        <f>VLOOKUP(A16, 'Raw Summary Data'!A18:T41, 14, 0)</f>
        <v>11</v>
      </c>
      <c r="T16" s="20">
        <f>VLOOKUP(A16, 'Raw Summary Data'!A18:T41, 13, 0)</f>
        <v>0</v>
      </c>
      <c r="U16" s="20" t="e">
        <f t="shared" ca="1" si="2"/>
        <v>#NAME?</v>
      </c>
      <c r="V16" s="20">
        <v>65</v>
      </c>
      <c r="W16" s="20"/>
      <c r="X16" s="20">
        <f>VLOOKUP(A16, 'Raw Summary Data'!A18:T41, 15, 0)</f>
        <v>65</v>
      </c>
      <c r="Y16" s="20"/>
      <c r="Z16" s="20">
        <f>VLOOKUP(A16, 'Raw Summary Data'!A18:T41, 19, 0)</f>
        <v>22</v>
      </c>
      <c r="AA16" s="20">
        <f>VLOOKUP(A16, 'Raw Summary Data'!A18:T41, 20, 0)</f>
        <v>9</v>
      </c>
      <c r="AB16" s="20">
        <f>VLOOKUP(A16, 'Raw Summary Data'!A18:T41, 17, 0)</f>
        <v>0</v>
      </c>
      <c r="AC16" s="20">
        <f>VLOOKUP(A16, 'Raw Summary Data'!A18:T41, 18, 0)</f>
        <v>8.0500000000000007</v>
      </c>
      <c r="AD16" s="20" t="e">
        <f t="shared" ca="1" si="3"/>
        <v>#NAME?</v>
      </c>
    </row>
    <row r="17" spans="1:46" ht="15" customHeight="1" x14ac:dyDescent="0.2">
      <c r="A17" s="18" t="s">
        <v>68</v>
      </c>
      <c r="B17" s="43" t="s">
        <v>8</v>
      </c>
      <c r="C17" s="57"/>
      <c r="D17" s="57"/>
      <c r="E17" s="57"/>
      <c r="F17" s="57"/>
      <c r="G17" s="57">
        <v>95</v>
      </c>
      <c r="H17" s="20"/>
      <c r="I17" s="57">
        <v>92</v>
      </c>
      <c r="J17" s="57">
        <v>18</v>
      </c>
      <c r="K17" s="57">
        <v>12</v>
      </c>
      <c r="L17" s="57">
        <v>13</v>
      </c>
      <c r="M17" s="20" t="e">
        <f t="shared" ca="1" si="1"/>
        <v>#NAME?</v>
      </c>
      <c r="N17" s="57">
        <v>95</v>
      </c>
      <c r="O17" s="20"/>
      <c r="P17" s="57">
        <v>95</v>
      </c>
      <c r="Q17" s="20">
        <f>VLOOKUP(A17,'Raw Summary Data'!A19:T42, 12, FALSE)</f>
        <v>10</v>
      </c>
      <c r="R17" s="20">
        <f>VLOOKUP(A17, 'Raw Summary Data'!A19:T42, 11, 0)</f>
        <v>10</v>
      </c>
      <c r="S17" s="20">
        <f>VLOOKUP(A17, 'Raw Summary Data'!A19:T42, 14, 0)</f>
        <v>11</v>
      </c>
      <c r="T17" s="20">
        <f>VLOOKUP(A17, 'Raw Summary Data'!A19:T42, 13, 0)</f>
        <v>7</v>
      </c>
      <c r="U17" s="20" t="e">
        <f t="shared" ca="1" si="2"/>
        <v>#NAME?</v>
      </c>
      <c r="V17" s="20">
        <v>75</v>
      </c>
      <c r="W17" s="20">
        <v>85</v>
      </c>
      <c r="X17" s="20">
        <f>VLOOKUP(A17, 'Raw Summary Data'!A19:T42, 15, 0)</f>
        <v>82</v>
      </c>
      <c r="Y17" s="20"/>
      <c r="Z17" s="20">
        <f>VLOOKUP(A17, 'Raw Summary Data'!A19:T42, 19, 0)</f>
        <v>22</v>
      </c>
      <c r="AA17" s="20">
        <f>VLOOKUP(A17, 'Raw Summary Data'!A19:T42, 20, 0)</f>
        <v>10</v>
      </c>
      <c r="AB17" s="20">
        <f>VLOOKUP(A17, 'Raw Summary Data'!A19:T42, 17, 0)</f>
        <v>27</v>
      </c>
      <c r="AC17" s="20">
        <f>VLOOKUP(A17, 'Raw Summary Data'!A19:T42, 18, 0)</f>
        <v>13</v>
      </c>
      <c r="AD17" s="20" t="e">
        <f t="shared" ca="1" si="3"/>
        <v>#NAME?</v>
      </c>
    </row>
    <row r="18" spans="1:46" ht="15" customHeight="1" x14ac:dyDescent="0.2">
      <c r="A18" s="18" t="s">
        <v>71</v>
      </c>
      <c r="B18" s="43" t="s">
        <v>8</v>
      </c>
      <c r="C18" s="57"/>
      <c r="D18" s="57"/>
      <c r="E18" s="57"/>
      <c r="F18" s="57"/>
      <c r="G18" s="57">
        <v>30</v>
      </c>
      <c r="H18" s="20"/>
      <c r="I18" s="57">
        <v>62</v>
      </c>
      <c r="J18" s="57">
        <v>17</v>
      </c>
      <c r="K18" s="57">
        <v>9</v>
      </c>
      <c r="L18" s="57">
        <v>13</v>
      </c>
      <c r="M18" s="20" t="e">
        <f t="shared" ca="1" si="1"/>
        <v>#NAME?</v>
      </c>
      <c r="N18" s="57">
        <v>30</v>
      </c>
      <c r="O18" s="20"/>
      <c r="P18" s="57">
        <v>30</v>
      </c>
      <c r="Q18" s="20">
        <f>VLOOKUP(A18,'Raw Summary Data'!A20:T43, 12, FALSE)</f>
        <v>8</v>
      </c>
      <c r="R18" s="20">
        <f>VLOOKUP(A18, 'Raw Summary Data'!A20:T43, 11, 0)</f>
        <v>10</v>
      </c>
      <c r="S18" s="20">
        <f>VLOOKUP(A18, 'Raw Summary Data'!A20:T43, 14, 0)</f>
        <v>8</v>
      </c>
      <c r="T18" s="20">
        <f>VLOOKUP(A18, 'Raw Summary Data'!A20:T43, 13, 0)</f>
        <v>7.5</v>
      </c>
      <c r="U18" s="20" t="e">
        <f t="shared" ca="1" si="2"/>
        <v>#NAME?</v>
      </c>
      <c r="V18" s="20">
        <v>72</v>
      </c>
      <c r="W18" s="20"/>
      <c r="X18" s="20">
        <f>VLOOKUP(A18, 'Raw Summary Data'!A20:T43, 15, 0)</f>
        <v>72</v>
      </c>
      <c r="Y18" s="20"/>
      <c r="Z18" s="20">
        <f>VLOOKUP(A18, 'Raw Summary Data'!A20:T43, 19, 0)</f>
        <v>22</v>
      </c>
      <c r="AA18" s="20">
        <f>VLOOKUP(A18, 'Raw Summary Data'!A20:T43, 20, 0)</f>
        <v>2</v>
      </c>
      <c r="AB18" s="20">
        <f>VLOOKUP(A18, 'Raw Summary Data'!A20:T43, 17, 0)</f>
        <v>0</v>
      </c>
      <c r="AC18" s="20">
        <f>VLOOKUP(A18, 'Raw Summary Data'!A20:T43, 18, 0)</f>
        <v>7.27</v>
      </c>
      <c r="AD18" s="20" t="e">
        <f t="shared" ca="1" si="3"/>
        <v>#NAME?</v>
      </c>
    </row>
    <row r="19" spans="1:46" ht="15" customHeight="1" x14ac:dyDescent="0.2">
      <c r="A19" s="18" t="s">
        <v>73</v>
      </c>
      <c r="B19" s="43" t="s">
        <v>8</v>
      </c>
      <c r="C19" s="57">
        <v>14.5</v>
      </c>
      <c r="D19" s="57">
        <v>13.25</v>
      </c>
      <c r="E19" s="57">
        <v>10.17</v>
      </c>
      <c r="F19" s="57" t="e">
        <f t="shared" ref="F19:F25" ca="1" si="5">CONVERT_13PT_SCALE(E19)</f>
        <v>#NAME?</v>
      </c>
      <c r="G19" s="57">
        <v>95</v>
      </c>
      <c r="H19" s="20"/>
      <c r="I19" s="57">
        <v>95</v>
      </c>
      <c r="J19" s="57">
        <v>18</v>
      </c>
      <c r="K19" s="57">
        <v>12</v>
      </c>
      <c r="L19" s="57">
        <v>10.7</v>
      </c>
      <c r="M19" s="20" t="e">
        <f t="shared" ca="1" si="1"/>
        <v>#NAME?</v>
      </c>
      <c r="N19" s="57">
        <v>95</v>
      </c>
      <c r="O19" s="20"/>
      <c r="P19" s="57">
        <v>95</v>
      </c>
      <c r="Q19" s="20">
        <f>VLOOKUP(A19,'Raw Summary Data'!A21:T44, 12, FALSE)</f>
        <v>9</v>
      </c>
      <c r="R19" s="20">
        <f>VLOOKUP(A19, 'Raw Summary Data'!A21:T44, 11, 0)</f>
        <v>10</v>
      </c>
      <c r="S19" s="20">
        <f>VLOOKUP(A19, 'Raw Summary Data'!A21:T44, 14, 0)</f>
        <v>11</v>
      </c>
      <c r="T19" s="20">
        <f>VLOOKUP(A19, 'Raw Summary Data'!A21:T44, 13, 0)</f>
        <v>10.5</v>
      </c>
      <c r="U19" s="20" t="e">
        <f t="shared" ca="1" si="2"/>
        <v>#NAME?</v>
      </c>
      <c r="V19" s="20">
        <v>82</v>
      </c>
      <c r="W19" s="20">
        <v>85</v>
      </c>
      <c r="X19" s="20">
        <f>VLOOKUP(A19, 'Raw Summary Data'!A21:T44, 15, 0)</f>
        <v>85</v>
      </c>
      <c r="Y19" s="20"/>
      <c r="Z19" s="20">
        <f>VLOOKUP(A19, 'Raw Summary Data'!A21:T44, 19, 0)</f>
        <v>22</v>
      </c>
      <c r="AA19" s="20">
        <f>VLOOKUP(A19, 'Raw Summary Data'!A21:T44, 20, 0)</f>
        <v>9</v>
      </c>
      <c r="AB19" s="20">
        <f>VLOOKUP(A19, 'Raw Summary Data'!A21:T44, 17, 0)</f>
        <v>21</v>
      </c>
      <c r="AC19" s="20">
        <f>VLOOKUP(A19, 'Raw Summary Data'!A21:T44, 18, 0)</f>
        <v>12.2</v>
      </c>
      <c r="AD19" s="20" t="e">
        <f t="shared" ca="1" si="3"/>
        <v>#NAME?</v>
      </c>
    </row>
    <row r="20" spans="1:46" ht="15" customHeight="1" x14ac:dyDescent="0.2">
      <c r="A20" s="18" t="s">
        <v>75</v>
      </c>
      <c r="B20" s="43" t="s">
        <v>8</v>
      </c>
      <c r="C20" s="57">
        <v>13.5</v>
      </c>
      <c r="D20" s="57">
        <v>15</v>
      </c>
      <c r="E20" s="57">
        <v>11.33</v>
      </c>
      <c r="F20" s="57" t="e">
        <f t="shared" ca="1" si="5"/>
        <v>#NAME?</v>
      </c>
      <c r="G20" s="57">
        <v>78</v>
      </c>
      <c r="H20" s="20"/>
      <c r="I20" s="57">
        <v>85</v>
      </c>
      <c r="J20" s="57">
        <v>17</v>
      </c>
      <c r="K20" s="57">
        <v>12</v>
      </c>
      <c r="L20" s="57">
        <v>9.4</v>
      </c>
      <c r="M20" s="20" t="e">
        <f t="shared" ca="1" si="1"/>
        <v>#NAME?</v>
      </c>
      <c r="N20" s="57">
        <v>78</v>
      </c>
      <c r="O20" s="20"/>
      <c r="P20" s="57">
        <v>78</v>
      </c>
      <c r="Q20" s="20">
        <f>VLOOKUP(A20,'Raw Summary Data'!A22:T45, 12, FALSE)</f>
        <v>10</v>
      </c>
      <c r="R20" s="20">
        <f>VLOOKUP(A20, 'Raw Summary Data'!A22:T45, 11, 0)</f>
        <v>9</v>
      </c>
      <c r="S20" s="20">
        <f>VLOOKUP(A20, 'Raw Summary Data'!A22:T45, 14, 0)</f>
        <v>11</v>
      </c>
      <c r="T20" s="20">
        <f>VLOOKUP(A20, 'Raw Summary Data'!A22:T45, 13, 0)</f>
        <v>8.5</v>
      </c>
      <c r="U20" s="20" t="e">
        <f t="shared" ca="1" si="2"/>
        <v>#NAME?</v>
      </c>
      <c r="V20" s="20">
        <v>82</v>
      </c>
      <c r="W20" s="20"/>
      <c r="X20" s="20">
        <f>VLOOKUP(A20, 'Raw Summary Data'!A22:T45, 15, 0)</f>
        <v>82</v>
      </c>
      <c r="Y20" s="20"/>
      <c r="Z20" s="20">
        <f>VLOOKUP(A20, 'Raw Summary Data'!A22:T45, 19, 0)</f>
        <v>22</v>
      </c>
      <c r="AA20" s="20">
        <f>VLOOKUP(A20, 'Raw Summary Data'!A22:T45, 20, 0)</f>
        <v>9</v>
      </c>
      <c r="AB20" s="20">
        <f>VLOOKUP(A20, 'Raw Summary Data'!A22:T45, 17, 0)</f>
        <v>0</v>
      </c>
      <c r="AC20" s="20">
        <f>VLOOKUP(A20, 'Raw Summary Data'!A22:T45, 18, 0)</f>
        <v>12.2</v>
      </c>
      <c r="AD20" s="20" t="e">
        <f t="shared" ca="1" si="3"/>
        <v>#NAME?</v>
      </c>
    </row>
    <row r="21" spans="1:46" ht="15" customHeight="1" x14ac:dyDescent="0.2">
      <c r="A21" s="18" t="s">
        <v>77</v>
      </c>
      <c r="B21" s="43" t="s">
        <v>8</v>
      </c>
      <c r="C21" s="57">
        <v>15</v>
      </c>
      <c r="D21" s="57">
        <v>13</v>
      </c>
      <c r="E21" s="57">
        <v>10.84</v>
      </c>
      <c r="F21" s="57" t="e">
        <f t="shared" ca="1" si="5"/>
        <v>#NAME?</v>
      </c>
      <c r="G21" s="57">
        <v>82</v>
      </c>
      <c r="H21" s="20"/>
      <c r="I21" s="57">
        <v>92</v>
      </c>
      <c r="J21" s="57">
        <v>18</v>
      </c>
      <c r="K21" s="57">
        <v>12</v>
      </c>
      <c r="L21" s="57">
        <v>8.6999999999999993</v>
      </c>
      <c r="M21" s="20" t="e">
        <f t="shared" ca="1" si="1"/>
        <v>#NAME?</v>
      </c>
      <c r="N21" s="57">
        <v>82</v>
      </c>
      <c r="O21" s="20"/>
      <c r="P21" s="57">
        <v>82</v>
      </c>
      <c r="Q21" s="20">
        <f>VLOOKUP(A21,'Raw Summary Data'!A23:T46, 12, FALSE)</f>
        <v>7.75</v>
      </c>
      <c r="R21" s="20">
        <f>VLOOKUP(A21, 'Raw Summary Data'!A23:T46, 11, 0)</f>
        <v>9</v>
      </c>
      <c r="S21" s="20">
        <f>VLOOKUP(A21, 'Raw Summary Data'!A23:T46, 14, 0)</f>
        <v>10</v>
      </c>
      <c r="T21" s="20">
        <f>VLOOKUP(A21, 'Raw Summary Data'!A23:T46, 13, 0)</f>
        <v>9.5</v>
      </c>
      <c r="U21" s="20" t="e">
        <f t="shared" ca="1" si="2"/>
        <v>#NAME?</v>
      </c>
      <c r="V21" s="20">
        <v>75</v>
      </c>
      <c r="W21" s="20">
        <v>82</v>
      </c>
      <c r="X21" s="20">
        <f>VLOOKUP(A21, 'Raw Summary Data'!A23:T46, 15, 0)</f>
        <v>82</v>
      </c>
      <c r="Y21" s="20"/>
      <c r="Z21" s="20">
        <f>VLOOKUP(A21, 'Raw Summary Data'!A23:T46, 19, 0)</f>
        <v>19.8</v>
      </c>
      <c r="AA21" s="20">
        <f>VLOOKUP(A21, 'Raw Summary Data'!A23:T46, 20, 0)</f>
        <v>9</v>
      </c>
      <c r="AB21" s="20">
        <f>VLOOKUP(A21, 'Raw Summary Data'!A23:T46, 17, 0)</f>
        <v>23.5</v>
      </c>
      <c r="AC21" s="20">
        <f>VLOOKUP(A21, 'Raw Summary Data'!A23:T46, 18, 0)</f>
        <v>10.220000000000001</v>
      </c>
      <c r="AD21" s="20" t="e">
        <f t="shared" ca="1" si="3"/>
        <v>#NAME?</v>
      </c>
    </row>
    <row r="22" spans="1:46" ht="15" customHeight="1" x14ac:dyDescent="0.2">
      <c r="A22" s="18" t="s">
        <v>79</v>
      </c>
      <c r="B22" s="43" t="s">
        <v>7</v>
      </c>
      <c r="C22" s="57">
        <v>15</v>
      </c>
      <c r="D22" s="57">
        <v>14</v>
      </c>
      <c r="E22" s="57">
        <v>10.5</v>
      </c>
      <c r="F22" s="57" t="e">
        <f t="shared" ca="1" si="5"/>
        <v>#NAME?</v>
      </c>
      <c r="G22" s="57">
        <v>88</v>
      </c>
      <c r="H22" s="20"/>
      <c r="I22" s="57">
        <v>95</v>
      </c>
      <c r="J22" s="57">
        <v>18</v>
      </c>
      <c r="K22" s="57">
        <v>12</v>
      </c>
      <c r="L22" s="57">
        <v>12</v>
      </c>
      <c r="M22" s="20" t="e">
        <f t="shared" ca="1" si="1"/>
        <v>#NAME?</v>
      </c>
      <c r="N22" s="57">
        <v>88</v>
      </c>
      <c r="O22" s="20"/>
      <c r="P22" s="57">
        <v>88</v>
      </c>
      <c r="Q22" s="20">
        <f>VLOOKUP(A22,'Raw Summary Data'!A24:T47, 12, FALSE)</f>
        <v>10</v>
      </c>
      <c r="R22" s="20">
        <f>VLOOKUP(A22, 'Raw Summary Data'!A24:T47, 11, 0)</f>
        <v>10</v>
      </c>
      <c r="S22" s="20">
        <f>VLOOKUP(A22, 'Raw Summary Data'!A24:T47, 14, 0)</f>
        <v>11</v>
      </c>
      <c r="T22" s="20">
        <f>VLOOKUP(A22, 'Raw Summary Data'!A24:T47, 13, 0)</f>
        <v>9</v>
      </c>
      <c r="U22" s="20" t="e">
        <f t="shared" ca="1" si="2"/>
        <v>#NAME?</v>
      </c>
      <c r="V22" s="20">
        <v>82</v>
      </c>
      <c r="W22" s="20"/>
      <c r="X22" s="20">
        <f>VLOOKUP(A22, 'Raw Summary Data'!A24:T47, 15, 0)</f>
        <v>82</v>
      </c>
      <c r="Y22" s="20"/>
      <c r="Z22" s="20">
        <f>VLOOKUP(A22, 'Raw Summary Data'!A24:T47, 19, 0)</f>
        <v>22</v>
      </c>
      <c r="AA22" s="20">
        <f>VLOOKUP(A22, 'Raw Summary Data'!A24:T47, 20, 0)</f>
        <v>10</v>
      </c>
      <c r="AB22" s="20">
        <f>VLOOKUP(A22, 'Raw Summary Data'!A24:T47, 17, 0)</f>
        <v>28</v>
      </c>
      <c r="AC22" s="20">
        <f>VLOOKUP(A22, 'Raw Summary Data'!A24:T47, 18, 0)</f>
        <v>13</v>
      </c>
      <c r="AD22" s="20" t="e">
        <f t="shared" ca="1" si="3"/>
        <v>#NAME?</v>
      </c>
    </row>
    <row r="23" spans="1:46" ht="15" customHeight="1" x14ac:dyDescent="0.2">
      <c r="A23" s="18" t="s">
        <v>81</v>
      </c>
      <c r="B23" s="43" t="s">
        <v>8</v>
      </c>
      <c r="C23" s="57">
        <v>14.5</v>
      </c>
      <c r="D23" s="57">
        <v>15</v>
      </c>
      <c r="E23" s="57">
        <v>11</v>
      </c>
      <c r="F23" s="57" t="e">
        <f t="shared" ca="1" si="5"/>
        <v>#NAME?</v>
      </c>
      <c r="G23" s="57">
        <v>83</v>
      </c>
      <c r="H23" s="20"/>
      <c r="I23" s="57">
        <v>92</v>
      </c>
      <c r="J23" s="57">
        <v>18</v>
      </c>
      <c r="K23" s="57">
        <v>12</v>
      </c>
      <c r="L23" s="57">
        <v>13</v>
      </c>
      <c r="M23" s="20" t="e">
        <f t="shared" ca="1" si="1"/>
        <v>#NAME?</v>
      </c>
      <c r="N23" s="57">
        <v>72</v>
      </c>
      <c r="O23" s="20">
        <v>83</v>
      </c>
      <c r="P23" s="57">
        <v>83</v>
      </c>
      <c r="Q23" s="20">
        <f>VLOOKUP(A23,'Raw Summary Data'!A25:T48, 12, FALSE)</f>
        <v>10</v>
      </c>
      <c r="R23" s="20">
        <f>VLOOKUP(A23, 'Raw Summary Data'!A25:T48, 11, 0)</f>
        <v>10</v>
      </c>
      <c r="S23" s="20">
        <f>VLOOKUP(A23, 'Raw Summary Data'!A25:T48, 14, 0)</f>
        <v>9</v>
      </c>
      <c r="T23" s="20">
        <f>VLOOKUP(A23, 'Raw Summary Data'!A25:T48, 13, 0)</f>
        <v>10.5</v>
      </c>
      <c r="U23" s="20" t="e">
        <f t="shared" ca="1" si="2"/>
        <v>#NAME?</v>
      </c>
      <c r="V23" s="20">
        <v>80</v>
      </c>
      <c r="W23" s="20">
        <v>85</v>
      </c>
      <c r="X23" s="20">
        <f>VLOOKUP(A23, 'Raw Summary Data'!A25:T48, 15, 0)</f>
        <v>80</v>
      </c>
      <c r="Y23" s="20"/>
      <c r="Z23" s="20">
        <f>VLOOKUP(A23, 'Raw Summary Data'!A25:T48, 19, 0)</f>
        <v>22</v>
      </c>
      <c r="AA23" s="20">
        <f>VLOOKUP(A23, 'Raw Summary Data'!A25:T48, 20, 0)</f>
        <v>10</v>
      </c>
      <c r="AB23" s="20">
        <f>VLOOKUP(A23, 'Raw Summary Data'!A25:T48, 17, 0)</f>
        <v>21</v>
      </c>
      <c r="AC23" s="20">
        <f>VLOOKUP(A23, 'Raw Summary Data'!A25:T48, 18, 0)</f>
        <v>13</v>
      </c>
      <c r="AD23" s="20" t="e">
        <f t="shared" ca="1" si="3"/>
        <v>#NAME?</v>
      </c>
    </row>
    <row r="24" spans="1:46" ht="15" customHeight="1" x14ac:dyDescent="0.2">
      <c r="A24" s="18" t="s">
        <v>83</v>
      </c>
      <c r="B24" s="43" t="s">
        <v>9</v>
      </c>
      <c r="C24" s="57">
        <v>13</v>
      </c>
      <c r="D24" s="57">
        <v>6</v>
      </c>
      <c r="E24" s="57">
        <v>5.17</v>
      </c>
      <c r="F24" s="57" t="e">
        <f t="shared" ca="1" si="5"/>
        <v>#NAME?</v>
      </c>
      <c r="G24" s="57">
        <v>62</v>
      </c>
      <c r="H24" s="20"/>
      <c r="I24" s="57">
        <v>72</v>
      </c>
      <c r="J24" s="57">
        <v>1</v>
      </c>
      <c r="K24" s="57">
        <v>0</v>
      </c>
      <c r="L24" s="57">
        <v>6</v>
      </c>
      <c r="M24" s="20" t="e">
        <f t="shared" ca="1" si="1"/>
        <v>#NAME?</v>
      </c>
      <c r="N24" s="57">
        <v>62</v>
      </c>
      <c r="O24" s="20"/>
      <c r="P24" s="57">
        <v>62</v>
      </c>
      <c r="Q24" s="20">
        <f>VLOOKUP(A24,'Raw Summary Data'!A26:T49, 12, FALSE)</f>
        <v>9</v>
      </c>
      <c r="R24" s="20">
        <f>VLOOKUP(A24, 'Raw Summary Data'!A26:T49, 11, 0)</f>
        <v>10</v>
      </c>
      <c r="S24" s="20">
        <f>VLOOKUP(A24, 'Raw Summary Data'!A26:T49, 14, 0)</f>
        <v>11</v>
      </c>
      <c r="T24" s="20">
        <f>VLOOKUP(A24, 'Raw Summary Data'!A26:T49, 13, 0)</f>
        <v>9</v>
      </c>
      <c r="U24" s="20" t="e">
        <f t="shared" ca="1" si="2"/>
        <v>#NAME?</v>
      </c>
      <c r="V24" s="20">
        <v>72</v>
      </c>
      <c r="W24" s="20"/>
      <c r="X24" s="20">
        <f>VLOOKUP(A24, 'Raw Summary Data'!A26:T49, 15, 0)</f>
        <v>72</v>
      </c>
      <c r="Y24" s="20"/>
      <c r="Z24" s="20">
        <f>VLOOKUP(A24, 'Raw Summary Data'!A26:T49, 19, 0)</f>
        <v>22</v>
      </c>
      <c r="AA24" s="20">
        <f>VLOOKUP(A24, 'Raw Summary Data'!A26:T49, 20, 0)</f>
        <v>10</v>
      </c>
      <c r="AB24" s="20">
        <f>VLOOKUP(A24, 'Raw Summary Data'!A26:T49, 17, 0)</f>
        <v>28</v>
      </c>
      <c r="AC24" s="20">
        <f>VLOOKUP(A24, 'Raw Summary Data'!A26:T49, 18, 0)</f>
        <v>9.19</v>
      </c>
      <c r="AD24" s="20" t="e">
        <f t="shared" ca="1" si="3"/>
        <v>#NAME?</v>
      </c>
    </row>
    <row r="25" spans="1:46" ht="15" customHeight="1" x14ac:dyDescent="0.2">
      <c r="A25" s="18" t="s">
        <v>85</v>
      </c>
      <c r="B25" s="43" t="s">
        <v>8</v>
      </c>
      <c r="C25" s="57">
        <v>15</v>
      </c>
      <c r="D25" s="57">
        <v>4</v>
      </c>
      <c r="E25" s="57">
        <v>9.33</v>
      </c>
      <c r="F25" s="57" t="e">
        <f t="shared" ca="1" si="5"/>
        <v>#NAME?</v>
      </c>
      <c r="G25" s="57">
        <v>65</v>
      </c>
      <c r="H25" s="20"/>
      <c r="I25" s="57">
        <v>62</v>
      </c>
      <c r="J25" s="57">
        <v>16</v>
      </c>
      <c r="K25" s="57">
        <v>11</v>
      </c>
      <c r="L25" s="57">
        <v>8.1</v>
      </c>
      <c r="M25" s="20" t="e">
        <f t="shared" ca="1" si="1"/>
        <v>#NAME?</v>
      </c>
      <c r="N25" s="57">
        <v>65</v>
      </c>
      <c r="O25" s="20"/>
      <c r="P25" s="57">
        <v>65</v>
      </c>
      <c r="Q25" s="20">
        <f>VLOOKUP(A25,'Raw Summary Data'!A27:T50, 12, FALSE)</f>
        <v>9</v>
      </c>
      <c r="R25" s="20">
        <f>VLOOKUP(A25, 'Raw Summary Data'!A27:T50, 11, 0)</f>
        <v>10</v>
      </c>
      <c r="S25" s="20">
        <f>VLOOKUP(A25, 'Raw Summary Data'!A27:T50, 14, 0)</f>
        <v>9</v>
      </c>
      <c r="T25" s="20">
        <f>VLOOKUP(A25, 'Raw Summary Data'!A27:T50, 13, 0)</f>
        <v>0.5</v>
      </c>
      <c r="U25" s="20" t="e">
        <f t="shared" ca="1" si="2"/>
        <v>#NAME?</v>
      </c>
      <c r="V25" s="20">
        <v>65</v>
      </c>
      <c r="W25" s="20"/>
      <c r="X25" s="20">
        <f>VLOOKUP(A25, 'Raw Summary Data'!A27:T50, 15, 0)</f>
        <v>65</v>
      </c>
      <c r="Y25" s="20"/>
      <c r="Z25" s="20">
        <f>VLOOKUP(A25, 'Raw Summary Data'!A27:T50, 19, 0)</f>
        <v>0</v>
      </c>
      <c r="AA25" s="20">
        <f>VLOOKUP(A25, 'Raw Summary Data'!A27:T50, 20, 0)</f>
        <v>10</v>
      </c>
      <c r="AB25" s="20">
        <f>VLOOKUP(A25, 'Raw Summary Data'!A27:T50, 17, 0)</f>
        <v>0</v>
      </c>
      <c r="AC25" s="20">
        <f>VLOOKUP(A25, 'Raw Summary Data'!A27:T50, 18, 0)</f>
        <v>13</v>
      </c>
      <c r="AD25" s="20" t="e">
        <f t="shared" ca="1" si="3"/>
        <v>#NAME?</v>
      </c>
    </row>
    <row r="26" spans="1:46" ht="15" customHeight="1" x14ac:dyDescent="0.2">
      <c r="A26" s="24"/>
    </row>
    <row r="27" spans="1:46" ht="15" customHeight="1" x14ac:dyDescent="0.2">
      <c r="A27" s="24" t="s">
        <v>821</v>
      </c>
      <c r="B27" s="58"/>
      <c r="C27" s="58">
        <v>4</v>
      </c>
      <c r="D27" s="58">
        <v>5</v>
      </c>
      <c r="E27" s="58">
        <v>6</v>
      </c>
      <c r="F27" s="58"/>
      <c r="G27" s="58"/>
      <c r="H27" s="58"/>
      <c r="I27" s="58">
        <v>7</v>
      </c>
      <c r="J27" s="58">
        <v>8</v>
      </c>
      <c r="K27" s="58">
        <v>10</v>
      </c>
      <c r="L27" s="58">
        <v>9</v>
      </c>
      <c r="M27" s="58"/>
      <c r="N27" s="58"/>
      <c r="O27" s="58"/>
      <c r="P27" s="58">
        <v>11</v>
      </c>
      <c r="Q27" s="58">
        <v>13</v>
      </c>
      <c r="R27" s="58">
        <v>12</v>
      </c>
      <c r="S27" s="58">
        <v>15</v>
      </c>
      <c r="T27" s="58">
        <v>14</v>
      </c>
      <c r="U27" s="58"/>
      <c r="V27" s="58"/>
      <c r="W27" s="58"/>
      <c r="X27" s="58">
        <v>16</v>
      </c>
      <c r="Y27" s="58"/>
      <c r="Z27" s="58">
        <v>20</v>
      </c>
      <c r="AA27" s="58">
        <v>21</v>
      </c>
      <c r="AB27" s="58">
        <v>18</v>
      </c>
      <c r="AC27" s="58">
        <v>19</v>
      </c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</row>
    <row r="28" spans="1:46" ht="15" customHeight="1" x14ac:dyDescent="0.2">
      <c r="A28" s="24"/>
    </row>
    <row r="29" spans="1:46" ht="15" customHeight="1" x14ac:dyDescent="0.2">
      <c r="A29" s="24"/>
    </row>
    <row r="30" spans="1:46" ht="15" customHeight="1" x14ac:dyDescent="0.2">
      <c r="A30" s="24"/>
    </row>
    <row r="31" spans="1:46" x14ac:dyDescent="0.25">
      <c r="A31" s="24"/>
      <c r="B31" s="52" t="s">
        <v>744</v>
      </c>
    </row>
    <row r="32" spans="1:46" ht="15" customHeight="1" x14ac:dyDescent="0.2">
      <c r="A32" s="24"/>
      <c r="B32" s="38" t="s">
        <v>822</v>
      </c>
    </row>
    <row r="33" spans="2:5" ht="15" customHeight="1" x14ac:dyDescent="0.2">
      <c r="B33" s="25" t="s">
        <v>745</v>
      </c>
      <c r="C33" s="25" t="s">
        <v>746</v>
      </c>
      <c r="D33" s="25" t="s">
        <v>747</v>
      </c>
      <c r="E33" s="25" t="s">
        <v>748</v>
      </c>
    </row>
    <row r="34" spans="2:5" ht="15" customHeight="1" x14ac:dyDescent="0.2">
      <c r="C34" s="38"/>
      <c r="D34" s="38"/>
    </row>
    <row r="36" spans="2:5" ht="15" customHeight="1" x14ac:dyDescent="0.2">
      <c r="C36" s="38"/>
      <c r="D36" s="38"/>
    </row>
    <row r="37" spans="2:5" ht="15" customHeight="1" x14ac:dyDescent="0.2">
      <c r="B37" s="25" t="s">
        <v>749</v>
      </c>
      <c r="C37" s="25" t="s">
        <v>750</v>
      </c>
      <c r="D37" s="25" t="s">
        <v>751</v>
      </c>
      <c r="E37" s="25" t="s">
        <v>752</v>
      </c>
    </row>
    <row r="38" spans="2:5" ht="15" customHeight="1" x14ac:dyDescent="0.2">
      <c r="C38" s="38"/>
      <c r="D38" s="38"/>
    </row>
    <row r="39" spans="2:5" ht="15" customHeight="1" x14ac:dyDescent="0.2">
      <c r="C39" s="38"/>
      <c r="D39" s="38"/>
    </row>
    <row r="40" spans="2:5" ht="15" customHeight="1" x14ac:dyDescent="0.2">
      <c r="C40" s="38"/>
      <c r="D40" s="38"/>
    </row>
    <row r="41" spans="2:5" ht="15" customHeight="1" x14ac:dyDescent="0.2">
      <c r="B41" s="25" t="s">
        <v>753</v>
      </c>
      <c r="C41" s="25" t="s">
        <v>754</v>
      </c>
      <c r="D41" s="25" t="s">
        <v>755</v>
      </c>
      <c r="E41" s="25" t="s">
        <v>756</v>
      </c>
    </row>
    <row r="42" spans="2:5" ht="15" customHeight="1" x14ac:dyDescent="0.2">
      <c r="C42" s="38"/>
      <c r="D42" s="38"/>
    </row>
    <row r="43" spans="2:5" ht="15" customHeight="1" x14ac:dyDescent="0.2">
      <c r="C43" s="38"/>
      <c r="D43" s="38"/>
    </row>
    <row r="44" spans="2:5" ht="12.75" x14ac:dyDescent="0.2">
      <c r="C44" s="38"/>
      <c r="D44" s="38"/>
    </row>
    <row r="45" spans="2:5" ht="63.75" x14ac:dyDescent="0.2">
      <c r="B45" s="25" t="s">
        <v>757</v>
      </c>
      <c r="C45" s="25" t="s">
        <v>758</v>
      </c>
      <c r="D45" s="25" t="s">
        <v>759</v>
      </c>
      <c r="E45" s="25" t="s">
        <v>760</v>
      </c>
    </row>
    <row r="49" spans="2:5" ht="76.5" x14ac:dyDescent="0.2">
      <c r="B49" s="25" t="s">
        <v>823</v>
      </c>
      <c r="C49" s="25" t="s">
        <v>824</v>
      </c>
      <c r="D49" s="25" t="s">
        <v>825</v>
      </c>
      <c r="E49" s="25" t="s">
        <v>826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69"/>
  <sheetViews>
    <sheetView showGridLines="0" workbookViewId="0"/>
  </sheetViews>
  <sheetFormatPr defaultColWidth="14.42578125" defaultRowHeight="15" customHeight="1" x14ac:dyDescent="0.2"/>
  <cols>
    <col min="1" max="1" width="19.5703125" customWidth="1"/>
    <col min="3" max="3" width="12.140625" customWidth="1"/>
    <col min="6" max="6" width="23.7109375" customWidth="1"/>
    <col min="7" max="7" width="18.28515625" customWidth="1"/>
  </cols>
  <sheetData>
    <row r="1" spans="1:14" ht="15" customHeight="1" x14ac:dyDescent="0.2">
      <c r="A1" s="65"/>
      <c r="B1" s="66" t="s">
        <v>865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</row>
    <row r="2" spans="1:14" ht="15" customHeight="1" x14ac:dyDescent="0.2">
      <c r="A2" s="66" t="s">
        <v>693</v>
      </c>
      <c r="B2" s="65" t="s">
        <v>827</v>
      </c>
      <c r="C2" s="69" t="s">
        <v>828</v>
      </c>
      <c r="D2" s="69" t="s">
        <v>829</v>
      </c>
      <c r="E2" s="69" t="s">
        <v>830</v>
      </c>
      <c r="F2" s="69" t="s">
        <v>831</v>
      </c>
      <c r="G2" s="69" t="s">
        <v>832</v>
      </c>
      <c r="H2" s="69" t="s">
        <v>833</v>
      </c>
      <c r="I2" s="69" t="s">
        <v>834</v>
      </c>
      <c r="J2" s="69" t="s">
        <v>835</v>
      </c>
      <c r="K2" s="69" t="s">
        <v>836</v>
      </c>
      <c r="L2" s="69" t="s">
        <v>837</v>
      </c>
      <c r="M2" s="69" t="s">
        <v>838</v>
      </c>
      <c r="N2" s="70" t="s">
        <v>839</v>
      </c>
    </row>
    <row r="3" spans="1:14" ht="15" customHeight="1" x14ac:dyDescent="0.2">
      <c r="A3" s="71" t="s">
        <v>311</v>
      </c>
      <c r="B3" s="72">
        <v>9.66</v>
      </c>
      <c r="C3" s="73">
        <v>0</v>
      </c>
      <c r="D3" s="73">
        <v>75</v>
      </c>
      <c r="E3" s="73">
        <v>78</v>
      </c>
      <c r="F3" s="73">
        <v>78</v>
      </c>
      <c r="G3" s="73">
        <v>0</v>
      </c>
      <c r="H3" s="73">
        <v>62</v>
      </c>
      <c r="I3" s="73">
        <v>78</v>
      </c>
      <c r="J3" s="73">
        <v>78</v>
      </c>
      <c r="K3" s="73">
        <v>5.5</v>
      </c>
      <c r="L3" s="73">
        <v>68</v>
      </c>
      <c r="M3" s="73">
        <v>72</v>
      </c>
      <c r="N3" s="74">
        <v>68</v>
      </c>
    </row>
    <row r="4" spans="1:14" ht="15" customHeight="1" x14ac:dyDescent="0.2">
      <c r="A4" s="75" t="s">
        <v>313</v>
      </c>
      <c r="B4" s="76">
        <v>9.66</v>
      </c>
      <c r="C4" s="77">
        <v>0</v>
      </c>
      <c r="D4" s="77">
        <v>72</v>
      </c>
      <c r="E4" s="77" t="e">
        <v>#DIV/0!</v>
      </c>
      <c r="F4" s="77">
        <v>72</v>
      </c>
      <c r="G4" s="77">
        <v>12.4</v>
      </c>
      <c r="H4" s="77">
        <v>72</v>
      </c>
      <c r="I4" s="77" t="e">
        <v>#DIV/0!</v>
      </c>
      <c r="J4" s="77">
        <v>72</v>
      </c>
      <c r="K4" s="77">
        <v>3</v>
      </c>
      <c r="L4" s="77">
        <v>68</v>
      </c>
      <c r="M4" s="77" t="e">
        <v>#DIV/0!</v>
      </c>
      <c r="N4" s="78">
        <v>68</v>
      </c>
    </row>
    <row r="5" spans="1:14" ht="15" customHeight="1" x14ac:dyDescent="0.2">
      <c r="A5" s="75" t="s">
        <v>29</v>
      </c>
      <c r="B5" s="76">
        <v>8.83</v>
      </c>
      <c r="C5" s="77">
        <v>0</v>
      </c>
      <c r="D5" s="77">
        <v>85</v>
      </c>
      <c r="E5" s="77" t="e">
        <v>#DIV/0!</v>
      </c>
      <c r="F5" s="77">
        <v>85</v>
      </c>
      <c r="G5" s="77">
        <v>10</v>
      </c>
      <c r="H5" s="77">
        <v>85</v>
      </c>
      <c r="I5" s="77" t="e">
        <v>#DIV/0!</v>
      </c>
      <c r="J5" s="77">
        <v>85</v>
      </c>
      <c r="K5" s="77">
        <v>9.5</v>
      </c>
      <c r="L5" s="77">
        <v>100</v>
      </c>
      <c r="M5" s="77"/>
      <c r="N5" s="78">
        <v>100</v>
      </c>
    </row>
    <row r="6" spans="1:14" ht="15" customHeight="1" x14ac:dyDescent="0.2">
      <c r="A6" s="75" t="s">
        <v>381</v>
      </c>
      <c r="B6" s="76">
        <v>6.17</v>
      </c>
      <c r="C6" s="77">
        <v>0</v>
      </c>
      <c r="D6" s="77">
        <v>65</v>
      </c>
      <c r="E6" s="77" t="e">
        <v>#DIV/0!</v>
      </c>
      <c r="F6" s="77">
        <v>65</v>
      </c>
      <c r="G6" s="77">
        <v>12</v>
      </c>
      <c r="H6" s="77">
        <v>66</v>
      </c>
      <c r="I6" s="77">
        <v>75</v>
      </c>
      <c r="J6" s="77">
        <v>75</v>
      </c>
      <c r="K6" s="77">
        <v>8</v>
      </c>
      <c r="L6" s="77">
        <v>68</v>
      </c>
      <c r="M6" s="77">
        <v>68</v>
      </c>
      <c r="N6" s="78">
        <v>68</v>
      </c>
    </row>
    <row r="7" spans="1:14" ht="15" customHeight="1" x14ac:dyDescent="0.2">
      <c r="A7" s="75" t="s">
        <v>32</v>
      </c>
      <c r="B7" s="76">
        <v>9</v>
      </c>
      <c r="C7" s="77">
        <v>1</v>
      </c>
      <c r="D7" s="77">
        <v>82</v>
      </c>
      <c r="E7" s="77" t="e">
        <v>#DIV/0!</v>
      </c>
      <c r="F7" s="77">
        <v>82</v>
      </c>
      <c r="G7" s="77">
        <v>9.6999999999999993</v>
      </c>
      <c r="H7" s="77">
        <v>78</v>
      </c>
      <c r="I7" s="77" t="e">
        <v>#DIV/0!</v>
      </c>
      <c r="J7" s="77">
        <v>78</v>
      </c>
      <c r="K7" s="77">
        <v>7</v>
      </c>
      <c r="L7" s="77">
        <v>75</v>
      </c>
      <c r="M7" s="77"/>
      <c r="N7" s="78">
        <v>75</v>
      </c>
    </row>
    <row r="8" spans="1:14" ht="15" customHeight="1" x14ac:dyDescent="0.2">
      <c r="A8" s="75" t="s">
        <v>315</v>
      </c>
      <c r="B8" s="76">
        <v>11</v>
      </c>
      <c r="C8" s="77">
        <v>0</v>
      </c>
      <c r="D8" s="77">
        <v>95</v>
      </c>
      <c r="E8" s="77" t="e">
        <v>#DIV/0!</v>
      </c>
      <c r="F8" s="77">
        <v>95</v>
      </c>
      <c r="G8" s="77">
        <v>10</v>
      </c>
      <c r="H8" s="77">
        <v>82</v>
      </c>
      <c r="I8" s="77">
        <v>95</v>
      </c>
      <c r="J8" s="77">
        <v>95</v>
      </c>
      <c r="K8" s="77">
        <v>11</v>
      </c>
      <c r="L8" s="77">
        <v>100</v>
      </c>
      <c r="M8" s="77" t="e">
        <v>#DIV/0!</v>
      </c>
      <c r="N8" s="78">
        <v>100</v>
      </c>
    </row>
    <row r="9" spans="1:14" ht="15" customHeight="1" x14ac:dyDescent="0.2">
      <c r="A9" s="75" t="s">
        <v>35</v>
      </c>
      <c r="B9" s="76">
        <v>7.16</v>
      </c>
      <c r="C9" s="77">
        <v>0</v>
      </c>
      <c r="D9" s="77">
        <v>95</v>
      </c>
      <c r="E9" s="77" t="e">
        <v>#DIV/0!</v>
      </c>
      <c r="F9" s="77">
        <v>95</v>
      </c>
      <c r="G9" s="77">
        <v>12.4</v>
      </c>
      <c r="H9" s="77">
        <v>85</v>
      </c>
      <c r="I9" s="77" t="e">
        <v>#DIV/0!</v>
      </c>
      <c r="J9" s="77">
        <v>85</v>
      </c>
      <c r="K9" s="77">
        <v>7.5</v>
      </c>
      <c r="L9" s="77">
        <v>85</v>
      </c>
      <c r="M9" s="77"/>
      <c r="N9" s="78">
        <v>85</v>
      </c>
    </row>
    <row r="10" spans="1:14" ht="15" customHeight="1" x14ac:dyDescent="0.2">
      <c r="A10" s="75" t="s">
        <v>37</v>
      </c>
      <c r="B10" s="76">
        <v>11</v>
      </c>
      <c r="C10" s="77">
        <v>0</v>
      </c>
      <c r="D10" s="77">
        <v>82</v>
      </c>
      <c r="E10" s="77" t="e">
        <v>#DIV/0!</v>
      </c>
      <c r="F10" s="77">
        <v>82</v>
      </c>
      <c r="G10" s="77">
        <v>7.7</v>
      </c>
      <c r="H10" s="77">
        <v>72</v>
      </c>
      <c r="I10" s="77">
        <v>88</v>
      </c>
      <c r="J10" s="77">
        <v>88</v>
      </c>
      <c r="K10" s="77">
        <v>8</v>
      </c>
      <c r="L10" s="77">
        <v>78</v>
      </c>
      <c r="M10" s="77">
        <v>72</v>
      </c>
      <c r="N10" s="78">
        <v>78</v>
      </c>
    </row>
    <row r="11" spans="1:14" ht="15" customHeight="1" x14ac:dyDescent="0.2">
      <c r="A11" s="75" t="s">
        <v>40</v>
      </c>
      <c r="B11" s="76" t="e">
        <v>#DIV/0!</v>
      </c>
      <c r="C11" s="77">
        <v>0</v>
      </c>
      <c r="D11" s="77">
        <v>92</v>
      </c>
      <c r="E11" s="77" t="e">
        <v>#DIV/0!</v>
      </c>
      <c r="F11" s="77">
        <v>92</v>
      </c>
      <c r="G11" s="77">
        <v>10</v>
      </c>
      <c r="H11" s="77">
        <v>95</v>
      </c>
      <c r="I11" s="77" t="e">
        <v>#DIV/0!</v>
      </c>
      <c r="J11" s="77">
        <v>95</v>
      </c>
      <c r="K11" s="77">
        <v>10.5</v>
      </c>
      <c r="L11" s="77">
        <v>100</v>
      </c>
      <c r="M11" s="77"/>
      <c r="N11" s="78">
        <v>100</v>
      </c>
    </row>
    <row r="12" spans="1:14" ht="15" customHeight="1" x14ac:dyDescent="0.2">
      <c r="A12" s="75" t="s">
        <v>383</v>
      </c>
      <c r="B12" s="76">
        <v>0.17</v>
      </c>
      <c r="C12" s="77">
        <v>0</v>
      </c>
      <c r="D12" s="77">
        <v>75</v>
      </c>
      <c r="E12" s="77" t="e">
        <v>#DIV/0!</v>
      </c>
      <c r="F12" s="77">
        <v>75</v>
      </c>
      <c r="G12" s="77">
        <v>12</v>
      </c>
      <c r="H12" s="77">
        <v>30</v>
      </c>
      <c r="I12" s="77" t="e">
        <v>#DIV/0!</v>
      </c>
      <c r="J12" s="77">
        <v>30</v>
      </c>
      <c r="K12" s="77">
        <v>0</v>
      </c>
      <c r="L12" s="77">
        <v>0</v>
      </c>
      <c r="M12" s="77" t="e">
        <v>#DIV/0!</v>
      </c>
      <c r="N12" s="78">
        <v>0</v>
      </c>
    </row>
    <row r="13" spans="1:14" ht="15" customHeight="1" x14ac:dyDescent="0.2">
      <c r="A13" s="75" t="s">
        <v>317</v>
      </c>
      <c r="B13" s="76">
        <v>9.67</v>
      </c>
      <c r="C13" s="77">
        <v>0</v>
      </c>
      <c r="D13" s="77">
        <v>65</v>
      </c>
      <c r="E13" s="77" t="e">
        <v>#DIV/0!</v>
      </c>
      <c r="F13" s="77">
        <v>65</v>
      </c>
      <c r="G13" s="77">
        <v>0</v>
      </c>
      <c r="H13" s="77">
        <v>62</v>
      </c>
      <c r="I13" s="77" t="e">
        <v>#DIV/0!</v>
      </c>
      <c r="J13" s="77">
        <v>62</v>
      </c>
      <c r="K13" s="77">
        <v>4.5</v>
      </c>
      <c r="L13" s="77">
        <v>65</v>
      </c>
      <c r="M13" s="77">
        <v>68</v>
      </c>
      <c r="N13" s="78">
        <v>68</v>
      </c>
    </row>
    <row r="14" spans="1:14" ht="15" customHeight="1" x14ac:dyDescent="0.2">
      <c r="A14" s="75" t="s">
        <v>43</v>
      </c>
      <c r="B14" s="76">
        <v>7</v>
      </c>
      <c r="C14" s="77">
        <v>0</v>
      </c>
      <c r="D14" s="77">
        <v>85</v>
      </c>
      <c r="E14" s="77" t="e">
        <v>#DIV/0!</v>
      </c>
      <c r="F14" s="77">
        <v>85</v>
      </c>
      <c r="G14" s="77">
        <v>11.1</v>
      </c>
      <c r="H14" s="77">
        <v>100</v>
      </c>
      <c r="I14" s="77" t="e">
        <v>#DIV/0!</v>
      </c>
      <c r="J14" s="77">
        <v>100</v>
      </c>
      <c r="K14" s="77">
        <v>9</v>
      </c>
      <c r="L14" s="77">
        <v>78</v>
      </c>
      <c r="M14" s="77">
        <v>75</v>
      </c>
      <c r="N14" s="78">
        <v>78</v>
      </c>
    </row>
    <row r="15" spans="1:14" ht="15" customHeight="1" x14ac:dyDescent="0.2">
      <c r="A15" s="75" t="s">
        <v>46</v>
      </c>
      <c r="B15" s="76">
        <v>10.66</v>
      </c>
      <c r="C15" s="77">
        <v>0</v>
      </c>
      <c r="D15" s="77">
        <v>85</v>
      </c>
      <c r="E15" s="77" t="e">
        <v>#DIV/0!</v>
      </c>
      <c r="F15" s="77">
        <v>85</v>
      </c>
      <c r="G15" s="77">
        <v>9.4</v>
      </c>
      <c r="H15" s="77">
        <v>68</v>
      </c>
      <c r="I15" s="77">
        <v>80</v>
      </c>
      <c r="J15" s="77">
        <v>80</v>
      </c>
      <c r="K15" s="77">
        <v>9.5</v>
      </c>
      <c r="L15" s="77">
        <v>75</v>
      </c>
      <c r="M15" s="77">
        <v>65</v>
      </c>
      <c r="N15" s="78">
        <v>75</v>
      </c>
    </row>
    <row r="16" spans="1:14" ht="15" customHeight="1" x14ac:dyDescent="0.2">
      <c r="A16" s="75" t="s">
        <v>385</v>
      </c>
      <c r="B16" s="76">
        <v>9.67</v>
      </c>
      <c r="C16" s="77">
        <v>0</v>
      </c>
      <c r="D16" s="77">
        <v>82</v>
      </c>
      <c r="E16" s="77" t="e">
        <v>#DIV/0!</v>
      </c>
      <c r="F16" s="77">
        <v>82</v>
      </c>
      <c r="G16" s="77">
        <v>12</v>
      </c>
      <c r="H16" s="77">
        <v>68</v>
      </c>
      <c r="I16" s="77">
        <v>82</v>
      </c>
      <c r="J16" s="77">
        <v>82</v>
      </c>
      <c r="K16" s="77">
        <v>11</v>
      </c>
      <c r="L16" s="77">
        <v>68</v>
      </c>
      <c r="M16" s="77">
        <v>75</v>
      </c>
      <c r="N16" s="78">
        <v>68</v>
      </c>
    </row>
    <row r="17" spans="1:14" ht="15" customHeight="1" x14ac:dyDescent="0.2">
      <c r="A17" s="75" t="s">
        <v>319</v>
      </c>
      <c r="B17" s="76">
        <v>8</v>
      </c>
      <c r="C17" s="77">
        <v>0</v>
      </c>
      <c r="D17" s="77">
        <v>85</v>
      </c>
      <c r="E17" s="77" t="e">
        <v>#DIV/0!</v>
      </c>
      <c r="F17" s="77">
        <v>85</v>
      </c>
      <c r="G17" s="77">
        <v>10</v>
      </c>
      <c r="H17" s="77">
        <v>75</v>
      </c>
      <c r="I17" s="77">
        <v>95</v>
      </c>
      <c r="J17" s="77">
        <v>95</v>
      </c>
      <c r="K17" s="77">
        <v>5.5</v>
      </c>
      <c r="L17" s="77">
        <v>75</v>
      </c>
      <c r="M17" s="77">
        <v>75</v>
      </c>
      <c r="N17" s="78">
        <v>75</v>
      </c>
    </row>
    <row r="18" spans="1:14" ht="15" customHeight="1" x14ac:dyDescent="0.2">
      <c r="A18" s="75" t="s">
        <v>321</v>
      </c>
      <c r="B18" s="76">
        <v>8.16</v>
      </c>
      <c r="C18" s="77">
        <v>0</v>
      </c>
      <c r="D18" s="77">
        <v>100</v>
      </c>
      <c r="E18" s="77" t="e">
        <v>#DIV/0!</v>
      </c>
      <c r="F18" s="77">
        <v>100</v>
      </c>
      <c r="G18" s="77">
        <v>10</v>
      </c>
      <c r="H18" s="77">
        <v>92</v>
      </c>
      <c r="I18" s="77" t="e">
        <v>#DIV/0!</v>
      </c>
      <c r="J18" s="77">
        <v>92</v>
      </c>
      <c r="K18" s="77">
        <v>10</v>
      </c>
      <c r="L18" s="77">
        <v>82</v>
      </c>
      <c r="M18" s="77" t="e">
        <v>#DIV/0!</v>
      </c>
      <c r="N18" s="78">
        <v>82</v>
      </c>
    </row>
    <row r="19" spans="1:14" ht="15" customHeight="1" x14ac:dyDescent="0.2">
      <c r="A19" s="75" t="s">
        <v>48</v>
      </c>
      <c r="B19" s="76">
        <v>10</v>
      </c>
      <c r="C19" s="77">
        <v>0</v>
      </c>
      <c r="D19" s="77">
        <v>65</v>
      </c>
      <c r="E19" s="77" t="e">
        <v>#DIV/0!</v>
      </c>
      <c r="F19" s="77">
        <v>65</v>
      </c>
      <c r="G19" s="77">
        <v>10</v>
      </c>
      <c r="H19" s="77">
        <v>65</v>
      </c>
      <c r="I19" s="77" t="e">
        <v>#DIV/0!</v>
      </c>
      <c r="J19" s="77">
        <v>65</v>
      </c>
      <c r="K19" s="77">
        <v>9</v>
      </c>
      <c r="L19" s="77">
        <v>65</v>
      </c>
      <c r="M19" s="77"/>
      <c r="N19" s="78">
        <v>65</v>
      </c>
    </row>
    <row r="20" spans="1:14" ht="15" customHeight="1" x14ac:dyDescent="0.2">
      <c r="A20" s="75" t="s">
        <v>51</v>
      </c>
      <c r="B20" s="76">
        <v>5.16</v>
      </c>
      <c r="C20" s="77">
        <v>0</v>
      </c>
      <c r="D20" s="77">
        <v>75</v>
      </c>
      <c r="E20" s="77" t="e">
        <v>#DIV/0!</v>
      </c>
      <c r="F20" s="77">
        <v>75</v>
      </c>
      <c r="G20" s="77">
        <v>8</v>
      </c>
      <c r="H20" s="77">
        <v>68</v>
      </c>
      <c r="I20" s="77" t="e">
        <v>#DIV/0!</v>
      </c>
      <c r="J20" s="77">
        <v>68</v>
      </c>
      <c r="K20" s="77">
        <v>8.5</v>
      </c>
      <c r="L20" s="77">
        <v>68</v>
      </c>
      <c r="M20" s="77"/>
      <c r="N20" s="78">
        <v>68</v>
      </c>
    </row>
    <row r="21" spans="1:14" ht="15" customHeight="1" x14ac:dyDescent="0.2">
      <c r="A21" s="75" t="s">
        <v>387</v>
      </c>
      <c r="B21" s="76">
        <v>1.17</v>
      </c>
      <c r="C21" s="77">
        <v>0</v>
      </c>
      <c r="D21" s="77">
        <v>65</v>
      </c>
      <c r="E21" s="77" t="e">
        <v>#DIV/0!</v>
      </c>
      <c r="F21" s="77">
        <v>65</v>
      </c>
      <c r="G21" s="77">
        <v>12</v>
      </c>
      <c r="H21" s="77">
        <v>30</v>
      </c>
      <c r="I21" s="77" t="e">
        <v>#DIV/0!</v>
      </c>
      <c r="J21" s="77">
        <v>30</v>
      </c>
      <c r="K21" s="77">
        <v>7</v>
      </c>
      <c r="L21" s="77">
        <v>65</v>
      </c>
      <c r="M21" s="77" t="e">
        <v>#DIV/0!</v>
      </c>
      <c r="N21" s="78">
        <v>65</v>
      </c>
    </row>
    <row r="22" spans="1:14" ht="15" customHeight="1" x14ac:dyDescent="0.2">
      <c r="A22" s="75" t="s">
        <v>323</v>
      </c>
      <c r="B22" s="76">
        <v>8.5</v>
      </c>
      <c r="C22" s="77">
        <v>0</v>
      </c>
      <c r="D22" s="77">
        <v>30</v>
      </c>
      <c r="E22" s="77">
        <v>62</v>
      </c>
      <c r="F22" s="77">
        <v>62</v>
      </c>
      <c r="G22" s="77">
        <v>8.4</v>
      </c>
      <c r="H22" s="77">
        <v>30</v>
      </c>
      <c r="I22" s="77">
        <v>62</v>
      </c>
      <c r="J22" s="77">
        <v>62</v>
      </c>
      <c r="K22" s="77">
        <v>4.5</v>
      </c>
      <c r="L22" s="77">
        <v>68</v>
      </c>
      <c r="M22" s="77" t="e">
        <v>#DIV/0!</v>
      </c>
      <c r="N22" s="78">
        <v>68</v>
      </c>
    </row>
    <row r="23" spans="1:14" ht="15" customHeight="1" x14ac:dyDescent="0.2">
      <c r="A23" s="75" t="s">
        <v>325</v>
      </c>
      <c r="B23" s="76">
        <v>11</v>
      </c>
      <c r="C23" s="77">
        <v>0</v>
      </c>
      <c r="D23" s="77">
        <v>100</v>
      </c>
      <c r="E23" s="77" t="e">
        <v>#DIV/0!</v>
      </c>
      <c r="F23" s="77">
        <v>100</v>
      </c>
      <c r="G23" s="77">
        <v>10</v>
      </c>
      <c r="H23" s="77">
        <v>82</v>
      </c>
      <c r="I23" s="77">
        <v>95</v>
      </c>
      <c r="J23" s="77">
        <v>95</v>
      </c>
      <c r="K23" s="77">
        <v>11</v>
      </c>
      <c r="L23" s="77">
        <v>82</v>
      </c>
      <c r="M23" s="77" t="e">
        <v>#DIV/0!</v>
      </c>
      <c r="N23" s="78">
        <v>82</v>
      </c>
    </row>
    <row r="24" spans="1:14" ht="15" customHeight="1" x14ac:dyDescent="0.2">
      <c r="A24" s="75" t="s">
        <v>54</v>
      </c>
      <c r="B24" s="76">
        <v>9.83</v>
      </c>
      <c r="C24" s="77">
        <v>0</v>
      </c>
      <c r="D24" s="77">
        <v>88</v>
      </c>
      <c r="E24" s="77" t="e">
        <v>#DIV/0!</v>
      </c>
      <c r="F24" s="77">
        <v>88</v>
      </c>
      <c r="G24" s="77">
        <v>11.7</v>
      </c>
      <c r="H24" s="77">
        <v>82</v>
      </c>
      <c r="I24" s="77" t="e">
        <v>#DIV/0!</v>
      </c>
      <c r="J24" s="77">
        <v>82</v>
      </c>
      <c r="K24" s="77">
        <v>9.5</v>
      </c>
      <c r="L24" s="77">
        <v>84</v>
      </c>
      <c r="M24" s="77"/>
      <c r="N24" s="78">
        <v>84</v>
      </c>
    </row>
    <row r="25" spans="1:14" ht="15" customHeight="1" x14ac:dyDescent="0.2">
      <c r="A25" s="75" t="s">
        <v>56</v>
      </c>
      <c r="B25" s="76">
        <v>3.83</v>
      </c>
      <c r="C25" s="77">
        <v>1</v>
      </c>
      <c r="D25" s="77">
        <v>30</v>
      </c>
      <c r="E25" s="77" t="e">
        <v>#DIV/0!</v>
      </c>
      <c r="F25" s="77">
        <v>30</v>
      </c>
      <c r="G25" s="77">
        <v>6.65</v>
      </c>
      <c r="H25" s="77">
        <v>62</v>
      </c>
      <c r="I25" s="77">
        <v>72</v>
      </c>
      <c r="J25" s="77">
        <v>72</v>
      </c>
      <c r="K25" s="77">
        <v>8.5</v>
      </c>
      <c r="L25" s="77">
        <v>65</v>
      </c>
      <c r="M25" s="77">
        <v>68</v>
      </c>
      <c r="N25" s="78">
        <v>68</v>
      </c>
    </row>
    <row r="26" spans="1:14" ht="15" customHeight="1" x14ac:dyDescent="0.2">
      <c r="A26" s="75" t="s">
        <v>59</v>
      </c>
      <c r="B26" s="76">
        <v>6.49</v>
      </c>
      <c r="C26" s="77">
        <v>0</v>
      </c>
      <c r="D26" s="77">
        <v>82</v>
      </c>
      <c r="E26" s="77" t="e">
        <v>#DIV/0!</v>
      </c>
      <c r="F26" s="77">
        <v>82</v>
      </c>
      <c r="G26" s="77">
        <v>8</v>
      </c>
      <c r="H26" s="77">
        <v>72</v>
      </c>
      <c r="I26" s="77" t="e">
        <v>#DIV/0!</v>
      </c>
      <c r="J26" s="77">
        <v>72</v>
      </c>
      <c r="K26" s="77">
        <v>8.5</v>
      </c>
      <c r="L26" s="77">
        <v>85</v>
      </c>
      <c r="M26" s="77"/>
      <c r="N26" s="78">
        <v>85</v>
      </c>
    </row>
    <row r="27" spans="1:14" ht="15" customHeight="1" x14ac:dyDescent="0.2">
      <c r="A27" s="75" t="s">
        <v>61</v>
      </c>
      <c r="B27" s="76">
        <v>4.66</v>
      </c>
      <c r="C27" s="77">
        <v>0</v>
      </c>
      <c r="D27" s="77">
        <v>83</v>
      </c>
      <c r="E27" s="77" t="e">
        <v>#DIV/0!</v>
      </c>
      <c r="F27" s="77">
        <v>83</v>
      </c>
      <c r="G27" s="77">
        <v>9.1</v>
      </c>
      <c r="H27" s="77">
        <v>65</v>
      </c>
      <c r="I27" s="77">
        <v>68</v>
      </c>
      <c r="J27" s="77">
        <v>68</v>
      </c>
      <c r="K27" s="77">
        <v>7</v>
      </c>
      <c r="L27" s="77">
        <v>78</v>
      </c>
      <c r="M27" s="77"/>
      <c r="N27" s="78">
        <v>78</v>
      </c>
    </row>
    <row r="28" spans="1:14" ht="15" customHeight="1" x14ac:dyDescent="0.2">
      <c r="A28" s="75" t="s">
        <v>389</v>
      </c>
      <c r="B28" s="76">
        <v>10</v>
      </c>
      <c r="C28" s="77">
        <v>0</v>
      </c>
      <c r="D28" s="77">
        <v>92</v>
      </c>
      <c r="E28" s="77" t="e">
        <v>#DIV/0!</v>
      </c>
      <c r="F28" s="77">
        <v>92</v>
      </c>
      <c r="G28" s="77">
        <v>12</v>
      </c>
      <c r="H28" s="77">
        <v>85</v>
      </c>
      <c r="I28" s="77" t="e">
        <v>#DIV/0!</v>
      </c>
      <c r="J28" s="77">
        <v>85</v>
      </c>
      <c r="K28" s="77">
        <v>11</v>
      </c>
      <c r="L28" s="77">
        <v>85</v>
      </c>
      <c r="M28" s="77" t="e">
        <v>#DIV/0!</v>
      </c>
      <c r="N28" s="78">
        <v>85</v>
      </c>
    </row>
    <row r="29" spans="1:14" ht="15" customHeight="1" x14ac:dyDescent="0.2">
      <c r="A29" s="75" t="s">
        <v>327</v>
      </c>
      <c r="B29" s="76">
        <v>9.16</v>
      </c>
      <c r="C29" s="77">
        <v>0</v>
      </c>
      <c r="D29" s="77">
        <v>98</v>
      </c>
      <c r="E29" s="77" t="e">
        <v>#DIV/0!</v>
      </c>
      <c r="F29" s="77">
        <v>98</v>
      </c>
      <c r="G29" s="77">
        <v>7.75</v>
      </c>
      <c r="H29" s="77">
        <v>85</v>
      </c>
      <c r="I29" s="77" t="e">
        <v>#DIV/0!</v>
      </c>
      <c r="J29" s="77">
        <v>85</v>
      </c>
      <c r="K29" s="77">
        <v>12.5</v>
      </c>
      <c r="L29" s="77">
        <v>78</v>
      </c>
      <c r="M29" s="77" t="e">
        <v>#DIV/0!</v>
      </c>
      <c r="N29" s="78">
        <v>78</v>
      </c>
    </row>
    <row r="30" spans="1:14" ht="15" customHeight="1" x14ac:dyDescent="0.2">
      <c r="A30" s="75" t="s">
        <v>329</v>
      </c>
      <c r="B30" s="76">
        <v>10.83</v>
      </c>
      <c r="C30" s="77">
        <v>0</v>
      </c>
      <c r="D30" s="77">
        <v>88</v>
      </c>
      <c r="E30" s="77" t="e">
        <v>#DIV/0!</v>
      </c>
      <c r="F30" s="77">
        <v>88</v>
      </c>
      <c r="G30" s="77">
        <v>12</v>
      </c>
      <c r="H30" s="77">
        <v>85</v>
      </c>
      <c r="I30" s="77" t="e">
        <v>#DIV/0!</v>
      </c>
      <c r="J30" s="77">
        <v>85</v>
      </c>
      <c r="K30" s="77">
        <v>0</v>
      </c>
      <c r="L30" s="77">
        <v>78</v>
      </c>
      <c r="M30" s="77" t="e">
        <v>#DIV/0!</v>
      </c>
      <c r="N30" s="78">
        <v>78</v>
      </c>
    </row>
    <row r="31" spans="1:14" ht="15" customHeight="1" x14ac:dyDescent="0.2">
      <c r="A31" s="75" t="s">
        <v>63</v>
      </c>
      <c r="B31" s="76">
        <v>11</v>
      </c>
      <c r="C31" s="77">
        <v>0</v>
      </c>
      <c r="D31" s="77">
        <v>92</v>
      </c>
      <c r="E31" s="77" t="e">
        <v>#DIV/0!</v>
      </c>
      <c r="F31" s="77">
        <v>92</v>
      </c>
      <c r="G31" s="77">
        <v>10</v>
      </c>
      <c r="H31" s="77">
        <v>95</v>
      </c>
      <c r="I31" s="77" t="e">
        <v>#DIV/0!</v>
      </c>
      <c r="J31" s="77">
        <v>95</v>
      </c>
      <c r="K31" s="77">
        <v>9.5</v>
      </c>
      <c r="L31" s="77">
        <v>100</v>
      </c>
      <c r="M31" s="77"/>
      <c r="N31" s="78">
        <v>100</v>
      </c>
    </row>
    <row r="32" spans="1:14" ht="15" customHeight="1" x14ac:dyDescent="0.2">
      <c r="A32" s="75" t="s">
        <v>65</v>
      </c>
      <c r="B32" s="76">
        <v>11.17</v>
      </c>
      <c r="C32" s="77">
        <v>0</v>
      </c>
      <c r="D32" s="77">
        <v>80</v>
      </c>
      <c r="E32" s="77" t="e">
        <v>#DIV/0!</v>
      </c>
      <c r="F32" s="77">
        <v>80</v>
      </c>
      <c r="G32" s="77">
        <v>10</v>
      </c>
      <c r="H32" s="77">
        <v>68</v>
      </c>
      <c r="I32" s="77">
        <v>65</v>
      </c>
      <c r="J32" s="77">
        <v>68</v>
      </c>
      <c r="K32" s="77">
        <v>0</v>
      </c>
      <c r="L32" s="77">
        <v>65</v>
      </c>
      <c r="M32" s="77"/>
      <c r="N32" s="78">
        <v>65</v>
      </c>
    </row>
    <row r="33" spans="1:14" ht="15" customHeight="1" x14ac:dyDescent="0.2">
      <c r="A33" s="75" t="s">
        <v>331</v>
      </c>
      <c r="B33" s="76">
        <v>10.83</v>
      </c>
      <c r="C33" s="77">
        <v>0</v>
      </c>
      <c r="D33" s="77">
        <v>65</v>
      </c>
      <c r="E33" s="77">
        <v>68</v>
      </c>
      <c r="F33" s="77">
        <v>68</v>
      </c>
      <c r="G33" s="77">
        <v>10</v>
      </c>
      <c r="H33" s="77">
        <v>30</v>
      </c>
      <c r="I33" s="77">
        <v>72</v>
      </c>
      <c r="J33" s="77">
        <v>72</v>
      </c>
      <c r="K33" s="77">
        <v>3</v>
      </c>
      <c r="L33" s="77">
        <v>68</v>
      </c>
      <c r="M33" s="77">
        <v>75</v>
      </c>
      <c r="N33" s="78">
        <v>68</v>
      </c>
    </row>
    <row r="34" spans="1:14" ht="15" customHeight="1" x14ac:dyDescent="0.2">
      <c r="A34" s="75" t="s">
        <v>391</v>
      </c>
      <c r="B34" s="76">
        <v>7.66</v>
      </c>
      <c r="C34" s="77">
        <v>0</v>
      </c>
      <c r="D34" s="77">
        <v>82</v>
      </c>
      <c r="E34" s="77" t="e">
        <v>#DIV/0!</v>
      </c>
      <c r="F34" s="77">
        <v>82</v>
      </c>
      <c r="G34" s="77">
        <v>12</v>
      </c>
      <c r="H34" s="77">
        <v>72</v>
      </c>
      <c r="I34" s="77" t="e">
        <v>#DIV/0!</v>
      </c>
      <c r="J34" s="77">
        <v>72</v>
      </c>
      <c r="K34" s="77">
        <v>10</v>
      </c>
      <c r="L34" s="77">
        <v>68</v>
      </c>
      <c r="M34" s="77" t="e">
        <v>#DIV/0!</v>
      </c>
      <c r="N34" s="78">
        <v>68</v>
      </c>
    </row>
    <row r="35" spans="1:14" ht="15" customHeight="1" x14ac:dyDescent="0.2">
      <c r="A35" s="75" t="s">
        <v>333</v>
      </c>
      <c r="B35" s="76">
        <v>8.16</v>
      </c>
      <c r="C35" s="77">
        <v>0</v>
      </c>
      <c r="D35" s="77">
        <v>85</v>
      </c>
      <c r="E35" s="77" t="e">
        <v>#DIV/0!</v>
      </c>
      <c r="F35" s="77">
        <v>85</v>
      </c>
      <c r="G35" s="77">
        <v>10</v>
      </c>
      <c r="H35" s="77">
        <v>68</v>
      </c>
      <c r="I35" s="77" t="e">
        <v>#DIV/0!</v>
      </c>
      <c r="J35" s="77">
        <v>68</v>
      </c>
      <c r="K35" s="77">
        <v>8</v>
      </c>
      <c r="L35" s="77">
        <v>72</v>
      </c>
      <c r="M35" s="77" t="e">
        <v>#DIV/0!</v>
      </c>
      <c r="N35" s="78">
        <v>72</v>
      </c>
    </row>
    <row r="36" spans="1:14" ht="15" customHeight="1" x14ac:dyDescent="0.2">
      <c r="A36" s="75" t="s">
        <v>393</v>
      </c>
      <c r="B36" s="76" t="e">
        <v>#DIV/0!</v>
      </c>
      <c r="C36" s="77">
        <v>0</v>
      </c>
      <c r="D36" s="77">
        <v>92</v>
      </c>
      <c r="E36" s="77" t="e">
        <v>#DIV/0!</v>
      </c>
      <c r="F36" s="77">
        <v>92</v>
      </c>
      <c r="G36" s="77">
        <v>12</v>
      </c>
      <c r="H36" s="77">
        <v>92</v>
      </c>
      <c r="I36" s="77" t="e">
        <v>#DIV/0!</v>
      </c>
      <c r="J36" s="77">
        <v>92</v>
      </c>
      <c r="K36" s="77">
        <v>12</v>
      </c>
      <c r="L36" s="77">
        <v>95</v>
      </c>
      <c r="M36" s="77" t="e">
        <v>#DIV/0!</v>
      </c>
      <c r="N36" s="78">
        <v>95</v>
      </c>
    </row>
    <row r="37" spans="1:14" ht="15" customHeight="1" x14ac:dyDescent="0.2">
      <c r="A37" s="75" t="s">
        <v>394</v>
      </c>
      <c r="B37" s="76">
        <v>10.67</v>
      </c>
      <c r="C37" s="77">
        <v>0</v>
      </c>
      <c r="D37" s="77">
        <v>78</v>
      </c>
      <c r="E37" s="77" t="e">
        <v>#DIV/0!</v>
      </c>
      <c r="F37" s="77">
        <v>78</v>
      </c>
      <c r="G37" s="77">
        <v>12</v>
      </c>
      <c r="H37" s="77">
        <v>82</v>
      </c>
      <c r="I37" s="77" t="e">
        <v>#DIV/0!</v>
      </c>
      <c r="J37" s="77">
        <v>82</v>
      </c>
      <c r="K37" s="77">
        <v>11</v>
      </c>
      <c r="L37" s="77">
        <v>78</v>
      </c>
      <c r="M37" s="77" t="e">
        <v>#DIV/0!</v>
      </c>
      <c r="N37" s="78">
        <v>78</v>
      </c>
    </row>
    <row r="38" spans="1:14" ht="15" customHeight="1" x14ac:dyDescent="0.2">
      <c r="A38" s="75" t="s">
        <v>68</v>
      </c>
      <c r="B38" s="76" t="e">
        <v>#DIV/0!</v>
      </c>
      <c r="C38" s="77">
        <v>0</v>
      </c>
      <c r="D38" s="77">
        <v>92</v>
      </c>
      <c r="E38" s="77" t="e">
        <v>#DIV/0!</v>
      </c>
      <c r="F38" s="77">
        <v>92</v>
      </c>
      <c r="G38" s="77">
        <v>13</v>
      </c>
      <c r="H38" s="77">
        <v>95</v>
      </c>
      <c r="I38" s="77" t="e">
        <v>#DIV/0!</v>
      </c>
      <c r="J38" s="77">
        <v>95</v>
      </c>
      <c r="K38" s="77">
        <v>7</v>
      </c>
      <c r="L38" s="77">
        <v>75</v>
      </c>
      <c r="M38" s="77">
        <v>85</v>
      </c>
      <c r="N38" s="78">
        <v>82</v>
      </c>
    </row>
    <row r="39" spans="1:14" ht="15" customHeight="1" x14ac:dyDescent="0.2">
      <c r="A39" s="75" t="s">
        <v>396</v>
      </c>
      <c r="B39" s="76">
        <v>8</v>
      </c>
      <c r="C39" s="77">
        <v>0</v>
      </c>
      <c r="D39" s="77">
        <v>78</v>
      </c>
      <c r="E39" s="77" t="e">
        <v>#DIV/0!</v>
      </c>
      <c r="F39" s="77">
        <v>78</v>
      </c>
      <c r="G39" s="77">
        <v>12</v>
      </c>
      <c r="H39" s="77">
        <v>68</v>
      </c>
      <c r="I39" s="77">
        <v>72</v>
      </c>
      <c r="J39" s="77">
        <v>72</v>
      </c>
      <c r="K39" s="77">
        <v>6</v>
      </c>
      <c r="L39" s="77">
        <v>72</v>
      </c>
      <c r="M39" s="77">
        <v>72</v>
      </c>
      <c r="N39" s="78">
        <v>72</v>
      </c>
    </row>
    <row r="40" spans="1:14" ht="15" customHeight="1" x14ac:dyDescent="0.2">
      <c r="A40" s="75" t="s">
        <v>335</v>
      </c>
      <c r="B40" s="76">
        <v>8.49</v>
      </c>
      <c r="C40" s="77">
        <v>0</v>
      </c>
      <c r="D40" s="77">
        <v>85</v>
      </c>
      <c r="E40" s="77" t="e">
        <v>#DIV/0!</v>
      </c>
      <c r="F40" s="77">
        <v>85</v>
      </c>
      <c r="G40" s="77">
        <v>12</v>
      </c>
      <c r="H40" s="77">
        <v>78</v>
      </c>
      <c r="I40" s="77">
        <v>85</v>
      </c>
      <c r="J40" s="77">
        <v>85</v>
      </c>
      <c r="K40" s="77">
        <v>8</v>
      </c>
      <c r="L40" s="77">
        <v>75</v>
      </c>
      <c r="M40" s="77" t="e">
        <v>#DIV/0!</v>
      </c>
      <c r="N40" s="78">
        <v>75</v>
      </c>
    </row>
    <row r="41" spans="1:14" ht="15" customHeight="1" x14ac:dyDescent="0.2">
      <c r="A41" s="75" t="s">
        <v>71</v>
      </c>
      <c r="B41" s="76" t="e">
        <v>#DIV/0!</v>
      </c>
      <c r="C41" s="77">
        <v>0</v>
      </c>
      <c r="D41" s="77">
        <v>62</v>
      </c>
      <c r="E41" s="77" t="e">
        <v>#DIV/0!</v>
      </c>
      <c r="F41" s="77">
        <v>62</v>
      </c>
      <c r="G41" s="77">
        <v>13</v>
      </c>
      <c r="H41" s="77">
        <v>30</v>
      </c>
      <c r="I41" s="77" t="e">
        <v>#DIV/0!</v>
      </c>
      <c r="J41" s="77">
        <v>30</v>
      </c>
      <c r="K41" s="77">
        <v>7.5</v>
      </c>
      <c r="L41" s="77">
        <v>72</v>
      </c>
      <c r="M41" s="77"/>
      <c r="N41" s="78">
        <v>72</v>
      </c>
    </row>
    <row r="42" spans="1:14" ht="12.75" x14ac:dyDescent="0.2">
      <c r="A42" s="75" t="s">
        <v>398</v>
      </c>
      <c r="B42" s="76">
        <v>11.5</v>
      </c>
      <c r="C42" s="77">
        <v>0</v>
      </c>
      <c r="D42" s="77">
        <v>92</v>
      </c>
      <c r="E42" s="77" t="e">
        <v>#DIV/0!</v>
      </c>
      <c r="F42" s="77">
        <v>92</v>
      </c>
      <c r="G42" s="77">
        <v>12</v>
      </c>
      <c r="H42" s="77">
        <v>92</v>
      </c>
      <c r="I42" s="77">
        <v>100</v>
      </c>
      <c r="J42" s="77">
        <v>100</v>
      </c>
      <c r="K42" s="77">
        <v>11</v>
      </c>
      <c r="L42" s="77">
        <v>95</v>
      </c>
      <c r="M42" s="77" t="e">
        <v>#DIV/0!</v>
      </c>
      <c r="N42" s="78">
        <v>95</v>
      </c>
    </row>
    <row r="43" spans="1:14" ht="12.75" x14ac:dyDescent="0.2">
      <c r="A43" s="75" t="s">
        <v>337</v>
      </c>
      <c r="B43" s="76">
        <v>0</v>
      </c>
      <c r="C43" s="77">
        <v>1</v>
      </c>
      <c r="D43" s="77">
        <v>30</v>
      </c>
      <c r="E43" s="77">
        <v>30</v>
      </c>
      <c r="F43" s="77">
        <v>30</v>
      </c>
      <c r="G43" s="77">
        <v>9</v>
      </c>
      <c r="H43" s="77">
        <v>30</v>
      </c>
      <c r="I43" s="77">
        <v>65</v>
      </c>
      <c r="J43" s="77">
        <v>65</v>
      </c>
      <c r="K43" s="77">
        <v>7</v>
      </c>
      <c r="L43" s="77">
        <v>65</v>
      </c>
      <c r="M43" s="77" t="e">
        <v>#DIV/0!</v>
      </c>
      <c r="N43" s="78">
        <v>65</v>
      </c>
    </row>
    <row r="44" spans="1:14" ht="12.75" x14ac:dyDescent="0.2">
      <c r="A44" s="75" t="s">
        <v>73</v>
      </c>
      <c r="B44" s="76">
        <v>10.17</v>
      </c>
      <c r="C44" s="77">
        <v>0</v>
      </c>
      <c r="D44" s="77">
        <v>95</v>
      </c>
      <c r="E44" s="77" t="e">
        <v>#DIV/0!</v>
      </c>
      <c r="F44" s="77">
        <v>95</v>
      </c>
      <c r="G44" s="77">
        <v>10.7</v>
      </c>
      <c r="H44" s="77">
        <v>95</v>
      </c>
      <c r="I44" s="77" t="e">
        <v>#DIV/0!</v>
      </c>
      <c r="J44" s="77">
        <v>95</v>
      </c>
      <c r="K44" s="77">
        <v>10.5</v>
      </c>
      <c r="L44" s="77">
        <v>82</v>
      </c>
      <c r="M44" s="77">
        <v>85</v>
      </c>
      <c r="N44" s="78">
        <v>85</v>
      </c>
    </row>
    <row r="45" spans="1:14" ht="12.75" x14ac:dyDescent="0.2">
      <c r="A45" s="75" t="s">
        <v>75</v>
      </c>
      <c r="B45" s="76">
        <v>11.33</v>
      </c>
      <c r="C45" s="77">
        <v>0</v>
      </c>
      <c r="D45" s="77">
        <v>85</v>
      </c>
      <c r="E45" s="77" t="e">
        <v>#DIV/0!</v>
      </c>
      <c r="F45" s="77">
        <v>85</v>
      </c>
      <c r="G45" s="77">
        <v>9.4</v>
      </c>
      <c r="H45" s="77">
        <v>78</v>
      </c>
      <c r="I45" s="77" t="e">
        <v>#DIV/0!</v>
      </c>
      <c r="J45" s="77">
        <v>78</v>
      </c>
      <c r="K45" s="77">
        <v>8.5</v>
      </c>
      <c r="L45" s="77">
        <v>82</v>
      </c>
      <c r="M45" s="77"/>
      <c r="N45" s="78">
        <v>82</v>
      </c>
    </row>
    <row r="46" spans="1:14" ht="12.75" x14ac:dyDescent="0.2">
      <c r="A46" s="75" t="s">
        <v>339</v>
      </c>
      <c r="B46" s="76">
        <v>7.16</v>
      </c>
      <c r="C46" s="77">
        <v>0</v>
      </c>
      <c r="D46" s="77">
        <v>82</v>
      </c>
      <c r="E46" s="77" t="e">
        <v>#DIV/0!</v>
      </c>
      <c r="F46" s="77">
        <v>82</v>
      </c>
      <c r="G46" s="77">
        <v>9.6999999999999993</v>
      </c>
      <c r="H46" s="77">
        <v>78</v>
      </c>
      <c r="I46" s="77">
        <v>100</v>
      </c>
      <c r="J46" s="77">
        <v>100</v>
      </c>
      <c r="K46" s="77">
        <v>10.5</v>
      </c>
      <c r="L46" s="77">
        <v>85</v>
      </c>
      <c r="M46" s="77" t="e">
        <v>#DIV/0!</v>
      </c>
      <c r="N46" s="78">
        <v>85</v>
      </c>
    </row>
    <row r="47" spans="1:14" ht="12.75" x14ac:dyDescent="0.2">
      <c r="A47" s="75" t="s">
        <v>400</v>
      </c>
      <c r="B47" s="76">
        <v>10.5</v>
      </c>
      <c r="C47" s="77">
        <v>0</v>
      </c>
      <c r="D47" s="77">
        <v>78</v>
      </c>
      <c r="E47" s="77" t="e">
        <v>#DIV/0!</v>
      </c>
      <c r="F47" s="77">
        <v>78</v>
      </c>
      <c r="G47" s="77">
        <v>0</v>
      </c>
      <c r="H47" s="77">
        <v>78</v>
      </c>
      <c r="I47" s="77" t="e">
        <v>#DIV/0!</v>
      </c>
      <c r="J47" s="77">
        <v>78</v>
      </c>
      <c r="K47" s="77">
        <v>9</v>
      </c>
      <c r="L47" s="77">
        <v>75</v>
      </c>
      <c r="M47" s="77" t="e">
        <v>#DIV/0!</v>
      </c>
      <c r="N47" s="78">
        <v>75</v>
      </c>
    </row>
    <row r="48" spans="1:14" ht="12.75" x14ac:dyDescent="0.2">
      <c r="A48" s="75" t="s">
        <v>341</v>
      </c>
      <c r="B48" s="76">
        <v>10</v>
      </c>
      <c r="C48" s="77">
        <v>0</v>
      </c>
      <c r="D48" s="77">
        <v>95</v>
      </c>
      <c r="E48" s="77" t="e">
        <v>#DIV/0!</v>
      </c>
      <c r="F48" s="77">
        <v>95</v>
      </c>
      <c r="G48" s="77">
        <v>6</v>
      </c>
      <c r="H48" s="77">
        <v>100</v>
      </c>
      <c r="I48" s="77" t="e">
        <v>#DIV/0!</v>
      </c>
      <c r="J48" s="77">
        <v>100</v>
      </c>
      <c r="K48" s="77">
        <v>11.5</v>
      </c>
      <c r="L48" s="77">
        <v>100</v>
      </c>
      <c r="M48" s="77" t="e">
        <v>#DIV/0!</v>
      </c>
      <c r="N48" s="78">
        <v>100</v>
      </c>
    </row>
    <row r="49" spans="1:14" ht="12.75" x14ac:dyDescent="0.2">
      <c r="A49" s="75" t="s">
        <v>77</v>
      </c>
      <c r="B49" s="76">
        <v>10.84</v>
      </c>
      <c r="C49" s="77">
        <v>0</v>
      </c>
      <c r="D49" s="77">
        <v>92</v>
      </c>
      <c r="E49" s="77" t="e">
        <v>#DIV/0!</v>
      </c>
      <c r="F49" s="77">
        <v>92</v>
      </c>
      <c r="G49" s="77">
        <v>8.6999999999999993</v>
      </c>
      <c r="H49" s="77">
        <v>82</v>
      </c>
      <c r="I49" s="77" t="e">
        <v>#DIV/0!</v>
      </c>
      <c r="J49" s="77">
        <v>82</v>
      </c>
      <c r="K49" s="77">
        <v>9.5</v>
      </c>
      <c r="L49" s="77">
        <v>75</v>
      </c>
      <c r="M49" s="77">
        <v>82</v>
      </c>
      <c r="N49" s="78">
        <v>82</v>
      </c>
    </row>
    <row r="50" spans="1:14" ht="12.75" x14ac:dyDescent="0.2">
      <c r="A50" s="75" t="s">
        <v>343</v>
      </c>
      <c r="B50" s="76">
        <v>9.17</v>
      </c>
      <c r="C50" s="77">
        <v>0</v>
      </c>
      <c r="D50" s="77">
        <v>85</v>
      </c>
      <c r="E50" s="77" t="e">
        <v>#DIV/0!</v>
      </c>
      <c r="F50" s="77">
        <v>85</v>
      </c>
      <c r="G50" s="77">
        <v>10</v>
      </c>
      <c r="H50" s="77">
        <v>85</v>
      </c>
      <c r="I50" s="77" t="e">
        <v>#DIV/0!</v>
      </c>
      <c r="J50" s="77">
        <v>85</v>
      </c>
      <c r="K50" s="77">
        <v>0</v>
      </c>
      <c r="L50" s="77">
        <v>82</v>
      </c>
      <c r="M50" s="77" t="e">
        <v>#DIV/0!</v>
      </c>
      <c r="N50" s="78">
        <v>82</v>
      </c>
    </row>
    <row r="51" spans="1:14" ht="12.75" x14ac:dyDescent="0.2">
      <c r="A51" s="75" t="s">
        <v>79</v>
      </c>
      <c r="B51" s="76">
        <v>10.5</v>
      </c>
      <c r="C51" s="77">
        <v>0</v>
      </c>
      <c r="D51" s="77">
        <v>95</v>
      </c>
      <c r="E51" s="77" t="e">
        <v>#DIV/0!</v>
      </c>
      <c r="F51" s="77">
        <v>95</v>
      </c>
      <c r="G51" s="77">
        <v>12</v>
      </c>
      <c r="H51" s="77">
        <v>88</v>
      </c>
      <c r="I51" s="77" t="e">
        <v>#DIV/0!</v>
      </c>
      <c r="J51" s="77">
        <v>88</v>
      </c>
      <c r="K51" s="77">
        <v>9</v>
      </c>
      <c r="L51" s="77">
        <v>82</v>
      </c>
      <c r="M51" s="77"/>
      <c r="N51" s="78">
        <v>82</v>
      </c>
    </row>
    <row r="52" spans="1:14" ht="12.75" x14ac:dyDescent="0.2">
      <c r="A52" s="75" t="s">
        <v>402</v>
      </c>
      <c r="B52" s="76">
        <v>10</v>
      </c>
      <c r="C52" s="77">
        <v>0</v>
      </c>
      <c r="D52" s="77">
        <v>88</v>
      </c>
      <c r="E52" s="77" t="e">
        <v>#DIV/0!</v>
      </c>
      <c r="F52" s="77">
        <v>88</v>
      </c>
      <c r="G52" s="77">
        <v>12</v>
      </c>
      <c r="H52" s="77">
        <v>85</v>
      </c>
      <c r="I52" s="77" t="e">
        <v>#DIV/0!</v>
      </c>
      <c r="J52" s="77">
        <v>85</v>
      </c>
      <c r="K52" s="77">
        <v>11</v>
      </c>
      <c r="L52" s="77">
        <v>95</v>
      </c>
      <c r="M52" s="77" t="e">
        <v>#DIV/0!</v>
      </c>
      <c r="N52" s="78">
        <v>95</v>
      </c>
    </row>
    <row r="53" spans="1:14" ht="12.75" x14ac:dyDescent="0.2">
      <c r="A53" s="75" t="s">
        <v>345</v>
      </c>
      <c r="B53" s="76">
        <v>8.66</v>
      </c>
      <c r="C53" s="77">
        <v>0</v>
      </c>
      <c r="D53" s="77">
        <v>65</v>
      </c>
      <c r="E53" s="77" t="e">
        <v>#DIV/0!</v>
      </c>
      <c r="F53" s="77">
        <v>65</v>
      </c>
      <c r="G53" s="77">
        <v>9.4</v>
      </c>
      <c r="H53" s="77">
        <v>65</v>
      </c>
      <c r="I53" s="77">
        <v>72</v>
      </c>
      <c r="J53" s="77">
        <v>72</v>
      </c>
      <c r="K53" s="77">
        <v>7.5</v>
      </c>
      <c r="L53" s="77">
        <v>62</v>
      </c>
      <c r="M53" s="77">
        <v>68</v>
      </c>
      <c r="N53" s="78">
        <v>62</v>
      </c>
    </row>
    <row r="54" spans="1:14" ht="12.75" x14ac:dyDescent="0.2">
      <c r="A54" s="75" t="s">
        <v>347</v>
      </c>
      <c r="B54" s="76">
        <v>2.16</v>
      </c>
      <c r="C54" s="77">
        <v>0</v>
      </c>
      <c r="D54" s="77">
        <v>65</v>
      </c>
      <c r="E54" s="77">
        <v>72</v>
      </c>
      <c r="F54" s="77">
        <v>72</v>
      </c>
      <c r="G54" s="77">
        <v>10</v>
      </c>
      <c r="H54" s="77" t="e">
        <v>#DIV/0!</v>
      </c>
      <c r="I54" s="77"/>
      <c r="J54" s="77" t="e">
        <v>#DIV/0!</v>
      </c>
      <c r="K54" s="77" t="e">
        <v>#DIV/0!</v>
      </c>
      <c r="L54" s="77" t="e">
        <v>#DIV/0!</v>
      </c>
      <c r="M54" s="77" t="e">
        <v>#DIV/0!</v>
      </c>
      <c r="N54" s="78" t="e">
        <v>#DIV/0!</v>
      </c>
    </row>
    <row r="55" spans="1:14" ht="12.75" x14ac:dyDescent="0.2">
      <c r="A55" s="75" t="s">
        <v>349</v>
      </c>
      <c r="B55" s="76">
        <v>8</v>
      </c>
      <c r="C55" s="77">
        <v>0</v>
      </c>
      <c r="D55" s="77">
        <v>85</v>
      </c>
      <c r="E55" s="77" t="e">
        <v>#DIV/0!</v>
      </c>
      <c r="F55" s="77">
        <v>85</v>
      </c>
      <c r="G55" s="77">
        <v>9.4</v>
      </c>
      <c r="H55" s="77">
        <v>85</v>
      </c>
      <c r="I55" s="77" t="e">
        <v>#DIV/0!</v>
      </c>
      <c r="J55" s="77">
        <v>85</v>
      </c>
      <c r="K55" s="77">
        <v>11.5</v>
      </c>
      <c r="L55" s="77">
        <v>72</v>
      </c>
      <c r="M55" s="77">
        <v>82</v>
      </c>
      <c r="N55" s="78">
        <v>82</v>
      </c>
    </row>
    <row r="56" spans="1:14" ht="12.75" x14ac:dyDescent="0.2">
      <c r="A56" s="75" t="s">
        <v>404</v>
      </c>
      <c r="B56" s="76">
        <v>0</v>
      </c>
      <c r="C56" s="77">
        <v>1</v>
      </c>
      <c r="D56" s="77">
        <v>92</v>
      </c>
      <c r="E56" s="77" t="e">
        <v>#DIV/0!</v>
      </c>
      <c r="F56" s="77">
        <v>92</v>
      </c>
      <c r="G56" s="77">
        <v>10</v>
      </c>
      <c r="H56" s="77">
        <v>78</v>
      </c>
      <c r="I56" s="77" t="e">
        <v>#DIV/0!</v>
      </c>
      <c r="J56" s="77">
        <v>78</v>
      </c>
      <c r="K56" s="77">
        <v>4</v>
      </c>
      <c r="L56" s="77">
        <v>68</v>
      </c>
      <c r="M56" s="77">
        <v>72</v>
      </c>
      <c r="N56" s="78">
        <v>72</v>
      </c>
    </row>
    <row r="57" spans="1:14" ht="12.75" x14ac:dyDescent="0.2">
      <c r="A57" s="75" t="s">
        <v>81</v>
      </c>
      <c r="B57" s="76">
        <v>11</v>
      </c>
      <c r="C57" s="77">
        <v>0</v>
      </c>
      <c r="D57" s="77">
        <v>92</v>
      </c>
      <c r="E57" s="77" t="e">
        <v>#DIV/0!</v>
      </c>
      <c r="F57" s="77">
        <v>92</v>
      </c>
      <c r="G57" s="77">
        <v>13</v>
      </c>
      <c r="H57" s="77">
        <v>72</v>
      </c>
      <c r="I57" s="77">
        <v>83</v>
      </c>
      <c r="J57" s="77">
        <v>83</v>
      </c>
      <c r="K57" s="77">
        <v>10.5</v>
      </c>
      <c r="L57" s="77">
        <v>80</v>
      </c>
      <c r="M57" s="77">
        <v>85</v>
      </c>
      <c r="N57" s="78">
        <v>80</v>
      </c>
    </row>
    <row r="58" spans="1:14" ht="12.75" x14ac:dyDescent="0.2">
      <c r="A58" s="75" t="s">
        <v>351</v>
      </c>
      <c r="B58" s="76">
        <v>5.33</v>
      </c>
      <c r="C58" s="77">
        <v>1</v>
      </c>
      <c r="D58" s="77">
        <v>78</v>
      </c>
      <c r="E58" s="77" t="e">
        <v>#DIV/0!</v>
      </c>
      <c r="F58" s="77">
        <v>78</v>
      </c>
      <c r="G58" s="77">
        <v>12</v>
      </c>
      <c r="H58" s="77">
        <v>92</v>
      </c>
      <c r="I58" s="77" t="e">
        <v>#DIV/0!</v>
      </c>
      <c r="J58" s="77">
        <v>92</v>
      </c>
      <c r="K58" s="77">
        <v>9</v>
      </c>
      <c r="L58" s="77">
        <v>72</v>
      </c>
      <c r="M58" s="77" t="e">
        <v>#DIV/0!</v>
      </c>
      <c r="N58" s="78">
        <v>72</v>
      </c>
    </row>
    <row r="59" spans="1:14" ht="12.75" x14ac:dyDescent="0.2">
      <c r="A59" s="75" t="s">
        <v>83</v>
      </c>
      <c r="B59" s="76">
        <v>5.17</v>
      </c>
      <c r="C59" s="77">
        <v>0</v>
      </c>
      <c r="D59" s="77">
        <v>72</v>
      </c>
      <c r="E59" s="77" t="e">
        <v>#DIV/0!</v>
      </c>
      <c r="F59" s="77">
        <v>72</v>
      </c>
      <c r="G59" s="77">
        <v>6</v>
      </c>
      <c r="H59" s="77">
        <v>62</v>
      </c>
      <c r="I59" s="77"/>
      <c r="J59" s="77">
        <v>62</v>
      </c>
      <c r="K59" s="77">
        <v>9</v>
      </c>
      <c r="L59" s="77">
        <v>72</v>
      </c>
      <c r="M59" s="77"/>
      <c r="N59" s="78">
        <v>72</v>
      </c>
    </row>
    <row r="60" spans="1:14" ht="12.75" x14ac:dyDescent="0.2">
      <c r="A60" s="75" t="s">
        <v>353</v>
      </c>
      <c r="B60" s="76">
        <v>0</v>
      </c>
      <c r="C60" s="77">
        <v>1</v>
      </c>
      <c r="D60" s="77">
        <v>62</v>
      </c>
      <c r="E60" s="77" t="e">
        <v>#DIV/0!</v>
      </c>
      <c r="F60" s="77">
        <v>62</v>
      </c>
      <c r="G60" s="77">
        <v>10</v>
      </c>
      <c r="H60" s="77">
        <v>30</v>
      </c>
      <c r="I60" s="77">
        <v>75</v>
      </c>
      <c r="J60" s="77">
        <v>75</v>
      </c>
      <c r="K60" s="77">
        <v>3</v>
      </c>
      <c r="L60" s="77">
        <v>72</v>
      </c>
      <c r="M60" s="77" t="e">
        <v>#DIV/0!</v>
      </c>
      <c r="N60" s="78">
        <v>72</v>
      </c>
    </row>
    <row r="61" spans="1:14" ht="12.75" x14ac:dyDescent="0.2">
      <c r="A61" s="75" t="s">
        <v>406</v>
      </c>
      <c r="B61" s="76">
        <v>11</v>
      </c>
      <c r="C61" s="77">
        <v>0</v>
      </c>
      <c r="D61" s="77">
        <v>92</v>
      </c>
      <c r="E61" s="77" t="e">
        <v>#DIV/0!</v>
      </c>
      <c r="F61" s="77">
        <v>92</v>
      </c>
      <c r="G61" s="77">
        <v>12</v>
      </c>
      <c r="H61" s="77">
        <v>92</v>
      </c>
      <c r="I61" s="77" t="e">
        <v>#DIV/0!</v>
      </c>
      <c r="J61" s="77">
        <v>92</v>
      </c>
      <c r="K61" s="77">
        <v>11</v>
      </c>
      <c r="L61" s="77">
        <v>100</v>
      </c>
      <c r="M61" s="77" t="e">
        <v>#DIV/0!</v>
      </c>
      <c r="N61" s="78">
        <v>100</v>
      </c>
    </row>
    <row r="62" spans="1:14" ht="12.75" x14ac:dyDescent="0.2">
      <c r="A62" s="75" t="s">
        <v>408</v>
      </c>
      <c r="B62" s="76">
        <v>8.33</v>
      </c>
      <c r="C62" s="77">
        <v>0</v>
      </c>
      <c r="D62" s="77">
        <v>85</v>
      </c>
      <c r="E62" s="77" t="e">
        <v>#DIV/0!</v>
      </c>
      <c r="F62" s="77">
        <v>85</v>
      </c>
      <c r="G62" s="77">
        <v>12</v>
      </c>
      <c r="H62" s="77">
        <v>75</v>
      </c>
      <c r="I62" s="77">
        <v>92</v>
      </c>
      <c r="J62" s="77">
        <v>92</v>
      </c>
      <c r="K62" s="77">
        <v>11</v>
      </c>
      <c r="L62" s="77">
        <v>75</v>
      </c>
      <c r="M62" s="77">
        <v>75</v>
      </c>
      <c r="N62" s="78">
        <v>75</v>
      </c>
    </row>
    <row r="63" spans="1:14" ht="12.75" x14ac:dyDescent="0.2">
      <c r="A63" s="75" t="s">
        <v>355</v>
      </c>
      <c r="B63" s="76">
        <v>10.67</v>
      </c>
      <c r="C63" s="77">
        <v>1</v>
      </c>
      <c r="D63" s="77">
        <v>78</v>
      </c>
      <c r="E63" s="77" t="e">
        <v>#DIV/0!</v>
      </c>
      <c r="F63" s="77">
        <v>78</v>
      </c>
      <c r="G63" s="77">
        <v>9.4</v>
      </c>
      <c r="H63" s="77">
        <v>68</v>
      </c>
      <c r="I63" s="77">
        <v>65</v>
      </c>
      <c r="J63" s="77">
        <v>68</v>
      </c>
      <c r="K63" s="77">
        <v>4.5</v>
      </c>
      <c r="L63" s="77">
        <v>68</v>
      </c>
      <c r="M63" s="77" t="e">
        <v>#DIV/0!</v>
      </c>
      <c r="N63" s="78">
        <v>68</v>
      </c>
    </row>
    <row r="64" spans="1:14" ht="12.75" x14ac:dyDescent="0.2">
      <c r="A64" s="75" t="s">
        <v>85</v>
      </c>
      <c r="B64" s="76">
        <v>9.33</v>
      </c>
      <c r="C64" s="77">
        <v>0</v>
      </c>
      <c r="D64" s="77">
        <v>62</v>
      </c>
      <c r="E64" s="77" t="e">
        <v>#DIV/0!</v>
      </c>
      <c r="F64" s="77">
        <v>62</v>
      </c>
      <c r="G64" s="77">
        <v>8.1</v>
      </c>
      <c r="H64" s="77">
        <v>65</v>
      </c>
      <c r="I64" s="77"/>
      <c r="J64" s="77">
        <v>65</v>
      </c>
      <c r="K64" s="77">
        <v>0.5</v>
      </c>
      <c r="L64" s="77">
        <v>65</v>
      </c>
      <c r="M64" s="77"/>
      <c r="N64" s="78">
        <v>65</v>
      </c>
    </row>
    <row r="65" spans="1:14" ht="12.75" x14ac:dyDescent="0.2">
      <c r="A65" s="75" t="s">
        <v>357</v>
      </c>
      <c r="B65" s="76">
        <v>6.17</v>
      </c>
      <c r="C65" s="77">
        <v>0</v>
      </c>
      <c r="D65" s="77">
        <v>30</v>
      </c>
      <c r="E65" s="77" t="e">
        <v>#DIV/0!</v>
      </c>
      <c r="F65" s="77">
        <v>30</v>
      </c>
      <c r="G65" s="77">
        <v>0</v>
      </c>
      <c r="H65" s="77">
        <v>30</v>
      </c>
      <c r="I65" s="77">
        <v>62</v>
      </c>
      <c r="J65" s="77">
        <v>62</v>
      </c>
      <c r="K65" s="77">
        <v>9.5</v>
      </c>
      <c r="L65" s="77">
        <v>68</v>
      </c>
      <c r="M65" s="77" t="e">
        <v>#DIV/0!</v>
      </c>
      <c r="N65" s="78">
        <v>68</v>
      </c>
    </row>
    <row r="66" spans="1:14" ht="12.75" x14ac:dyDescent="0.2">
      <c r="A66" s="75" t="s">
        <v>359</v>
      </c>
      <c r="B66" s="76">
        <v>11</v>
      </c>
      <c r="C66" s="77">
        <v>0</v>
      </c>
      <c r="D66" s="77">
        <v>92</v>
      </c>
      <c r="E66" s="77" t="e">
        <v>#DIV/0!</v>
      </c>
      <c r="F66" s="77">
        <v>92</v>
      </c>
      <c r="G66" s="77">
        <v>10</v>
      </c>
      <c r="H66" s="77">
        <v>88</v>
      </c>
      <c r="I66" s="77" t="e">
        <v>#DIV/0!</v>
      </c>
      <c r="J66" s="77">
        <v>88</v>
      </c>
      <c r="K66" s="77">
        <v>12</v>
      </c>
      <c r="L66" s="77">
        <v>92</v>
      </c>
      <c r="M66" s="77" t="e">
        <v>#DIV/0!</v>
      </c>
      <c r="N66" s="78">
        <v>92</v>
      </c>
    </row>
    <row r="67" spans="1:14" ht="12.75" x14ac:dyDescent="0.2">
      <c r="A67" s="75" t="s">
        <v>410</v>
      </c>
      <c r="B67" s="76">
        <v>8.5</v>
      </c>
      <c r="C67" s="77">
        <v>0</v>
      </c>
      <c r="D67" s="77">
        <v>75</v>
      </c>
      <c r="E67" s="77" t="e">
        <v>#DIV/0!</v>
      </c>
      <c r="F67" s="77">
        <v>75</v>
      </c>
      <c r="G67" s="77">
        <v>12</v>
      </c>
      <c r="H67" s="77">
        <v>72</v>
      </c>
      <c r="I67" s="77">
        <v>85</v>
      </c>
      <c r="J67" s="77">
        <v>85</v>
      </c>
      <c r="K67" s="77">
        <v>10</v>
      </c>
      <c r="L67" s="77">
        <v>75</v>
      </c>
      <c r="M67" s="77" t="e">
        <v>#DIV/0!</v>
      </c>
      <c r="N67" s="78">
        <v>75</v>
      </c>
    </row>
    <row r="68" spans="1:14" ht="12.75" x14ac:dyDescent="0.2">
      <c r="A68" s="75" t="s">
        <v>361</v>
      </c>
      <c r="B68" s="76">
        <v>13</v>
      </c>
      <c r="C68" s="77">
        <v>0</v>
      </c>
      <c r="D68" s="77">
        <v>95</v>
      </c>
      <c r="E68" s="77" t="e">
        <v>#DIV/0!</v>
      </c>
      <c r="F68" s="77">
        <v>95</v>
      </c>
      <c r="G68" s="77">
        <v>12</v>
      </c>
      <c r="H68" s="77">
        <v>82</v>
      </c>
      <c r="I68" s="77" t="e">
        <v>#DIV/0!</v>
      </c>
      <c r="J68" s="77">
        <v>82</v>
      </c>
      <c r="K68" s="77">
        <v>10.5</v>
      </c>
      <c r="L68" s="77">
        <v>82</v>
      </c>
      <c r="M68" s="77" t="e">
        <v>#DIV/0!</v>
      </c>
      <c r="N68" s="78">
        <v>82</v>
      </c>
    </row>
    <row r="69" spans="1:14" ht="15" customHeight="1" x14ac:dyDescent="0.2">
      <c r="A69" s="79" t="s">
        <v>840</v>
      </c>
      <c r="B69" s="80">
        <v>8.2566129032258093</v>
      </c>
      <c r="C69" s="81">
        <v>7</v>
      </c>
      <c r="D69" s="81">
        <v>79.454545454545453</v>
      </c>
      <c r="E69" s="81">
        <v>62</v>
      </c>
      <c r="F69" s="81">
        <v>80.13636363636364</v>
      </c>
      <c r="G69" s="81">
        <v>9.7742424242424235</v>
      </c>
      <c r="H69" s="81">
        <v>72.738461538461536</v>
      </c>
      <c r="I69" s="81">
        <v>79.319999999999993</v>
      </c>
      <c r="J69" s="81">
        <v>78.907692307692301</v>
      </c>
      <c r="K69" s="81">
        <v>7.9923076923076923</v>
      </c>
      <c r="L69" s="81">
        <v>76.41538461538461</v>
      </c>
      <c r="M69" s="81">
        <v>74.684210526315795</v>
      </c>
      <c r="N69" s="82">
        <v>76.984615384615381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I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" customHeight="1" x14ac:dyDescent="0.2"/>
  <cols>
    <col min="1" max="1" width="30.140625" customWidth="1"/>
    <col min="2" max="2" width="8" customWidth="1"/>
    <col min="11" max="11" width="12.140625" customWidth="1"/>
    <col min="12" max="12" width="14" customWidth="1"/>
    <col min="13" max="13" width="12.140625" customWidth="1"/>
  </cols>
  <sheetData>
    <row r="1" spans="1:35" ht="15" customHeight="1" x14ac:dyDescent="0.2">
      <c r="A1" s="25" t="s">
        <v>693</v>
      </c>
      <c r="B1" s="59" t="s">
        <v>694</v>
      </c>
      <c r="C1" s="25" t="s">
        <v>695</v>
      </c>
      <c r="D1" s="25" t="s">
        <v>696</v>
      </c>
      <c r="E1" s="25" t="s">
        <v>697</v>
      </c>
      <c r="F1" s="25" t="s">
        <v>698</v>
      </c>
      <c r="G1" s="25" t="s">
        <v>699</v>
      </c>
      <c r="H1" s="25" t="s">
        <v>700</v>
      </c>
      <c r="I1" s="25" t="s">
        <v>701</v>
      </c>
      <c r="J1" s="25" t="s">
        <v>702</v>
      </c>
      <c r="K1" s="25" t="s">
        <v>841</v>
      </c>
      <c r="L1" s="25" t="s">
        <v>705</v>
      </c>
      <c r="M1" s="25" t="s">
        <v>706</v>
      </c>
      <c r="N1" s="25" t="s">
        <v>708</v>
      </c>
      <c r="O1" s="25" t="s">
        <v>709</v>
      </c>
      <c r="P1" s="25" t="s">
        <v>710</v>
      </c>
      <c r="Q1" s="25" t="s">
        <v>711</v>
      </c>
      <c r="R1" s="25" t="s">
        <v>712</v>
      </c>
      <c r="S1" s="25" t="s">
        <v>713</v>
      </c>
      <c r="T1" s="25" t="s">
        <v>714</v>
      </c>
      <c r="U1" s="25" t="s">
        <v>716</v>
      </c>
      <c r="V1" s="25" t="s">
        <v>717</v>
      </c>
      <c r="W1" s="25" t="s">
        <v>718</v>
      </c>
      <c r="X1" s="25" t="s">
        <v>719</v>
      </c>
      <c r="Y1" s="25" t="s">
        <v>720</v>
      </c>
      <c r="Z1" s="59" t="s">
        <v>721</v>
      </c>
      <c r="AA1" s="25" t="s">
        <v>722</v>
      </c>
      <c r="AB1" s="25" t="s">
        <v>723</v>
      </c>
      <c r="AC1" s="25" t="s">
        <v>725</v>
      </c>
      <c r="AD1" s="25" t="s">
        <v>726</v>
      </c>
      <c r="AE1" s="25" t="s">
        <v>842</v>
      </c>
      <c r="AF1" s="25" t="s">
        <v>843</v>
      </c>
      <c r="AG1" s="25" t="s">
        <v>844</v>
      </c>
      <c r="AH1" s="25" t="s">
        <v>845</v>
      </c>
      <c r="AI1" s="25" t="s">
        <v>459</v>
      </c>
    </row>
    <row r="2" spans="1:35" ht="15" customHeight="1" x14ac:dyDescent="0.2">
      <c r="A2" s="24" t="s">
        <v>846</v>
      </c>
      <c r="B2" s="19"/>
      <c r="C2" s="21">
        <v>4</v>
      </c>
      <c r="D2" s="21">
        <v>3</v>
      </c>
      <c r="E2" s="21">
        <v>5</v>
      </c>
      <c r="F2" s="21">
        <v>7</v>
      </c>
      <c r="G2" s="21">
        <v>8</v>
      </c>
      <c r="H2" s="21">
        <v>9</v>
      </c>
      <c r="I2" s="21">
        <v>1</v>
      </c>
      <c r="J2" s="21">
        <v>2</v>
      </c>
      <c r="K2" s="21">
        <v>6</v>
      </c>
      <c r="L2" s="21"/>
      <c r="M2" s="21"/>
      <c r="N2" s="21">
        <v>11</v>
      </c>
      <c r="O2" s="21">
        <v>12</v>
      </c>
      <c r="P2" s="21">
        <v>10</v>
      </c>
      <c r="Q2" s="21">
        <v>16</v>
      </c>
      <c r="R2" s="21">
        <v>18</v>
      </c>
      <c r="S2" s="21"/>
      <c r="T2" s="21"/>
      <c r="U2" s="21">
        <v>19</v>
      </c>
      <c r="V2" s="21">
        <v>21</v>
      </c>
      <c r="W2" s="21">
        <v>20</v>
      </c>
      <c r="X2" s="21">
        <v>22</v>
      </c>
      <c r="Y2" s="21">
        <v>25</v>
      </c>
      <c r="Z2" s="21">
        <v>27</v>
      </c>
      <c r="AA2" s="21">
        <v>26</v>
      </c>
      <c r="AB2" s="21">
        <v>23</v>
      </c>
    </row>
    <row r="3" spans="1:35" ht="15" customHeight="1" x14ac:dyDescent="0.2">
      <c r="A3" s="24"/>
      <c r="B3" s="19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35" ht="15" customHeight="1" x14ac:dyDescent="0.2">
      <c r="A4" s="60" t="s">
        <v>121</v>
      </c>
      <c r="B4" s="3" t="s">
        <v>9</v>
      </c>
      <c r="C4" s="20">
        <f>VLOOKUP(A4, 'Raw Summary Data'!A36:X70, 6, 0)</f>
        <v>0.5</v>
      </c>
      <c r="D4" s="20">
        <f>VLOOKUP(A4, 'Raw Summary Data'!A36:X70, D$2+2, 0)</f>
        <v>1</v>
      </c>
      <c r="E4" s="20">
        <f>VLOOKUP(A4, 'Raw Summary Data'!A36:X70, E$2+2, 0)</f>
        <v>0.5</v>
      </c>
      <c r="F4" s="20">
        <f>VLOOKUP(A4, 'Raw Summary Data'!A36:X70, F$2+2, 0)</f>
        <v>1</v>
      </c>
      <c r="G4" s="20">
        <f>VLOOKUP(A4, 'Raw Summary Data'!A36:X70, G$2+2, 0)</f>
        <v>0</v>
      </c>
      <c r="H4" s="20">
        <f>VLOOKUP(A4, 'Raw Summary Data'!A36:X70, H$2+2, 0)</f>
        <v>0</v>
      </c>
      <c r="I4" s="20">
        <f>VLOOKUP(A4, 'Raw Summary Data'!A36:X70, I$2+2, 0)</f>
        <v>5</v>
      </c>
      <c r="J4" s="20">
        <f>VLOOKUP(A4, 'Raw Summary Data'!A36:X70, J$2+2, 0)</f>
        <v>44</v>
      </c>
      <c r="K4" s="20">
        <v>70</v>
      </c>
      <c r="M4" s="20">
        <f>VLOOKUP(A4, 'Raw Summary Data'!A36:X70, K$2+2, 0)</f>
        <v>70</v>
      </c>
      <c r="N4" s="20">
        <f>VLOOKUP(A4, 'Raw Summary Data'!A36:X70, N$2+2, 0)</f>
        <v>0</v>
      </c>
      <c r="O4" s="20">
        <f>VLOOKUP(A4, 'Raw Summary Data'!A36:X70, O$2+2, 0)</f>
        <v>0</v>
      </c>
      <c r="P4" s="20">
        <f>VLOOKUP(A4, 'Raw Summary Data'!A36:X70, P$2+2, 0)</f>
        <v>5</v>
      </c>
      <c r="Q4" s="20">
        <f>VLOOKUP(A4, 'Raw Summary Data'!A36:X70, Q$2-1, 0)</f>
        <v>44</v>
      </c>
      <c r="R4" s="20">
        <v>66</v>
      </c>
      <c r="T4" s="20">
        <f>VLOOKUP(A4, 'Raw Summary Data'!A36:X70, R$2-2, 0)</f>
        <v>66</v>
      </c>
      <c r="U4" s="20">
        <f>VLOOKUP(A4, 'Raw Summary Data'!A36:X70, U$2-2, 0)</f>
        <v>0</v>
      </c>
      <c r="V4" s="20">
        <f>VLOOKUP(A4, 'Raw Summary Data'!A36:X70, V$2-2, 0)</f>
        <v>0</v>
      </c>
      <c r="W4" s="20">
        <f>VLOOKUP(A4, 'Raw Summary Data'!A36:X70, W$2-2, 0)</f>
        <v>0</v>
      </c>
      <c r="X4" s="20">
        <f>VLOOKUP(A4, 'Raw Summary Data'!A36:X70, X$2-2, 0)</f>
        <v>0</v>
      </c>
      <c r="Y4" s="20">
        <f>VLOOKUP(A4, 'Raw Summary Data'!A36:X70, Y$2-3, 0)</f>
        <v>0</v>
      </c>
      <c r="Z4" s="20">
        <f>VLOOKUP(A4, 'Raw Summary Data'!A36:X70, Z$2-3, 0)</f>
        <v>0</v>
      </c>
      <c r="AA4" s="20">
        <f>VLOOKUP(A4, 'Raw Summary Data'!A36:X70, AA$2-3, 0)</f>
        <v>50</v>
      </c>
      <c r="AB4" s="20">
        <v>68</v>
      </c>
      <c r="AD4" s="20">
        <f>VLOOKUP(A4, 'Raw Summary Data'!A36:X70, AB$2-2, 0)</f>
        <v>68</v>
      </c>
    </row>
    <row r="5" spans="1:35" ht="15" customHeight="1" x14ac:dyDescent="0.2">
      <c r="A5" s="60" t="s">
        <v>123</v>
      </c>
      <c r="B5" s="3" t="s">
        <v>9</v>
      </c>
      <c r="C5" s="20">
        <f>VLOOKUP(A5, 'Raw Summary Data'!A37:X71, 6, 0)</f>
        <v>0</v>
      </c>
      <c r="D5" s="20">
        <f>VLOOKUP(A5, 'Raw Summary Data'!A37:X71, D$2+2, 0)</f>
        <v>1</v>
      </c>
      <c r="E5" s="20">
        <f>VLOOKUP(A5, 'Raw Summary Data'!A37:X71, E$2+2, 0)</f>
        <v>1</v>
      </c>
      <c r="F5" s="20">
        <f>VLOOKUP(A5, 'Raw Summary Data'!A37:X71, F$2+2, 0)</f>
        <v>0</v>
      </c>
      <c r="G5" s="20">
        <f>VLOOKUP(A5, 'Raw Summary Data'!A37:X71, G$2+2, 0)</f>
        <v>0</v>
      </c>
      <c r="H5" s="20">
        <f>VLOOKUP(A5, 'Raw Summary Data'!A37:X71, H$2+2, 0)</f>
        <v>0</v>
      </c>
      <c r="I5" s="20">
        <f>VLOOKUP(A5, 'Raw Summary Data'!A37:X71, I$2+2, 0)</f>
        <v>5</v>
      </c>
      <c r="J5" s="20">
        <f>VLOOKUP(A5, 'Raw Summary Data'!A37:X71, J$2+2, 0)</f>
        <v>35</v>
      </c>
      <c r="K5" s="20">
        <v>78</v>
      </c>
      <c r="M5" s="20">
        <f>VLOOKUP(A5, 'Raw Summary Data'!A37:X71, K$2+2, 0)</f>
        <v>78</v>
      </c>
      <c r="N5" s="20">
        <f>VLOOKUP(A5, 'Raw Summary Data'!A37:X71, N$2+2, 0)</f>
        <v>0</v>
      </c>
      <c r="O5" s="20">
        <f>VLOOKUP(A5, 'Raw Summary Data'!A37:X71, O$2+2, 0)</f>
        <v>1</v>
      </c>
      <c r="P5" s="20">
        <f>VLOOKUP(A5, 'Raw Summary Data'!A37:X71, P$2+2, 0)</f>
        <v>5</v>
      </c>
      <c r="Q5" s="20">
        <f>VLOOKUP(A5, 'Raw Summary Data'!A37:X71, Q$2-1, 0)</f>
        <v>49.5</v>
      </c>
      <c r="R5" s="20">
        <v>73</v>
      </c>
      <c r="T5" s="20">
        <f>VLOOKUP(A5, 'Raw Summary Data'!A37:X71, R$2-2, 0)</f>
        <v>73</v>
      </c>
      <c r="U5" s="20">
        <f>VLOOKUP(A5, 'Raw Summary Data'!A37:X71, U$2-2, 0)</f>
        <v>5</v>
      </c>
      <c r="V5" s="20">
        <f>VLOOKUP(A5, 'Raw Summary Data'!A37:X71, V$2-2, 0)</f>
        <v>5</v>
      </c>
      <c r="W5" s="20">
        <f>VLOOKUP(A5, 'Raw Summary Data'!A37:X71, W$2-2, 0)</f>
        <v>5</v>
      </c>
      <c r="X5" s="20">
        <f>VLOOKUP(A5, 'Raw Summary Data'!A37:X71, X$2-2, 0)</f>
        <v>5</v>
      </c>
      <c r="Y5" s="20">
        <f>VLOOKUP(A5, 'Raw Summary Data'!A37:X71, Y$2-3, 0)</f>
        <v>0</v>
      </c>
      <c r="Z5" s="20">
        <f>VLOOKUP(A5, 'Raw Summary Data'!A37:X71, Z$2-3, 0)</f>
        <v>0</v>
      </c>
      <c r="AA5" s="20">
        <f>VLOOKUP(A5, 'Raw Summary Data'!A37:X71, AA$2-3, 0)</f>
        <v>44</v>
      </c>
      <c r="AB5" s="20">
        <v>65</v>
      </c>
      <c r="AC5" s="21">
        <v>78</v>
      </c>
      <c r="AD5" s="20">
        <f>VLOOKUP(A5, 'Raw Summary Data'!A37:X71, AB$2-2, 0)</f>
        <v>78</v>
      </c>
    </row>
    <row r="6" spans="1:35" ht="15" customHeight="1" x14ac:dyDescent="0.2">
      <c r="A6" s="60" t="s">
        <v>125</v>
      </c>
      <c r="B6" s="3" t="s">
        <v>9</v>
      </c>
      <c r="C6" s="20">
        <f>VLOOKUP(A6, 'Raw Summary Data'!A38:X72, 6, 0)</f>
        <v>1</v>
      </c>
      <c r="D6" s="20">
        <f>VLOOKUP(A6, 'Raw Summary Data'!A38:X72, D$2+2, 0)</f>
        <v>1</v>
      </c>
      <c r="E6" s="20">
        <f>VLOOKUP(A6, 'Raw Summary Data'!A38:X72, E$2+2, 0)</f>
        <v>1</v>
      </c>
      <c r="F6" s="20">
        <f>VLOOKUP(A6, 'Raw Summary Data'!A38:X72, F$2+2, 0)</f>
        <v>1</v>
      </c>
      <c r="G6" s="20">
        <f>VLOOKUP(A6, 'Raw Summary Data'!A38:X72, G$2+2, 0)</f>
        <v>1</v>
      </c>
      <c r="H6" s="20">
        <f>VLOOKUP(A6, 'Raw Summary Data'!A38:X72, H$2+2, 0)</f>
        <v>1</v>
      </c>
      <c r="I6" s="20">
        <f>VLOOKUP(A6, 'Raw Summary Data'!A38:X72, I$2+2, 0)</f>
        <v>5</v>
      </c>
      <c r="J6" s="20">
        <f>VLOOKUP(A6, 'Raw Summary Data'!A38:X72, J$2+2, 0)</f>
        <v>45</v>
      </c>
      <c r="K6" s="20">
        <v>68</v>
      </c>
      <c r="M6" s="20">
        <f>VLOOKUP(A6, 'Raw Summary Data'!A38:X72, K$2+2, 0)</f>
        <v>68</v>
      </c>
      <c r="N6" s="20">
        <f>VLOOKUP(A6, 'Raw Summary Data'!A38:X72, N$2+2, 0)</f>
        <v>1</v>
      </c>
      <c r="O6" s="20">
        <f>VLOOKUP(A6, 'Raw Summary Data'!A38:X72, O$2+2, 0)</f>
        <v>1</v>
      </c>
      <c r="P6" s="20">
        <f>VLOOKUP(A6, 'Raw Summary Data'!A38:X72, P$2+2, 0)</f>
        <v>5</v>
      </c>
      <c r="Q6" s="20">
        <f>VLOOKUP(A6, 'Raw Summary Data'!A38:X72, Q$2-1, 0)</f>
        <v>49.5</v>
      </c>
      <c r="R6" s="20">
        <v>65</v>
      </c>
      <c r="S6" s="21">
        <v>70</v>
      </c>
      <c r="T6" s="20">
        <f>VLOOKUP(A6, 'Raw Summary Data'!A38:X72, R$2-2, 0)</f>
        <v>70</v>
      </c>
      <c r="U6" s="20">
        <f>VLOOKUP(A6, 'Raw Summary Data'!A38:X72, U$2-2, 0)</f>
        <v>5</v>
      </c>
      <c r="V6" s="20">
        <f>VLOOKUP(A6, 'Raw Summary Data'!A38:X72, V$2-2, 0)</f>
        <v>5</v>
      </c>
      <c r="W6" s="20">
        <f>VLOOKUP(A6, 'Raw Summary Data'!A38:X72, W$2-2, 0)</f>
        <v>5</v>
      </c>
      <c r="X6" s="20">
        <f>VLOOKUP(A6, 'Raw Summary Data'!A38:X72, X$2-2, 0)</f>
        <v>5</v>
      </c>
      <c r="Y6" s="20">
        <f>VLOOKUP(A6, 'Raw Summary Data'!A38:X72, Y$2-3, 0)</f>
        <v>5</v>
      </c>
      <c r="Z6" s="20">
        <f>VLOOKUP(A6, 'Raw Summary Data'!A38:X72, Z$2-3, 0)</f>
        <v>5</v>
      </c>
      <c r="AA6" s="20">
        <f>VLOOKUP(A6, 'Raw Summary Data'!A38:X72, AA$2-3, 0)</f>
        <v>46</v>
      </c>
      <c r="AB6" s="20">
        <v>65</v>
      </c>
      <c r="AC6" s="21">
        <v>62</v>
      </c>
      <c r="AD6" s="20">
        <f>VLOOKUP(A6, 'Raw Summary Data'!A38:X72, AB$2-2, 0)</f>
        <v>65</v>
      </c>
    </row>
    <row r="7" spans="1:35" ht="15" customHeight="1" x14ac:dyDescent="0.2">
      <c r="A7" s="60" t="s">
        <v>127</v>
      </c>
      <c r="B7" s="3" t="s">
        <v>9</v>
      </c>
      <c r="C7" s="20">
        <f>VLOOKUP(A7, 'Raw Summary Data'!A39:X73, 6, 0)</f>
        <v>0</v>
      </c>
      <c r="D7" s="20">
        <f>VLOOKUP(A7, 'Raw Summary Data'!A39:X73, D$2+2, 0)</f>
        <v>0</v>
      </c>
      <c r="E7" s="20">
        <f>VLOOKUP(A7, 'Raw Summary Data'!A39:X73, E$2+2, 0)</f>
        <v>0</v>
      </c>
      <c r="F7" s="20">
        <f>VLOOKUP(A7, 'Raw Summary Data'!A39:X73, F$2+2, 0)</f>
        <v>0</v>
      </c>
      <c r="G7" s="20">
        <f>VLOOKUP(A7, 'Raw Summary Data'!A39:X73, G$2+2, 0)</f>
        <v>0</v>
      </c>
      <c r="H7" s="20">
        <f>VLOOKUP(A7, 'Raw Summary Data'!A39:X73, H$2+2, 0)</f>
        <v>0</v>
      </c>
      <c r="I7" s="20">
        <f>VLOOKUP(A7, 'Raw Summary Data'!A39:X73, I$2+2, 0)</f>
        <v>0</v>
      </c>
      <c r="J7" s="20">
        <f>VLOOKUP(A7, 'Raw Summary Data'!A39:X73, J$2+2, 0)</f>
        <v>0</v>
      </c>
      <c r="K7" s="20">
        <v>85</v>
      </c>
      <c r="M7" s="20">
        <f>VLOOKUP(A7, 'Raw Summary Data'!A39:X73, K$2+2, 0)</f>
        <v>85</v>
      </c>
      <c r="N7" s="20">
        <f>VLOOKUP(A7, 'Raw Summary Data'!A39:X73, N$2+2, 0)</f>
        <v>0</v>
      </c>
      <c r="O7" s="20">
        <f>VLOOKUP(A7, 'Raw Summary Data'!A39:X73, O$2+2, 0)</f>
        <v>0</v>
      </c>
      <c r="P7" s="20">
        <f>VLOOKUP(A7, 'Raw Summary Data'!A39:X73, P$2+2, 0)</f>
        <v>5</v>
      </c>
      <c r="Q7" s="20">
        <f>VLOOKUP(A7, 'Raw Summary Data'!A39:X73, Q$2-1, 0)</f>
        <v>45.5</v>
      </c>
      <c r="R7" s="20">
        <v>78</v>
      </c>
      <c r="T7" s="20">
        <f>VLOOKUP(A7, 'Raw Summary Data'!A39:X73, R$2-2, 0)</f>
        <v>78</v>
      </c>
      <c r="U7" s="20">
        <f>VLOOKUP(A7, 'Raw Summary Data'!A39:X73, U$2-2, 0)</f>
        <v>5</v>
      </c>
      <c r="V7" s="20">
        <f>VLOOKUP(A7, 'Raw Summary Data'!A39:X73, V$2-2, 0)</f>
        <v>5</v>
      </c>
      <c r="W7" s="20">
        <f>VLOOKUP(A7, 'Raw Summary Data'!A39:X73, W$2-2, 0)</f>
        <v>5</v>
      </c>
      <c r="X7" s="20">
        <f>VLOOKUP(A7, 'Raw Summary Data'!A39:X73, X$2-2, 0)</f>
        <v>0</v>
      </c>
      <c r="Y7" s="20">
        <f>VLOOKUP(A7, 'Raw Summary Data'!A39:X73, Y$2-3, 0)</f>
        <v>0</v>
      </c>
      <c r="Z7" s="20">
        <f>VLOOKUP(A7, 'Raw Summary Data'!A39:X73, Z$2-3, 0)</f>
        <v>0</v>
      </c>
      <c r="AA7" s="20">
        <f>VLOOKUP(A7, 'Raw Summary Data'!A39:X73, AA$2-3, 0)</f>
        <v>50</v>
      </c>
      <c r="AB7" s="20">
        <v>68</v>
      </c>
      <c r="AC7" s="21">
        <v>75</v>
      </c>
      <c r="AD7" s="20">
        <f>VLOOKUP(A7, 'Raw Summary Data'!A39:X73, AB$2-2, 0)</f>
        <v>75</v>
      </c>
    </row>
    <row r="8" spans="1:35" ht="15" customHeight="1" x14ac:dyDescent="0.2">
      <c r="A8" s="60" t="s">
        <v>129</v>
      </c>
      <c r="B8" s="3" t="s">
        <v>9</v>
      </c>
      <c r="C8" s="20">
        <f>VLOOKUP(A8, 'Raw Summary Data'!A40:X74, 6, 0)</f>
        <v>0</v>
      </c>
      <c r="D8" s="20">
        <f>VLOOKUP(A8, 'Raw Summary Data'!A40:X74, D$2+2, 0)</f>
        <v>0</v>
      </c>
      <c r="E8" s="20">
        <f>VLOOKUP(A8, 'Raw Summary Data'!A40:X74, E$2+2, 0)</f>
        <v>0</v>
      </c>
      <c r="F8" s="20">
        <f>VLOOKUP(A8, 'Raw Summary Data'!A40:X74, F$2+2, 0)</f>
        <v>0</v>
      </c>
      <c r="G8" s="20">
        <f>VLOOKUP(A8, 'Raw Summary Data'!A40:X74, G$2+2, 0)</f>
        <v>0</v>
      </c>
      <c r="H8" s="20">
        <f>VLOOKUP(A8, 'Raw Summary Data'!A40:X74, H$2+2, 0)</f>
        <v>0</v>
      </c>
      <c r="I8" s="20">
        <f>VLOOKUP(A8, 'Raw Summary Data'!A40:X74, I$2+2, 0)</f>
        <v>0</v>
      </c>
      <c r="J8" s="20">
        <f>VLOOKUP(A8, 'Raw Summary Data'!A40:X74, J$2+2, 0)</f>
        <v>0</v>
      </c>
      <c r="K8" s="20">
        <v>78</v>
      </c>
      <c r="L8" s="21">
        <v>76</v>
      </c>
      <c r="M8" s="20">
        <f>VLOOKUP(A8, 'Raw Summary Data'!A40:X74, K$2+2, 0)</f>
        <v>78</v>
      </c>
      <c r="N8" s="20">
        <f>VLOOKUP(A8, 'Raw Summary Data'!A40:X74, N$2+2, 0)</f>
        <v>1</v>
      </c>
      <c r="O8" s="20">
        <f>VLOOKUP(A8, 'Raw Summary Data'!A40:X74, O$2+2, 0)</f>
        <v>1</v>
      </c>
      <c r="P8" s="20">
        <f>VLOOKUP(A8, 'Raw Summary Data'!A40:X74, P$2+2, 0)</f>
        <v>5</v>
      </c>
      <c r="Q8" s="20">
        <f>VLOOKUP(A8, 'Raw Summary Data'!A40:X74, Q$2-1, 0)</f>
        <v>45</v>
      </c>
      <c r="R8" s="20">
        <v>83</v>
      </c>
      <c r="T8" s="20">
        <f>VLOOKUP(A8, 'Raw Summary Data'!A40:X74, R$2-2, 0)</f>
        <v>83</v>
      </c>
      <c r="U8" s="20">
        <f>VLOOKUP(A8, 'Raw Summary Data'!A40:X74, U$2-2, 0)</f>
        <v>0</v>
      </c>
      <c r="V8" s="20">
        <f>VLOOKUP(A8, 'Raw Summary Data'!A40:X74, V$2-2, 0)</f>
        <v>5</v>
      </c>
      <c r="W8" s="20">
        <f>VLOOKUP(A8, 'Raw Summary Data'!A40:X74, W$2-2, 0)</f>
        <v>5</v>
      </c>
      <c r="X8" s="20">
        <f>VLOOKUP(A8, 'Raw Summary Data'!A40:X74, X$2-2, 0)</f>
        <v>5</v>
      </c>
      <c r="Y8" s="20">
        <f>VLOOKUP(A8, 'Raw Summary Data'!A40:X74, Y$2-3, 0)</f>
        <v>0</v>
      </c>
      <c r="Z8" s="20">
        <f>VLOOKUP(A8, 'Raw Summary Data'!A40:X74, Z$2-3, 0)</f>
        <v>0</v>
      </c>
      <c r="AA8" s="20">
        <f>VLOOKUP(A8, 'Raw Summary Data'!A40:X74, AA$2-3, 0)</f>
        <v>50</v>
      </c>
      <c r="AB8" s="20">
        <v>75</v>
      </c>
      <c r="AC8" s="21">
        <v>78</v>
      </c>
      <c r="AD8" s="20">
        <f>VLOOKUP(A8, 'Raw Summary Data'!A40:X74, AB$2-2, 0)</f>
        <v>78</v>
      </c>
    </row>
    <row r="9" spans="1:35" ht="15" customHeight="1" x14ac:dyDescent="0.2">
      <c r="A9" s="60" t="s">
        <v>131</v>
      </c>
      <c r="B9" s="3" t="s">
        <v>10</v>
      </c>
      <c r="C9" s="20">
        <f>VLOOKUP(A9, 'Raw Summary Data'!A41:X75, 6, 0)</f>
        <v>1</v>
      </c>
      <c r="D9" s="20">
        <f>VLOOKUP(A9, 'Raw Summary Data'!A41:X75, D$2+2, 0)</f>
        <v>1</v>
      </c>
      <c r="E9" s="20">
        <f>VLOOKUP(A9, 'Raw Summary Data'!A41:X75, E$2+2, 0)</f>
        <v>1</v>
      </c>
      <c r="F9" s="20">
        <f>VLOOKUP(A9, 'Raw Summary Data'!A41:X75, F$2+2, 0)</f>
        <v>1</v>
      </c>
      <c r="G9" s="20">
        <f>VLOOKUP(A9, 'Raw Summary Data'!A41:X75, G$2+2, 0)</f>
        <v>0</v>
      </c>
      <c r="H9" s="20">
        <f>VLOOKUP(A9, 'Raw Summary Data'!A41:X75, H$2+2, 0)</f>
        <v>0</v>
      </c>
      <c r="I9" s="20">
        <f>VLOOKUP(A9, 'Raw Summary Data'!A41:X75, I$2+2, 0)</f>
        <v>5</v>
      </c>
      <c r="J9" s="20">
        <f>VLOOKUP(A9, 'Raw Summary Data'!A41:X75, J$2+2, 0)</f>
        <v>43</v>
      </c>
      <c r="K9" s="20">
        <v>60</v>
      </c>
      <c r="M9" s="20">
        <f>VLOOKUP(A9, 'Raw Summary Data'!A41:X75, K$2+2, 0)</f>
        <v>60</v>
      </c>
      <c r="N9" s="20">
        <f>VLOOKUP(A9, 'Raw Summary Data'!A41:X75, N$2+2, 0)</f>
        <v>1</v>
      </c>
      <c r="O9" s="20">
        <f>VLOOKUP(A9, 'Raw Summary Data'!A41:X75, O$2+2, 0)</f>
        <v>0</v>
      </c>
      <c r="P9" s="20">
        <f>VLOOKUP(A9, 'Raw Summary Data'!A41:X75, P$2+2, 0)</f>
        <v>5</v>
      </c>
      <c r="Q9" s="20">
        <f>VLOOKUP(A9, 'Raw Summary Data'!A41:X75, Q$2-1, 0)</f>
        <v>39.5</v>
      </c>
      <c r="R9" s="20">
        <v>86</v>
      </c>
      <c r="T9" s="20">
        <f>VLOOKUP(A9, 'Raw Summary Data'!A41:X75, R$2-2, 0)</f>
        <v>86</v>
      </c>
      <c r="U9" s="20">
        <f>VLOOKUP(A9, 'Raw Summary Data'!A41:X75, U$2-2, 0)</f>
        <v>0</v>
      </c>
      <c r="V9" s="20">
        <f>VLOOKUP(A9, 'Raw Summary Data'!A41:X75, V$2-2, 0)</f>
        <v>5</v>
      </c>
      <c r="W9" s="20">
        <f>VLOOKUP(A9, 'Raw Summary Data'!A41:X75, W$2-2, 0)</f>
        <v>5</v>
      </c>
      <c r="X9" s="20">
        <f>VLOOKUP(A9, 'Raw Summary Data'!A41:X75, X$2-2, 0)</f>
        <v>5</v>
      </c>
      <c r="Y9" s="20">
        <f>VLOOKUP(A9, 'Raw Summary Data'!A41:X75, Y$2-3, 0)</f>
        <v>5</v>
      </c>
      <c r="Z9" s="20">
        <f>VLOOKUP(A9, 'Raw Summary Data'!A41:X75, Z$2-3, 0)</f>
        <v>5</v>
      </c>
      <c r="AA9" s="20">
        <f>VLOOKUP(A9, 'Raw Summary Data'!A41:X75, AA$2-3, 0)</f>
        <v>50</v>
      </c>
      <c r="AB9" s="20">
        <v>72</v>
      </c>
      <c r="AC9" s="21">
        <v>65</v>
      </c>
      <c r="AD9" s="20">
        <f>VLOOKUP(A9, 'Raw Summary Data'!A41:X75, AB$2-2, 0)</f>
        <v>72</v>
      </c>
    </row>
    <row r="10" spans="1:35" ht="15" customHeight="1" x14ac:dyDescent="0.2">
      <c r="A10" s="60" t="s">
        <v>133</v>
      </c>
      <c r="B10" s="3" t="s">
        <v>9</v>
      </c>
      <c r="C10" s="20">
        <f>VLOOKUP(A10, 'Raw Summary Data'!A42:X76, 6, 0)</f>
        <v>1</v>
      </c>
      <c r="D10" s="20">
        <f>VLOOKUP(A10, 'Raw Summary Data'!A42:X76, D$2+2, 0)</f>
        <v>1</v>
      </c>
      <c r="E10" s="20">
        <f>VLOOKUP(A10, 'Raw Summary Data'!A42:X76, E$2+2, 0)</f>
        <v>0.5</v>
      </c>
      <c r="F10" s="20">
        <f>VLOOKUP(A10, 'Raw Summary Data'!A42:X76, F$2+2, 0)</f>
        <v>1</v>
      </c>
      <c r="G10" s="20">
        <f>VLOOKUP(A10, 'Raw Summary Data'!A42:X76, G$2+2, 0)</f>
        <v>1</v>
      </c>
      <c r="H10" s="20">
        <f>VLOOKUP(A10, 'Raw Summary Data'!A42:X76, H$2+2, 0)</f>
        <v>0</v>
      </c>
      <c r="I10" s="20">
        <f>VLOOKUP(A10, 'Raw Summary Data'!A42:X76, I$2+2, 0)</f>
        <v>5</v>
      </c>
      <c r="J10" s="20">
        <f>VLOOKUP(A10, 'Raw Summary Data'!A42:X76, J$2+2, 0)</f>
        <v>35</v>
      </c>
      <c r="K10" s="20">
        <v>85</v>
      </c>
      <c r="M10" s="20">
        <f>VLOOKUP(A10, 'Raw Summary Data'!A42:X76, K$2+2, 0)</f>
        <v>85</v>
      </c>
      <c r="N10" s="20">
        <f>VLOOKUP(A10, 'Raw Summary Data'!A42:X76, N$2+2, 0)</f>
        <v>1</v>
      </c>
      <c r="O10" s="20">
        <f>VLOOKUP(A10, 'Raw Summary Data'!A42:X76, O$2+2, 0)</f>
        <v>1</v>
      </c>
      <c r="P10" s="20">
        <f>VLOOKUP(A10, 'Raw Summary Data'!A42:X76, P$2+2, 0)</f>
        <v>5</v>
      </c>
      <c r="Q10" s="20">
        <f>VLOOKUP(A10, 'Raw Summary Data'!A42:X76, Q$2-1, 0)</f>
        <v>38.5</v>
      </c>
      <c r="R10" s="20">
        <v>69</v>
      </c>
      <c r="S10" s="21">
        <v>73</v>
      </c>
      <c r="T10" s="20">
        <f>VLOOKUP(A10, 'Raw Summary Data'!A42:X76, R$2-2, 0)</f>
        <v>73</v>
      </c>
      <c r="U10" s="20">
        <f>VLOOKUP(A10, 'Raw Summary Data'!A42:X76, U$2-2, 0)</f>
        <v>5</v>
      </c>
      <c r="V10" s="20">
        <f>VLOOKUP(A10, 'Raw Summary Data'!A42:X76, V$2-2, 0)</f>
        <v>5</v>
      </c>
      <c r="W10" s="20">
        <f>VLOOKUP(A10, 'Raw Summary Data'!A42:X76, W$2-2, 0)</f>
        <v>0</v>
      </c>
      <c r="X10" s="20">
        <f>VLOOKUP(A10, 'Raw Summary Data'!A42:X76, X$2-2, 0)</f>
        <v>5</v>
      </c>
      <c r="Y10" s="20">
        <f>VLOOKUP(A10, 'Raw Summary Data'!A42:X76, Y$2-3, 0)</f>
        <v>0</v>
      </c>
      <c r="Z10" s="20">
        <f>VLOOKUP(A10, 'Raw Summary Data'!A42:X76, Z$2-3, 0)</f>
        <v>0</v>
      </c>
      <c r="AA10" s="20">
        <f>VLOOKUP(A10, 'Raw Summary Data'!A42:X76, AA$2-3, 0)</f>
        <v>41</v>
      </c>
      <c r="AB10" s="20">
        <v>72</v>
      </c>
      <c r="AC10" s="21">
        <v>85</v>
      </c>
      <c r="AD10" s="20">
        <f>VLOOKUP(A10, 'Raw Summary Data'!A42:X76, AB$2-2, 0)</f>
        <v>85</v>
      </c>
    </row>
    <row r="11" spans="1:35" ht="15" customHeight="1" x14ac:dyDescent="0.2">
      <c r="A11" s="60" t="s">
        <v>135</v>
      </c>
      <c r="B11" s="3" t="s">
        <v>8</v>
      </c>
      <c r="C11" s="20">
        <f>VLOOKUP(A11, 'Raw Summary Data'!A43:X77, 6, 0)</f>
        <v>1</v>
      </c>
      <c r="D11" s="20">
        <f>VLOOKUP(A11, 'Raw Summary Data'!A43:X77, D$2+2, 0)</f>
        <v>1</v>
      </c>
      <c r="E11" s="20">
        <f>VLOOKUP(A11, 'Raw Summary Data'!A43:X77, E$2+2, 0)</f>
        <v>1</v>
      </c>
      <c r="F11" s="20">
        <f>VLOOKUP(A11, 'Raw Summary Data'!A43:X77, F$2+2, 0)</f>
        <v>1</v>
      </c>
      <c r="G11" s="20">
        <f>VLOOKUP(A11, 'Raw Summary Data'!A43:X77, G$2+2, 0)</f>
        <v>1</v>
      </c>
      <c r="H11" s="20">
        <f>VLOOKUP(A11, 'Raw Summary Data'!A43:X77, H$2+2, 0)</f>
        <v>1</v>
      </c>
      <c r="I11" s="20">
        <f>VLOOKUP(A11, 'Raw Summary Data'!A43:X77, I$2+2, 0)</f>
        <v>5</v>
      </c>
      <c r="J11" s="20">
        <f>VLOOKUP(A11, 'Raw Summary Data'!A43:X77, J$2+2, 0)</f>
        <v>48</v>
      </c>
      <c r="K11" s="20">
        <v>95</v>
      </c>
      <c r="M11" s="20">
        <f>VLOOKUP(A11, 'Raw Summary Data'!A43:X77, K$2+2, 0)</f>
        <v>95</v>
      </c>
      <c r="N11" s="20">
        <f>VLOOKUP(A11, 'Raw Summary Data'!A43:X77, N$2+2, 0)</f>
        <v>1</v>
      </c>
      <c r="O11" s="20">
        <f>VLOOKUP(A11, 'Raw Summary Data'!A43:X77, O$2+2, 0)</f>
        <v>1</v>
      </c>
      <c r="P11" s="20">
        <f>VLOOKUP(A11, 'Raw Summary Data'!A43:X77, P$2+2, 0)</f>
        <v>5</v>
      </c>
      <c r="Q11" s="20">
        <f>VLOOKUP(A11, 'Raw Summary Data'!A43:X77, Q$2-1, 0)</f>
        <v>50</v>
      </c>
      <c r="R11" s="20">
        <v>92</v>
      </c>
      <c r="T11" s="20">
        <f>VLOOKUP(A11, 'Raw Summary Data'!A43:X77, R$2-2, 0)</f>
        <v>92</v>
      </c>
      <c r="U11" s="20">
        <f>VLOOKUP(A11, 'Raw Summary Data'!A43:X77, U$2-2, 0)</f>
        <v>5</v>
      </c>
      <c r="V11" s="20">
        <f>VLOOKUP(A11, 'Raw Summary Data'!A43:X77, V$2-2, 0)</f>
        <v>5</v>
      </c>
      <c r="W11" s="20">
        <f>VLOOKUP(A11, 'Raw Summary Data'!A43:X77, W$2-2, 0)</f>
        <v>5</v>
      </c>
      <c r="X11" s="20">
        <f>VLOOKUP(A11, 'Raw Summary Data'!A43:X77, X$2-2, 0)</f>
        <v>5</v>
      </c>
      <c r="Y11" s="20">
        <f>VLOOKUP(A11, 'Raw Summary Data'!A43:X77, Y$2-3, 0)</f>
        <v>5</v>
      </c>
      <c r="Z11" s="20">
        <f>VLOOKUP(A11, 'Raw Summary Data'!A43:X77, Z$2-3, 0)</f>
        <v>5</v>
      </c>
      <c r="AA11" s="20">
        <f>VLOOKUP(A11, 'Raw Summary Data'!A43:X77, AA$2-3, 0)</f>
        <v>50</v>
      </c>
      <c r="AB11" s="20">
        <v>82</v>
      </c>
      <c r="AC11" s="21">
        <v>88</v>
      </c>
      <c r="AD11" s="20">
        <f>VLOOKUP(A11, 'Raw Summary Data'!A43:X77, AB$2-2, 0)</f>
        <v>88</v>
      </c>
    </row>
    <row r="12" spans="1:35" ht="15" customHeight="1" x14ac:dyDescent="0.2">
      <c r="A12" s="60" t="s">
        <v>137</v>
      </c>
      <c r="B12" s="3" t="s">
        <v>9</v>
      </c>
      <c r="C12" s="20">
        <f>VLOOKUP(A12, 'Raw Summary Data'!A44:X78, 6, 0)</f>
        <v>1</v>
      </c>
      <c r="D12" s="20">
        <f>VLOOKUP(A12, 'Raw Summary Data'!A44:X78, D$2+2, 0)</f>
        <v>1</v>
      </c>
      <c r="E12" s="20">
        <f>VLOOKUP(A12, 'Raw Summary Data'!A44:X78, E$2+2, 0)</f>
        <v>1</v>
      </c>
      <c r="F12" s="20">
        <f>VLOOKUP(A12, 'Raw Summary Data'!A44:X78, F$2+2, 0)</f>
        <v>1</v>
      </c>
      <c r="G12" s="20">
        <f>VLOOKUP(A12, 'Raw Summary Data'!A44:X78, G$2+2, 0)</f>
        <v>1</v>
      </c>
      <c r="H12" s="20">
        <f>VLOOKUP(A12, 'Raw Summary Data'!A44:X78, H$2+2, 0)</f>
        <v>1</v>
      </c>
      <c r="I12" s="20">
        <f>VLOOKUP(A12, 'Raw Summary Data'!A44:X78, I$2+2, 0)</f>
        <v>5</v>
      </c>
      <c r="J12" s="20">
        <f>VLOOKUP(A12, 'Raw Summary Data'!A44:X78, J$2+2, 0)</f>
        <v>48</v>
      </c>
      <c r="K12" s="20">
        <v>92</v>
      </c>
      <c r="M12" s="20">
        <f>VLOOKUP(A12, 'Raw Summary Data'!A44:X78, K$2+2, 0)</f>
        <v>92</v>
      </c>
      <c r="N12" s="20">
        <f>VLOOKUP(A12, 'Raw Summary Data'!A44:X78, N$2+2, 0)</f>
        <v>1</v>
      </c>
      <c r="O12" s="20">
        <f>VLOOKUP(A12, 'Raw Summary Data'!A44:X78, O$2+2, 0)</f>
        <v>1</v>
      </c>
      <c r="P12" s="20">
        <f>VLOOKUP(A12, 'Raw Summary Data'!A44:X78, P$2+2, 0)</f>
        <v>5</v>
      </c>
      <c r="Q12" s="20">
        <f>VLOOKUP(A12, 'Raw Summary Data'!A44:X78, Q$2-1, 0)</f>
        <v>50</v>
      </c>
      <c r="R12" s="20">
        <v>93</v>
      </c>
      <c r="S12" s="21">
        <v>86</v>
      </c>
      <c r="T12" s="20">
        <f>VLOOKUP(A12, 'Raw Summary Data'!A44:X78, R$2-2, 0)</f>
        <v>93</v>
      </c>
      <c r="U12" s="20">
        <f>VLOOKUP(A12, 'Raw Summary Data'!A44:X78, U$2-2, 0)</f>
        <v>5</v>
      </c>
      <c r="V12" s="20">
        <f>VLOOKUP(A12, 'Raw Summary Data'!A44:X78, V$2-2, 0)</f>
        <v>5</v>
      </c>
      <c r="W12" s="20">
        <f>VLOOKUP(A12, 'Raw Summary Data'!A44:X78, W$2-2, 0)</f>
        <v>5</v>
      </c>
      <c r="X12" s="20">
        <f>VLOOKUP(A12, 'Raw Summary Data'!A44:X78, X$2-2, 0)</f>
        <v>5</v>
      </c>
      <c r="Y12" s="20">
        <f>VLOOKUP(A12, 'Raw Summary Data'!A44:X78, Y$2-3, 0)</f>
        <v>5</v>
      </c>
      <c r="Z12" s="20">
        <f>VLOOKUP(A12, 'Raw Summary Data'!A44:X78, Z$2-3, 0)</f>
        <v>5</v>
      </c>
      <c r="AA12" s="20">
        <f>VLOOKUP(A12, 'Raw Summary Data'!A44:X78, AA$2-3, 0)</f>
        <v>50</v>
      </c>
      <c r="AB12" s="20">
        <v>92</v>
      </c>
      <c r="AC12" s="21">
        <v>92</v>
      </c>
      <c r="AD12" s="20">
        <f>VLOOKUP(A12, 'Raw Summary Data'!A44:X78, AB$2-2, 0)</f>
        <v>92</v>
      </c>
    </row>
    <row r="13" spans="1:35" ht="15" customHeight="1" x14ac:dyDescent="0.2">
      <c r="A13" s="60" t="s">
        <v>139</v>
      </c>
      <c r="B13" s="3" t="s">
        <v>8</v>
      </c>
      <c r="C13" s="20">
        <f>VLOOKUP(A13, 'Raw Summary Data'!A45:X79, 6, 0)</f>
        <v>1</v>
      </c>
      <c r="D13" s="20">
        <f>VLOOKUP(A13, 'Raw Summary Data'!A45:X79, D$2+2, 0)</f>
        <v>1</v>
      </c>
      <c r="E13" s="20">
        <f>VLOOKUP(A13, 'Raw Summary Data'!A45:X79, E$2+2, 0)</f>
        <v>1</v>
      </c>
      <c r="F13" s="20">
        <f>VLOOKUP(A13, 'Raw Summary Data'!A45:X79, F$2+2, 0)</f>
        <v>1</v>
      </c>
      <c r="G13" s="20">
        <f>VLOOKUP(A13, 'Raw Summary Data'!A45:X79, G$2+2, 0)</f>
        <v>1</v>
      </c>
      <c r="H13" s="20">
        <f>VLOOKUP(A13, 'Raw Summary Data'!A45:X79, H$2+2, 0)</f>
        <v>1</v>
      </c>
      <c r="I13" s="20">
        <f>VLOOKUP(A13, 'Raw Summary Data'!A45:X79, I$2+2, 0)</f>
        <v>5</v>
      </c>
      <c r="J13" s="20">
        <f>VLOOKUP(A13, 'Raw Summary Data'!A45:X79, J$2+2, 0)</f>
        <v>47</v>
      </c>
      <c r="K13" s="20">
        <v>100</v>
      </c>
      <c r="M13" s="20">
        <f>VLOOKUP(A13, 'Raw Summary Data'!A45:X79, K$2+2, 0)</f>
        <v>100</v>
      </c>
      <c r="N13" s="20">
        <f>VLOOKUP(A13, 'Raw Summary Data'!A45:X79, N$2+2, 0)</f>
        <v>1</v>
      </c>
      <c r="O13" s="20">
        <f>VLOOKUP(A13, 'Raw Summary Data'!A45:X79, O$2+2, 0)</f>
        <v>1</v>
      </c>
      <c r="P13" s="20">
        <f>VLOOKUP(A13, 'Raw Summary Data'!A45:X79, P$2+2, 0)</f>
        <v>5</v>
      </c>
      <c r="Q13" s="20">
        <f>VLOOKUP(A13, 'Raw Summary Data'!A45:X79, Q$2-1, 0)</f>
        <v>50</v>
      </c>
      <c r="R13" s="20">
        <v>86</v>
      </c>
      <c r="T13" s="20">
        <f>VLOOKUP(A13, 'Raw Summary Data'!A45:X79, R$2-2, 0)</f>
        <v>86</v>
      </c>
      <c r="U13" s="20">
        <f>VLOOKUP(A13, 'Raw Summary Data'!A45:X79, U$2-2, 0)</f>
        <v>5</v>
      </c>
      <c r="V13" s="20">
        <f>VLOOKUP(A13, 'Raw Summary Data'!A45:X79, V$2-2, 0)</f>
        <v>5</v>
      </c>
      <c r="W13" s="20">
        <f>VLOOKUP(A13, 'Raw Summary Data'!A45:X79, W$2-2, 0)</f>
        <v>5</v>
      </c>
      <c r="X13" s="20">
        <f>VLOOKUP(A13, 'Raw Summary Data'!A45:X79, X$2-2, 0)</f>
        <v>5</v>
      </c>
      <c r="Y13" s="20">
        <f>VLOOKUP(A13, 'Raw Summary Data'!A45:X79, Y$2-3, 0)</f>
        <v>5</v>
      </c>
      <c r="Z13" s="20">
        <f>VLOOKUP(A13, 'Raw Summary Data'!A45:X79, Z$2-3, 0)</f>
        <v>5</v>
      </c>
      <c r="AA13" s="20">
        <f>VLOOKUP(A13, 'Raw Summary Data'!A45:X79, AA$2-3, 0)</f>
        <v>50</v>
      </c>
      <c r="AB13" s="20">
        <v>95</v>
      </c>
      <c r="AD13" s="20">
        <f>VLOOKUP(A13, 'Raw Summary Data'!A45:X79, AB$2-2, 0)</f>
        <v>95</v>
      </c>
    </row>
    <row r="14" spans="1:35" ht="15" customHeight="1" x14ac:dyDescent="0.2">
      <c r="A14" s="60" t="s">
        <v>141</v>
      </c>
      <c r="B14" s="3" t="s">
        <v>9</v>
      </c>
      <c r="C14" s="20">
        <f>VLOOKUP(A14, 'Raw Summary Data'!A46:X80, 6, 0)</f>
        <v>0</v>
      </c>
      <c r="D14" s="20">
        <f>VLOOKUP(A14, 'Raw Summary Data'!A46:X80, D$2+2, 0)</f>
        <v>0</v>
      </c>
      <c r="E14" s="20">
        <f>VLOOKUP(A14, 'Raw Summary Data'!A46:X80, E$2+2, 0)</f>
        <v>0</v>
      </c>
      <c r="F14" s="20">
        <f>VLOOKUP(A14, 'Raw Summary Data'!A46:X80, F$2+2, 0)</f>
        <v>0</v>
      </c>
      <c r="G14" s="20">
        <f>VLOOKUP(A14, 'Raw Summary Data'!A46:X80, G$2+2, 0)</f>
        <v>0</v>
      </c>
      <c r="H14" s="20">
        <f>VLOOKUP(A14, 'Raw Summary Data'!A46:X80, H$2+2, 0)</f>
        <v>0</v>
      </c>
      <c r="I14" s="20">
        <f>VLOOKUP(A14, 'Raw Summary Data'!A46:X80, I$2+2, 0)</f>
        <v>0</v>
      </c>
      <c r="J14" s="20">
        <f>VLOOKUP(A14, 'Raw Summary Data'!A46:X80, J$2+2, 0)</f>
        <v>44</v>
      </c>
      <c r="K14" s="20">
        <v>60</v>
      </c>
      <c r="M14" s="20">
        <f>VLOOKUP(A14, 'Raw Summary Data'!A46:X80, K$2+2, 0)</f>
        <v>60</v>
      </c>
      <c r="N14" s="20">
        <f>VLOOKUP(A14, 'Raw Summary Data'!A46:X80, N$2+2, 0)</f>
        <v>0</v>
      </c>
      <c r="O14" s="20">
        <f>VLOOKUP(A14, 'Raw Summary Data'!A46:X80, O$2+2, 0)</f>
        <v>0</v>
      </c>
      <c r="P14" s="20">
        <f>VLOOKUP(A14, 'Raw Summary Data'!A46:X80, P$2+2, 0)</f>
        <v>4</v>
      </c>
      <c r="Q14" s="20">
        <f>VLOOKUP(A14, 'Raw Summary Data'!A46:X80, Q$2-1, 0)</f>
        <v>31.5</v>
      </c>
      <c r="R14" s="20">
        <v>78</v>
      </c>
      <c r="T14" s="20">
        <f>VLOOKUP(A14, 'Raw Summary Data'!A46:X80, R$2-2, 0)</f>
        <v>78</v>
      </c>
      <c r="U14" s="20">
        <f>VLOOKUP(A14, 'Raw Summary Data'!A46:X80, U$2-2, 0)</f>
        <v>0</v>
      </c>
      <c r="V14" s="20">
        <f>VLOOKUP(A14, 'Raw Summary Data'!A46:X80, V$2-2, 0)</f>
        <v>0</v>
      </c>
      <c r="W14" s="20">
        <f>VLOOKUP(A14, 'Raw Summary Data'!A46:X80, W$2-2, 0)</f>
        <v>0</v>
      </c>
      <c r="X14" s="20">
        <f>VLOOKUP(A14, 'Raw Summary Data'!A46:X80, X$2-2, 0)</f>
        <v>0</v>
      </c>
      <c r="Y14" s="20">
        <f>VLOOKUP(A14, 'Raw Summary Data'!A46:X80, Y$2-3, 0)</f>
        <v>0</v>
      </c>
      <c r="Z14" s="20">
        <f>VLOOKUP(A14, 'Raw Summary Data'!A46:X80, Z$2-3, 0)</f>
        <v>0</v>
      </c>
      <c r="AA14" s="20">
        <f>VLOOKUP(A14, 'Raw Summary Data'!A46:X80, AA$2-3, 0)</f>
        <v>12</v>
      </c>
      <c r="AB14" s="20">
        <v>30</v>
      </c>
      <c r="AD14" s="20">
        <f>VLOOKUP(A14, 'Raw Summary Data'!A46:X80, AB$2-2, 0)</f>
        <v>30</v>
      </c>
    </row>
    <row r="15" spans="1:35" ht="15" customHeight="1" x14ac:dyDescent="0.2">
      <c r="A15" s="60" t="s">
        <v>143</v>
      </c>
      <c r="B15" s="3" t="s">
        <v>9</v>
      </c>
      <c r="C15" s="20">
        <f>VLOOKUP(A15, 'Raw Summary Data'!A47:X81, 6, 0)</f>
        <v>1</v>
      </c>
      <c r="D15" s="20">
        <f>VLOOKUP(A15, 'Raw Summary Data'!A47:X81, D$2+2, 0)</f>
        <v>1</v>
      </c>
      <c r="E15" s="20">
        <f>VLOOKUP(A15, 'Raw Summary Data'!A47:X81, E$2+2, 0)</f>
        <v>1</v>
      </c>
      <c r="F15" s="20">
        <f>VLOOKUP(A15, 'Raw Summary Data'!A47:X81, F$2+2, 0)</f>
        <v>1</v>
      </c>
      <c r="G15" s="20">
        <f>VLOOKUP(A15, 'Raw Summary Data'!A47:X81, G$2+2, 0)</f>
        <v>0</v>
      </c>
      <c r="H15" s="20">
        <f>VLOOKUP(A15, 'Raw Summary Data'!A47:X81, H$2+2, 0)</f>
        <v>0</v>
      </c>
      <c r="I15" s="20">
        <f>VLOOKUP(A15, 'Raw Summary Data'!A47:X81, I$2+2, 0)</f>
        <v>5</v>
      </c>
      <c r="J15" s="20">
        <f>VLOOKUP(A15, 'Raw Summary Data'!A47:X81, J$2+2, 0)</f>
        <v>48</v>
      </c>
      <c r="K15" s="20">
        <v>68</v>
      </c>
      <c r="L15" s="21">
        <v>78</v>
      </c>
      <c r="M15" s="20">
        <f>VLOOKUP(A15, 'Raw Summary Data'!A47:X81, K$2+2, 0)</f>
        <v>78</v>
      </c>
      <c r="N15" s="20">
        <f>VLOOKUP(A15, 'Raw Summary Data'!A47:X81, N$2+2, 0)</f>
        <v>0</v>
      </c>
      <c r="O15" s="20">
        <f>VLOOKUP(A15, 'Raw Summary Data'!A47:X81, O$2+2, 0)</f>
        <v>0</v>
      </c>
      <c r="P15" s="20">
        <f>VLOOKUP(A15, 'Raw Summary Data'!A47:X81, P$2+2, 0)</f>
        <v>5</v>
      </c>
      <c r="Q15" s="20">
        <f>VLOOKUP(A15, 'Raw Summary Data'!A47:X81, Q$2-1, 0)</f>
        <v>40</v>
      </c>
      <c r="R15" s="20">
        <v>80</v>
      </c>
      <c r="T15" s="20">
        <f>VLOOKUP(A15, 'Raw Summary Data'!A47:X81, R$2-2, 0)</f>
        <v>80</v>
      </c>
      <c r="U15" s="20">
        <f>VLOOKUP(A15, 'Raw Summary Data'!A47:X81, U$2-2, 0)</f>
        <v>0</v>
      </c>
      <c r="V15" s="20">
        <f>VLOOKUP(A15, 'Raw Summary Data'!A47:X81, V$2-2, 0)</f>
        <v>0</v>
      </c>
      <c r="W15" s="20">
        <f>VLOOKUP(A15, 'Raw Summary Data'!A47:X81, W$2-2, 0)</f>
        <v>0</v>
      </c>
      <c r="X15" s="20">
        <f>VLOOKUP(A15, 'Raw Summary Data'!A47:X81, X$2-2, 0)</f>
        <v>0</v>
      </c>
      <c r="Y15" s="20">
        <f>VLOOKUP(A15, 'Raw Summary Data'!A47:X81, Y$2-3, 0)</f>
        <v>0</v>
      </c>
      <c r="Z15" s="20">
        <f>VLOOKUP(A15, 'Raw Summary Data'!A47:X81, Z$2-3, 0)</f>
        <v>0</v>
      </c>
      <c r="AA15" s="20">
        <f>VLOOKUP(A15, 'Raw Summary Data'!A47:X81, AA$2-3, 0)</f>
        <v>50</v>
      </c>
      <c r="AB15" s="20">
        <v>65</v>
      </c>
      <c r="AC15" s="21">
        <v>68</v>
      </c>
      <c r="AD15" s="20">
        <f>VLOOKUP(A15, 'Raw Summary Data'!A47:X81, AB$2-2, 0)</f>
        <v>68</v>
      </c>
    </row>
    <row r="16" spans="1:35" ht="15" customHeight="1" x14ac:dyDescent="0.2">
      <c r="A16" s="60" t="s">
        <v>145</v>
      </c>
      <c r="B16" s="3" t="s">
        <v>8</v>
      </c>
      <c r="C16" s="20">
        <f>VLOOKUP(A16, 'Raw Summary Data'!A48:X82, 6, 0)</f>
        <v>1</v>
      </c>
      <c r="D16" s="20">
        <f>VLOOKUP(A16, 'Raw Summary Data'!A48:X82, D$2+2, 0)</f>
        <v>1</v>
      </c>
      <c r="E16" s="20">
        <f>VLOOKUP(A16, 'Raw Summary Data'!A48:X82, E$2+2, 0)</f>
        <v>1</v>
      </c>
      <c r="F16" s="20">
        <f>VLOOKUP(A16, 'Raw Summary Data'!A48:X82, F$2+2, 0)</f>
        <v>1</v>
      </c>
      <c r="G16" s="20">
        <f>VLOOKUP(A16, 'Raw Summary Data'!A48:X82, G$2+2, 0)</f>
        <v>1</v>
      </c>
      <c r="H16" s="20">
        <f>VLOOKUP(A16, 'Raw Summary Data'!A48:X82, H$2+2, 0)</f>
        <v>0</v>
      </c>
      <c r="I16" s="20">
        <f>VLOOKUP(A16, 'Raw Summary Data'!A48:X82, I$2+2, 0)</f>
        <v>5</v>
      </c>
      <c r="J16" s="20">
        <f>VLOOKUP(A16, 'Raw Summary Data'!A48:X82, J$2+2, 0)</f>
        <v>48</v>
      </c>
      <c r="K16" s="20">
        <v>72</v>
      </c>
      <c r="L16" s="21">
        <v>78</v>
      </c>
      <c r="M16" s="20">
        <f>VLOOKUP(A16, 'Raw Summary Data'!A48:X82, K$2+2, 0)</f>
        <v>78</v>
      </c>
      <c r="N16" s="20">
        <f>VLOOKUP(A16, 'Raw Summary Data'!A48:X82, N$2+2, 0)</f>
        <v>1</v>
      </c>
      <c r="O16" s="20">
        <f>VLOOKUP(A16, 'Raw Summary Data'!A48:X82, O$2+2, 0)</f>
        <v>0</v>
      </c>
      <c r="P16" s="20">
        <f>VLOOKUP(A16, 'Raw Summary Data'!A48:X82, P$2+2, 0)</f>
        <v>5</v>
      </c>
      <c r="Q16" s="20">
        <f>VLOOKUP(A16, 'Raw Summary Data'!A48:X82, Q$2-1, 0)</f>
        <v>50</v>
      </c>
      <c r="R16" s="20">
        <v>88</v>
      </c>
      <c r="T16" s="20">
        <f>VLOOKUP(A16, 'Raw Summary Data'!A48:X82, R$2-2, 0)</f>
        <v>88</v>
      </c>
      <c r="U16" s="20">
        <f>VLOOKUP(A16, 'Raw Summary Data'!A48:X82, U$2-2, 0)</f>
        <v>0</v>
      </c>
      <c r="V16" s="20">
        <f>VLOOKUP(A16, 'Raw Summary Data'!A48:X82, V$2-2, 0)</f>
        <v>0</v>
      </c>
      <c r="W16" s="20">
        <f>VLOOKUP(A16, 'Raw Summary Data'!A48:X82, W$2-2, 0)</f>
        <v>0</v>
      </c>
      <c r="X16" s="20">
        <f>VLOOKUP(A16, 'Raw Summary Data'!A48:X82, X$2-2, 0)</f>
        <v>0</v>
      </c>
      <c r="Y16" s="20">
        <f>VLOOKUP(A16, 'Raw Summary Data'!A48:X82, Y$2-3, 0)</f>
        <v>0</v>
      </c>
      <c r="Z16" s="20">
        <f>VLOOKUP(A16, 'Raw Summary Data'!A48:X82, Z$2-3, 0)</f>
        <v>0</v>
      </c>
      <c r="AA16" s="20">
        <f>VLOOKUP(A16, 'Raw Summary Data'!A48:X82, AA$2-3, 0)</f>
        <v>47</v>
      </c>
      <c r="AB16" s="20">
        <v>65</v>
      </c>
      <c r="AC16" s="21">
        <v>65</v>
      </c>
      <c r="AD16" s="20">
        <f>VLOOKUP(A16, 'Raw Summary Data'!A48:X82, AB$2-2, 0)</f>
        <v>65</v>
      </c>
    </row>
    <row r="17" spans="1:30" ht="15" customHeight="1" x14ac:dyDescent="0.2">
      <c r="A17" s="60" t="s">
        <v>147</v>
      </c>
      <c r="B17" s="3" t="s">
        <v>9</v>
      </c>
      <c r="C17" s="20">
        <f>VLOOKUP(A17, 'Raw Summary Data'!A49:X83, 6, 0)</f>
        <v>1</v>
      </c>
      <c r="D17" s="20">
        <f>VLOOKUP(A17, 'Raw Summary Data'!A49:X83, D$2+2, 0)</f>
        <v>1</v>
      </c>
      <c r="E17" s="20">
        <f>VLOOKUP(A17, 'Raw Summary Data'!A49:X83, E$2+2, 0)</f>
        <v>1</v>
      </c>
      <c r="F17" s="20">
        <f>VLOOKUP(A17, 'Raw Summary Data'!A49:X83, F$2+2, 0)</f>
        <v>1</v>
      </c>
      <c r="G17" s="20">
        <f>VLOOKUP(A17, 'Raw Summary Data'!A49:X83, G$2+2, 0)</f>
        <v>0</v>
      </c>
      <c r="H17" s="20">
        <f>VLOOKUP(A17, 'Raw Summary Data'!A49:X83, H$2+2, 0)</f>
        <v>0</v>
      </c>
      <c r="I17" s="20">
        <f>VLOOKUP(A17, 'Raw Summary Data'!A49:X83, I$2+2, 0)</f>
        <v>5</v>
      </c>
      <c r="J17" s="20">
        <f>VLOOKUP(A17, 'Raw Summary Data'!A49:X83, J$2+2, 0)</f>
        <v>48</v>
      </c>
      <c r="K17" s="20">
        <v>72</v>
      </c>
      <c r="M17" s="20">
        <f>VLOOKUP(A17, 'Raw Summary Data'!A49:X83, K$2+2, 0)</f>
        <v>72</v>
      </c>
      <c r="N17" s="20">
        <f>VLOOKUP(A17, 'Raw Summary Data'!A49:X83, N$2+2, 0)</f>
        <v>0</v>
      </c>
      <c r="O17" s="20">
        <f>VLOOKUP(A17, 'Raw Summary Data'!A49:X83, O$2+2, 0)</f>
        <v>0</v>
      </c>
      <c r="P17" s="20">
        <f>VLOOKUP(A17, 'Raw Summary Data'!A49:X83, P$2+2, 0)</f>
        <v>5</v>
      </c>
      <c r="Q17" s="20">
        <f>VLOOKUP(A17, 'Raw Summary Data'!A49:X83, Q$2-1, 0)</f>
        <v>29</v>
      </c>
      <c r="R17" s="20">
        <v>67</v>
      </c>
      <c r="T17" s="20">
        <f>VLOOKUP(A17, 'Raw Summary Data'!A49:X83, R$2-2, 0)</f>
        <v>67</v>
      </c>
      <c r="U17" s="20">
        <f>VLOOKUP(A17, 'Raw Summary Data'!A49:X83, U$2-2, 0)</f>
        <v>0</v>
      </c>
      <c r="V17" s="20">
        <f>VLOOKUP(A17, 'Raw Summary Data'!A49:X83, V$2-2, 0)</f>
        <v>0</v>
      </c>
      <c r="W17" s="20">
        <f>VLOOKUP(A17, 'Raw Summary Data'!A49:X83, W$2-2, 0)</f>
        <v>0</v>
      </c>
      <c r="X17" s="20">
        <f>VLOOKUP(A17, 'Raw Summary Data'!A49:X83, X$2-2, 0)</f>
        <v>0</v>
      </c>
      <c r="Y17" s="20">
        <f>VLOOKUP(A17, 'Raw Summary Data'!A49:X83, Y$2-3, 0)</f>
        <v>0</v>
      </c>
      <c r="Z17" s="20">
        <f>VLOOKUP(A17, 'Raw Summary Data'!A49:X83, Z$2-3, 0)</f>
        <v>0</v>
      </c>
      <c r="AA17" s="20">
        <f>VLOOKUP(A17, 'Raw Summary Data'!A49:X83, AA$2-3, 0)</f>
        <v>47</v>
      </c>
      <c r="AB17" s="20">
        <v>65</v>
      </c>
      <c r="AC17" s="21">
        <v>76</v>
      </c>
      <c r="AD17" s="20">
        <f>VLOOKUP(A17, 'Raw Summary Data'!A49:X83, AB$2-2, 0)</f>
        <v>76</v>
      </c>
    </row>
    <row r="18" spans="1:30" ht="15" customHeight="1" x14ac:dyDescent="0.2">
      <c r="A18" s="60" t="s">
        <v>149</v>
      </c>
      <c r="B18" s="3" t="s">
        <v>8</v>
      </c>
      <c r="C18" s="20">
        <f>VLOOKUP(A18, 'Raw Summary Data'!A50:X84, 6, 0)</f>
        <v>0</v>
      </c>
      <c r="D18" s="20">
        <f>VLOOKUP(A18, 'Raw Summary Data'!A50:X84, D$2+2, 0)</f>
        <v>0</v>
      </c>
      <c r="E18" s="20">
        <f>VLOOKUP(A18, 'Raw Summary Data'!A50:X84, E$2+2, 0)</f>
        <v>0</v>
      </c>
      <c r="F18" s="20">
        <f>VLOOKUP(A18, 'Raw Summary Data'!A50:X84, F$2+2, 0)</f>
        <v>0</v>
      </c>
      <c r="G18" s="20">
        <f>VLOOKUP(A18, 'Raw Summary Data'!A50:X84, G$2+2, 0)</f>
        <v>0</v>
      </c>
      <c r="H18" s="20">
        <f>VLOOKUP(A18, 'Raw Summary Data'!A50:X84, H$2+2, 0)</f>
        <v>0</v>
      </c>
      <c r="I18" s="20">
        <f>VLOOKUP(A18, 'Raw Summary Data'!A50:X84, I$2+2, 0)</f>
        <v>0</v>
      </c>
      <c r="J18" s="20" t="str">
        <f>VLOOKUP(A18, 'Raw Summary Data'!A50:X84, J$2+2, 0)</f>
        <v>NA</v>
      </c>
      <c r="K18" s="20">
        <v>85</v>
      </c>
      <c r="L18" s="21">
        <v>92</v>
      </c>
      <c r="M18" s="20">
        <f>VLOOKUP(A18, 'Raw Summary Data'!A50:X84, K$2+2, 0)</f>
        <v>92</v>
      </c>
      <c r="N18" s="20">
        <f>VLOOKUP(A18, 'Raw Summary Data'!A50:X84, N$2+2, 0)</f>
        <v>1</v>
      </c>
      <c r="O18" s="20">
        <f>VLOOKUP(A18, 'Raw Summary Data'!A50:X84, O$2+2, 0)</f>
        <v>1</v>
      </c>
      <c r="P18" s="20">
        <f>VLOOKUP(A18, 'Raw Summary Data'!A50:X84, P$2+2, 0)</f>
        <v>5</v>
      </c>
      <c r="Q18" s="20">
        <f>VLOOKUP(A18, 'Raw Summary Data'!A50:X84, Q$2-1, 0)</f>
        <v>44</v>
      </c>
      <c r="R18" s="20">
        <v>93</v>
      </c>
      <c r="T18" s="20">
        <f>VLOOKUP(A18, 'Raw Summary Data'!A50:X84, R$2-2, 0)</f>
        <v>93</v>
      </c>
      <c r="U18" s="20">
        <f>VLOOKUP(A18, 'Raw Summary Data'!A50:X84, U$2-2, 0)</f>
        <v>5</v>
      </c>
      <c r="V18" s="20">
        <f>VLOOKUP(A18, 'Raw Summary Data'!A50:X84, V$2-2, 0)</f>
        <v>5</v>
      </c>
      <c r="W18" s="20">
        <f>VLOOKUP(A18, 'Raw Summary Data'!A50:X84, W$2-2, 0)</f>
        <v>5</v>
      </c>
      <c r="X18" s="20">
        <f>VLOOKUP(A18, 'Raw Summary Data'!A50:X84, X$2-2, 0)</f>
        <v>5</v>
      </c>
      <c r="Y18" s="20">
        <f>VLOOKUP(A18, 'Raw Summary Data'!A50:X84, Y$2-3, 0)</f>
        <v>0</v>
      </c>
      <c r="Z18" s="20">
        <f>VLOOKUP(A18, 'Raw Summary Data'!A50:X84, Z$2-3, 0)</f>
        <v>5</v>
      </c>
      <c r="AA18" s="20">
        <f>VLOOKUP(A18, 'Raw Summary Data'!A50:X84, AA$2-3, 0)</f>
        <v>47</v>
      </c>
      <c r="AB18" s="20">
        <v>92</v>
      </c>
      <c r="AC18" s="21">
        <v>85</v>
      </c>
      <c r="AD18" s="20">
        <f>VLOOKUP(A18, 'Raw Summary Data'!A50:X84, AB$2-2, 0)</f>
        <v>92</v>
      </c>
    </row>
    <row r="19" spans="1:30" ht="15" customHeight="1" x14ac:dyDescent="0.2">
      <c r="A19" s="60" t="s">
        <v>152</v>
      </c>
      <c r="B19" s="3" t="s">
        <v>9</v>
      </c>
      <c r="C19" s="20">
        <f>VLOOKUP(A19, 'Raw Summary Data'!A51:X85, 6, 0)</f>
        <v>0</v>
      </c>
      <c r="D19" s="20">
        <f>VLOOKUP(A19, 'Raw Summary Data'!A51:X85, D$2+2, 0)</f>
        <v>0</v>
      </c>
      <c r="E19" s="20">
        <f>VLOOKUP(A19, 'Raw Summary Data'!A51:X85, E$2+2, 0)</f>
        <v>0</v>
      </c>
      <c r="F19" s="20">
        <f>VLOOKUP(A19, 'Raw Summary Data'!A51:X85, F$2+2, 0)</f>
        <v>0</v>
      </c>
      <c r="G19" s="20">
        <f>VLOOKUP(A19, 'Raw Summary Data'!A51:X85, G$2+2, 0)</f>
        <v>0</v>
      </c>
      <c r="H19" s="20">
        <f>VLOOKUP(A19, 'Raw Summary Data'!A51:X85, H$2+2, 0)</f>
        <v>0</v>
      </c>
      <c r="I19" s="20">
        <f>VLOOKUP(A19, 'Raw Summary Data'!A51:X85, I$2+2, 0)</f>
        <v>0</v>
      </c>
      <c r="J19" s="20">
        <f>VLOOKUP(A19, 'Raw Summary Data'!A51:X85, J$2+2, 0)</f>
        <v>44</v>
      </c>
      <c r="K19" s="20">
        <v>60</v>
      </c>
      <c r="M19" s="20">
        <f>VLOOKUP(A19, 'Raw Summary Data'!A51:X85, K$2+2, 0)</f>
        <v>60</v>
      </c>
      <c r="N19" s="20">
        <f>VLOOKUP(A19, 'Raw Summary Data'!A51:X85, N$2+2, 0)</f>
        <v>0</v>
      </c>
      <c r="O19" s="20">
        <f>VLOOKUP(A19, 'Raw Summary Data'!A51:X85, O$2+2, 0)</f>
        <v>0</v>
      </c>
      <c r="P19" s="20">
        <f>VLOOKUP(A19, 'Raw Summary Data'!A51:X85, P$2+2, 0)</f>
        <v>2.5</v>
      </c>
      <c r="Q19" s="20">
        <f>VLOOKUP(A19, 'Raw Summary Data'!A51:X85, Q$2-1, 0)</f>
        <v>49.5</v>
      </c>
      <c r="R19" s="20">
        <v>63</v>
      </c>
      <c r="T19" s="20">
        <f>VLOOKUP(A19, 'Raw Summary Data'!A51:X85, R$2-2, 0)</f>
        <v>63</v>
      </c>
      <c r="U19" s="20">
        <f>VLOOKUP(A19, 'Raw Summary Data'!A51:X85, U$2-2, 0)</f>
        <v>0</v>
      </c>
      <c r="V19" s="20">
        <f>VLOOKUP(A19, 'Raw Summary Data'!A51:X85, V$2-2, 0)</f>
        <v>0</v>
      </c>
      <c r="W19" s="20">
        <f>VLOOKUP(A19, 'Raw Summary Data'!A51:X85, W$2-2, 0)</f>
        <v>0</v>
      </c>
      <c r="X19" s="20">
        <f>VLOOKUP(A19, 'Raw Summary Data'!A51:X85, X$2-2, 0)</f>
        <v>0</v>
      </c>
      <c r="Y19" s="20">
        <f>VLOOKUP(A19, 'Raw Summary Data'!A51:X85, Y$2-3, 0)</f>
        <v>0</v>
      </c>
      <c r="Z19" s="20">
        <f>VLOOKUP(A19, 'Raw Summary Data'!A51:X85, Z$2-3, 0)</f>
        <v>0</v>
      </c>
      <c r="AA19" s="20">
        <f>VLOOKUP(A19, 'Raw Summary Data'!A51:X85, AA$2-3, 0)</f>
        <v>50</v>
      </c>
      <c r="AB19" s="20">
        <v>62</v>
      </c>
      <c r="AD19" s="20">
        <f>VLOOKUP(A19, 'Raw Summary Data'!A51:X85, AB$2-2, 0)</f>
        <v>62</v>
      </c>
    </row>
    <row r="20" spans="1:30" ht="15" customHeight="1" x14ac:dyDescent="0.2">
      <c r="A20" s="60" t="s">
        <v>154</v>
      </c>
      <c r="B20" s="3" t="s">
        <v>9</v>
      </c>
      <c r="C20" s="20">
        <f>VLOOKUP(A20, 'Raw Summary Data'!A52:X86, 6, 0)</f>
        <v>1</v>
      </c>
      <c r="D20" s="20">
        <f>VLOOKUP(A20, 'Raw Summary Data'!A52:X86, D$2+2, 0)</f>
        <v>1</v>
      </c>
      <c r="E20" s="20">
        <f>VLOOKUP(A20, 'Raw Summary Data'!A52:X86, E$2+2, 0)</f>
        <v>1</v>
      </c>
      <c r="F20" s="20">
        <f>VLOOKUP(A20, 'Raw Summary Data'!A52:X86, F$2+2, 0)</f>
        <v>1</v>
      </c>
      <c r="G20" s="20">
        <f>VLOOKUP(A20, 'Raw Summary Data'!A52:X86, G$2+2, 0)</f>
        <v>1</v>
      </c>
      <c r="H20" s="20">
        <f>VLOOKUP(A20, 'Raw Summary Data'!A52:X86, H$2+2, 0)</f>
        <v>0</v>
      </c>
      <c r="I20" s="20">
        <f>VLOOKUP(A20, 'Raw Summary Data'!A52:X86, I$2+2, 0)</f>
        <v>5</v>
      </c>
      <c r="J20" s="20">
        <f>VLOOKUP(A20, 'Raw Summary Data'!A52:X86, J$2+2, 0)</f>
        <v>48</v>
      </c>
      <c r="K20" s="20">
        <v>88</v>
      </c>
      <c r="L20" s="21">
        <v>95</v>
      </c>
      <c r="M20" s="20">
        <f>VLOOKUP(A20, 'Raw Summary Data'!A52:X86, K$2+2, 0)</f>
        <v>88</v>
      </c>
      <c r="N20" s="20">
        <f>VLOOKUP(A20, 'Raw Summary Data'!A52:X86, N$2+2, 0)</f>
        <v>1</v>
      </c>
      <c r="O20" s="20">
        <f>VLOOKUP(A20, 'Raw Summary Data'!A52:X86, O$2+2, 0)</f>
        <v>1</v>
      </c>
      <c r="P20" s="20">
        <f>VLOOKUP(A20, 'Raw Summary Data'!A52:X86, P$2+2, 0)</f>
        <v>5</v>
      </c>
      <c r="Q20" s="20">
        <f>VLOOKUP(A20, 'Raw Summary Data'!A52:X86, Q$2-1, 0)</f>
        <v>50</v>
      </c>
      <c r="R20" s="20">
        <v>86</v>
      </c>
      <c r="S20" s="21">
        <v>85</v>
      </c>
      <c r="T20" s="20">
        <f>VLOOKUP(A20, 'Raw Summary Data'!A52:X86, R$2-2, 0)</f>
        <v>86</v>
      </c>
      <c r="U20" s="20">
        <f>VLOOKUP(A20, 'Raw Summary Data'!A52:X86, U$2-2, 0)</f>
        <v>5</v>
      </c>
      <c r="V20" s="20">
        <f>VLOOKUP(A20, 'Raw Summary Data'!A52:X86, V$2-2, 0)</f>
        <v>5</v>
      </c>
      <c r="W20" s="20">
        <f>VLOOKUP(A20, 'Raw Summary Data'!A52:X86, W$2-2, 0)</f>
        <v>5</v>
      </c>
      <c r="X20" s="20">
        <f>VLOOKUP(A20, 'Raw Summary Data'!A52:X86, X$2-2, 0)</f>
        <v>5</v>
      </c>
      <c r="Y20" s="20">
        <f>VLOOKUP(A20, 'Raw Summary Data'!A52:X86, Y$2-3, 0)</f>
        <v>5</v>
      </c>
      <c r="Z20" s="20">
        <f>VLOOKUP(A20, 'Raw Summary Data'!A52:X86, Z$2-3, 0)</f>
        <v>5</v>
      </c>
      <c r="AA20" s="20">
        <f>VLOOKUP(A20, 'Raw Summary Data'!A52:X86, AA$2-3, 0)</f>
        <v>50</v>
      </c>
      <c r="AB20" s="20">
        <v>88</v>
      </c>
      <c r="AC20" s="21">
        <v>88</v>
      </c>
      <c r="AD20" s="20">
        <f>VLOOKUP(A20, 'Raw Summary Data'!A52:X86, AB$2-2, 0)</f>
        <v>88</v>
      </c>
    </row>
    <row r="21" spans="1:30" ht="15" customHeight="1" x14ac:dyDescent="0.2">
      <c r="A21" s="60" t="s">
        <v>156</v>
      </c>
      <c r="B21" s="3" t="s">
        <v>9</v>
      </c>
      <c r="C21" s="20">
        <f>VLOOKUP(A21, 'Raw Summary Data'!A53:X87, 6, 0)</f>
        <v>0</v>
      </c>
      <c r="D21" s="20">
        <f>VLOOKUP(A21, 'Raw Summary Data'!A53:X87, D$2+2, 0)</f>
        <v>0</v>
      </c>
      <c r="E21" s="20">
        <f>VLOOKUP(A21, 'Raw Summary Data'!A53:X87, E$2+2, 0)</f>
        <v>0</v>
      </c>
      <c r="F21" s="20">
        <f>VLOOKUP(A21, 'Raw Summary Data'!A53:X87, F$2+2, 0)</f>
        <v>0</v>
      </c>
      <c r="G21" s="20">
        <f>VLOOKUP(A21, 'Raw Summary Data'!A53:X87, G$2+2, 0)</f>
        <v>0</v>
      </c>
      <c r="H21" s="20">
        <f>VLOOKUP(A21, 'Raw Summary Data'!A53:X87, H$2+2, 0)</f>
        <v>0</v>
      </c>
      <c r="I21" s="20">
        <f>VLOOKUP(A21, 'Raw Summary Data'!A53:X87, I$2+2, 0)</f>
        <v>0</v>
      </c>
      <c r="J21" s="20">
        <f>VLOOKUP(A21, 'Raw Summary Data'!A53:X87, J$2+2, 0)</f>
        <v>0</v>
      </c>
      <c r="K21" s="20">
        <v>72</v>
      </c>
      <c r="M21" s="20">
        <f>VLOOKUP(A21, 'Raw Summary Data'!A53:X87, K$2+2, 0)</f>
        <v>72</v>
      </c>
      <c r="N21" s="20">
        <f>VLOOKUP(A21, 'Raw Summary Data'!A53:X87, N$2+2, 0)</f>
        <v>1</v>
      </c>
      <c r="O21" s="20">
        <f>VLOOKUP(A21, 'Raw Summary Data'!A53:X87, O$2+2, 0)</f>
        <v>1</v>
      </c>
      <c r="P21" s="20">
        <f>VLOOKUP(A21, 'Raw Summary Data'!A53:X87, P$2+2, 0)</f>
        <v>5</v>
      </c>
      <c r="Q21" s="20">
        <f>VLOOKUP(A21, 'Raw Summary Data'!A53:X87, Q$2-1, 0)</f>
        <v>50</v>
      </c>
      <c r="R21" s="20">
        <v>95</v>
      </c>
      <c r="S21" s="21">
        <v>88</v>
      </c>
      <c r="T21" s="20">
        <f>VLOOKUP(A21, 'Raw Summary Data'!A53:X87, R$2-2, 0)</f>
        <v>95</v>
      </c>
      <c r="U21" s="20">
        <f>VLOOKUP(A21, 'Raw Summary Data'!A53:X87, U$2-2, 0)</f>
        <v>5</v>
      </c>
      <c r="V21" s="20">
        <f>VLOOKUP(A21, 'Raw Summary Data'!A53:X87, V$2-2, 0)</f>
        <v>5</v>
      </c>
      <c r="W21" s="20">
        <f>VLOOKUP(A21, 'Raw Summary Data'!A53:X87, W$2-2, 0)</f>
        <v>5</v>
      </c>
      <c r="X21" s="20">
        <f>VLOOKUP(A21, 'Raw Summary Data'!A53:X87, X$2-2, 0)</f>
        <v>5</v>
      </c>
      <c r="Y21" s="20">
        <f>VLOOKUP(A21, 'Raw Summary Data'!A53:X87, Y$2-3, 0)</f>
        <v>5</v>
      </c>
      <c r="Z21" s="20">
        <f>VLOOKUP(A21, 'Raw Summary Data'!A53:X87, Z$2-3, 0)</f>
        <v>5</v>
      </c>
      <c r="AA21" s="20">
        <f>VLOOKUP(A21, 'Raw Summary Data'!A53:X87, AA$2-3, 0)</f>
        <v>50</v>
      </c>
      <c r="AB21" s="20">
        <v>85</v>
      </c>
      <c r="AC21" s="21">
        <v>95</v>
      </c>
      <c r="AD21" s="20">
        <f>VLOOKUP(A21, 'Raw Summary Data'!A53:X87, AB$2-2, 0)</f>
        <v>95</v>
      </c>
    </row>
    <row r="22" spans="1:30" ht="15" customHeight="1" x14ac:dyDescent="0.2">
      <c r="A22" s="60" t="s">
        <v>158</v>
      </c>
      <c r="B22" s="3" t="s">
        <v>9</v>
      </c>
      <c r="C22" s="20">
        <f>VLOOKUP(A22, 'Raw Summary Data'!A54:X88, 6, 0)</f>
        <v>1</v>
      </c>
      <c r="D22" s="20">
        <f>VLOOKUP(A22, 'Raw Summary Data'!A54:X88, D$2+2, 0)</f>
        <v>1</v>
      </c>
      <c r="E22" s="20">
        <f>VLOOKUP(A22, 'Raw Summary Data'!A54:X88, E$2+2, 0)</f>
        <v>1</v>
      </c>
      <c r="F22" s="20">
        <f>VLOOKUP(A22, 'Raw Summary Data'!A54:X88, F$2+2, 0)</f>
        <v>1</v>
      </c>
      <c r="G22" s="20">
        <f>VLOOKUP(A22, 'Raw Summary Data'!A54:X88, G$2+2, 0)</f>
        <v>1</v>
      </c>
      <c r="H22" s="20">
        <f>VLOOKUP(A22, 'Raw Summary Data'!A54:X88, H$2+2, 0)</f>
        <v>0</v>
      </c>
      <c r="I22" s="20">
        <f>VLOOKUP(A22, 'Raw Summary Data'!A54:X88, I$2+2, 0)</f>
        <v>5</v>
      </c>
      <c r="J22" s="20">
        <f>VLOOKUP(A22, 'Raw Summary Data'!A54:X88, J$2+2, 0)</f>
        <v>39</v>
      </c>
      <c r="K22" s="20">
        <v>90</v>
      </c>
      <c r="M22" s="20">
        <f>VLOOKUP(A22, 'Raw Summary Data'!A54:X88, K$2+2, 0)</f>
        <v>90</v>
      </c>
      <c r="N22" s="20">
        <f>VLOOKUP(A22, 'Raw Summary Data'!A54:X88, N$2+2, 0)</f>
        <v>1</v>
      </c>
      <c r="O22" s="20">
        <f>VLOOKUP(A22, 'Raw Summary Data'!A54:X88, O$2+2, 0)</f>
        <v>0</v>
      </c>
      <c r="P22" s="20">
        <f>VLOOKUP(A22, 'Raw Summary Data'!A54:X88, P$2+2, 0)</f>
        <v>5</v>
      </c>
      <c r="Q22" s="20">
        <f>VLOOKUP(A22, 'Raw Summary Data'!A54:X88, Q$2-1, 0)</f>
        <v>44</v>
      </c>
      <c r="R22" s="20">
        <v>76</v>
      </c>
      <c r="T22" s="20">
        <f>VLOOKUP(A22, 'Raw Summary Data'!A54:X88, R$2-2, 0)</f>
        <v>76</v>
      </c>
      <c r="U22" s="20">
        <f>VLOOKUP(A22, 'Raw Summary Data'!A54:X88, U$2-2, 0)</f>
        <v>5</v>
      </c>
      <c r="V22" s="20">
        <f>VLOOKUP(A22, 'Raw Summary Data'!A54:X88, V$2-2, 0)</f>
        <v>5</v>
      </c>
      <c r="W22" s="20">
        <f>VLOOKUP(A22, 'Raw Summary Data'!A54:X88, W$2-2, 0)</f>
        <v>5</v>
      </c>
      <c r="X22" s="20">
        <f>VLOOKUP(A22, 'Raw Summary Data'!A54:X88, X$2-2, 0)</f>
        <v>5</v>
      </c>
      <c r="Y22" s="20">
        <f>VLOOKUP(A22, 'Raw Summary Data'!A54:X88, Y$2-3, 0)</f>
        <v>5</v>
      </c>
      <c r="Z22" s="20">
        <f>VLOOKUP(A22, 'Raw Summary Data'!A54:X88, Z$2-3, 0)</f>
        <v>0</v>
      </c>
      <c r="AA22" s="20">
        <f>VLOOKUP(A22, 'Raw Summary Data'!A54:X88, AA$2-3, 0)</f>
        <v>48</v>
      </c>
      <c r="AB22" s="20">
        <v>82</v>
      </c>
      <c r="AD22" s="20">
        <f>VLOOKUP(A22, 'Raw Summary Data'!A54:X88, AB$2-2, 0)</f>
        <v>82</v>
      </c>
    </row>
    <row r="23" spans="1:30" ht="15" customHeight="1" x14ac:dyDescent="0.2">
      <c r="A23" s="60" t="s">
        <v>160</v>
      </c>
      <c r="B23" s="3" t="s">
        <v>8</v>
      </c>
      <c r="C23" s="20">
        <f>VLOOKUP(A23, 'Raw Summary Data'!A55:X89, 6, 0)</f>
        <v>1</v>
      </c>
      <c r="D23" s="20">
        <f>VLOOKUP(A23, 'Raw Summary Data'!A55:X89, D$2+2, 0)</f>
        <v>1</v>
      </c>
      <c r="E23" s="20">
        <f>VLOOKUP(A23, 'Raw Summary Data'!A55:X89, E$2+2, 0)</f>
        <v>1</v>
      </c>
      <c r="F23" s="20">
        <f>VLOOKUP(A23, 'Raw Summary Data'!A55:X89, F$2+2, 0)</f>
        <v>1</v>
      </c>
      <c r="G23" s="20">
        <f>VLOOKUP(A23, 'Raw Summary Data'!A55:X89, G$2+2, 0)</f>
        <v>0</v>
      </c>
      <c r="H23" s="20">
        <f>VLOOKUP(A23, 'Raw Summary Data'!A55:X89, H$2+2, 0)</f>
        <v>0</v>
      </c>
      <c r="I23" s="20">
        <f>VLOOKUP(A23, 'Raw Summary Data'!A55:X89, I$2+2, 0)</f>
        <v>5</v>
      </c>
      <c r="J23" s="20">
        <f>VLOOKUP(A23, 'Raw Summary Data'!A55:X89, J$2+2, 0)</f>
        <v>47</v>
      </c>
      <c r="K23" s="20">
        <v>92</v>
      </c>
      <c r="M23" s="20">
        <f>VLOOKUP(A23, 'Raw Summary Data'!A55:X89, K$2+2, 0)</f>
        <v>92</v>
      </c>
      <c r="N23" s="20">
        <f>VLOOKUP(A23, 'Raw Summary Data'!A55:X89, N$2+2, 0)</f>
        <v>1</v>
      </c>
      <c r="O23" s="20">
        <f>VLOOKUP(A23, 'Raw Summary Data'!A55:X89, O$2+2, 0)</f>
        <v>1</v>
      </c>
      <c r="P23" s="20">
        <f>VLOOKUP(A23, 'Raw Summary Data'!A55:X89, P$2+2, 0)</f>
        <v>5</v>
      </c>
      <c r="Q23" s="20" t="str">
        <f>VLOOKUP(A23, 'Raw Summary Data'!A55:X89, Q$2-1, 0)</f>
        <v>NA</v>
      </c>
      <c r="R23" s="20">
        <v>85</v>
      </c>
      <c r="T23" s="20">
        <f>VLOOKUP(A23, 'Raw Summary Data'!A55:X89, R$2-2, 0)</f>
        <v>85</v>
      </c>
      <c r="U23" s="20">
        <f>VLOOKUP(A23, 'Raw Summary Data'!A55:X89, U$2-2, 0)</f>
        <v>5</v>
      </c>
      <c r="V23" s="20">
        <f>VLOOKUP(A23, 'Raw Summary Data'!A55:X89, V$2-2, 0)</f>
        <v>0</v>
      </c>
      <c r="W23" s="20">
        <f>VLOOKUP(A23, 'Raw Summary Data'!A55:X89, W$2-2, 0)</f>
        <v>0</v>
      </c>
      <c r="X23" s="20">
        <f>VLOOKUP(A23, 'Raw Summary Data'!A55:X89, X$2-2, 0)</f>
        <v>5</v>
      </c>
      <c r="Y23" s="20">
        <f>VLOOKUP(A23, 'Raw Summary Data'!A55:X89, Y$2-3, 0)</f>
        <v>5</v>
      </c>
      <c r="Z23" s="20">
        <f>VLOOKUP(A23, 'Raw Summary Data'!A55:X89, Z$2-3, 0)</f>
        <v>0</v>
      </c>
      <c r="AA23" s="20">
        <f>VLOOKUP(A23, 'Raw Summary Data'!A55:X89, AA$2-3, 0)</f>
        <v>50</v>
      </c>
      <c r="AB23" s="20">
        <v>75</v>
      </c>
      <c r="AC23" s="21">
        <v>78</v>
      </c>
      <c r="AD23" s="20">
        <f>VLOOKUP(A23, 'Raw Summary Data'!A55:X89, AB$2-2, 0)</f>
        <v>78</v>
      </c>
    </row>
    <row r="24" spans="1:30" ht="15" customHeight="1" x14ac:dyDescent="0.2">
      <c r="A24" s="60" t="s">
        <v>162</v>
      </c>
      <c r="B24" s="3" t="s">
        <v>9</v>
      </c>
      <c r="C24" s="20">
        <f>VLOOKUP(A24, 'Raw Summary Data'!A56:X90, 6, 0)</f>
        <v>0</v>
      </c>
      <c r="D24" s="20">
        <f>VLOOKUP(A24, 'Raw Summary Data'!A56:X90, D$2+2, 0)</f>
        <v>0</v>
      </c>
      <c r="E24" s="20">
        <f>VLOOKUP(A24, 'Raw Summary Data'!A56:X90, E$2+2, 0)</f>
        <v>0</v>
      </c>
      <c r="F24" s="20">
        <f>VLOOKUP(A24, 'Raw Summary Data'!A56:X90, F$2+2, 0)</f>
        <v>0</v>
      </c>
      <c r="G24" s="20">
        <f>VLOOKUP(A24, 'Raw Summary Data'!A56:X90, G$2+2, 0)</f>
        <v>0</v>
      </c>
      <c r="H24" s="20">
        <f>VLOOKUP(A24, 'Raw Summary Data'!A56:X90, H$2+2, 0)</f>
        <v>0</v>
      </c>
      <c r="I24" s="20">
        <f>VLOOKUP(A24, 'Raw Summary Data'!A56:X90, I$2+2, 0)</f>
        <v>5</v>
      </c>
      <c r="J24" s="20">
        <f>VLOOKUP(A24, 'Raw Summary Data'!A56:X90, J$2+2, 0)</f>
        <v>32</v>
      </c>
      <c r="K24" s="20">
        <v>82</v>
      </c>
      <c r="M24" s="20">
        <f>VLOOKUP(A24, 'Raw Summary Data'!A56:X90, K$2+2, 0)</f>
        <v>82</v>
      </c>
      <c r="N24" s="20">
        <f>VLOOKUP(A24, 'Raw Summary Data'!A56:X90, N$2+2, 0)</f>
        <v>0</v>
      </c>
      <c r="O24" s="20">
        <f>VLOOKUP(A24, 'Raw Summary Data'!A56:X90, O$2+2, 0)</f>
        <v>0</v>
      </c>
      <c r="P24" s="20">
        <f>VLOOKUP(A24, 'Raw Summary Data'!A56:X90, P$2+2, 0)</f>
        <v>5</v>
      </c>
      <c r="Q24" s="20">
        <f>VLOOKUP(A24, 'Raw Summary Data'!A56:X90, Q$2-1, 0)</f>
        <v>32</v>
      </c>
      <c r="R24" s="20">
        <v>78</v>
      </c>
      <c r="T24" s="20">
        <f>VLOOKUP(A24, 'Raw Summary Data'!A56:X90, R$2-2, 0)</f>
        <v>78</v>
      </c>
      <c r="U24" s="20">
        <f>VLOOKUP(A24, 'Raw Summary Data'!A56:X90, U$2-2, 0)</f>
        <v>0</v>
      </c>
      <c r="V24" s="20">
        <f>VLOOKUP(A24, 'Raw Summary Data'!A56:X90, V$2-2, 0)</f>
        <v>0</v>
      </c>
      <c r="W24" s="20">
        <f>VLOOKUP(A24, 'Raw Summary Data'!A56:X90, W$2-2, 0)</f>
        <v>0</v>
      </c>
      <c r="X24" s="20">
        <f>VLOOKUP(A24, 'Raw Summary Data'!A56:X90, X$2-2, 0)</f>
        <v>0</v>
      </c>
      <c r="Y24" s="20">
        <f>VLOOKUP(A24, 'Raw Summary Data'!A56:X90, Y$2-3, 0)</f>
        <v>0</v>
      </c>
      <c r="Z24" s="20">
        <f>VLOOKUP(A24, 'Raw Summary Data'!A56:X90, Z$2-3, 0)</f>
        <v>0</v>
      </c>
      <c r="AA24" s="20">
        <f>VLOOKUP(A24, 'Raw Summary Data'!A56:X90, AA$2-3, 0)</f>
        <v>20</v>
      </c>
      <c r="AB24" s="20">
        <v>72</v>
      </c>
      <c r="AD24" s="20">
        <f>VLOOKUP(A24, 'Raw Summary Data'!A56:X90, AB$2-2, 0)</f>
        <v>72</v>
      </c>
    </row>
    <row r="25" spans="1:30" ht="15" customHeight="1" x14ac:dyDescent="0.2">
      <c r="A25" s="60" t="s">
        <v>164</v>
      </c>
      <c r="B25" s="3" t="s">
        <v>9</v>
      </c>
      <c r="C25" s="20">
        <f>VLOOKUP(A25, 'Raw Summary Data'!A57:X91, 6, 0)</f>
        <v>0</v>
      </c>
      <c r="D25" s="20">
        <f>VLOOKUP(A25, 'Raw Summary Data'!A57:X91, D$2+2, 0)</f>
        <v>0</v>
      </c>
      <c r="E25" s="20">
        <f>VLOOKUP(A25, 'Raw Summary Data'!A57:X91, E$2+2, 0)</f>
        <v>0</v>
      </c>
      <c r="F25" s="20">
        <f>VLOOKUP(A25, 'Raw Summary Data'!A57:X91, F$2+2, 0)</f>
        <v>0</v>
      </c>
      <c r="G25" s="20">
        <f>VLOOKUP(A25, 'Raw Summary Data'!A57:X91, G$2+2, 0)</f>
        <v>0</v>
      </c>
      <c r="H25" s="20">
        <f>VLOOKUP(A25, 'Raw Summary Data'!A57:X91, H$2+2, 0)</f>
        <v>0</v>
      </c>
      <c r="I25" s="20">
        <f>VLOOKUP(A25, 'Raw Summary Data'!A57:X91, I$2+2, 0)</f>
        <v>0</v>
      </c>
      <c r="J25" s="20">
        <f>VLOOKUP(A25, 'Raw Summary Data'!A57:X91, J$2+2, 0)</f>
        <v>0</v>
      </c>
      <c r="K25" s="20">
        <v>68</v>
      </c>
      <c r="M25" s="20">
        <f>VLOOKUP(A25, 'Raw Summary Data'!A57:X91, K$2+2, 0)</f>
        <v>68</v>
      </c>
      <c r="N25" s="20">
        <f>VLOOKUP(A25, 'Raw Summary Data'!A57:X91, N$2+2, 0)</f>
        <v>1</v>
      </c>
      <c r="O25" s="20">
        <f>VLOOKUP(A25, 'Raw Summary Data'!A57:X91, O$2+2, 0)</f>
        <v>0</v>
      </c>
      <c r="P25" s="20">
        <f>VLOOKUP(A25, 'Raw Summary Data'!A57:X91, P$2+2, 0)</f>
        <v>5</v>
      </c>
      <c r="Q25" s="20">
        <f>VLOOKUP(A25, 'Raw Summary Data'!A57:X91, Q$2-1, 0)</f>
        <v>43</v>
      </c>
      <c r="R25" s="20">
        <v>72</v>
      </c>
      <c r="S25" s="21">
        <v>68</v>
      </c>
      <c r="T25" s="20">
        <f>VLOOKUP(A25, 'Raw Summary Data'!A57:X91, R$2-2, 0)</f>
        <v>72</v>
      </c>
      <c r="U25" s="20">
        <f>VLOOKUP(A25, 'Raw Summary Data'!A57:X91, U$2-2, 0)</f>
        <v>5</v>
      </c>
      <c r="V25" s="20">
        <f>VLOOKUP(A25, 'Raw Summary Data'!A57:X91, V$2-2, 0)</f>
        <v>5</v>
      </c>
      <c r="W25" s="20">
        <f>VLOOKUP(A25, 'Raw Summary Data'!A57:X91, W$2-2, 0)</f>
        <v>3</v>
      </c>
      <c r="X25" s="20">
        <f>VLOOKUP(A25, 'Raw Summary Data'!A57:X91, X$2-2, 0)</f>
        <v>1</v>
      </c>
      <c r="Y25" s="20">
        <f>VLOOKUP(A25, 'Raw Summary Data'!A57:X91, Y$2-3, 0)</f>
        <v>0</v>
      </c>
      <c r="Z25" s="20">
        <f>VLOOKUP(A25, 'Raw Summary Data'!A57:X91, Z$2-3, 0)</f>
        <v>0</v>
      </c>
      <c r="AA25" s="20">
        <f>VLOOKUP(A25, 'Raw Summary Data'!A57:X91, AA$2-3, 0)</f>
        <v>44</v>
      </c>
      <c r="AB25" s="20">
        <v>78</v>
      </c>
      <c r="AD25" s="20">
        <f>VLOOKUP(A25, 'Raw Summary Data'!A57:X91, AB$2-2, 0)</f>
        <v>78</v>
      </c>
    </row>
    <row r="26" spans="1:30" ht="15" customHeight="1" x14ac:dyDescent="0.2">
      <c r="A26" s="60" t="s">
        <v>166</v>
      </c>
      <c r="B26" s="3" t="s">
        <v>10</v>
      </c>
      <c r="C26" s="20">
        <f>VLOOKUP(A26, 'Raw Summary Data'!A58:X92, 6, 0)</f>
        <v>1</v>
      </c>
      <c r="D26" s="20">
        <f>VLOOKUP(A26, 'Raw Summary Data'!A58:X92, D$2+2, 0)</f>
        <v>0</v>
      </c>
      <c r="E26" s="20">
        <f>VLOOKUP(A26, 'Raw Summary Data'!A58:X92, E$2+2, 0)</f>
        <v>0</v>
      </c>
      <c r="F26" s="20">
        <f>VLOOKUP(A26, 'Raw Summary Data'!A58:X92, F$2+2, 0)</f>
        <v>0</v>
      </c>
      <c r="G26" s="20">
        <f>VLOOKUP(A26, 'Raw Summary Data'!A58:X92, G$2+2, 0)</f>
        <v>0</v>
      </c>
      <c r="H26" s="20">
        <f>VLOOKUP(A26, 'Raw Summary Data'!A58:X92, H$2+2, 0)</f>
        <v>0</v>
      </c>
      <c r="I26" s="20">
        <f>VLOOKUP(A26, 'Raw Summary Data'!A58:X92, I$2+2, 0)</f>
        <v>5</v>
      </c>
      <c r="J26" s="20">
        <f>VLOOKUP(A26, 'Raw Summary Data'!A58:X92, J$2+2, 0)</f>
        <v>48</v>
      </c>
      <c r="K26" s="20">
        <v>60</v>
      </c>
      <c r="M26" s="20">
        <f>VLOOKUP(A26, 'Raw Summary Data'!A58:X92, K$2+2, 0)</f>
        <v>60</v>
      </c>
      <c r="N26" s="20">
        <f>VLOOKUP(A26, 'Raw Summary Data'!A58:X92, N$2+2, 0)</f>
        <v>1</v>
      </c>
      <c r="O26" s="20">
        <f>VLOOKUP(A26, 'Raw Summary Data'!A58:X92, O$2+2, 0)</f>
        <v>1</v>
      </c>
      <c r="P26" s="20">
        <f>VLOOKUP(A26, 'Raw Summary Data'!A58:X92, P$2+2, 0)</f>
        <v>5</v>
      </c>
      <c r="Q26" s="20">
        <f>VLOOKUP(A26, 'Raw Summary Data'!A58:X92, Q$2-1, 0)</f>
        <v>50</v>
      </c>
      <c r="R26" s="20">
        <v>65</v>
      </c>
      <c r="S26" s="21">
        <v>65</v>
      </c>
      <c r="T26" s="20">
        <f>VLOOKUP(A26, 'Raw Summary Data'!A58:X92, R$2-2, 0)</f>
        <v>65</v>
      </c>
      <c r="U26" s="20">
        <f>VLOOKUP(A26, 'Raw Summary Data'!A58:X92, U$2-2, 0)</f>
        <v>0</v>
      </c>
      <c r="V26" s="20">
        <f>VLOOKUP(A26, 'Raw Summary Data'!A58:X92, V$2-2, 0)</f>
        <v>0</v>
      </c>
      <c r="W26" s="20">
        <f>VLOOKUP(A26, 'Raw Summary Data'!A58:X92, W$2-2, 0)</f>
        <v>0</v>
      </c>
      <c r="X26" s="20">
        <f>VLOOKUP(A26, 'Raw Summary Data'!A58:X92, X$2-2, 0)</f>
        <v>0</v>
      </c>
      <c r="Y26" s="20">
        <f>VLOOKUP(A26, 'Raw Summary Data'!A58:X92, Y$2-3, 0)</f>
        <v>0</v>
      </c>
      <c r="Z26" s="20">
        <f>VLOOKUP(A26, 'Raw Summary Data'!A58:X92, Z$2-3, 0)</f>
        <v>0</v>
      </c>
      <c r="AA26" s="20">
        <f>VLOOKUP(A26, 'Raw Summary Data'!A58:X92, AA$2-3, 0)</f>
        <v>50</v>
      </c>
      <c r="AB26" s="20">
        <v>65</v>
      </c>
      <c r="AD26" s="20">
        <f>VLOOKUP(A26, 'Raw Summary Data'!A58:X92, AB$2-2, 0)</f>
        <v>65</v>
      </c>
    </row>
    <row r="27" spans="1:30" ht="15" customHeight="1" x14ac:dyDescent="0.2">
      <c r="A27" s="60" t="s">
        <v>168</v>
      </c>
      <c r="B27" s="3" t="s">
        <v>8</v>
      </c>
      <c r="C27" s="20">
        <f>VLOOKUP(A27, 'Raw Summary Data'!A59:X93, 6, 0)</f>
        <v>0</v>
      </c>
      <c r="D27" s="20">
        <f>VLOOKUP(A27, 'Raw Summary Data'!A59:X93, D$2+2, 0)</f>
        <v>0</v>
      </c>
      <c r="E27" s="20">
        <f>VLOOKUP(A27, 'Raw Summary Data'!A59:X93, E$2+2, 0)</f>
        <v>0</v>
      </c>
      <c r="F27" s="20">
        <f>VLOOKUP(A27, 'Raw Summary Data'!A59:X93, F$2+2, 0)</f>
        <v>0</v>
      </c>
      <c r="G27" s="20">
        <f>VLOOKUP(A27, 'Raw Summary Data'!A59:X93, G$2+2, 0)</f>
        <v>0</v>
      </c>
      <c r="H27" s="20">
        <f>VLOOKUP(A27, 'Raw Summary Data'!A59:X93, H$2+2, 0)</f>
        <v>0</v>
      </c>
      <c r="I27" s="20">
        <f>VLOOKUP(A27, 'Raw Summary Data'!A59:X93, I$2+2, 0)</f>
        <v>5</v>
      </c>
      <c r="J27" s="20">
        <f>VLOOKUP(A27, 'Raw Summary Data'!A59:X93, J$2+2, 0)</f>
        <v>0</v>
      </c>
      <c r="K27" s="20">
        <v>30</v>
      </c>
      <c r="L27" s="21">
        <v>66</v>
      </c>
      <c r="M27" s="21">
        <v>66</v>
      </c>
      <c r="N27" s="20">
        <f>VLOOKUP(A27, 'Raw Summary Data'!A59:X93, N$2+2, 0)</f>
        <v>0</v>
      </c>
      <c r="O27" s="20">
        <f>VLOOKUP(A27, 'Raw Summary Data'!A59:X93, O$2+2, 0)</f>
        <v>0</v>
      </c>
      <c r="P27" s="20">
        <f>VLOOKUP(A27, 'Raw Summary Data'!A59:X93, P$2+2, 0)</f>
        <v>5</v>
      </c>
      <c r="Q27" s="20">
        <f>VLOOKUP(A27, 'Raw Summary Data'!A59:X93, Q$2-1, 0)</f>
        <v>50</v>
      </c>
      <c r="R27" s="20">
        <v>75</v>
      </c>
      <c r="T27" s="20">
        <f>VLOOKUP(A27, 'Raw Summary Data'!A59:X93, R$2-2, 0)</f>
        <v>75</v>
      </c>
      <c r="U27" s="20">
        <f>VLOOKUP(A27, 'Raw Summary Data'!A59:X93, U$2-2, 0)</f>
        <v>0</v>
      </c>
      <c r="V27" s="20">
        <f>VLOOKUP(A27, 'Raw Summary Data'!A59:X93, V$2-2, 0)</f>
        <v>0</v>
      </c>
      <c r="W27" s="20">
        <f>VLOOKUP(A27, 'Raw Summary Data'!A59:X93, W$2-2, 0)</f>
        <v>0</v>
      </c>
      <c r="X27" s="20">
        <f>VLOOKUP(A27, 'Raw Summary Data'!A59:X93, X$2-2, 0)</f>
        <v>0</v>
      </c>
      <c r="Y27" s="20">
        <f>VLOOKUP(A27, 'Raw Summary Data'!A59:X93, Y$2-3, 0)</f>
        <v>5</v>
      </c>
      <c r="Z27" s="20">
        <f>VLOOKUP(A27, 'Raw Summary Data'!A59:X93, Z$2-3, 0)</f>
        <v>5</v>
      </c>
      <c r="AA27" s="20">
        <f>VLOOKUP(A27, 'Raw Summary Data'!A59:X93, AA$2-3, 0)</f>
        <v>50</v>
      </c>
      <c r="AB27" s="20">
        <v>68</v>
      </c>
      <c r="AD27" s="20">
        <f>VLOOKUP(A27, 'Raw Summary Data'!A59:X93, AB$2-2, 0)</f>
        <v>68</v>
      </c>
    </row>
    <row r="28" spans="1:30" ht="15" customHeight="1" x14ac:dyDescent="0.2">
      <c r="A28" s="60" t="s">
        <v>170</v>
      </c>
      <c r="B28" s="3" t="s">
        <v>10</v>
      </c>
      <c r="C28" s="20">
        <f>VLOOKUP(A28, 'Raw Summary Data'!A60:X94, 6, 0)</f>
        <v>1</v>
      </c>
      <c r="D28" s="20">
        <f>VLOOKUP(A28, 'Raw Summary Data'!A60:X94, D$2+2, 0)</f>
        <v>1</v>
      </c>
      <c r="E28" s="20">
        <f>VLOOKUP(A28, 'Raw Summary Data'!A60:X94, E$2+2, 0)</f>
        <v>0.5</v>
      </c>
      <c r="F28" s="20">
        <f>VLOOKUP(A28, 'Raw Summary Data'!A60:X94, F$2+2, 0)</f>
        <v>1</v>
      </c>
      <c r="G28" s="20">
        <f>VLOOKUP(A28, 'Raw Summary Data'!A60:X94, G$2+2, 0)</f>
        <v>1</v>
      </c>
      <c r="H28" s="20">
        <f>VLOOKUP(A28, 'Raw Summary Data'!A60:X94, H$2+2, 0)</f>
        <v>0</v>
      </c>
      <c r="I28" s="20">
        <f>VLOOKUP(A28, 'Raw Summary Data'!A60:X94, I$2+2, 0)</f>
        <v>5</v>
      </c>
      <c r="J28" s="20">
        <f>VLOOKUP(A28, 'Raw Summary Data'!A60:X94, J$2+2, 0)</f>
        <v>47</v>
      </c>
      <c r="K28" s="20">
        <v>48</v>
      </c>
      <c r="L28" s="21">
        <v>66</v>
      </c>
      <c r="M28" s="20">
        <f>VLOOKUP(A28, 'Raw Summary Data'!A60:X94, K$2+2, 0)</f>
        <v>66</v>
      </c>
      <c r="N28" s="20">
        <f>VLOOKUP(A28, 'Raw Summary Data'!A60:X94, N$2+2, 0)</f>
        <v>1</v>
      </c>
      <c r="O28" s="20">
        <f>VLOOKUP(A28, 'Raw Summary Data'!A60:X94, O$2+2, 0)</f>
        <v>1</v>
      </c>
      <c r="P28" s="20">
        <f>VLOOKUP(A28, 'Raw Summary Data'!A60:X94, P$2+2, 0)</f>
        <v>5</v>
      </c>
      <c r="Q28" s="20">
        <f>VLOOKUP(A28, 'Raw Summary Data'!A60:X94, Q$2-1, 0)</f>
        <v>50</v>
      </c>
      <c r="R28" s="20">
        <v>68</v>
      </c>
      <c r="S28" s="21">
        <v>73</v>
      </c>
      <c r="T28" s="20">
        <f>VLOOKUP(A28, 'Raw Summary Data'!A60:X94, R$2-2, 0)</f>
        <v>73</v>
      </c>
      <c r="U28" s="20">
        <f>VLOOKUP(A28, 'Raw Summary Data'!A60:X94, U$2-2, 0)</f>
        <v>3</v>
      </c>
      <c r="V28" s="20">
        <f>VLOOKUP(A28, 'Raw Summary Data'!A60:X94, V$2-2, 0)</f>
        <v>5</v>
      </c>
      <c r="W28" s="20">
        <f>VLOOKUP(A28, 'Raw Summary Data'!A60:X94, W$2-2, 0)</f>
        <v>5</v>
      </c>
      <c r="X28" s="20">
        <f>VLOOKUP(A28, 'Raw Summary Data'!A60:X94, X$2-2, 0)</f>
        <v>5</v>
      </c>
      <c r="Y28" s="20">
        <f>VLOOKUP(A28, 'Raw Summary Data'!A60:X94, Y$2-3, 0)</f>
        <v>2</v>
      </c>
      <c r="Z28" s="20">
        <f>VLOOKUP(A28, 'Raw Summary Data'!A60:X94, Z$2-3, 0)</f>
        <v>5</v>
      </c>
      <c r="AA28" s="20">
        <f>VLOOKUP(A28, 'Raw Summary Data'!A60:X94, AA$2-3, 0)</f>
        <v>50</v>
      </c>
      <c r="AB28" s="20">
        <v>62</v>
      </c>
      <c r="AC28" s="21">
        <v>30</v>
      </c>
      <c r="AD28" s="20">
        <f>VLOOKUP(A28, 'Raw Summary Data'!A60:X94, AB$2-2, 0)</f>
        <v>62</v>
      </c>
    </row>
    <row r="29" spans="1:30" ht="15" customHeight="1" x14ac:dyDescent="0.2">
      <c r="A29" s="60" t="s">
        <v>172</v>
      </c>
      <c r="B29" s="3" t="s">
        <v>9</v>
      </c>
      <c r="C29" s="20">
        <f>VLOOKUP(A29, 'Raw Summary Data'!A61:X95, 6, 0)</f>
        <v>1</v>
      </c>
      <c r="D29" s="20">
        <f>VLOOKUP(A29, 'Raw Summary Data'!A61:X95, D$2+2, 0)</f>
        <v>0</v>
      </c>
      <c r="E29" s="20">
        <f>VLOOKUP(A29, 'Raw Summary Data'!A61:X95, E$2+2, 0)</f>
        <v>0</v>
      </c>
      <c r="F29" s="20">
        <f>VLOOKUP(A29, 'Raw Summary Data'!A61:X95, F$2+2, 0)</f>
        <v>0</v>
      </c>
      <c r="G29" s="20">
        <f>VLOOKUP(A29, 'Raw Summary Data'!A61:X95, G$2+2, 0)</f>
        <v>0</v>
      </c>
      <c r="H29" s="20">
        <f>VLOOKUP(A29, 'Raw Summary Data'!A61:X95, H$2+2, 0)</f>
        <v>0</v>
      </c>
      <c r="I29" s="20">
        <f>VLOOKUP(A29, 'Raw Summary Data'!A61:X95, I$2+2, 0)</f>
        <v>5</v>
      </c>
      <c r="J29" s="20">
        <f>VLOOKUP(A29, 'Raw Summary Data'!A61:X95, J$2+2, 0)</f>
        <v>31</v>
      </c>
      <c r="K29" s="20">
        <v>78</v>
      </c>
      <c r="M29" s="20">
        <f>VLOOKUP(A29, 'Raw Summary Data'!A61:X95, K$2+2, 0)</f>
        <v>78</v>
      </c>
      <c r="N29" s="20">
        <f>VLOOKUP(A29, 'Raw Summary Data'!A61:X95, N$2+2, 0)</f>
        <v>0</v>
      </c>
      <c r="O29" s="20">
        <f>VLOOKUP(A29, 'Raw Summary Data'!A61:X95, O$2+2, 0)</f>
        <v>0</v>
      </c>
      <c r="P29" s="20">
        <f>VLOOKUP(A29, 'Raw Summary Data'!A61:X95, P$2+2, 0)</f>
        <v>5</v>
      </c>
      <c r="Q29" s="20">
        <f>VLOOKUP(A29, 'Raw Summary Data'!A61:X95, Q$2-1, 0)</f>
        <v>42</v>
      </c>
      <c r="R29" s="20">
        <v>65</v>
      </c>
      <c r="T29" s="20">
        <f>VLOOKUP(A29, 'Raw Summary Data'!A61:X95, R$2-2, 0)</f>
        <v>65</v>
      </c>
      <c r="U29" s="20">
        <f>VLOOKUP(A29, 'Raw Summary Data'!A61:X95, U$2-2, 0)</f>
        <v>0</v>
      </c>
      <c r="V29" s="20">
        <f>VLOOKUP(A29, 'Raw Summary Data'!A61:X95, V$2-2, 0)</f>
        <v>0</v>
      </c>
      <c r="W29" s="20">
        <f>VLOOKUP(A29, 'Raw Summary Data'!A61:X95, W$2-2, 0)</f>
        <v>0</v>
      </c>
      <c r="X29" s="20">
        <f>VLOOKUP(A29, 'Raw Summary Data'!A61:X95, X$2-2, 0)</f>
        <v>0</v>
      </c>
      <c r="Y29" s="20">
        <f>VLOOKUP(A29, 'Raw Summary Data'!A61:X95, Y$2-3, 0)</f>
        <v>0</v>
      </c>
      <c r="Z29" s="20">
        <f>VLOOKUP(A29, 'Raw Summary Data'!A61:X95, Z$2-3, 0)</f>
        <v>0</v>
      </c>
      <c r="AA29" s="20">
        <f>VLOOKUP(A29, 'Raw Summary Data'!A61:X95, AA$2-3, 0)</f>
        <v>34</v>
      </c>
      <c r="AB29" s="20">
        <v>68</v>
      </c>
      <c r="AD29" s="20">
        <f>VLOOKUP(A29, 'Raw Summary Data'!A61:X95, AB$2-2, 0)</f>
        <v>68</v>
      </c>
    </row>
    <row r="30" spans="1:30" ht="15" customHeight="1" x14ac:dyDescent="0.2">
      <c r="A30" s="60" t="s">
        <v>174</v>
      </c>
      <c r="B30" s="3" t="s">
        <v>8</v>
      </c>
      <c r="C30" s="20">
        <f>VLOOKUP(A30, 'Raw Summary Data'!A62:X96, 6, 0)</f>
        <v>0</v>
      </c>
      <c r="D30" s="20">
        <f>VLOOKUP(A30, 'Raw Summary Data'!A62:X96, D$2+2, 0)</f>
        <v>0</v>
      </c>
      <c r="E30" s="20">
        <f>VLOOKUP(A30, 'Raw Summary Data'!A62:X96, E$2+2, 0)</f>
        <v>0</v>
      </c>
      <c r="F30" s="20">
        <f>VLOOKUP(A30, 'Raw Summary Data'!A62:X96, F$2+2, 0)</f>
        <v>0</v>
      </c>
      <c r="G30" s="20">
        <f>VLOOKUP(A30, 'Raw Summary Data'!A62:X96, G$2+2, 0)</f>
        <v>0</v>
      </c>
      <c r="H30" s="20">
        <f>VLOOKUP(A30, 'Raw Summary Data'!A62:X96, H$2+2, 0)</f>
        <v>0</v>
      </c>
      <c r="I30" s="20">
        <f>VLOOKUP(A30, 'Raw Summary Data'!A62:X96, I$2+2, 0)</f>
        <v>0</v>
      </c>
      <c r="J30" s="20">
        <f>VLOOKUP(A30, 'Raw Summary Data'!A62:X96, J$2+2, 0)</f>
        <v>48</v>
      </c>
      <c r="K30" s="20">
        <v>96</v>
      </c>
      <c r="M30" s="20">
        <f>VLOOKUP(A30, 'Raw Summary Data'!A62:X96, K$2+2, 0)</f>
        <v>96</v>
      </c>
      <c r="N30" s="20">
        <f>VLOOKUP(A30, 'Raw Summary Data'!A62:X96, N$2+2, 0)</f>
        <v>1</v>
      </c>
      <c r="O30" s="20">
        <f>VLOOKUP(A30, 'Raw Summary Data'!A62:X96, O$2+2, 0)</f>
        <v>1</v>
      </c>
      <c r="P30" s="20">
        <f>VLOOKUP(A30, 'Raw Summary Data'!A62:X96, P$2+2, 0)</f>
        <v>5</v>
      </c>
      <c r="Q30" s="20">
        <f>VLOOKUP(A30, 'Raw Summary Data'!A62:X96, Q$2-1, 0)</f>
        <v>50</v>
      </c>
      <c r="R30" s="20">
        <v>92</v>
      </c>
      <c r="T30" s="20">
        <f>VLOOKUP(A30, 'Raw Summary Data'!A62:X96, R$2-2, 0)</f>
        <v>92</v>
      </c>
      <c r="U30" s="20">
        <f>VLOOKUP(A30, 'Raw Summary Data'!A62:X96, U$2-2, 0)</f>
        <v>5</v>
      </c>
      <c r="V30" s="20">
        <f>VLOOKUP(A30, 'Raw Summary Data'!A62:X96, V$2-2, 0)</f>
        <v>5</v>
      </c>
      <c r="W30" s="20">
        <f>VLOOKUP(A30, 'Raw Summary Data'!A62:X96, W$2-2, 0)</f>
        <v>5</v>
      </c>
      <c r="X30" s="20">
        <f>VLOOKUP(A30, 'Raw Summary Data'!A62:X96, X$2-2, 0)</f>
        <v>5</v>
      </c>
      <c r="Y30" s="20">
        <f>VLOOKUP(A30, 'Raw Summary Data'!A62:X96, Y$2-3, 0)</f>
        <v>5</v>
      </c>
      <c r="Z30" s="20">
        <f>VLOOKUP(A30, 'Raw Summary Data'!A62:X96, Z$2-3, 0)</f>
        <v>5</v>
      </c>
      <c r="AA30" s="20">
        <f>VLOOKUP(A30, 'Raw Summary Data'!A62:X96, AA$2-3, 0)</f>
        <v>50</v>
      </c>
      <c r="AB30" s="20">
        <v>82</v>
      </c>
      <c r="AC30" s="21">
        <v>88</v>
      </c>
      <c r="AD30" s="20">
        <f>VLOOKUP(A30, 'Raw Summary Data'!A62:X96, AB$2-2, 0)</f>
        <v>88</v>
      </c>
    </row>
    <row r="31" spans="1:30" ht="15" customHeight="1" x14ac:dyDescent="0.2">
      <c r="A31" s="60" t="s">
        <v>176</v>
      </c>
      <c r="B31" s="3" t="s">
        <v>8</v>
      </c>
      <c r="C31" s="20">
        <f>VLOOKUP(A31, 'Raw Summary Data'!A63:X97, 6, 0)</f>
        <v>0</v>
      </c>
      <c r="D31" s="20">
        <f>VLOOKUP(A31, 'Raw Summary Data'!A63:X97, D$2+2, 0)</f>
        <v>0</v>
      </c>
      <c r="E31" s="20">
        <f>VLOOKUP(A31, 'Raw Summary Data'!A63:X97, E$2+2, 0)</f>
        <v>0</v>
      </c>
      <c r="F31" s="20">
        <f>VLOOKUP(A31, 'Raw Summary Data'!A63:X97, F$2+2, 0)</f>
        <v>0</v>
      </c>
      <c r="G31" s="20">
        <f>VLOOKUP(A31, 'Raw Summary Data'!A63:X97, G$2+2, 0)</f>
        <v>0</v>
      </c>
      <c r="H31" s="20">
        <f>VLOOKUP(A31, 'Raw Summary Data'!A63:X97, H$2+2, 0)</f>
        <v>0</v>
      </c>
      <c r="I31" s="20">
        <f>VLOOKUP(A31, 'Raw Summary Data'!A63:X97, I$2+2, 0)</f>
        <v>0</v>
      </c>
      <c r="J31" s="20">
        <f>VLOOKUP(A31, 'Raw Summary Data'!A63:X97, J$2+2, 0)</f>
        <v>0</v>
      </c>
      <c r="K31" s="20">
        <v>88</v>
      </c>
      <c r="L31" s="21">
        <v>88</v>
      </c>
      <c r="M31" s="20">
        <f>VLOOKUP(A31, 'Raw Summary Data'!A63:X97, K$2+2, 0)</f>
        <v>88</v>
      </c>
      <c r="N31" s="20">
        <f>VLOOKUP(A31, 'Raw Summary Data'!A63:X97, N$2+2, 0)</f>
        <v>1</v>
      </c>
      <c r="O31" s="20">
        <f>VLOOKUP(A31, 'Raw Summary Data'!A63:X97, O$2+2, 0)</f>
        <v>1</v>
      </c>
      <c r="P31" s="20">
        <f>VLOOKUP(A31, 'Raw Summary Data'!A63:X97, P$2+2, 0)</f>
        <v>5</v>
      </c>
      <c r="Q31" s="20">
        <f>VLOOKUP(A31, 'Raw Summary Data'!A63:X97, Q$2-1, 0)</f>
        <v>49.5</v>
      </c>
      <c r="R31" s="20">
        <v>90</v>
      </c>
      <c r="S31" s="21">
        <v>92</v>
      </c>
      <c r="T31" s="20">
        <f>VLOOKUP(A31, 'Raw Summary Data'!A63:X97, R$2-2, 0)</f>
        <v>92</v>
      </c>
      <c r="U31" s="20">
        <f>VLOOKUP(A31, 'Raw Summary Data'!A63:X97, U$2-2, 0)</f>
        <v>5</v>
      </c>
      <c r="V31" s="20">
        <f>VLOOKUP(A31, 'Raw Summary Data'!A63:X97, V$2-2, 0)</f>
        <v>5</v>
      </c>
      <c r="W31" s="20">
        <f>VLOOKUP(A31, 'Raw Summary Data'!A63:X97, W$2-2, 0)</f>
        <v>5</v>
      </c>
      <c r="X31" s="20">
        <f>VLOOKUP(A31, 'Raw Summary Data'!A63:X97, X$2-2, 0)</f>
        <v>5</v>
      </c>
      <c r="Y31" s="20">
        <f>VLOOKUP(A31, 'Raw Summary Data'!A63:X97, Y$2-3, 0)</f>
        <v>0</v>
      </c>
      <c r="Z31" s="20">
        <f>VLOOKUP(A31, 'Raw Summary Data'!A63:X97, Z$2-3, 0)</f>
        <v>0</v>
      </c>
      <c r="AA31" s="20">
        <f>VLOOKUP(A31, 'Raw Summary Data'!A63:X97, AA$2-3, 0)</f>
        <v>50</v>
      </c>
      <c r="AB31" s="20">
        <v>85</v>
      </c>
      <c r="AC31" s="21">
        <v>95</v>
      </c>
      <c r="AD31" s="20">
        <f>VLOOKUP(A31, 'Raw Summary Data'!A63:X97, AB$2-2, 0)</f>
        <v>95</v>
      </c>
    </row>
    <row r="32" spans="1:30" ht="15" customHeight="1" x14ac:dyDescent="0.2">
      <c r="A32" s="60" t="s">
        <v>178</v>
      </c>
      <c r="B32" s="3" t="s">
        <v>9</v>
      </c>
      <c r="C32" s="20">
        <f>VLOOKUP(A32, 'Raw Summary Data'!A64:X98, 6, 0)</f>
        <v>1</v>
      </c>
      <c r="D32" s="20">
        <f>VLOOKUP(A32, 'Raw Summary Data'!A64:X98, D$2+2, 0)</f>
        <v>1</v>
      </c>
      <c r="E32" s="20">
        <f>VLOOKUP(A32, 'Raw Summary Data'!A64:X98, E$2+2, 0)</f>
        <v>0</v>
      </c>
      <c r="F32" s="20">
        <f>VLOOKUP(A32, 'Raw Summary Data'!A64:X98, F$2+2, 0)</f>
        <v>0</v>
      </c>
      <c r="G32" s="20">
        <f>VLOOKUP(A32, 'Raw Summary Data'!A64:X98, G$2+2, 0)</f>
        <v>1</v>
      </c>
      <c r="H32" s="20">
        <f>VLOOKUP(A32, 'Raw Summary Data'!A64:X98, H$2+2, 0)</f>
        <v>0</v>
      </c>
      <c r="I32" s="20">
        <f>VLOOKUP(A32, 'Raw Summary Data'!A64:X98, I$2+2, 0)</f>
        <v>5</v>
      </c>
      <c r="J32" s="20">
        <f>VLOOKUP(A32, 'Raw Summary Data'!A64:X98, J$2+2, 0)</f>
        <v>47</v>
      </c>
      <c r="K32" s="20">
        <v>75</v>
      </c>
      <c r="M32" s="20">
        <f>VLOOKUP(A32, 'Raw Summary Data'!A64:X98, K$2+2, 0)</f>
        <v>75</v>
      </c>
      <c r="N32" s="20">
        <f>VLOOKUP(A32, 'Raw Summary Data'!A64:X98, N$2+2, 0)</f>
        <v>1</v>
      </c>
      <c r="O32" s="20">
        <f>VLOOKUP(A32, 'Raw Summary Data'!A64:X98, O$2+2, 0)</f>
        <v>1</v>
      </c>
      <c r="P32" s="20">
        <f>VLOOKUP(A32, 'Raw Summary Data'!A64:X98, P$2+2, 0)</f>
        <v>5</v>
      </c>
      <c r="Q32" s="20">
        <f>VLOOKUP(A32, 'Raw Summary Data'!A64:X98, Q$2-1, 0)</f>
        <v>49.5</v>
      </c>
      <c r="R32" s="20">
        <v>65</v>
      </c>
      <c r="T32" s="20">
        <f>VLOOKUP(A32, 'Raw Summary Data'!A64:X98, R$2-2, 0)</f>
        <v>65</v>
      </c>
      <c r="U32" s="20">
        <f>VLOOKUP(A32, 'Raw Summary Data'!A64:X98, U$2-2, 0)</f>
        <v>5</v>
      </c>
      <c r="V32" s="20">
        <f>VLOOKUP(A32, 'Raw Summary Data'!A64:X98, V$2-2, 0)</f>
        <v>5</v>
      </c>
      <c r="W32" s="20">
        <f>VLOOKUP(A32, 'Raw Summary Data'!A64:X98, W$2-2, 0)</f>
        <v>5</v>
      </c>
      <c r="X32" s="20">
        <f>VLOOKUP(A32, 'Raw Summary Data'!A64:X98, X$2-2, 0)</f>
        <v>5</v>
      </c>
      <c r="Y32" s="20">
        <f>VLOOKUP(A32, 'Raw Summary Data'!A64:X98, Y$2-3, 0)</f>
        <v>0</v>
      </c>
      <c r="Z32" s="20">
        <f>VLOOKUP(A32, 'Raw Summary Data'!A64:X98, Z$2-3, 0)</f>
        <v>0</v>
      </c>
      <c r="AA32" s="20">
        <f>VLOOKUP(A32, 'Raw Summary Data'!A64:X98, AA$2-3, 0)</f>
        <v>32</v>
      </c>
      <c r="AB32" s="20">
        <v>65</v>
      </c>
      <c r="AD32" s="20">
        <f>VLOOKUP(A32, 'Raw Summary Data'!A64:X98, AB$2-2, 0)</f>
        <v>65</v>
      </c>
    </row>
    <row r="33" spans="1:30" ht="15" customHeight="1" x14ac:dyDescent="0.2">
      <c r="A33" s="60" t="s">
        <v>180</v>
      </c>
      <c r="B33" s="3" t="s">
        <v>8</v>
      </c>
      <c r="C33" s="20">
        <f>VLOOKUP(A33, 'Raw Summary Data'!A65:X99, 6, 0)</f>
        <v>1</v>
      </c>
      <c r="D33" s="20">
        <f>VLOOKUP(A33, 'Raw Summary Data'!A65:X99, D$2+2, 0)</f>
        <v>1</v>
      </c>
      <c r="E33" s="20">
        <f>VLOOKUP(A33, 'Raw Summary Data'!A65:X99, E$2+2, 0)</f>
        <v>1</v>
      </c>
      <c r="F33" s="20">
        <f>VLOOKUP(A33, 'Raw Summary Data'!A65:X99, F$2+2, 0)</f>
        <v>1</v>
      </c>
      <c r="G33" s="20">
        <f>VLOOKUP(A33, 'Raw Summary Data'!A65:X99, G$2+2, 0)</f>
        <v>1</v>
      </c>
      <c r="H33" s="20">
        <f>VLOOKUP(A33, 'Raw Summary Data'!A65:X99, H$2+2, 0)</f>
        <v>1</v>
      </c>
      <c r="I33" s="20">
        <f>VLOOKUP(A33, 'Raw Summary Data'!A65:X99, I$2+2, 0)</f>
        <v>5</v>
      </c>
      <c r="J33" s="20">
        <f>VLOOKUP(A33, 'Raw Summary Data'!A65:X99, J$2+2, 0)</f>
        <v>49</v>
      </c>
      <c r="K33" s="20">
        <v>95</v>
      </c>
      <c r="M33" s="20">
        <f>VLOOKUP(A33, 'Raw Summary Data'!A65:X99, K$2+2, 0)</f>
        <v>95</v>
      </c>
      <c r="N33" s="20">
        <f>VLOOKUP(A33, 'Raw Summary Data'!A65:X99, N$2+2, 0)</f>
        <v>1</v>
      </c>
      <c r="O33" s="20">
        <f>VLOOKUP(A33, 'Raw Summary Data'!A65:X99, O$2+2, 0)</f>
        <v>1</v>
      </c>
      <c r="P33" s="20">
        <f>VLOOKUP(A33, 'Raw Summary Data'!A65:X99, P$2+2, 0)</f>
        <v>5</v>
      </c>
      <c r="Q33" s="20">
        <f>VLOOKUP(A33, 'Raw Summary Data'!A65:X99, Q$2-1, 0)</f>
        <v>50</v>
      </c>
      <c r="R33" s="20">
        <v>88</v>
      </c>
      <c r="T33" s="20">
        <f>VLOOKUP(A33, 'Raw Summary Data'!A65:X99, R$2-2, 0)</f>
        <v>88</v>
      </c>
      <c r="U33" s="20">
        <f>VLOOKUP(A33, 'Raw Summary Data'!A65:X99, U$2-2, 0)</f>
        <v>5</v>
      </c>
      <c r="V33" s="20">
        <f>VLOOKUP(A33, 'Raw Summary Data'!A65:X99, V$2-2, 0)</f>
        <v>5</v>
      </c>
      <c r="W33" s="20">
        <f>VLOOKUP(A33, 'Raw Summary Data'!A65:X99, W$2-2, 0)</f>
        <v>5</v>
      </c>
      <c r="X33" s="20">
        <f>VLOOKUP(A33, 'Raw Summary Data'!A65:X99, X$2-2, 0)</f>
        <v>5</v>
      </c>
      <c r="Y33" s="20">
        <f>VLOOKUP(A33, 'Raw Summary Data'!A65:X99, Y$2-3, 0)</f>
        <v>5</v>
      </c>
      <c r="Z33" s="20">
        <f>VLOOKUP(A33, 'Raw Summary Data'!A65:X99, Z$2-3, 0)</f>
        <v>5</v>
      </c>
      <c r="AA33" s="20">
        <f>VLOOKUP(A33, 'Raw Summary Data'!A65:X99, AA$2-3, 0)</f>
        <v>50</v>
      </c>
      <c r="AB33" s="20">
        <v>92</v>
      </c>
      <c r="AD33" s="20">
        <f>VLOOKUP(A33, 'Raw Summary Data'!A65:X99, AB$2-2, 0)</f>
        <v>92</v>
      </c>
    </row>
    <row r="34" spans="1:30" ht="15" customHeight="1" x14ac:dyDescent="0.2">
      <c r="A34" s="60" t="s">
        <v>182</v>
      </c>
      <c r="B34" s="3" t="s">
        <v>9</v>
      </c>
      <c r="C34" s="20">
        <f>VLOOKUP(A34, 'Raw Summary Data'!A66:X100, 6, 0)</f>
        <v>0</v>
      </c>
      <c r="D34" s="20">
        <f>VLOOKUP(A34, 'Raw Summary Data'!A66:X100, D$2+2, 0)</f>
        <v>0</v>
      </c>
      <c r="E34" s="20">
        <f>VLOOKUP(A34, 'Raw Summary Data'!A66:X100, E$2+2, 0)</f>
        <v>0</v>
      </c>
      <c r="F34" s="20">
        <f>VLOOKUP(A34, 'Raw Summary Data'!A66:X100, F$2+2, 0)</f>
        <v>0</v>
      </c>
      <c r="G34" s="20">
        <f>VLOOKUP(A34, 'Raw Summary Data'!A66:X100, G$2+2, 0)</f>
        <v>0</v>
      </c>
      <c r="H34" s="20">
        <f>VLOOKUP(A34, 'Raw Summary Data'!A66:X100, H$2+2, 0)</f>
        <v>0</v>
      </c>
      <c r="I34" s="20">
        <f>VLOOKUP(A34, 'Raw Summary Data'!A66:X100, I$2+2, 0)</f>
        <v>5</v>
      </c>
      <c r="J34" s="20">
        <f>VLOOKUP(A34, 'Raw Summary Data'!A66:X100, J$2+2, 0)</f>
        <v>36</v>
      </c>
      <c r="K34" s="20">
        <v>85</v>
      </c>
      <c r="M34" s="20">
        <f>VLOOKUP(A34, 'Raw Summary Data'!A66:X100, K$2+2, 0)</f>
        <v>85</v>
      </c>
      <c r="N34" s="20">
        <f>VLOOKUP(A34, 'Raw Summary Data'!A66:X100, N$2+2, 0)</f>
        <v>0</v>
      </c>
      <c r="O34" s="20">
        <f>VLOOKUP(A34, 'Raw Summary Data'!A66:X100, O$2+2, 0)</f>
        <v>0</v>
      </c>
      <c r="P34" s="20">
        <f>VLOOKUP(A34, 'Raw Summary Data'!A66:X100, P$2+2, 0)</f>
        <v>5</v>
      </c>
      <c r="Q34" s="20">
        <f>VLOOKUP(A34, 'Raw Summary Data'!A66:X100, Q$2-1, 0)</f>
        <v>24</v>
      </c>
      <c r="R34" s="20">
        <v>76</v>
      </c>
      <c r="T34" s="20">
        <f>VLOOKUP(A34, 'Raw Summary Data'!A66:X100, R$2-2, 0)</f>
        <v>76</v>
      </c>
      <c r="U34" s="20">
        <f>VLOOKUP(A34, 'Raw Summary Data'!A66:X100, U$2-2, 0)</f>
        <v>0</v>
      </c>
      <c r="V34" s="20">
        <f>VLOOKUP(A34, 'Raw Summary Data'!A66:X100, V$2-2, 0)</f>
        <v>0</v>
      </c>
      <c r="W34" s="20">
        <f>VLOOKUP(A34, 'Raw Summary Data'!A66:X100, W$2-2, 0)</f>
        <v>0</v>
      </c>
      <c r="X34" s="20">
        <f>VLOOKUP(A34, 'Raw Summary Data'!A66:X100, X$2-2, 0)</f>
        <v>0</v>
      </c>
      <c r="Y34" s="20">
        <f>VLOOKUP(A34, 'Raw Summary Data'!A66:X100, Y$2-3, 0)</f>
        <v>0</v>
      </c>
      <c r="Z34" s="20">
        <f>VLOOKUP(A34, 'Raw Summary Data'!A66:X100, Z$2-3, 0)</f>
        <v>0</v>
      </c>
      <c r="AA34" s="20">
        <f>VLOOKUP(A34, 'Raw Summary Data'!A66:X100, AA$2-3, 0)</f>
        <v>9</v>
      </c>
      <c r="AB34" s="20">
        <v>68</v>
      </c>
      <c r="AC34" s="21">
        <v>64</v>
      </c>
      <c r="AD34" s="20">
        <f>VLOOKUP(A34, 'Raw Summary Data'!A66:X100, AB$2-2, 0)</f>
        <v>68</v>
      </c>
    </row>
    <row r="35" spans="1:30" ht="15" customHeight="1" x14ac:dyDescent="0.2">
      <c r="A35" s="60" t="s">
        <v>184</v>
      </c>
      <c r="B35" s="3" t="s">
        <v>8</v>
      </c>
      <c r="C35" s="20">
        <f>VLOOKUP(A35, 'Raw Summary Data'!A67:X101, 6, 0)</f>
        <v>0</v>
      </c>
      <c r="D35" s="20">
        <f>VLOOKUP(A35, 'Raw Summary Data'!A67:X101, D$2+2, 0)</f>
        <v>0</v>
      </c>
      <c r="E35" s="20">
        <f>VLOOKUP(A35, 'Raw Summary Data'!A67:X101, E$2+2, 0)</f>
        <v>0</v>
      </c>
      <c r="F35" s="20">
        <f>VLOOKUP(A35, 'Raw Summary Data'!A67:X101, F$2+2, 0)</f>
        <v>0</v>
      </c>
      <c r="G35" s="20">
        <f>VLOOKUP(A35, 'Raw Summary Data'!A67:X101, G$2+2, 0)</f>
        <v>0</v>
      </c>
      <c r="H35" s="20">
        <f>VLOOKUP(A35, 'Raw Summary Data'!A67:X101, H$2+2, 0)</f>
        <v>0</v>
      </c>
      <c r="I35" s="20">
        <f>VLOOKUP(A35, 'Raw Summary Data'!A67:X101, I$2+2, 0)</f>
        <v>0</v>
      </c>
      <c r="J35" s="20">
        <f>VLOOKUP(A35, 'Raw Summary Data'!A67:X101, J$2+2, 0)</f>
        <v>0</v>
      </c>
      <c r="K35" s="20">
        <v>72</v>
      </c>
      <c r="L35" s="21">
        <v>92</v>
      </c>
      <c r="M35" s="20">
        <f>VLOOKUP(A35, 'Raw Summary Data'!A67:X101, K$2+2, 0)</f>
        <v>92</v>
      </c>
      <c r="N35" s="20">
        <f>VLOOKUP(A35, 'Raw Summary Data'!A67:X101, N$2+2, 0)</f>
        <v>1</v>
      </c>
      <c r="O35" s="20">
        <f>VLOOKUP(A35, 'Raw Summary Data'!A67:X101, O$2+2, 0)</f>
        <v>1</v>
      </c>
      <c r="P35" s="20">
        <f>VLOOKUP(A35, 'Raw Summary Data'!A67:X101, P$2+2, 0)</f>
        <v>5</v>
      </c>
      <c r="Q35" s="20">
        <f>VLOOKUP(A35, 'Raw Summary Data'!A67:X101, Q$2-1, 0)</f>
        <v>50</v>
      </c>
      <c r="R35" s="20">
        <v>92</v>
      </c>
      <c r="T35" s="20">
        <f>VLOOKUP(A35, 'Raw Summary Data'!A67:X101, R$2-2, 0)</f>
        <v>92</v>
      </c>
      <c r="U35" s="20">
        <f>VLOOKUP(A35, 'Raw Summary Data'!A67:X101, U$2-2, 0)</f>
        <v>5</v>
      </c>
      <c r="V35" s="20">
        <f>VLOOKUP(A35, 'Raw Summary Data'!A67:X101, V$2-2, 0)</f>
        <v>5</v>
      </c>
      <c r="W35" s="20">
        <f>VLOOKUP(A35, 'Raw Summary Data'!A67:X101, W$2-2, 0)</f>
        <v>5</v>
      </c>
      <c r="X35" s="20">
        <f>VLOOKUP(A35, 'Raw Summary Data'!A67:X101, X$2-2, 0)</f>
        <v>5</v>
      </c>
      <c r="Y35" s="20">
        <f>VLOOKUP(A35, 'Raw Summary Data'!A67:X101, Y$2-3, 0)</f>
        <v>5</v>
      </c>
      <c r="Z35" s="20">
        <f>VLOOKUP(A35, 'Raw Summary Data'!A67:X101, Z$2-3, 0)</f>
        <v>5</v>
      </c>
      <c r="AA35" s="20">
        <f>VLOOKUP(A35, 'Raw Summary Data'!A67:X101, AA$2-3, 0)</f>
        <v>50</v>
      </c>
      <c r="AB35" s="20">
        <v>72</v>
      </c>
      <c r="AC35" s="21">
        <v>92</v>
      </c>
      <c r="AD35" s="20">
        <f>VLOOKUP(A35, 'Raw Summary Data'!A67:X101, AB$2-2, 0)</f>
        <v>92</v>
      </c>
    </row>
    <row r="36" spans="1:30" ht="15" customHeight="1" x14ac:dyDescent="0.2">
      <c r="A36" s="60" t="s">
        <v>186</v>
      </c>
      <c r="B36" s="3" t="s">
        <v>9</v>
      </c>
      <c r="C36" s="20">
        <f>VLOOKUP(A36, 'Raw Summary Data'!A68:X102, 6, 0)</f>
        <v>0</v>
      </c>
      <c r="D36" s="20">
        <f>VLOOKUP(A36, 'Raw Summary Data'!A68:X102, D$2+2, 0)</f>
        <v>0</v>
      </c>
      <c r="E36" s="20">
        <f>VLOOKUP(A36, 'Raw Summary Data'!A68:X102, E$2+2, 0)</f>
        <v>0</v>
      </c>
      <c r="F36" s="20">
        <f>VLOOKUP(A36, 'Raw Summary Data'!A68:X102, F$2+2, 0)</f>
        <v>0</v>
      </c>
      <c r="G36" s="20">
        <f>VLOOKUP(A36, 'Raw Summary Data'!A68:X102, G$2+2, 0)</f>
        <v>0</v>
      </c>
      <c r="H36" s="20">
        <f>VLOOKUP(A36, 'Raw Summary Data'!A68:X102, H$2+2, 0)</f>
        <v>0</v>
      </c>
      <c r="I36" s="20">
        <f>VLOOKUP(A36, 'Raw Summary Data'!A68:X102, I$2+2, 0)</f>
        <v>0</v>
      </c>
      <c r="J36" s="20">
        <f>VLOOKUP(A36, 'Raw Summary Data'!A68:X102, J$2+2, 0)</f>
        <v>0</v>
      </c>
      <c r="K36" s="20">
        <v>75</v>
      </c>
      <c r="M36" s="20">
        <f>VLOOKUP(A36, 'Raw Summary Data'!A68:X102, K$2+2, 0)</f>
        <v>75</v>
      </c>
      <c r="N36" s="20">
        <f>VLOOKUP(A36, 'Raw Summary Data'!A68:X102, N$2+2, 0)</f>
        <v>0</v>
      </c>
      <c r="O36" s="20">
        <f>VLOOKUP(A36, 'Raw Summary Data'!A68:X102, O$2+2, 0)</f>
        <v>0</v>
      </c>
      <c r="P36" s="20">
        <f>VLOOKUP(A36, 'Raw Summary Data'!A68:X102, P$2+2, 0)</f>
        <v>5</v>
      </c>
      <c r="Q36" s="20">
        <f>VLOOKUP(A36, 'Raw Summary Data'!A68:X102, Q$2-1, 0)</f>
        <v>27</v>
      </c>
      <c r="R36" s="20">
        <v>82</v>
      </c>
      <c r="T36" s="20">
        <f>VLOOKUP(A36, 'Raw Summary Data'!A68:X102, R$2-2, 0)</f>
        <v>82</v>
      </c>
      <c r="U36" s="20">
        <f>VLOOKUP(A36, 'Raw Summary Data'!A68:X102, U$2-2, 0)</f>
        <v>0</v>
      </c>
      <c r="V36" s="20">
        <f>VLOOKUP(A36, 'Raw Summary Data'!A68:X102, V$2-2, 0)</f>
        <v>0</v>
      </c>
      <c r="W36" s="20">
        <f>VLOOKUP(A36, 'Raw Summary Data'!A68:X102, W$2-2, 0)</f>
        <v>0</v>
      </c>
      <c r="X36" s="20">
        <f>VLOOKUP(A36, 'Raw Summary Data'!A68:X102, X$2-2, 0)</f>
        <v>0</v>
      </c>
      <c r="Y36" s="20">
        <f>VLOOKUP(A36, 'Raw Summary Data'!A68:X102, Y$2-3, 0)</f>
        <v>0</v>
      </c>
      <c r="Z36" s="20">
        <f>VLOOKUP(A36, 'Raw Summary Data'!A68:X102, Z$2-3, 0)</f>
        <v>0</v>
      </c>
      <c r="AA36" s="20">
        <f>VLOOKUP(A36, 'Raw Summary Data'!A68:X102, AA$2-3, 0)</f>
        <v>25</v>
      </c>
      <c r="AB36" s="20">
        <v>75</v>
      </c>
      <c r="AD36" s="20">
        <f>VLOOKUP(A36, 'Raw Summary Data'!A68:X102, AB$2-2, 0)</f>
        <v>75</v>
      </c>
    </row>
    <row r="37" spans="1:30" ht="15" customHeight="1" x14ac:dyDescent="0.2">
      <c r="A37" s="60" t="s">
        <v>188</v>
      </c>
      <c r="B37" s="3" t="s">
        <v>9</v>
      </c>
      <c r="C37" s="20">
        <f>VLOOKUP(A37, 'Raw Summary Data'!A69:X103, 6, 0)</f>
        <v>1</v>
      </c>
      <c r="D37" s="20">
        <f>VLOOKUP(A37, 'Raw Summary Data'!A69:X103, D$2+2, 0)</f>
        <v>1</v>
      </c>
      <c r="E37" s="20">
        <f>VLOOKUP(A37, 'Raw Summary Data'!A69:X103, E$2+2, 0)</f>
        <v>1</v>
      </c>
      <c r="F37" s="20">
        <f>VLOOKUP(A37, 'Raw Summary Data'!A69:X103, F$2+2, 0)</f>
        <v>1</v>
      </c>
      <c r="G37" s="20">
        <f>VLOOKUP(A37, 'Raw Summary Data'!A69:X103, G$2+2, 0)</f>
        <v>1</v>
      </c>
      <c r="H37" s="20">
        <f>VLOOKUP(A37, 'Raw Summary Data'!A69:X103, H$2+2, 0)</f>
        <v>0</v>
      </c>
      <c r="I37" s="20">
        <f>VLOOKUP(A37, 'Raw Summary Data'!A69:X103, I$2+2, 0)</f>
        <v>5</v>
      </c>
      <c r="J37" s="20">
        <f>VLOOKUP(A37, 'Raw Summary Data'!A69:X103, J$2+2, 0)</f>
        <v>48</v>
      </c>
      <c r="K37" s="20">
        <v>73</v>
      </c>
      <c r="L37" s="21">
        <v>68</v>
      </c>
      <c r="M37" s="20">
        <f>VLOOKUP(A37, 'Raw Summary Data'!A69:X103, K$2+2, 0)</f>
        <v>73</v>
      </c>
      <c r="N37" s="20">
        <f>VLOOKUP(A37, 'Raw Summary Data'!A69:X103, N$2+2, 0)</f>
        <v>1</v>
      </c>
      <c r="O37" s="20">
        <f>VLOOKUP(A37, 'Raw Summary Data'!A69:X103, O$2+2, 0)</f>
        <v>1</v>
      </c>
      <c r="P37" s="20">
        <f>VLOOKUP(A37, 'Raw Summary Data'!A69:X103, P$2+2, 0)</f>
        <v>5</v>
      </c>
      <c r="Q37" s="20">
        <f>VLOOKUP(A37, 'Raw Summary Data'!A69:X103, Q$2-1, 0)</f>
        <v>50</v>
      </c>
      <c r="R37" s="20">
        <v>67</v>
      </c>
      <c r="S37" s="21">
        <v>68</v>
      </c>
      <c r="T37" s="20">
        <f>VLOOKUP(A37, 'Raw Summary Data'!A69:X103, R$2-2, 0)</f>
        <v>68</v>
      </c>
      <c r="U37" s="20">
        <f>VLOOKUP(A37, 'Raw Summary Data'!A69:X103, U$2-2, 0)</f>
        <v>5</v>
      </c>
      <c r="V37" s="20">
        <f>VLOOKUP(A37, 'Raw Summary Data'!A69:X103, V$2-2, 0)</f>
        <v>5</v>
      </c>
      <c r="W37" s="20">
        <f>VLOOKUP(A37, 'Raw Summary Data'!A69:X103, W$2-2, 0)</f>
        <v>5</v>
      </c>
      <c r="X37" s="20">
        <f>VLOOKUP(A37, 'Raw Summary Data'!A69:X103, X$2-2, 0)</f>
        <v>5</v>
      </c>
      <c r="Y37" s="20">
        <f>VLOOKUP(A37, 'Raw Summary Data'!A69:X103, Y$2-3, 0)</f>
        <v>5</v>
      </c>
      <c r="Z37" s="20">
        <f>VLOOKUP(A37, 'Raw Summary Data'!A69:X103, Z$2-3, 0)</f>
        <v>0</v>
      </c>
      <c r="AA37" s="20">
        <f>VLOOKUP(A37, 'Raw Summary Data'!A69:X103, AA$2-3, 0)</f>
        <v>50</v>
      </c>
      <c r="AB37" s="20">
        <v>62</v>
      </c>
      <c r="AC37" s="21">
        <v>72</v>
      </c>
      <c r="AD37" s="20">
        <f>VLOOKUP(A37, 'Raw Summary Data'!A69:X103, AB$2-2, 0)</f>
        <v>72</v>
      </c>
    </row>
    <row r="38" spans="1:30" ht="15" customHeight="1" x14ac:dyDescent="0.2">
      <c r="A38" s="60"/>
      <c r="B38" s="3"/>
      <c r="K38" s="20"/>
      <c r="R38" s="20"/>
      <c r="AB38" s="20"/>
    </row>
    <row r="39" spans="1:30" ht="15" customHeight="1" x14ac:dyDescent="0.2">
      <c r="A39" s="24"/>
      <c r="B39" s="19"/>
    </row>
    <row r="40" spans="1:30" ht="15" customHeight="1" x14ac:dyDescent="0.2">
      <c r="B40" s="19"/>
    </row>
    <row r="41" spans="1:30" ht="15" customHeight="1" x14ac:dyDescent="0.2">
      <c r="A41" s="24"/>
      <c r="B41" s="19"/>
    </row>
    <row r="42" spans="1:30" ht="15" customHeight="1" x14ac:dyDescent="0.2">
      <c r="A42" s="24"/>
      <c r="B42" s="19"/>
    </row>
    <row r="43" spans="1:30" x14ac:dyDescent="0.25">
      <c r="A43" s="24"/>
      <c r="B43" s="19"/>
      <c r="C43" s="52" t="s">
        <v>744</v>
      </c>
    </row>
    <row r="44" spans="1:30" ht="25.5" x14ac:dyDescent="0.2">
      <c r="A44" s="24"/>
      <c r="B44" s="19"/>
      <c r="C44" s="38" t="s">
        <v>822</v>
      </c>
    </row>
    <row r="45" spans="1:30" ht="25.5" x14ac:dyDescent="0.2">
      <c r="A45" s="24"/>
      <c r="B45" s="19"/>
      <c r="C45" s="25" t="s">
        <v>745</v>
      </c>
      <c r="D45" s="25" t="s">
        <v>746</v>
      </c>
      <c r="E45" s="25" t="s">
        <v>747</v>
      </c>
      <c r="F45" s="25" t="s">
        <v>748</v>
      </c>
    </row>
    <row r="49" spans="3:6" ht="63.75" x14ac:dyDescent="0.2">
      <c r="C49" s="25" t="s">
        <v>749</v>
      </c>
      <c r="D49" s="25" t="s">
        <v>750</v>
      </c>
      <c r="E49" s="25" t="s">
        <v>751</v>
      </c>
      <c r="F49" s="25" t="s">
        <v>752</v>
      </c>
    </row>
    <row r="50" spans="3:6" ht="12.75" x14ac:dyDescent="0.2">
      <c r="D50" s="38"/>
      <c r="E50" s="38"/>
    </row>
    <row r="51" spans="3:6" ht="12.75" x14ac:dyDescent="0.2">
      <c r="D51" s="38"/>
      <c r="E51" s="38"/>
    </row>
    <row r="52" spans="3:6" ht="12.75" x14ac:dyDescent="0.2">
      <c r="D52" s="38"/>
      <c r="E52" s="38"/>
    </row>
    <row r="53" spans="3:6" ht="63.75" x14ac:dyDescent="0.2">
      <c r="C53" s="25" t="s">
        <v>753</v>
      </c>
      <c r="D53" s="25" t="s">
        <v>754</v>
      </c>
      <c r="E53" s="25" t="s">
        <v>755</v>
      </c>
      <c r="F53" s="25" t="s">
        <v>756</v>
      </c>
    </row>
    <row r="54" spans="3:6" ht="12.75" x14ac:dyDescent="0.2">
      <c r="D54" s="38"/>
      <c r="E54" s="38"/>
    </row>
    <row r="55" spans="3:6" ht="12.75" x14ac:dyDescent="0.2">
      <c r="D55" s="38"/>
      <c r="E55" s="38"/>
    </row>
    <row r="56" spans="3:6" ht="12.75" x14ac:dyDescent="0.2">
      <c r="D56" s="38"/>
      <c r="E56" s="38"/>
    </row>
    <row r="57" spans="3:6" ht="63.75" x14ac:dyDescent="0.2">
      <c r="C57" s="25" t="s">
        <v>757</v>
      </c>
      <c r="D57" s="25" t="s">
        <v>758</v>
      </c>
      <c r="E57" s="25" t="s">
        <v>759</v>
      </c>
      <c r="F57" s="25" t="s">
        <v>760</v>
      </c>
    </row>
    <row r="58" spans="3:6" ht="12.75" x14ac:dyDescent="0.2">
      <c r="D58" s="38"/>
      <c r="E58" s="38"/>
    </row>
    <row r="59" spans="3:6" ht="12.75" x14ac:dyDescent="0.2">
      <c r="D59" s="38"/>
      <c r="E59" s="38"/>
    </row>
    <row r="60" spans="3:6" ht="12.75" x14ac:dyDescent="0.2">
      <c r="D60" s="38"/>
      <c r="E60" s="38"/>
    </row>
    <row r="61" spans="3:6" ht="63.75" x14ac:dyDescent="0.2">
      <c r="C61" s="25" t="s">
        <v>823</v>
      </c>
      <c r="D61" s="25" t="s">
        <v>824</v>
      </c>
      <c r="E61" s="25" t="s">
        <v>825</v>
      </c>
      <c r="F61" s="25" t="s">
        <v>826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G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 x14ac:dyDescent="0.2"/>
  <cols>
    <col min="1" max="1" width="33.140625" customWidth="1"/>
  </cols>
  <sheetData>
    <row r="1" spans="1:33" ht="15" customHeight="1" x14ac:dyDescent="0.2">
      <c r="A1" s="25" t="s">
        <v>693</v>
      </c>
      <c r="B1" s="25" t="s">
        <v>694</v>
      </c>
      <c r="C1" s="25">
        <v>1.1000000000000001</v>
      </c>
      <c r="D1" s="25">
        <v>1.2</v>
      </c>
      <c r="E1" s="25">
        <v>1.3</v>
      </c>
      <c r="F1" s="25">
        <v>1.4</v>
      </c>
      <c r="G1" s="25">
        <v>1.5</v>
      </c>
      <c r="H1" s="25" t="s">
        <v>847</v>
      </c>
      <c r="I1" s="25" t="s">
        <v>848</v>
      </c>
      <c r="J1" s="25" t="s">
        <v>849</v>
      </c>
      <c r="K1" s="25" t="s">
        <v>703</v>
      </c>
      <c r="L1" s="25" t="s">
        <v>850</v>
      </c>
      <c r="M1" s="25" t="s">
        <v>851</v>
      </c>
      <c r="N1" s="25">
        <v>2.2000000000000002</v>
      </c>
      <c r="O1" s="25">
        <v>2.2999999999999998</v>
      </c>
      <c r="P1" s="25" t="s">
        <v>852</v>
      </c>
      <c r="Q1" s="25" t="s">
        <v>711</v>
      </c>
      <c r="R1" s="25" t="s">
        <v>712</v>
      </c>
      <c r="S1" s="25" t="s">
        <v>853</v>
      </c>
      <c r="T1" s="25" t="s">
        <v>854</v>
      </c>
      <c r="U1" s="25">
        <v>3.3</v>
      </c>
      <c r="V1" s="25">
        <v>3.4</v>
      </c>
      <c r="W1" s="25">
        <v>3.5</v>
      </c>
      <c r="X1" s="25">
        <v>3.7</v>
      </c>
      <c r="Y1" s="25">
        <v>3.8</v>
      </c>
      <c r="Z1" s="59" t="s">
        <v>855</v>
      </c>
      <c r="AA1" s="25" t="s">
        <v>722</v>
      </c>
      <c r="AB1" s="25" t="s">
        <v>856</v>
      </c>
      <c r="AC1" s="25" t="s">
        <v>857</v>
      </c>
      <c r="AD1" s="25" t="s">
        <v>858</v>
      </c>
      <c r="AE1" s="25" t="s">
        <v>842</v>
      </c>
      <c r="AF1" s="25" t="s">
        <v>843</v>
      </c>
      <c r="AG1" s="25" t="s">
        <v>844</v>
      </c>
    </row>
    <row r="2" spans="1:33" ht="15" customHeight="1" x14ac:dyDescent="0.2">
      <c r="A2" s="24" t="s">
        <v>846</v>
      </c>
      <c r="C2" s="21">
        <v>2</v>
      </c>
      <c r="D2" s="21">
        <v>3</v>
      </c>
      <c r="E2" s="21">
        <v>5</v>
      </c>
      <c r="F2" s="21">
        <v>7</v>
      </c>
      <c r="G2" s="21">
        <v>8</v>
      </c>
      <c r="H2" s="21">
        <v>9</v>
      </c>
      <c r="I2" s="21">
        <v>1</v>
      </c>
      <c r="J2" s="21">
        <v>4</v>
      </c>
      <c r="K2" s="21"/>
      <c r="L2" s="21"/>
      <c r="M2" s="21">
        <v>6</v>
      </c>
      <c r="N2" s="21">
        <v>11</v>
      </c>
      <c r="O2" s="21">
        <v>12</v>
      </c>
      <c r="P2" s="21">
        <v>10</v>
      </c>
      <c r="Q2" s="21">
        <v>16</v>
      </c>
      <c r="R2" s="21"/>
      <c r="S2" s="21"/>
      <c r="T2" s="21">
        <v>18</v>
      </c>
      <c r="U2" s="21">
        <v>19</v>
      </c>
      <c r="V2" s="21">
        <v>20</v>
      </c>
      <c r="W2" s="21">
        <v>21</v>
      </c>
      <c r="X2" s="21">
        <v>22</v>
      </c>
      <c r="Y2" s="21">
        <v>26</v>
      </c>
      <c r="AC2" s="23"/>
    </row>
    <row r="3" spans="1:33" ht="15" customHeight="1" x14ac:dyDescent="0.2">
      <c r="A3" s="24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3"/>
      <c r="AD3" s="21"/>
      <c r="AE3" s="21"/>
      <c r="AF3" s="21"/>
      <c r="AG3" s="21"/>
    </row>
    <row r="4" spans="1:33" ht="15" customHeight="1" x14ac:dyDescent="0.2">
      <c r="A4" s="60" t="s">
        <v>215</v>
      </c>
      <c r="B4" s="61">
        <v>11</v>
      </c>
      <c r="C4" s="23">
        <f>VLOOKUP(A4, 'Raw Summary Data'!A79:X114, C$2+2, 0)</f>
        <v>1</v>
      </c>
      <c r="D4" s="23">
        <f>VLOOKUP(A4, 'Raw Summary Data'!A79:X114, D$2+2, 0)</f>
        <v>1</v>
      </c>
      <c r="E4" s="23">
        <f>VLOOKUP(A4, 'Raw Summary Data'!A79:X114, E$2+2, 0)</f>
        <v>0</v>
      </c>
      <c r="F4" s="23">
        <f>VLOOKUP(A4, 'Raw Summary Data'!A79:X114, F$2+2, 0)</f>
        <v>0</v>
      </c>
      <c r="G4" s="23">
        <f>VLOOKUP(A4, 'Raw Summary Data'!A79:X114, G$2+2, 0)</f>
        <v>0</v>
      </c>
      <c r="H4" s="23">
        <f>VLOOKUP(A4, 'Raw Summary Data'!A79:X114, H$2+2, 0)</f>
        <v>0</v>
      </c>
      <c r="I4" s="23">
        <f>VLOOKUP(A4, 'Raw Summary Data'!A79:X114, I$2+2, 0)</f>
        <v>5</v>
      </c>
      <c r="J4" s="23">
        <f>VLOOKUP(A4, 'Raw Summary Data'!A79:X114, J$2+2, 0)</f>
        <v>39</v>
      </c>
      <c r="K4" s="23">
        <v>72</v>
      </c>
      <c r="M4" s="23">
        <f>VLOOKUP(A4, 'Raw Summary Data'!A79:X114, M$2+2, 0)</f>
        <v>72</v>
      </c>
      <c r="N4" s="23">
        <f>VLOOKUP(A4, 'Raw Summary Data'!A79:X114, N$2+2, 0)</f>
        <v>1</v>
      </c>
      <c r="O4" s="23">
        <f>VLOOKUP(A4, 'Raw Summary Data'!A79:X114, O$2+2, 0)</f>
        <v>0</v>
      </c>
      <c r="P4" s="23">
        <f>VLOOKUP(A4, 'Raw Summary Data'!A79:X114, P$2+2, 0)</f>
        <v>0</v>
      </c>
      <c r="Q4" s="23">
        <f>VLOOKUP(A4, 'Raw Summary Data'!A79:X114, Q$2-1, 0)</f>
        <v>42</v>
      </c>
      <c r="R4" s="23">
        <v>68</v>
      </c>
      <c r="S4" s="23"/>
      <c r="T4" s="23">
        <f>VLOOKUP(A4, 'Raw Summary Data'!A79:X114, T$2-1, 0)</f>
        <v>68</v>
      </c>
      <c r="U4" s="23">
        <f>VLOOKUP(A4, 'Raw Summary Data'!A79:X114, U$2-1, 0)</f>
        <v>5</v>
      </c>
      <c r="V4" s="23">
        <f>VLOOKUP(A4, 'Raw Summary Data'!A79:X114, V$2-1, 0)</f>
        <v>5</v>
      </c>
      <c r="W4" s="23">
        <f>VLOOKUP(A4, 'Raw Summary Data'!A79:X114, W$2-1, 0)</f>
        <v>5</v>
      </c>
      <c r="X4" s="23">
        <f>VLOOKUP(A4, 'Raw Summary Data'!A79:X114, X$2-1, 0)</f>
        <v>5</v>
      </c>
      <c r="Y4" s="23">
        <f>VLOOKUP(A4, 'Raw Summary Data'!A79:X114, Y$2-2, 0)</f>
        <v>0</v>
      </c>
      <c r="Z4" s="23">
        <v>0</v>
      </c>
      <c r="AA4" s="23">
        <f>VLOOKUP(A4, 'Raw Summary Data'!A79:X114, 23, 0)</f>
        <v>50</v>
      </c>
      <c r="AB4" s="23">
        <v>72</v>
      </c>
      <c r="AC4" s="23"/>
      <c r="AD4" s="23">
        <f>VLOOKUP(A4, 'Raw Summary Data'!A79:X114, 22, 0)</f>
        <v>72</v>
      </c>
    </row>
    <row r="5" spans="1:33" ht="15" customHeight="1" x14ac:dyDescent="0.2">
      <c r="A5" s="60" t="s">
        <v>217</v>
      </c>
      <c r="B5" s="61">
        <v>11</v>
      </c>
      <c r="C5" s="23">
        <f>VLOOKUP(A5, 'Raw Summary Data'!A80:X115, C$2+2, 0)</f>
        <v>1</v>
      </c>
      <c r="D5" s="23">
        <f>VLOOKUP(A5, 'Raw Summary Data'!A80:X115, D$2+2, 0)</f>
        <v>1</v>
      </c>
      <c r="E5" s="23">
        <f>VLOOKUP(A5, 'Raw Summary Data'!A80:X115, E$2+2, 0)</f>
        <v>0</v>
      </c>
      <c r="F5" s="23">
        <f>VLOOKUP(A5, 'Raw Summary Data'!A80:X115, F$2+2, 0)</f>
        <v>0</v>
      </c>
      <c r="G5" s="23">
        <f>VLOOKUP(A5, 'Raw Summary Data'!A80:X115, G$2+2, 0)</f>
        <v>0</v>
      </c>
      <c r="H5" s="23">
        <f>VLOOKUP(A5, 'Raw Summary Data'!A80:X115, H$2+2, 0)</f>
        <v>1</v>
      </c>
      <c r="I5" s="23">
        <f>VLOOKUP(A5, 'Raw Summary Data'!A80:X115, I$2+2, 0)</f>
        <v>5</v>
      </c>
      <c r="J5" s="23">
        <f>VLOOKUP(A5, 'Raw Summary Data'!A80:X115, J$2+2, 0)</f>
        <v>50</v>
      </c>
      <c r="K5" s="23">
        <v>78</v>
      </c>
      <c r="M5" s="23">
        <f>VLOOKUP(A5, 'Raw Summary Data'!A80:X115, M$2+2, 0)</f>
        <v>78</v>
      </c>
      <c r="N5" s="23">
        <f>VLOOKUP(A5, 'Raw Summary Data'!A80:X115, N$2+2, 0)</f>
        <v>0</v>
      </c>
      <c r="O5" s="23">
        <f>VLOOKUP(A5, 'Raw Summary Data'!A80:X115, O$2+2, 0)</f>
        <v>0</v>
      </c>
      <c r="P5" s="23">
        <f>VLOOKUP(A5, 'Raw Summary Data'!A80:X115, P$2+2, 0)</f>
        <v>5</v>
      </c>
      <c r="Q5" s="23">
        <f>VLOOKUP(A5, 'Raw Summary Data'!A80:X115, Q$2-1, 0)</f>
        <v>42</v>
      </c>
      <c r="R5" s="23">
        <v>85</v>
      </c>
      <c r="S5" s="23"/>
      <c r="T5" s="23">
        <f>VLOOKUP(A5, 'Raw Summary Data'!A80:X115, T$2-1, 0)</f>
        <v>85</v>
      </c>
      <c r="U5" s="23">
        <f>VLOOKUP(A5, 'Raw Summary Data'!A80:X115, U$2-1, 0)</f>
        <v>0</v>
      </c>
      <c r="V5" s="23">
        <f>VLOOKUP(A5, 'Raw Summary Data'!A80:X115, V$2-1, 0)</f>
        <v>0</v>
      </c>
      <c r="W5" s="23">
        <f>VLOOKUP(A5, 'Raw Summary Data'!A80:X115, W$2-1, 0)</f>
        <v>0</v>
      </c>
      <c r="X5" s="23">
        <f>VLOOKUP(A5, 'Raw Summary Data'!A80:X115, X$2-1, 0)</f>
        <v>0</v>
      </c>
      <c r="Y5" s="23">
        <f>VLOOKUP(A5, 'Raw Summary Data'!A80:X115, Y$2-2, 0)</f>
        <v>0</v>
      </c>
      <c r="Z5" s="23">
        <v>0</v>
      </c>
      <c r="AA5" s="23">
        <f>VLOOKUP(A5, 'Raw Summary Data'!A80:X115, 23, 0)</f>
        <v>48</v>
      </c>
      <c r="AB5" s="23">
        <v>88</v>
      </c>
      <c r="AC5" s="23"/>
      <c r="AD5" s="23">
        <f>VLOOKUP(A5, 'Raw Summary Data'!A80:X115, 22, 0)</f>
        <v>88</v>
      </c>
    </row>
    <row r="6" spans="1:33" ht="15" customHeight="1" x14ac:dyDescent="0.2">
      <c r="A6" s="60" t="s">
        <v>219</v>
      </c>
      <c r="B6" s="61">
        <v>11</v>
      </c>
      <c r="C6" s="23">
        <f>VLOOKUP(A6, 'Raw Summary Data'!A81:X116, C$2+2, 0)</f>
        <v>0</v>
      </c>
      <c r="D6" s="23">
        <f>VLOOKUP(A6, 'Raw Summary Data'!A81:X116, D$2+2, 0)</f>
        <v>0</v>
      </c>
      <c r="E6" s="23">
        <f>VLOOKUP(A6, 'Raw Summary Data'!A81:X116, E$2+2, 0)</f>
        <v>0</v>
      </c>
      <c r="F6" s="23">
        <f>VLOOKUP(A6, 'Raw Summary Data'!A81:X116, F$2+2, 0)</f>
        <v>0</v>
      </c>
      <c r="G6" s="23">
        <f>VLOOKUP(A6, 'Raw Summary Data'!A81:X116, G$2+2, 0)</f>
        <v>0</v>
      </c>
      <c r="H6" s="23">
        <f>VLOOKUP(A6, 'Raw Summary Data'!A81:X116, H$2+2, 0)</f>
        <v>0</v>
      </c>
      <c r="I6" s="23">
        <f>VLOOKUP(A6, 'Raw Summary Data'!A81:X116, I$2+2, 0)</f>
        <v>5</v>
      </c>
      <c r="J6" s="23">
        <f>VLOOKUP(A6, 'Raw Summary Data'!A81:X116, J$2+2, 0)</f>
        <v>50</v>
      </c>
      <c r="K6" s="23">
        <v>82</v>
      </c>
      <c r="M6" s="23">
        <f>VLOOKUP(A6, 'Raw Summary Data'!A81:X116, M$2+2, 0)</f>
        <v>82</v>
      </c>
      <c r="N6" s="23">
        <f>VLOOKUP(A6, 'Raw Summary Data'!A81:X116, N$2+2, 0)</f>
        <v>0</v>
      </c>
      <c r="O6" s="23">
        <f>VLOOKUP(A6, 'Raw Summary Data'!A81:X116, O$2+2, 0)</f>
        <v>0</v>
      </c>
      <c r="P6" s="23">
        <f>VLOOKUP(A6, 'Raw Summary Data'!A81:X116, P$2+2, 0)</f>
        <v>5</v>
      </c>
      <c r="Q6" s="23">
        <f>VLOOKUP(A6, 'Raw Summary Data'!A81:X116, Q$2-1, 0)</f>
        <v>48.5</v>
      </c>
      <c r="R6" s="23">
        <v>62</v>
      </c>
      <c r="S6" s="23"/>
      <c r="T6" s="23">
        <f>VLOOKUP(A6, 'Raw Summary Data'!A81:X116, T$2-1, 0)</f>
        <v>62</v>
      </c>
      <c r="U6" s="23">
        <f>VLOOKUP(A6, 'Raw Summary Data'!A81:X116, U$2-1, 0)</f>
        <v>0</v>
      </c>
      <c r="V6" s="23">
        <f>VLOOKUP(A6, 'Raw Summary Data'!A81:X116, V$2-1, 0)</f>
        <v>0</v>
      </c>
      <c r="W6" s="23">
        <f>VLOOKUP(A6, 'Raw Summary Data'!A81:X116, W$2-1, 0)</f>
        <v>0</v>
      </c>
      <c r="X6" s="23">
        <f>VLOOKUP(A6, 'Raw Summary Data'!A81:X116, X$2-1, 0)</f>
        <v>0</v>
      </c>
      <c r="Y6" s="23">
        <f>VLOOKUP(A6, 'Raw Summary Data'!A81:X116, Y$2-2, 0)</f>
        <v>0</v>
      </c>
      <c r="Z6" s="23">
        <v>0</v>
      </c>
      <c r="AA6" s="23">
        <f>VLOOKUP(A6, 'Raw Summary Data'!A81:X116, 23, 0)</f>
        <v>43</v>
      </c>
      <c r="AB6" s="23">
        <v>62</v>
      </c>
      <c r="AC6" s="23">
        <v>65</v>
      </c>
      <c r="AD6" s="23">
        <f>VLOOKUP(A6, 'Raw Summary Data'!A81:X116, 22, 0)</f>
        <v>65</v>
      </c>
    </row>
    <row r="7" spans="1:33" ht="15" customHeight="1" x14ac:dyDescent="0.2">
      <c r="A7" s="60" t="s">
        <v>221</v>
      </c>
      <c r="B7" s="61">
        <v>11</v>
      </c>
      <c r="C7" s="23">
        <f>VLOOKUP(A7, 'Raw Summary Data'!A82:X117, C$2+2, 0)</f>
        <v>1</v>
      </c>
      <c r="D7" s="23">
        <f>VLOOKUP(A7, 'Raw Summary Data'!A82:X117, D$2+2, 0)</f>
        <v>1</v>
      </c>
      <c r="E7" s="23">
        <f>VLOOKUP(A7, 'Raw Summary Data'!A82:X117, E$2+2, 0)</f>
        <v>1</v>
      </c>
      <c r="F7" s="23">
        <f>VLOOKUP(A7, 'Raw Summary Data'!A82:X117, F$2+2, 0)</f>
        <v>0</v>
      </c>
      <c r="G7" s="23">
        <f>VLOOKUP(A7, 'Raw Summary Data'!A82:X117, G$2+2, 0)</f>
        <v>0</v>
      </c>
      <c r="H7" s="23">
        <f>VLOOKUP(A7, 'Raw Summary Data'!A82:X117, H$2+2, 0)</f>
        <v>1</v>
      </c>
      <c r="I7" s="23">
        <f>VLOOKUP(A7, 'Raw Summary Data'!A82:X117, I$2+2, 0)</f>
        <v>5</v>
      </c>
      <c r="J7" s="23">
        <f>VLOOKUP(A7, 'Raw Summary Data'!A82:X117, J$2+2, 0)</f>
        <v>50</v>
      </c>
      <c r="K7" s="23">
        <v>72</v>
      </c>
      <c r="M7" s="23">
        <f>VLOOKUP(A7, 'Raw Summary Data'!A82:X117, M$2+2, 0)</f>
        <v>72</v>
      </c>
      <c r="N7" s="23">
        <f>VLOOKUP(A7, 'Raw Summary Data'!A82:X117, N$2+2, 0)</f>
        <v>1</v>
      </c>
      <c r="O7" s="23">
        <f>VLOOKUP(A7, 'Raw Summary Data'!A82:X117, O$2+2, 0)</f>
        <v>1</v>
      </c>
      <c r="P7" s="23">
        <f>VLOOKUP(A7, 'Raw Summary Data'!A82:X117, P$2+2, 0)</f>
        <v>5</v>
      </c>
      <c r="Q7" s="23">
        <f>VLOOKUP(A7, 'Raw Summary Data'!A82:X117, Q$2-1, 0)</f>
        <v>46</v>
      </c>
      <c r="R7" s="23">
        <v>85</v>
      </c>
      <c r="S7" s="23"/>
      <c r="T7" s="23">
        <f>VLOOKUP(A7, 'Raw Summary Data'!A82:X117, T$2-1, 0)</f>
        <v>85</v>
      </c>
      <c r="U7" s="23">
        <f>VLOOKUP(A7, 'Raw Summary Data'!A82:X117, U$2-1, 0)</f>
        <v>5</v>
      </c>
      <c r="V7" s="23">
        <f>VLOOKUP(A7, 'Raw Summary Data'!A82:X117, V$2-1, 0)</f>
        <v>5</v>
      </c>
      <c r="W7" s="23">
        <f>VLOOKUP(A7, 'Raw Summary Data'!A82:X117, W$2-1, 0)</f>
        <v>5</v>
      </c>
      <c r="X7" s="23">
        <f>VLOOKUP(A7, 'Raw Summary Data'!A82:X117, X$2-1, 0)</f>
        <v>5</v>
      </c>
      <c r="Y7" s="23">
        <f>VLOOKUP(A7, 'Raw Summary Data'!A82:X117, Y$2-2, 0)</f>
        <v>0</v>
      </c>
      <c r="Z7" s="23">
        <v>5</v>
      </c>
      <c r="AA7" s="23">
        <f>VLOOKUP(A7, 'Raw Summary Data'!A82:X117, 23, 0)</f>
        <v>50</v>
      </c>
      <c r="AB7" s="23">
        <v>68</v>
      </c>
      <c r="AC7" s="23"/>
      <c r="AD7" s="23">
        <f>VLOOKUP(A7, 'Raw Summary Data'!A82:X117, 22, 0)</f>
        <v>68</v>
      </c>
    </row>
    <row r="8" spans="1:33" ht="15" customHeight="1" x14ac:dyDescent="0.2">
      <c r="A8" s="60" t="s">
        <v>223</v>
      </c>
      <c r="B8" s="61">
        <v>10</v>
      </c>
      <c r="C8" s="23">
        <f>VLOOKUP(A8, 'Raw Summary Data'!A83:X118, C$2+2, 0)</f>
        <v>1</v>
      </c>
      <c r="D8" s="23">
        <f>VLOOKUP(A8, 'Raw Summary Data'!A83:X118, D$2+2, 0)</f>
        <v>1</v>
      </c>
      <c r="E8" s="23">
        <f>VLOOKUP(A8, 'Raw Summary Data'!A83:X118, E$2+2, 0)</f>
        <v>1</v>
      </c>
      <c r="F8" s="23">
        <f>VLOOKUP(A8, 'Raw Summary Data'!A83:X118, F$2+2, 0)</f>
        <v>1</v>
      </c>
      <c r="G8" s="23">
        <f>VLOOKUP(A8, 'Raw Summary Data'!A83:X118, G$2+2, 0)</f>
        <v>0</v>
      </c>
      <c r="H8" s="23">
        <f>VLOOKUP(A8, 'Raw Summary Data'!A83:X118, H$2+2, 0)</f>
        <v>1</v>
      </c>
      <c r="I8" s="23">
        <f>VLOOKUP(A8, 'Raw Summary Data'!A83:X118, I$2+2, 0)</f>
        <v>5</v>
      </c>
      <c r="J8" s="23">
        <f>VLOOKUP(A8, 'Raw Summary Data'!A83:X118, J$2+2, 0)</f>
        <v>48</v>
      </c>
      <c r="K8" s="23">
        <v>93</v>
      </c>
      <c r="M8" s="23">
        <f>VLOOKUP(A8, 'Raw Summary Data'!A83:X118, M$2+2, 0)</f>
        <v>93</v>
      </c>
      <c r="N8" s="23">
        <f>VLOOKUP(A8, 'Raw Summary Data'!A83:X118, N$2+2, 0)</f>
        <v>1</v>
      </c>
      <c r="O8" s="23">
        <f>VLOOKUP(A8, 'Raw Summary Data'!A83:X118, O$2+2, 0)</f>
        <v>0</v>
      </c>
      <c r="P8" s="23">
        <f>VLOOKUP(A8, 'Raw Summary Data'!A83:X118, P$2+2, 0)</f>
        <v>5</v>
      </c>
      <c r="Q8" s="23">
        <f>VLOOKUP(A8, 'Raw Summary Data'!A83:X118, Q$2-1, 0)</f>
        <v>49</v>
      </c>
      <c r="R8" s="23">
        <v>95</v>
      </c>
      <c r="S8" s="23"/>
      <c r="T8" s="23">
        <f>VLOOKUP(A8, 'Raw Summary Data'!A83:X118, T$2-1, 0)</f>
        <v>95</v>
      </c>
      <c r="U8" s="23">
        <f>VLOOKUP(A8, 'Raw Summary Data'!A83:X118, U$2-1, 0)</f>
        <v>0</v>
      </c>
      <c r="V8" s="23">
        <f>VLOOKUP(A8, 'Raw Summary Data'!A83:X118, V$2-1, 0)</f>
        <v>5</v>
      </c>
      <c r="W8" s="23">
        <f>VLOOKUP(A8, 'Raw Summary Data'!A83:X118, W$2-1, 0)</f>
        <v>5</v>
      </c>
      <c r="X8" s="23">
        <f>VLOOKUP(A8, 'Raw Summary Data'!A83:X118, X$2-1, 0)</f>
        <v>5</v>
      </c>
      <c r="Y8" s="23">
        <f>VLOOKUP(A8, 'Raw Summary Data'!A83:X118, Y$2-2, 0)</f>
        <v>0</v>
      </c>
      <c r="Z8" s="23">
        <v>0</v>
      </c>
      <c r="AA8" s="23">
        <f>VLOOKUP(A8, 'Raw Summary Data'!A83:X118, 23, 0)</f>
        <v>50</v>
      </c>
      <c r="AB8" s="23">
        <v>92</v>
      </c>
      <c r="AC8" s="23"/>
      <c r="AD8" s="23">
        <f>VLOOKUP(A8, 'Raw Summary Data'!A83:X118, 22, 0)</f>
        <v>92</v>
      </c>
    </row>
    <row r="9" spans="1:33" ht="15" customHeight="1" x14ac:dyDescent="0.2">
      <c r="A9" s="60" t="s">
        <v>225</v>
      </c>
      <c r="B9" s="61">
        <v>11</v>
      </c>
      <c r="C9" s="23">
        <f>VLOOKUP(A9, 'Raw Summary Data'!A84:X119, C$2+2, 0)</f>
        <v>0</v>
      </c>
      <c r="D9" s="23">
        <f>VLOOKUP(A9, 'Raw Summary Data'!A84:X119, D$2+2, 0)</f>
        <v>0</v>
      </c>
      <c r="E9" s="23">
        <f>VLOOKUP(A9, 'Raw Summary Data'!A84:X119, E$2+2, 0)</f>
        <v>0</v>
      </c>
      <c r="F9" s="23">
        <f>VLOOKUP(A9, 'Raw Summary Data'!A84:X119, F$2+2, 0)</f>
        <v>0</v>
      </c>
      <c r="G9" s="23">
        <f>VLOOKUP(A9, 'Raw Summary Data'!A84:X119, G$2+2, 0)</f>
        <v>0</v>
      </c>
      <c r="H9" s="23">
        <f>VLOOKUP(A9, 'Raw Summary Data'!A84:X119, H$2+2, 0)</f>
        <v>0</v>
      </c>
      <c r="I9" s="23">
        <f>VLOOKUP(A9, 'Raw Summary Data'!A84:X119, I$2+2, 0)</f>
        <v>5</v>
      </c>
      <c r="J9" s="23">
        <f>VLOOKUP(A9, 'Raw Summary Data'!A84:X119, J$2+2, 0)</f>
        <v>47</v>
      </c>
      <c r="K9" s="23">
        <v>76</v>
      </c>
      <c r="M9" s="23">
        <f>VLOOKUP(A9, 'Raw Summary Data'!A84:X119, M$2+2, 0)</f>
        <v>76</v>
      </c>
      <c r="N9" s="23">
        <f>VLOOKUP(A9, 'Raw Summary Data'!A84:X119, N$2+2, 0)</f>
        <v>0</v>
      </c>
      <c r="O9" s="23">
        <f>VLOOKUP(A9, 'Raw Summary Data'!A84:X119, O$2+2, 0)</f>
        <v>0</v>
      </c>
      <c r="P9" s="23">
        <f>VLOOKUP(A9, 'Raw Summary Data'!A84:X119, P$2+2, 0)</f>
        <v>5</v>
      </c>
      <c r="Q9" s="23">
        <f>VLOOKUP(A9, 'Raw Summary Data'!A84:X119, Q$2-1, 0)</f>
        <v>50</v>
      </c>
      <c r="R9" s="23">
        <v>67</v>
      </c>
      <c r="S9" s="23"/>
      <c r="T9" s="23">
        <f>VLOOKUP(A9, 'Raw Summary Data'!A84:X119, T$2-1, 0)</f>
        <v>67</v>
      </c>
      <c r="U9" s="23">
        <f>VLOOKUP(A9, 'Raw Summary Data'!A84:X119, U$2-1, 0)</f>
        <v>0</v>
      </c>
      <c r="V9" s="23">
        <f>VLOOKUP(A9, 'Raw Summary Data'!A84:X119, V$2-1, 0)</f>
        <v>0</v>
      </c>
      <c r="W9" s="23">
        <f>VLOOKUP(A9, 'Raw Summary Data'!A84:X119, W$2-1, 0)</f>
        <v>0</v>
      </c>
      <c r="X9" s="23">
        <f>VLOOKUP(A9, 'Raw Summary Data'!A84:X119, X$2-1, 0)</f>
        <v>0</v>
      </c>
      <c r="Y9" s="23">
        <f>VLOOKUP(A9, 'Raw Summary Data'!A84:X119, Y$2-2, 0)</f>
        <v>0</v>
      </c>
      <c r="Z9" s="23">
        <v>0</v>
      </c>
      <c r="AA9" s="23">
        <f>VLOOKUP(A9, 'Raw Summary Data'!A84:X119, 23, 0)</f>
        <v>47</v>
      </c>
      <c r="AB9" s="23">
        <v>68</v>
      </c>
      <c r="AC9" s="23"/>
      <c r="AD9" s="23">
        <f>VLOOKUP(A9, 'Raw Summary Data'!A84:X119, 22, 0)</f>
        <v>68</v>
      </c>
    </row>
    <row r="10" spans="1:33" ht="15" customHeight="1" x14ac:dyDescent="0.2">
      <c r="A10" s="60" t="s">
        <v>227</v>
      </c>
      <c r="B10" s="61">
        <v>11</v>
      </c>
      <c r="C10" s="23">
        <f>VLOOKUP(A10, 'Raw Summary Data'!A85:X120, C$2+2, 0)</f>
        <v>1</v>
      </c>
      <c r="D10" s="23">
        <f>VLOOKUP(A10, 'Raw Summary Data'!A85:X120, D$2+2, 0)</f>
        <v>1</v>
      </c>
      <c r="E10" s="23">
        <f>VLOOKUP(A10, 'Raw Summary Data'!A85:X120, E$2+2, 0)</f>
        <v>1</v>
      </c>
      <c r="F10" s="23">
        <f>VLOOKUP(A10, 'Raw Summary Data'!A85:X120, F$2+2, 0)</f>
        <v>0.5</v>
      </c>
      <c r="G10" s="23">
        <f>VLOOKUP(A10, 'Raw Summary Data'!A85:X120, G$2+2, 0)</f>
        <v>1</v>
      </c>
      <c r="H10" s="23">
        <f>VLOOKUP(A10, 'Raw Summary Data'!A85:X120, H$2+2, 0)</f>
        <v>1</v>
      </c>
      <c r="I10" s="23">
        <f>VLOOKUP(A10, 'Raw Summary Data'!A85:X120, I$2+2, 0)</f>
        <v>5</v>
      </c>
      <c r="J10" s="23">
        <f>VLOOKUP(A10, 'Raw Summary Data'!A85:X120, J$2+2, 0)</f>
        <v>50</v>
      </c>
      <c r="K10" s="23">
        <v>99</v>
      </c>
      <c r="M10" s="23">
        <f>VLOOKUP(A10, 'Raw Summary Data'!A85:X120, M$2+2, 0)</f>
        <v>99</v>
      </c>
      <c r="N10" s="23">
        <f>VLOOKUP(A10, 'Raw Summary Data'!A85:X120, N$2+2, 0)</f>
        <v>1</v>
      </c>
      <c r="O10" s="23">
        <f>VLOOKUP(A10, 'Raw Summary Data'!A85:X120, O$2+2, 0)</f>
        <v>1</v>
      </c>
      <c r="P10" s="23">
        <f>VLOOKUP(A10, 'Raw Summary Data'!A85:X120, P$2+2, 0)</f>
        <v>5</v>
      </c>
      <c r="Q10" s="23">
        <f>VLOOKUP(A10, 'Raw Summary Data'!A85:X120, Q$2-1, 0)</f>
        <v>43.5</v>
      </c>
      <c r="R10" s="23">
        <v>75</v>
      </c>
      <c r="S10" s="23">
        <v>78</v>
      </c>
      <c r="T10" s="23">
        <f>VLOOKUP(A10, 'Raw Summary Data'!A85:X120, T$2-1, 0)</f>
        <v>78</v>
      </c>
      <c r="U10" s="23">
        <f>VLOOKUP(A10, 'Raw Summary Data'!A85:X120, U$2-1, 0)</f>
        <v>5</v>
      </c>
      <c r="V10" s="23">
        <f>VLOOKUP(A10, 'Raw Summary Data'!A85:X120, V$2-1, 0)</f>
        <v>5</v>
      </c>
      <c r="W10" s="23">
        <f>VLOOKUP(A10, 'Raw Summary Data'!A85:X120, W$2-1, 0)</f>
        <v>5</v>
      </c>
      <c r="X10" s="23">
        <f>VLOOKUP(A10, 'Raw Summary Data'!A85:X120, X$2-1, 0)</f>
        <v>5</v>
      </c>
      <c r="Y10" s="23">
        <f>VLOOKUP(A10, 'Raw Summary Data'!A85:X120, Y$2-2, 0)</f>
        <v>5</v>
      </c>
      <c r="Z10" s="23">
        <v>5</v>
      </c>
      <c r="AA10" s="23">
        <f>VLOOKUP(A10, 'Raw Summary Data'!A85:X120, 23, 0)</f>
        <v>50</v>
      </c>
      <c r="AB10" s="23">
        <v>75</v>
      </c>
      <c r="AC10" s="23">
        <v>85</v>
      </c>
      <c r="AD10" s="23">
        <f>VLOOKUP(A10, 'Raw Summary Data'!A85:X120, 22, 0)</f>
        <v>85</v>
      </c>
    </row>
    <row r="11" spans="1:33" ht="15" customHeight="1" x14ac:dyDescent="0.2">
      <c r="A11" s="60" t="s">
        <v>229</v>
      </c>
      <c r="B11" s="61">
        <v>11</v>
      </c>
      <c r="C11" s="23">
        <f>VLOOKUP(A11, 'Raw Summary Data'!A86:X121, C$2+2, 0)</f>
        <v>0</v>
      </c>
      <c r="D11" s="23">
        <f>VLOOKUP(A11, 'Raw Summary Data'!A86:X121, D$2+2, 0)</f>
        <v>0</v>
      </c>
      <c r="E11" s="23">
        <f>VLOOKUP(A11, 'Raw Summary Data'!A86:X121, E$2+2, 0)</f>
        <v>0</v>
      </c>
      <c r="F11" s="23">
        <f>VLOOKUP(A11, 'Raw Summary Data'!A86:X121, F$2+2, 0)</f>
        <v>1</v>
      </c>
      <c r="G11" s="23">
        <f>VLOOKUP(A11, 'Raw Summary Data'!A86:X121, G$2+2, 0)</f>
        <v>0</v>
      </c>
      <c r="H11" s="23">
        <f>VLOOKUP(A11, 'Raw Summary Data'!A86:X121, H$2+2, 0)</f>
        <v>1</v>
      </c>
      <c r="I11" s="23">
        <f>VLOOKUP(A11, 'Raw Summary Data'!A86:X121, I$2+2, 0)</f>
        <v>5</v>
      </c>
      <c r="J11" s="23">
        <f>VLOOKUP(A11, 'Raw Summary Data'!A86:X121, J$2+2, 0)</f>
        <v>44</v>
      </c>
      <c r="K11" s="23">
        <v>83</v>
      </c>
      <c r="M11" s="23">
        <f>VLOOKUP(A11, 'Raw Summary Data'!A86:X121, M$2+2, 0)</f>
        <v>83</v>
      </c>
      <c r="N11" s="23">
        <f>VLOOKUP(A11, 'Raw Summary Data'!A86:X121, N$2+2, 0)</f>
        <v>1</v>
      </c>
      <c r="O11" s="23">
        <f>VLOOKUP(A11, 'Raw Summary Data'!A86:X121, O$2+2, 0)</f>
        <v>1</v>
      </c>
      <c r="P11" s="23">
        <f>VLOOKUP(A11, 'Raw Summary Data'!A86:X121, P$2+2, 0)</f>
        <v>5</v>
      </c>
      <c r="Q11" s="23">
        <f>VLOOKUP(A11, 'Raw Summary Data'!A86:X121, Q$2-1, 0)</f>
        <v>39</v>
      </c>
      <c r="R11" s="23">
        <v>80</v>
      </c>
      <c r="S11" s="23">
        <v>76</v>
      </c>
      <c r="T11" s="23">
        <f>VLOOKUP(A11, 'Raw Summary Data'!A86:X121, T$2-1, 0)</f>
        <v>80</v>
      </c>
      <c r="U11" s="23">
        <f>VLOOKUP(A11, 'Raw Summary Data'!A86:X121, U$2-1, 0)</f>
        <v>5</v>
      </c>
      <c r="V11" s="23">
        <f>VLOOKUP(A11, 'Raw Summary Data'!A86:X121, V$2-1, 0)</f>
        <v>5</v>
      </c>
      <c r="W11" s="23">
        <f>VLOOKUP(A11, 'Raw Summary Data'!A86:X121, W$2-1, 0)</f>
        <v>5</v>
      </c>
      <c r="X11" s="23">
        <f>VLOOKUP(A11, 'Raw Summary Data'!A86:X121, X$2-1, 0)</f>
        <v>5</v>
      </c>
      <c r="Y11" s="23">
        <f>VLOOKUP(A11, 'Raw Summary Data'!A86:X121, Y$2-2, 0)</f>
        <v>0</v>
      </c>
      <c r="Z11" s="23">
        <v>0</v>
      </c>
      <c r="AA11" s="23">
        <f>VLOOKUP(A11, 'Raw Summary Data'!A86:X121, 23, 0)</f>
        <v>50</v>
      </c>
      <c r="AB11" s="23">
        <v>75</v>
      </c>
      <c r="AC11" s="23">
        <v>82</v>
      </c>
      <c r="AD11" s="23">
        <f>VLOOKUP(A11, 'Raw Summary Data'!A86:X121, 22, 0)</f>
        <v>82</v>
      </c>
    </row>
    <row r="12" spans="1:33" ht="15" customHeight="1" x14ac:dyDescent="0.2">
      <c r="A12" s="60" t="s">
        <v>231</v>
      </c>
      <c r="B12" s="61">
        <v>11</v>
      </c>
      <c r="C12" s="23">
        <f>VLOOKUP(A12, 'Raw Summary Data'!A87:X122, C$2+2, 0)</f>
        <v>1</v>
      </c>
      <c r="D12" s="23">
        <f>VLOOKUP(A12, 'Raw Summary Data'!A87:X122, D$2+2, 0)</f>
        <v>1</v>
      </c>
      <c r="E12" s="23">
        <f>VLOOKUP(A12, 'Raw Summary Data'!A87:X122, E$2+2, 0)</f>
        <v>1</v>
      </c>
      <c r="F12" s="23">
        <f>VLOOKUP(A12, 'Raw Summary Data'!A87:X122, F$2+2, 0)</f>
        <v>0</v>
      </c>
      <c r="G12" s="23">
        <f>VLOOKUP(A12, 'Raw Summary Data'!A87:X122, G$2+2, 0)</f>
        <v>0</v>
      </c>
      <c r="H12" s="23">
        <f>VLOOKUP(A12, 'Raw Summary Data'!A87:X122, H$2+2, 0)</f>
        <v>1</v>
      </c>
      <c r="I12" s="23">
        <f>VLOOKUP(A12, 'Raw Summary Data'!A87:X122, I$2+2, 0)</f>
        <v>5</v>
      </c>
      <c r="J12" s="23">
        <f>VLOOKUP(A12, 'Raw Summary Data'!A87:X122, J$2+2, 0)</f>
        <v>50</v>
      </c>
      <c r="K12" s="23">
        <v>63</v>
      </c>
      <c r="M12" s="23">
        <f>VLOOKUP(A12, 'Raw Summary Data'!A87:X122, M$2+2, 0)</f>
        <v>63</v>
      </c>
      <c r="N12" s="23">
        <f>VLOOKUP(A12, 'Raw Summary Data'!A87:X122, N$2+2, 0)</f>
        <v>1</v>
      </c>
      <c r="O12" s="23">
        <f>VLOOKUP(A12, 'Raw Summary Data'!A87:X122, O$2+2, 0)</f>
        <v>0</v>
      </c>
      <c r="P12" s="23">
        <f>VLOOKUP(A12, 'Raw Summary Data'!A87:X122, P$2+2, 0)</f>
        <v>5</v>
      </c>
      <c r="Q12" s="23">
        <f>VLOOKUP(A12, 'Raw Summary Data'!A87:X122, Q$2-1, 0)</f>
        <v>48.5</v>
      </c>
      <c r="R12" s="23">
        <v>0</v>
      </c>
      <c r="S12" s="23"/>
      <c r="T12" s="23">
        <f>VLOOKUP(A12, 'Raw Summary Data'!A87:X122, T$2-1, 0)</f>
        <v>0</v>
      </c>
      <c r="U12" s="23">
        <f>VLOOKUP(A12, 'Raw Summary Data'!A87:X122, U$2-1, 0)</f>
        <v>0</v>
      </c>
      <c r="V12" s="23">
        <f>VLOOKUP(A12, 'Raw Summary Data'!A87:X122, V$2-1, 0)</f>
        <v>0</v>
      </c>
      <c r="W12" s="23">
        <f>VLOOKUP(A12, 'Raw Summary Data'!A87:X122, W$2-1, 0)</f>
        <v>0</v>
      </c>
      <c r="X12" s="23">
        <f>VLOOKUP(A12, 'Raw Summary Data'!A87:X122, X$2-1, 0)</f>
        <v>0</v>
      </c>
      <c r="Y12" s="23">
        <f>VLOOKUP(A12, 'Raw Summary Data'!A87:X122, Y$2-2, 0)</f>
        <v>0</v>
      </c>
      <c r="Z12" s="23">
        <v>0</v>
      </c>
      <c r="AA12" s="23">
        <f>VLOOKUP(A12, 'Raw Summary Data'!A87:X122, 23, 0)</f>
        <v>45</v>
      </c>
      <c r="AB12" s="23">
        <v>62</v>
      </c>
      <c r="AC12" s="23"/>
      <c r="AD12" s="23">
        <f>VLOOKUP(A12, 'Raw Summary Data'!A87:X122, 22, 0)</f>
        <v>62</v>
      </c>
    </row>
    <row r="13" spans="1:33" ht="15" customHeight="1" x14ac:dyDescent="0.2">
      <c r="A13" s="60" t="s">
        <v>233</v>
      </c>
      <c r="B13" s="61">
        <v>11</v>
      </c>
      <c r="C13" s="23">
        <f>VLOOKUP(A13, 'Raw Summary Data'!A88:X123, C$2+2, 0)</f>
        <v>1</v>
      </c>
      <c r="D13" s="23">
        <f>VLOOKUP(A13, 'Raw Summary Data'!A88:X123, D$2+2, 0)</f>
        <v>1</v>
      </c>
      <c r="E13" s="23">
        <f>VLOOKUP(A13, 'Raw Summary Data'!A88:X123, E$2+2, 0)</f>
        <v>1</v>
      </c>
      <c r="F13" s="23">
        <f>VLOOKUP(A13, 'Raw Summary Data'!A88:X123, F$2+2, 0)</f>
        <v>0</v>
      </c>
      <c r="G13" s="23">
        <f>VLOOKUP(A13, 'Raw Summary Data'!A88:X123, G$2+2, 0)</f>
        <v>0</v>
      </c>
      <c r="H13" s="23">
        <f>VLOOKUP(A13, 'Raw Summary Data'!A88:X123, H$2+2, 0)</f>
        <v>1</v>
      </c>
      <c r="I13" s="23">
        <f>VLOOKUP(A13, 'Raw Summary Data'!A88:X123, I$2+2, 0)</f>
        <v>5</v>
      </c>
      <c r="J13" s="23">
        <f>VLOOKUP(A13, 'Raw Summary Data'!A88:X123, J$2+2, 0)</f>
        <v>48</v>
      </c>
      <c r="K13" s="23">
        <v>78</v>
      </c>
      <c r="M13" s="23">
        <f>VLOOKUP(A13, 'Raw Summary Data'!A88:X123, M$2+2, 0)</f>
        <v>78</v>
      </c>
      <c r="N13" s="23">
        <f>VLOOKUP(A13, 'Raw Summary Data'!A88:X123, N$2+2, 0)</f>
        <v>1</v>
      </c>
      <c r="O13" s="23">
        <f>VLOOKUP(A13, 'Raw Summary Data'!A88:X123, O$2+2, 0)</f>
        <v>1</v>
      </c>
      <c r="P13" s="23">
        <f>VLOOKUP(A13, 'Raw Summary Data'!A88:X123, P$2+2, 0)</f>
        <v>5</v>
      </c>
      <c r="Q13" s="23">
        <f>VLOOKUP(A13, 'Raw Summary Data'!A88:X123, Q$2-1, 0)</f>
        <v>49.5</v>
      </c>
      <c r="R13" s="23">
        <v>68</v>
      </c>
      <c r="S13" s="23">
        <v>75</v>
      </c>
      <c r="T13" s="23">
        <f>VLOOKUP(A13, 'Raw Summary Data'!A88:X123, T$2-1, 0)</f>
        <v>75</v>
      </c>
      <c r="U13" s="23">
        <f>VLOOKUP(A13, 'Raw Summary Data'!A88:X123, U$2-1, 0)</f>
        <v>5</v>
      </c>
      <c r="V13" s="23">
        <f>VLOOKUP(A13, 'Raw Summary Data'!A88:X123, V$2-1, 0)</f>
        <v>0</v>
      </c>
      <c r="W13" s="23">
        <f>VLOOKUP(A13, 'Raw Summary Data'!A88:X123, W$2-1, 0)</f>
        <v>5</v>
      </c>
      <c r="X13" s="23">
        <f>VLOOKUP(A13, 'Raw Summary Data'!A88:X123, X$2-1, 0)</f>
        <v>5</v>
      </c>
      <c r="Y13" s="23">
        <f>VLOOKUP(A13, 'Raw Summary Data'!A88:X123, Y$2-2, 0)</f>
        <v>0</v>
      </c>
      <c r="Z13" s="23">
        <v>0</v>
      </c>
      <c r="AA13" s="23">
        <f>VLOOKUP(A13, 'Raw Summary Data'!A88:X123, 23, 0)</f>
        <v>50</v>
      </c>
      <c r="AB13" s="23">
        <v>78</v>
      </c>
      <c r="AC13" s="23"/>
      <c r="AD13" s="23">
        <f>VLOOKUP(A13, 'Raw Summary Data'!A88:X123, 22, 0)</f>
        <v>78</v>
      </c>
    </row>
    <row r="14" spans="1:33" ht="15" customHeight="1" x14ac:dyDescent="0.2">
      <c r="A14" s="60" t="s">
        <v>235</v>
      </c>
      <c r="B14" s="61">
        <v>11</v>
      </c>
      <c r="C14" s="23">
        <f>VLOOKUP(A14, 'Raw Summary Data'!A89:X124, C$2+2, 0)</f>
        <v>0</v>
      </c>
      <c r="D14" s="23">
        <f>VLOOKUP(A14, 'Raw Summary Data'!A89:X124, D$2+2, 0)</f>
        <v>1</v>
      </c>
      <c r="E14" s="23">
        <f>VLOOKUP(A14, 'Raw Summary Data'!A89:X124, E$2+2, 0)</f>
        <v>1</v>
      </c>
      <c r="F14" s="23">
        <f>VLOOKUP(A14, 'Raw Summary Data'!A89:X124, F$2+2, 0)</f>
        <v>1</v>
      </c>
      <c r="G14" s="23">
        <f>VLOOKUP(A14, 'Raw Summary Data'!A89:X124, G$2+2, 0)</f>
        <v>1</v>
      </c>
      <c r="H14" s="23">
        <f>VLOOKUP(A14, 'Raw Summary Data'!A89:X124, H$2+2, 0)</f>
        <v>1</v>
      </c>
      <c r="I14" s="23">
        <f>VLOOKUP(A14, 'Raw Summary Data'!A89:X124, I$2+2, 0)</f>
        <v>5</v>
      </c>
      <c r="J14" s="23">
        <f>VLOOKUP(A14, 'Raw Summary Data'!A89:X124, J$2+2, 0)</f>
        <v>42</v>
      </c>
      <c r="K14" s="23">
        <v>93</v>
      </c>
      <c r="M14" s="23">
        <f>VLOOKUP(A14, 'Raw Summary Data'!A89:X124, M$2+2, 0)</f>
        <v>93</v>
      </c>
      <c r="N14" s="23">
        <f>VLOOKUP(A14, 'Raw Summary Data'!A89:X124, N$2+2, 0)</f>
        <v>1</v>
      </c>
      <c r="O14" s="23">
        <f>VLOOKUP(A14, 'Raw Summary Data'!A89:X124, O$2+2, 0)</f>
        <v>1</v>
      </c>
      <c r="P14" s="23">
        <f>VLOOKUP(A14, 'Raw Summary Data'!A89:X124, P$2+2, 0)</f>
        <v>5</v>
      </c>
      <c r="Q14" s="23">
        <f>VLOOKUP(A14, 'Raw Summary Data'!A89:X124, Q$2-1, 0)</f>
        <v>41</v>
      </c>
      <c r="R14" s="23">
        <v>86</v>
      </c>
      <c r="S14" s="23"/>
      <c r="T14" s="23">
        <f>VLOOKUP(A14, 'Raw Summary Data'!A89:X124, T$2-1, 0)</f>
        <v>86</v>
      </c>
      <c r="U14" s="23">
        <f>VLOOKUP(A14, 'Raw Summary Data'!A89:X124, U$2-1, 0)</f>
        <v>0</v>
      </c>
      <c r="V14" s="23">
        <f>VLOOKUP(A14, 'Raw Summary Data'!A89:X124, V$2-1, 0)</f>
        <v>0</v>
      </c>
      <c r="W14" s="23">
        <f>VLOOKUP(A14, 'Raw Summary Data'!A89:X124, W$2-1, 0)</f>
        <v>0</v>
      </c>
      <c r="X14" s="23">
        <f>VLOOKUP(A14, 'Raw Summary Data'!A89:X124, X$2-1, 0)</f>
        <v>0</v>
      </c>
      <c r="Y14" s="23">
        <f>VLOOKUP(A14, 'Raw Summary Data'!A89:X124, Y$2-2, 0)</f>
        <v>0</v>
      </c>
      <c r="Z14" s="23">
        <v>0</v>
      </c>
      <c r="AA14" s="23">
        <f>VLOOKUP(A14, 'Raw Summary Data'!A89:X124, 23, 0)</f>
        <v>46</v>
      </c>
      <c r="AB14" s="23">
        <v>82</v>
      </c>
      <c r="AC14" s="23"/>
      <c r="AD14" s="23">
        <f>VLOOKUP(A14, 'Raw Summary Data'!A89:X124, 22, 0)</f>
        <v>82</v>
      </c>
    </row>
    <row r="15" spans="1:33" ht="15" customHeight="1" x14ac:dyDescent="0.2">
      <c r="A15" s="60" t="s">
        <v>237</v>
      </c>
      <c r="B15" s="61">
        <v>10</v>
      </c>
      <c r="C15" s="23">
        <f>VLOOKUP(A15, 'Raw Summary Data'!A90:X125, C$2+2, 0)</f>
        <v>1</v>
      </c>
      <c r="D15" s="23">
        <f>VLOOKUP(A15, 'Raw Summary Data'!A90:X125, D$2+2, 0)</f>
        <v>1</v>
      </c>
      <c r="E15" s="23">
        <f>VLOOKUP(A15, 'Raw Summary Data'!A90:X125, E$2+2, 0)</f>
        <v>1</v>
      </c>
      <c r="F15" s="23">
        <f>VLOOKUP(A15, 'Raw Summary Data'!A90:X125, F$2+2, 0)</f>
        <v>1</v>
      </c>
      <c r="G15" s="23">
        <f>VLOOKUP(A15, 'Raw Summary Data'!A90:X125, G$2+2, 0)</f>
        <v>1</v>
      </c>
      <c r="H15" s="23">
        <f>VLOOKUP(A15, 'Raw Summary Data'!A90:X125, H$2+2, 0)</f>
        <v>1</v>
      </c>
      <c r="I15" s="23">
        <f>VLOOKUP(A15, 'Raw Summary Data'!A90:X125, I$2+2, 0)</f>
        <v>5</v>
      </c>
      <c r="J15" s="23">
        <f>VLOOKUP(A15, 'Raw Summary Data'!A90:X125, J$2+2, 0)</f>
        <v>48</v>
      </c>
      <c r="K15" s="23">
        <v>100</v>
      </c>
      <c r="M15" s="23">
        <f>VLOOKUP(A15, 'Raw Summary Data'!A90:X125, M$2+2, 0)</f>
        <v>100</v>
      </c>
      <c r="N15" s="23">
        <f>VLOOKUP(A15, 'Raw Summary Data'!A90:X125, N$2+2, 0)</f>
        <v>1</v>
      </c>
      <c r="O15" s="23">
        <f>VLOOKUP(A15, 'Raw Summary Data'!A90:X125, O$2+2, 0)</f>
        <v>1</v>
      </c>
      <c r="P15" s="23">
        <f>VLOOKUP(A15, 'Raw Summary Data'!A90:X125, P$2+2, 0)</f>
        <v>5</v>
      </c>
      <c r="Q15" s="23">
        <f>VLOOKUP(A15, 'Raw Summary Data'!A90:X125, Q$2-1, 0)</f>
        <v>50</v>
      </c>
      <c r="R15" s="23">
        <v>86</v>
      </c>
      <c r="S15" s="23"/>
      <c r="T15" s="23">
        <f>VLOOKUP(A15, 'Raw Summary Data'!A90:X125, T$2-1, 0)</f>
        <v>86</v>
      </c>
      <c r="U15" s="23">
        <f>VLOOKUP(A15, 'Raw Summary Data'!A90:X125, U$2-1, 0)</f>
        <v>5</v>
      </c>
      <c r="V15" s="23">
        <f>VLOOKUP(A15, 'Raw Summary Data'!A90:X125, V$2-1, 0)</f>
        <v>5</v>
      </c>
      <c r="W15" s="23">
        <f>VLOOKUP(A15, 'Raw Summary Data'!A90:X125, W$2-1, 0)</f>
        <v>5</v>
      </c>
      <c r="X15" s="23">
        <f>VLOOKUP(A15, 'Raw Summary Data'!A90:X125, X$2-1, 0)</f>
        <v>5</v>
      </c>
      <c r="Y15" s="23">
        <f>VLOOKUP(A15, 'Raw Summary Data'!A90:X125, Y$2-2, 0)</f>
        <v>5</v>
      </c>
      <c r="Z15" s="23">
        <v>5</v>
      </c>
      <c r="AA15" s="23">
        <f>VLOOKUP(A15, 'Raw Summary Data'!A90:X125, 23, 0)</f>
        <v>50</v>
      </c>
      <c r="AB15" s="23">
        <v>92</v>
      </c>
      <c r="AC15" s="23"/>
      <c r="AD15" s="23">
        <f>VLOOKUP(A15, 'Raw Summary Data'!A90:X125, 22, 0)</f>
        <v>92</v>
      </c>
    </row>
    <row r="16" spans="1:33" ht="15" customHeight="1" x14ac:dyDescent="0.2">
      <c r="A16" s="60" t="s">
        <v>239</v>
      </c>
      <c r="B16" s="61">
        <v>11</v>
      </c>
      <c r="C16" s="23">
        <f>VLOOKUP(A16, 'Raw Summary Data'!A91:X126, C$2+2, 0)</f>
        <v>0</v>
      </c>
      <c r="D16" s="23">
        <f>VLOOKUP(A16, 'Raw Summary Data'!A91:X126, D$2+2, 0)</f>
        <v>0</v>
      </c>
      <c r="E16" s="23">
        <f>VLOOKUP(A16, 'Raw Summary Data'!A91:X126, E$2+2, 0)</f>
        <v>0</v>
      </c>
      <c r="F16" s="23">
        <f>VLOOKUP(A16, 'Raw Summary Data'!A91:X126, F$2+2, 0)</f>
        <v>0</v>
      </c>
      <c r="G16" s="23">
        <f>VLOOKUP(A16, 'Raw Summary Data'!A91:X126, G$2+2, 0)</f>
        <v>0</v>
      </c>
      <c r="H16" s="23">
        <f>VLOOKUP(A16, 'Raw Summary Data'!A91:X126, H$2+2, 0)</f>
        <v>0</v>
      </c>
      <c r="I16" s="23">
        <f>VLOOKUP(A16, 'Raw Summary Data'!A91:X126, I$2+2, 0)</f>
        <v>5</v>
      </c>
      <c r="J16" s="23">
        <f>VLOOKUP(A16, 'Raw Summary Data'!A91:X126, J$2+2, 0)</f>
        <v>28</v>
      </c>
      <c r="K16" s="23">
        <v>90</v>
      </c>
      <c r="M16" s="23">
        <f>VLOOKUP(A16, 'Raw Summary Data'!A91:X126, M$2+2, 0)</f>
        <v>90</v>
      </c>
      <c r="N16" s="23">
        <f>VLOOKUP(A16, 'Raw Summary Data'!A91:X126, N$2+2, 0)</f>
        <v>0</v>
      </c>
      <c r="O16" s="23">
        <f>VLOOKUP(A16, 'Raw Summary Data'!A91:X126, O$2+2, 0)</f>
        <v>0</v>
      </c>
      <c r="P16" s="23">
        <f>VLOOKUP(A16, 'Raw Summary Data'!A91:X126, P$2+2, 0)</f>
        <v>5</v>
      </c>
      <c r="Q16" s="23">
        <f>VLOOKUP(A16, 'Raw Summary Data'!A91:X126, Q$2-1, 0)</f>
        <v>39</v>
      </c>
      <c r="R16" s="23">
        <v>85</v>
      </c>
      <c r="S16" s="23"/>
      <c r="T16" s="23">
        <f>VLOOKUP(A16, 'Raw Summary Data'!A91:X126, T$2-1, 0)</f>
        <v>85</v>
      </c>
      <c r="U16" s="23">
        <f>VLOOKUP(A16, 'Raw Summary Data'!A91:X126, U$2-1, 0)</f>
        <v>0</v>
      </c>
      <c r="V16" s="23">
        <f>VLOOKUP(A16, 'Raw Summary Data'!A91:X126, V$2-1, 0)</f>
        <v>0</v>
      </c>
      <c r="W16" s="23">
        <f>VLOOKUP(A16, 'Raw Summary Data'!A91:X126, W$2-1, 0)</f>
        <v>0</v>
      </c>
      <c r="X16" s="23">
        <f>VLOOKUP(A16, 'Raw Summary Data'!A91:X126, X$2-1, 0)</f>
        <v>0</v>
      </c>
      <c r="Y16" s="23">
        <f>VLOOKUP(A16, 'Raw Summary Data'!A91:X126, Y$2-2, 0)</f>
        <v>0</v>
      </c>
      <c r="Z16" s="23">
        <v>0</v>
      </c>
      <c r="AA16" s="23">
        <f>VLOOKUP(A16, 'Raw Summary Data'!A91:X126, 23, 0)</f>
        <v>43</v>
      </c>
      <c r="AB16" s="23">
        <v>72</v>
      </c>
      <c r="AC16" s="23"/>
      <c r="AD16" s="23">
        <f>VLOOKUP(A16, 'Raw Summary Data'!A91:X126, 22, 0)</f>
        <v>72</v>
      </c>
    </row>
    <row r="17" spans="1:30" ht="15" customHeight="1" x14ac:dyDescent="0.2">
      <c r="A17" s="60" t="s">
        <v>241</v>
      </c>
      <c r="B17" s="61">
        <v>11</v>
      </c>
      <c r="C17" s="23">
        <f>VLOOKUP(A17, 'Raw Summary Data'!A92:X127, C$2+2, 0)</f>
        <v>0</v>
      </c>
      <c r="D17" s="23">
        <f>VLOOKUP(A17, 'Raw Summary Data'!A92:X127, D$2+2, 0)</f>
        <v>0</v>
      </c>
      <c r="E17" s="23">
        <f>VLOOKUP(A17, 'Raw Summary Data'!A92:X127, E$2+2, 0)</f>
        <v>0</v>
      </c>
      <c r="F17" s="23">
        <f>VLOOKUP(A17, 'Raw Summary Data'!A92:X127, F$2+2, 0)</f>
        <v>0</v>
      </c>
      <c r="G17" s="23">
        <f>VLOOKUP(A17, 'Raw Summary Data'!A92:X127, G$2+2, 0)</f>
        <v>0</v>
      </c>
      <c r="H17" s="23">
        <f>VLOOKUP(A17, 'Raw Summary Data'!A92:X127, H$2+2, 0)</f>
        <v>0</v>
      </c>
      <c r="I17" s="23">
        <f>VLOOKUP(A17, 'Raw Summary Data'!A92:X127, I$2+2, 0)</f>
        <v>5</v>
      </c>
      <c r="J17" s="23">
        <f>VLOOKUP(A17, 'Raw Summary Data'!A92:X127, J$2+2, 0)</f>
        <v>40</v>
      </c>
      <c r="K17" s="23">
        <v>60</v>
      </c>
      <c r="M17" s="23">
        <f>VLOOKUP(A17, 'Raw Summary Data'!A92:X127, M$2+2, 0)</f>
        <v>60</v>
      </c>
      <c r="N17" s="23">
        <f>VLOOKUP(A17, 'Raw Summary Data'!A92:X127, N$2+2, 0)</f>
        <v>0</v>
      </c>
      <c r="O17" s="23">
        <f>VLOOKUP(A17, 'Raw Summary Data'!A92:X127, O$2+2, 0)</f>
        <v>0</v>
      </c>
      <c r="P17" s="23">
        <f>VLOOKUP(A17, 'Raw Summary Data'!A92:X127, P$2+2, 0)</f>
        <v>0</v>
      </c>
      <c r="Q17" s="23">
        <f>VLOOKUP(A17, 'Raw Summary Data'!A92:X127, Q$2-1, 0)</f>
        <v>39</v>
      </c>
      <c r="R17" s="23">
        <v>63</v>
      </c>
      <c r="S17" s="23"/>
      <c r="T17" s="23">
        <f>VLOOKUP(A17, 'Raw Summary Data'!A92:X127, T$2-1, 0)</f>
        <v>63</v>
      </c>
      <c r="U17" s="23">
        <f>VLOOKUP(A17, 'Raw Summary Data'!A92:X127, U$2-1, 0)</f>
        <v>0</v>
      </c>
      <c r="V17" s="23">
        <f>VLOOKUP(A17, 'Raw Summary Data'!A92:X127, V$2-1, 0)</f>
        <v>0</v>
      </c>
      <c r="W17" s="23">
        <f>VLOOKUP(A17, 'Raw Summary Data'!A92:X127, W$2-1, 0)</f>
        <v>0</v>
      </c>
      <c r="X17" s="23">
        <f>VLOOKUP(A17, 'Raw Summary Data'!A92:X127, X$2-1, 0)</f>
        <v>0</v>
      </c>
      <c r="Y17" s="23">
        <f>VLOOKUP(A17, 'Raw Summary Data'!A92:X127, Y$2-2, 0)</f>
        <v>0</v>
      </c>
      <c r="Z17" s="23">
        <v>0</v>
      </c>
      <c r="AA17" s="23">
        <f>VLOOKUP(A17, 'Raw Summary Data'!A92:X127, 23, 0)</f>
        <v>44</v>
      </c>
      <c r="AB17" s="23">
        <v>30</v>
      </c>
      <c r="AC17" s="23"/>
      <c r="AD17" s="23">
        <f>VLOOKUP(A17, 'Raw Summary Data'!A92:X127, 22, 0)</f>
        <v>30</v>
      </c>
    </row>
    <row r="18" spans="1:30" ht="15" customHeight="1" x14ac:dyDescent="0.2">
      <c r="A18" s="60" t="s">
        <v>243</v>
      </c>
      <c r="B18" s="61">
        <v>11</v>
      </c>
      <c r="C18" s="23">
        <f>VLOOKUP(A18, 'Raw Summary Data'!A93:X128, C$2+2, 0)</f>
        <v>1</v>
      </c>
      <c r="D18" s="23">
        <f>VLOOKUP(A18, 'Raw Summary Data'!A93:X128, D$2+2, 0)</f>
        <v>1</v>
      </c>
      <c r="E18" s="23">
        <f>VLOOKUP(A18, 'Raw Summary Data'!A93:X128, E$2+2, 0)</f>
        <v>1</v>
      </c>
      <c r="F18" s="23">
        <f>VLOOKUP(A18, 'Raw Summary Data'!A93:X128, F$2+2, 0)</f>
        <v>0</v>
      </c>
      <c r="G18" s="23">
        <f>VLOOKUP(A18, 'Raw Summary Data'!A93:X128, G$2+2, 0)</f>
        <v>0</v>
      </c>
      <c r="H18" s="23">
        <f>VLOOKUP(A18, 'Raw Summary Data'!A93:X128, H$2+2, 0)</f>
        <v>0</v>
      </c>
      <c r="I18" s="23">
        <f>VLOOKUP(A18, 'Raw Summary Data'!A93:X128, I$2+2, 0)</f>
        <v>5</v>
      </c>
      <c r="J18" s="23">
        <f>VLOOKUP(A18, 'Raw Summary Data'!A93:X128, J$2+2, 0)</f>
        <v>49</v>
      </c>
      <c r="K18" s="23">
        <v>76</v>
      </c>
      <c r="M18" s="23">
        <f>VLOOKUP(A18, 'Raw Summary Data'!A93:X128, M$2+2, 0)</f>
        <v>76</v>
      </c>
      <c r="N18" s="23">
        <f>VLOOKUP(A18, 'Raw Summary Data'!A93:X128, N$2+2, 0)</f>
        <v>0</v>
      </c>
      <c r="O18" s="23">
        <f>VLOOKUP(A18, 'Raw Summary Data'!A93:X128, O$2+2, 0)</f>
        <v>1</v>
      </c>
      <c r="P18" s="23">
        <f>VLOOKUP(A18, 'Raw Summary Data'!A93:X128, P$2+2, 0)</f>
        <v>5</v>
      </c>
      <c r="Q18" s="23">
        <f>VLOOKUP(A18, 'Raw Summary Data'!A93:X128, Q$2-1, 0)</f>
        <v>40</v>
      </c>
      <c r="R18" s="23">
        <v>70</v>
      </c>
      <c r="S18" s="23">
        <v>82</v>
      </c>
      <c r="T18" s="23">
        <f>VLOOKUP(A18, 'Raw Summary Data'!A93:X128, T$2-1, 0)</f>
        <v>82</v>
      </c>
      <c r="U18" s="23">
        <f>VLOOKUP(A18, 'Raw Summary Data'!A93:X128, U$2-1, 0)</f>
        <v>5</v>
      </c>
      <c r="V18" s="23">
        <f>VLOOKUP(A18, 'Raw Summary Data'!A93:X128, V$2-1, 0)</f>
        <v>5</v>
      </c>
      <c r="W18" s="23">
        <f>VLOOKUP(A18, 'Raw Summary Data'!A93:X128, W$2-1, 0)</f>
        <v>5</v>
      </c>
      <c r="X18" s="23">
        <f>VLOOKUP(A18, 'Raw Summary Data'!A93:X128, X$2-1, 0)</f>
        <v>5</v>
      </c>
      <c r="Y18" s="23">
        <f>VLOOKUP(A18, 'Raw Summary Data'!A93:X128, Y$2-2, 0)</f>
        <v>5</v>
      </c>
      <c r="Z18" s="23">
        <v>5</v>
      </c>
      <c r="AA18" s="23">
        <f>VLOOKUP(A18, 'Raw Summary Data'!A93:X128, 23, 0)</f>
        <v>47</v>
      </c>
      <c r="AB18" s="23">
        <v>75</v>
      </c>
      <c r="AC18" s="23">
        <v>82</v>
      </c>
      <c r="AD18" s="23">
        <f>VLOOKUP(A18, 'Raw Summary Data'!A93:X128, 22, 0)</f>
        <v>82</v>
      </c>
    </row>
    <row r="19" spans="1:30" ht="15" customHeight="1" x14ac:dyDescent="0.2">
      <c r="A19" s="60" t="s">
        <v>244</v>
      </c>
      <c r="B19" s="61">
        <v>11</v>
      </c>
      <c r="C19" s="23">
        <f>VLOOKUP(A19, 'Raw Summary Data'!A94:X129, C$2+2, 0)</f>
        <v>1</v>
      </c>
      <c r="D19" s="23">
        <f>VLOOKUP(A19, 'Raw Summary Data'!A94:X129, D$2+2, 0)</f>
        <v>1</v>
      </c>
      <c r="E19" s="23">
        <f>VLOOKUP(A19, 'Raw Summary Data'!A94:X129, E$2+2, 0)</f>
        <v>1</v>
      </c>
      <c r="F19" s="23">
        <f>VLOOKUP(A19, 'Raw Summary Data'!A94:X129, F$2+2, 0)</f>
        <v>1</v>
      </c>
      <c r="G19" s="23">
        <f>VLOOKUP(A19, 'Raw Summary Data'!A94:X129, G$2+2, 0)</f>
        <v>1</v>
      </c>
      <c r="H19" s="23">
        <f>VLOOKUP(A19, 'Raw Summary Data'!A94:X129, H$2+2, 0)</f>
        <v>1</v>
      </c>
      <c r="I19" s="23">
        <f>VLOOKUP(A19, 'Raw Summary Data'!A94:X129, I$2+2, 0)</f>
        <v>5</v>
      </c>
      <c r="J19" s="23">
        <f>VLOOKUP(A19, 'Raw Summary Data'!A94:X129, J$2+2, 0)</f>
        <v>47</v>
      </c>
      <c r="K19" s="23">
        <v>85</v>
      </c>
      <c r="M19" s="23">
        <f>VLOOKUP(A19, 'Raw Summary Data'!A94:X129, M$2+2, 0)</f>
        <v>85</v>
      </c>
      <c r="N19" s="23">
        <f>VLOOKUP(A19, 'Raw Summary Data'!A94:X129, N$2+2, 0)</f>
        <v>1</v>
      </c>
      <c r="O19" s="23">
        <f>VLOOKUP(A19, 'Raw Summary Data'!A94:X129, O$2+2, 0)</f>
        <v>1</v>
      </c>
      <c r="P19" s="23">
        <f>VLOOKUP(A19, 'Raw Summary Data'!A94:X129, P$2+2, 0)</f>
        <v>5</v>
      </c>
      <c r="Q19" s="23">
        <f>VLOOKUP(A19, 'Raw Summary Data'!A94:X129, Q$2-1, 0)</f>
        <v>50</v>
      </c>
      <c r="R19" s="23">
        <v>80</v>
      </c>
      <c r="S19" s="23"/>
      <c r="T19" s="23">
        <f>VLOOKUP(A19, 'Raw Summary Data'!A94:X129, T$2-1, 0)</f>
        <v>80</v>
      </c>
      <c r="U19" s="23">
        <f>VLOOKUP(A19, 'Raw Summary Data'!A94:X129, U$2-1, 0)</f>
        <v>5</v>
      </c>
      <c r="V19" s="23">
        <f>VLOOKUP(A19, 'Raw Summary Data'!A94:X129, V$2-1, 0)</f>
        <v>5</v>
      </c>
      <c r="W19" s="23">
        <f>VLOOKUP(A19, 'Raw Summary Data'!A94:X129, W$2-1, 0)</f>
        <v>5</v>
      </c>
      <c r="X19" s="23">
        <f>VLOOKUP(A19, 'Raw Summary Data'!A94:X129, X$2-1, 0)</f>
        <v>5</v>
      </c>
      <c r="Y19" s="23">
        <f>VLOOKUP(A19, 'Raw Summary Data'!A94:X129, Y$2-2, 0)</f>
        <v>5</v>
      </c>
      <c r="Z19" s="23">
        <v>5</v>
      </c>
      <c r="AA19" s="23">
        <f>VLOOKUP(A19, 'Raw Summary Data'!A94:X129, 23, 0)</f>
        <v>50</v>
      </c>
      <c r="AB19" s="23">
        <v>85</v>
      </c>
      <c r="AC19" s="23"/>
      <c r="AD19" s="23">
        <f>VLOOKUP(A19, 'Raw Summary Data'!A94:X129, 22, 0)</f>
        <v>85</v>
      </c>
    </row>
    <row r="20" spans="1:30" ht="15" customHeight="1" x14ac:dyDescent="0.2">
      <c r="A20" s="60" t="s">
        <v>246</v>
      </c>
      <c r="B20" s="61">
        <v>11</v>
      </c>
      <c r="C20" s="23">
        <f>VLOOKUP(A20, 'Raw Summary Data'!A95:X130, C$2+2, 0)</f>
        <v>0</v>
      </c>
      <c r="D20" s="23">
        <f>VLOOKUP(A20, 'Raw Summary Data'!A95:X130, D$2+2, 0)</f>
        <v>0</v>
      </c>
      <c r="E20" s="23">
        <f>VLOOKUP(A20, 'Raw Summary Data'!A95:X130, E$2+2, 0)</f>
        <v>0</v>
      </c>
      <c r="F20" s="23">
        <f>VLOOKUP(A20, 'Raw Summary Data'!A95:X130, F$2+2, 0)</f>
        <v>0</v>
      </c>
      <c r="G20" s="23">
        <f>VLOOKUP(A20, 'Raw Summary Data'!A95:X130, G$2+2, 0)</f>
        <v>0</v>
      </c>
      <c r="H20" s="23">
        <f>VLOOKUP(A20, 'Raw Summary Data'!A95:X130, H$2+2, 0)</f>
        <v>1</v>
      </c>
      <c r="I20" s="23">
        <f>VLOOKUP(A20, 'Raw Summary Data'!A95:X130, I$2+2, 0)</f>
        <v>5</v>
      </c>
      <c r="J20" s="23">
        <f>VLOOKUP(A20, 'Raw Summary Data'!A95:X130, J$2+2, 0)</f>
        <v>49</v>
      </c>
      <c r="K20" s="23">
        <v>68</v>
      </c>
      <c r="M20" s="23">
        <f>VLOOKUP(A20, 'Raw Summary Data'!A95:X130, M$2+2, 0)</f>
        <v>68</v>
      </c>
      <c r="N20" s="23">
        <f>VLOOKUP(A20, 'Raw Summary Data'!A95:X130, N$2+2, 0)</f>
        <v>0</v>
      </c>
      <c r="O20" s="23">
        <f>VLOOKUP(A20, 'Raw Summary Data'!A95:X130, O$2+2, 0)</f>
        <v>0</v>
      </c>
      <c r="P20" s="23">
        <f>VLOOKUP(A20, 'Raw Summary Data'!A95:X130, P$2+2, 0)</f>
        <v>5</v>
      </c>
      <c r="Q20" s="23">
        <f>VLOOKUP(A20, 'Raw Summary Data'!A95:X130, Q$2-1, 0)</f>
        <v>41</v>
      </c>
      <c r="R20" s="23">
        <v>66</v>
      </c>
      <c r="S20" s="23"/>
      <c r="T20" s="23">
        <f>VLOOKUP(A20, 'Raw Summary Data'!A95:X130, T$2-1, 0)</f>
        <v>66</v>
      </c>
      <c r="U20" s="23">
        <f>VLOOKUP(A20, 'Raw Summary Data'!A95:X130, U$2-1, 0)</f>
        <v>0</v>
      </c>
      <c r="V20" s="23">
        <f>VLOOKUP(A20, 'Raw Summary Data'!A95:X130, V$2-1, 0)</f>
        <v>0</v>
      </c>
      <c r="W20" s="23">
        <f>VLOOKUP(A20, 'Raw Summary Data'!A95:X130, W$2-1, 0)</f>
        <v>0</v>
      </c>
      <c r="X20" s="23">
        <f>VLOOKUP(A20, 'Raw Summary Data'!A95:X130, X$2-1, 0)</f>
        <v>0</v>
      </c>
      <c r="Y20" s="23">
        <f>VLOOKUP(A20, 'Raw Summary Data'!A95:X130, Y$2-2, 0)</f>
        <v>0</v>
      </c>
      <c r="Z20" s="23">
        <v>0</v>
      </c>
      <c r="AA20" s="23">
        <f>VLOOKUP(A20, 'Raw Summary Data'!A95:X130, 23, 0)</f>
        <v>11</v>
      </c>
      <c r="AB20" s="23">
        <v>65</v>
      </c>
      <c r="AC20" s="23">
        <v>62</v>
      </c>
      <c r="AD20" s="23">
        <f>VLOOKUP(A20, 'Raw Summary Data'!A95:X130, 22, 0)</f>
        <v>65</v>
      </c>
    </row>
    <row r="21" spans="1:30" ht="15" customHeight="1" x14ac:dyDescent="0.2">
      <c r="A21" s="60" t="s">
        <v>248</v>
      </c>
      <c r="B21" s="61">
        <v>11</v>
      </c>
      <c r="C21" s="23">
        <f>VLOOKUP(A21, 'Raw Summary Data'!A96:X131, C$2+2, 0)</f>
        <v>1</v>
      </c>
      <c r="D21" s="23">
        <f>VLOOKUP(A21, 'Raw Summary Data'!A96:X131, D$2+2, 0)</f>
        <v>1</v>
      </c>
      <c r="E21" s="23">
        <f>VLOOKUP(A21, 'Raw Summary Data'!A96:X131, E$2+2, 0)</f>
        <v>1</v>
      </c>
      <c r="F21" s="23">
        <f>VLOOKUP(A21, 'Raw Summary Data'!A96:X131, F$2+2, 0)</f>
        <v>1</v>
      </c>
      <c r="G21" s="23">
        <f>VLOOKUP(A21, 'Raw Summary Data'!A96:X131, G$2+2, 0)</f>
        <v>0</v>
      </c>
      <c r="H21" s="23">
        <f>VLOOKUP(A21, 'Raw Summary Data'!A96:X131, H$2+2, 0)</f>
        <v>1</v>
      </c>
      <c r="I21" s="23">
        <f>VLOOKUP(A21, 'Raw Summary Data'!A96:X131, I$2+2, 0)</f>
        <v>0</v>
      </c>
      <c r="J21" s="23">
        <f>VLOOKUP(A21, 'Raw Summary Data'!A96:X131, J$2+2, 0)</f>
        <v>50</v>
      </c>
      <c r="K21" s="23">
        <v>92</v>
      </c>
      <c r="M21" s="23">
        <f>VLOOKUP(A21, 'Raw Summary Data'!A96:X131, M$2+2, 0)</f>
        <v>92</v>
      </c>
      <c r="N21" s="23">
        <f>VLOOKUP(A21, 'Raw Summary Data'!A96:X131, N$2+2, 0)</f>
        <v>1</v>
      </c>
      <c r="O21" s="23">
        <f>VLOOKUP(A21, 'Raw Summary Data'!A96:X131, O$2+2, 0)</f>
        <v>1</v>
      </c>
      <c r="P21" s="23">
        <f>VLOOKUP(A21, 'Raw Summary Data'!A96:X131, P$2+2, 0)</f>
        <v>5</v>
      </c>
      <c r="Q21" s="23">
        <f>VLOOKUP(A21, 'Raw Summary Data'!A96:X131, Q$2-1, 0)</f>
        <v>39</v>
      </c>
      <c r="R21" s="23">
        <v>82</v>
      </c>
      <c r="S21" s="23"/>
      <c r="T21" s="23">
        <f>VLOOKUP(A21, 'Raw Summary Data'!A96:X131, T$2-1, 0)</f>
        <v>82</v>
      </c>
      <c r="U21" s="23">
        <f>VLOOKUP(A21, 'Raw Summary Data'!A96:X131, U$2-1, 0)</f>
        <v>0</v>
      </c>
      <c r="V21" s="23">
        <f>VLOOKUP(A21, 'Raw Summary Data'!A96:X131, V$2-1, 0)</f>
        <v>3.5</v>
      </c>
      <c r="W21" s="23">
        <f>VLOOKUP(A21, 'Raw Summary Data'!A96:X131, W$2-1, 0)</f>
        <v>5</v>
      </c>
      <c r="X21" s="23">
        <f>VLOOKUP(A21, 'Raw Summary Data'!A96:X131, X$2-1, 0)</f>
        <v>5</v>
      </c>
      <c r="Y21" s="23">
        <f>VLOOKUP(A21, 'Raw Summary Data'!A96:X131, Y$2-2, 0)</f>
        <v>5</v>
      </c>
      <c r="Z21" s="23">
        <v>5</v>
      </c>
      <c r="AA21" s="23">
        <f>VLOOKUP(A21, 'Raw Summary Data'!A96:X131, 23, 0)</f>
        <v>50</v>
      </c>
      <c r="AB21" s="23">
        <v>78</v>
      </c>
      <c r="AC21" s="23">
        <v>85</v>
      </c>
      <c r="AD21" s="23">
        <f>VLOOKUP(A21, 'Raw Summary Data'!A96:X131, 22, 0)</f>
        <v>85</v>
      </c>
    </row>
    <row r="22" spans="1:30" ht="15" customHeight="1" x14ac:dyDescent="0.2">
      <c r="A22" s="60" t="s">
        <v>250</v>
      </c>
      <c r="B22" s="61">
        <v>12</v>
      </c>
      <c r="C22" s="23">
        <f>VLOOKUP(A22, 'Raw Summary Data'!A97:X132, C$2+2, 0)</f>
        <v>0</v>
      </c>
      <c r="D22" s="23">
        <f>VLOOKUP(A22, 'Raw Summary Data'!A97:X132, D$2+2, 0)</f>
        <v>0</v>
      </c>
      <c r="E22" s="23">
        <f>VLOOKUP(A22, 'Raw Summary Data'!A97:X132, E$2+2, 0)</f>
        <v>0</v>
      </c>
      <c r="F22" s="23">
        <f>VLOOKUP(A22, 'Raw Summary Data'!A97:X132, F$2+2, 0)</f>
        <v>0</v>
      </c>
      <c r="G22" s="23">
        <f>VLOOKUP(A22, 'Raw Summary Data'!A97:X132, G$2+2, 0)</f>
        <v>0</v>
      </c>
      <c r="H22" s="23">
        <f>VLOOKUP(A22, 'Raw Summary Data'!A97:X132, H$2+2, 0)</f>
        <v>0</v>
      </c>
      <c r="I22" s="23">
        <f>VLOOKUP(A22, 'Raw Summary Data'!A97:X132, I$2+2, 0)</f>
        <v>5</v>
      </c>
      <c r="J22" s="23">
        <f>VLOOKUP(A22, 'Raw Summary Data'!A97:X132, J$2+2, 0)</f>
        <v>40</v>
      </c>
      <c r="K22" s="23">
        <v>60</v>
      </c>
      <c r="M22" s="23">
        <f>VLOOKUP(A22, 'Raw Summary Data'!A97:X132, M$2+2, 0)</f>
        <v>60</v>
      </c>
      <c r="N22" s="23">
        <f>VLOOKUP(A22, 'Raw Summary Data'!A97:X132, N$2+2, 0)</f>
        <v>0</v>
      </c>
      <c r="O22" s="23">
        <f>VLOOKUP(A22, 'Raw Summary Data'!A97:X132, O$2+2, 0)</f>
        <v>0</v>
      </c>
      <c r="P22" s="23">
        <f>VLOOKUP(A22, 'Raw Summary Data'!A97:X132, P$2+2, 0)</f>
        <v>4</v>
      </c>
      <c r="Q22" s="23">
        <f>VLOOKUP(A22, 'Raw Summary Data'!A97:X132, Q$2-1, 0)</f>
        <v>35.5</v>
      </c>
      <c r="R22" s="23">
        <v>62</v>
      </c>
      <c r="S22" s="23"/>
      <c r="T22" s="23">
        <f>VLOOKUP(A22, 'Raw Summary Data'!A97:X132, T$2-1, 0)</f>
        <v>62</v>
      </c>
      <c r="U22" s="23">
        <f>VLOOKUP(A22, 'Raw Summary Data'!A97:X132, U$2-1, 0)</f>
        <v>0</v>
      </c>
      <c r="V22" s="23">
        <f>VLOOKUP(A22, 'Raw Summary Data'!A97:X132, V$2-1, 0)</f>
        <v>0</v>
      </c>
      <c r="W22" s="23">
        <f>VLOOKUP(A22, 'Raw Summary Data'!A97:X132, W$2-1, 0)</f>
        <v>0</v>
      </c>
      <c r="X22" s="23">
        <f>VLOOKUP(A22, 'Raw Summary Data'!A97:X132, X$2-1, 0)</f>
        <v>0</v>
      </c>
      <c r="Y22" s="23">
        <f>VLOOKUP(A22, 'Raw Summary Data'!A97:X132, Y$2-2, 0)</f>
        <v>0</v>
      </c>
      <c r="Z22" s="23">
        <v>0</v>
      </c>
      <c r="AA22" s="23">
        <f>VLOOKUP(A22, 'Raw Summary Data'!A97:X132, 23, 0)</f>
        <v>11</v>
      </c>
      <c r="AB22" s="23">
        <v>30</v>
      </c>
      <c r="AC22" s="23"/>
      <c r="AD22" s="23">
        <f>VLOOKUP(A22, 'Raw Summary Data'!A97:X132, 22, 0)</f>
        <v>30</v>
      </c>
    </row>
    <row r="23" spans="1:30" ht="15" customHeight="1" x14ac:dyDescent="0.2">
      <c r="A23" s="60" t="s">
        <v>252</v>
      </c>
      <c r="B23" s="61">
        <v>11</v>
      </c>
      <c r="C23" s="23">
        <f>VLOOKUP(A23, 'Raw Summary Data'!A98:X133, C$2+2, 0)</f>
        <v>1</v>
      </c>
      <c r="D23" s="23">
        <f>VLOOKUP(A23, 'Raw Summary Data'!A98:X133, D$2+2, 0)</f>
        <v>1</v>
      </c>
      <c r="E23" s="23">
        <f>VLOOKUP(A23, 'Raw Summary Data'!A98:X133, E$2+2, 0)</f>
        <v>0.75</v>
      </c>
      <c r="F23" s="23">
        <f>VLOOKUP(A23, 'Raw Summary Data'!A98:X133, F$2+2, 0)</f>
        <v>0</v>
      </c>
      <c r="G23" s="23">
        <f>VLOOKUP(A23, 'Raw Summary Data'!A98:X133, G$2+2, 0)</f>
        <v>0</v>
      </c>
      <c r="H23" s="23">
        <f>VLOOKUP(A23, 'Raw Summary Data'!A98:X133, H$2+2, 0)</f>
        <v>1</v>
      </c>
      <c r="I23" s="23">
        <f>VLOOKUP(A23, 'Raw Summary Data'!A98:X133, I$2+2, 0)</f>
        <v>5</v>
      </c>
      <c r="J23" s="23">
        <f>VLOOKUP(A23, 'Raw Summary Data'!A98:X133, J$2+2, 0)</f>
        <v>47</v>
      </c>
      <c r="K23" s="23">
        <v>75</v>
      </c>
      <c r="M23" s="23">
        <f>VLOOKUP(A23, 'Raw Summary Data'!A98:X133, M$2+2, 0)</f>
        <v>75</v>
      </c>
      <c r="N23" s="23">
        <f>VLOOKUP(A23, 'Raw Summary Data'!A98:X133, N$2+2, 0)</f>
        <v>1</v>
      </c>
      <c r="O23" s="23">
        <f>VLOOKUP(A23, 'Raw Summary Data'!A98:X133, O$2+2, 0)</f>
        <v>0.5</v>
      </c>
      <c r="P23" s="23">
        <f>VLOOKUP(A23, 'Raw Summary Data'!A98:X133, P$2+2, 0)</f>
        <v>5</v>
      </c>
      <c r="Q23" s="23">
        <f>VLOOKUP(A23, 'Raw Summary Data'!A98:X133, Q$2-1, 0)</f>
        <v>43</v>
      </c>
      <c r="R23" s="23">
        <v>80</v>
      </c>
      <c r="S23" s="23"/>
      <c r="T23" s="23">
        <f>VLOOKUP(A23, 'Raw Summary Data'!A98:X133, T$2-1, 0)</f>
        <v>80</v>
      </c>
      <c r="U23" s="23">
        <f>VLOOKUP(A23, 'Raw Summary Data'!A98:X133, U$2-1, 0)</f>
        <v>5</v>
      </c>
      <c r="V23" s="23">
        <f>VLOOKUP(A23, 'Raw Summary Data'!A98:X133, V$2-1, 0)</f>
        <v>5</v>
      </c>
      <c r="W23" s="23">
        <f>VLOOKUP(A23, 'Raw Summary Data'!A98:X133, W$2-1, 0)</f>
        <v>5</v>
      </c>
      <c r="X23" s="23">
        <f>VLOOKUP(A23, 'Raw Summary Data'!A98:X133, X$2-1, 0)</f>
        <v>5</v>
      </c>
      <c r="Y23" s="23">
        <f>VLOOKUP(A23, 'Raw Summary Data'!A98:X133, Y$2-2, 0)</f>
        <v>5</v>
      </c>
      <c r="Z23" s="23">
        <v>5</v>
      </c>
      <c r="AA23" s="23">
        <f>VLOOKUP(A23, 'Raw Summary Data'!A98:X133, 23, 0)</f>
        <v>50</v>
      </c>
      <c r="AB23" s="23">
        <v>78</v>
      </c>
      <c r="AC23" s="23"/>
      <c r="AD23" s="23">
        <f>VLOOKUP(A23, 'Raw Summary Data'!A98:X133, 22, 0)</f>
        <v>78</v>
      </c>
    </row>
    <row r="24" spans="1:30" ht="15" customHeight="1" x14ac:dyDescent="0.2">
      <c r="A24" s="60" t="s">
        <v>254</v>
      </c>
      <c r="B24" s="61">
        <v>10</v>
      </c>
      <c r="C24" s="23">
        <f>VLOOKUP(A24, 'Raw Summary Data'!A99:X134, C$2+2, 0)</f>
        <v>1</v>
      </c>
      <c r="D24" s="23">
        <f>VLOOKUP(A24, 'Raw Summary Data'!A99:X134, D$2+2, 0)</f>
        <v>1</v>
      </c>
      <c r="E24" s="23">
        <f>VLOOKUP(A24, 'Raw Summary Data'!A99:X134, E$2+2, 0)</f>
        <v>1</v>
      </c>
      <c r="F24" s="23">
        <f>VLOOKUP(A24, 'Raw Summary Data'!A99:X134, F$2+2, 0)</f>
        <v>1</v>
      </c>
      <c r="G24" s="23">
        <f>VLOOKUP(A24, 'Raw Summary Data'!A99:X134, G$2+2, 0)</f>
        <v>0</v>
      </c>
      <c r="H24" s="23">
        <f>VLOOKUP(A24, 'Raw Summary Data'!A99:X134, H$2+2, 0)</f>
        <v>1</v>
      </c>
      <c r="I24" s="23">
        <f>VLOOKUP(A24, 'Raw Summary Data'!A99:X134, I$2+2, 0)</f>
        <v>5</v>
      </c>
      <c r="J24" s="23">
        <f>VLOOKUP(A24, 'Raw Summary Data'!A99:X134, J$2+2, 0)</f>
        <v>50</v>
      </c>
      <c r="K24" s="23">
        <v>68</v>
      </c>
      <c r="L24" s="21">
        <v>72</v>
      </c>
      <c r="M24" s="23">
        <f>VLOOKUP(A24, 'Raw Summary Data'!A99:X134, M$2+2, 0)</f>
        <v>68</v>
      </c>
      <c r="N24" s="23">
        <f>VLOOKUP(A24, 'Raw Summary Data'!A99:X134, N$2+2, 0)</f>
        <v>1</v>
      </c>
      <c r="O24" s="23">
        <f>VLOOKUP(A24, 'Raw Summary Data'!A99:X134, O$2+2, 0)</f>
        <v>1</v>
      </c>
      <c r="P24" s="23">
        <f>VLOOKUP(A24, 'Raw Summary Data'!A99:X134, P$2+2, 0)</f>
        <v>5</v>
      </c>
      <c r="Q24" s="23">
        <f>VLOOKUP(A24, 'Raw Summary Data'!A99:X134, Q$2-1, 0)</f>
        <v>48.5</v>
      </c>
      <c r="R24" s="23">
        <v>67</v>
      </c>
      <c r="S24" s="23">
        <v>72</v>
      </c>
      <c r="T24" s="23">
        <f>VLOOKUP(A24, 'Raw Summary Data'!A99:X134, T$2-1, 0)</f>
        <v>72</v>
      </c>
      <c r="U24" s="23">
        <f>VLOOKUP(A24, 'Raw Summary Data'!A99:X134, U$2-1, 0)</f>
        <v>5</v>
      </c>
      <c r="V24" s="23">
        <f>VLOOKUP(A24, 'Raw Summary Data'!A99:X134, V$2-1, 0)</f>
        <v>5</v>
      </c>
      <c r="W24" s="23">
        <f>VLOOKUP(A24, 'Raw Summary Data'!A99:X134, W$2-1, 0)</f>
        <v>5</v>
      </c>
      <c r="X24" s="23">
        <f>VLOOKUP(A24, 'Raw Summary Data'!A99:X134, X$2-1, 0)</f>
        <v>5</v>
      </c>
      <c r="Y24" s="23">
        <f>VLOOKUP(A24, 'Raw Summary Data'!A99:X134, Y$2-2, 0)</f>
        <v>5</v>
      </c>
      <c r="Z24" s="23">
        <v>0</v>
      </c>
      <c r="AA24" s="23">
        <f>VLOOKUP(A24, 'Raw Summary Data'!A99:X134, 23, 0)</f>
        <v>11</v>
      </c>
      <c r="AB24" s="23">
        <v>62</v>
      </c>
      <c r="AC24" s="23">
        <v>30</v>
      </c>
      <c r="AD24" s="23">
        <f>VLOOKUP(A24, 'Raw Summary Data'!A99:X134, 22, 0)</f>
        <v>62</v>
      </c>
    </row>
    <row r="25" spans="1:30" ht="15" customHeight="1" x14ac:dyDescent="0.2">
      <c r="A25" s="60" t="s">
        <v>256</v>
      </c>
      <c r="B25" s="61">
        <v>11</v>
      </c>
      <c r="C25" s="23">
        <f>VLOOKUP(A25, 'Raw Summary Data'!A100:X135, C$2+2, 0)</f>
        <v>1</v>
      </c>
      <c r="D25" s="23">
        <f>VLOOKUP(A25, 'Raw Summary Data'!A100:X135, D$2+2, 0)</f>
        <v>1</v>
      </c>
      <c r="E25" s="23">
        <f>VLOOKUP(A25, 'Raw Summary Data'!A100:X135, E$2+2, 0)</f>
        <v>1</v>
      </c>
      <c r="F25" s="23">
        <f>VLOOKUP(A25, 'Raw Summary Data'!A100:X135, F$2+2, 0)</f>
        <v>0</v>
      </c>
      <c r="G25" s="23">
        <f>VLOOKUP(A25, 'Raw Summary Data'!A100:X135, G$2+2, 0)</f>
        <v>0</v>
      </c>
      <c r="H25" s="23">
        <f>VLOOKUP(A25, 'Raw Summary Data'!A100:X135, H$2+2, 0)</f>
        <v>1</v>
      </c>
      <c r="I25" s="23">
        <f>VLOOKUP(A25, 'Raw Summary Data'!A100:X135, I$2+2, 0)</f>
        <v>5</v>
      </c>
      <c r="J25" s="23">
        <f>VLOOKUP(A25, 'Raw Summary Data'!A100:X135, J$2+2, 0)</f>
        <v>48</v>
      </c>
      <c r="K25" s="23">
        <v>66</v>
      </c>
      <c r="L25" s="21">
        <v>75</v>
      </c>
      <c r="M25" s="23">
        <f>VLOOKUP(A25, 'Raw Summary Data'!A100:X135, M$2+2, 0)</f>
        <v>66</v>
      </c>
      <c r="N25" s="23">
        <f>VLOOKUP(A25, 'Raw Summary Data'!A100:X135, N$2+2, 0)</f>
        <v>0</v>
      </c>
      <c r="O25" s="23">
        <f>VLOOKUP(A25, 'Raw Summary Data'!A100:X135, O$2+2, 0)</f>
        <v>1</v>
      </c>
      <c r="P25" s="23">
        <f>VLOOKUP(A25, 'Raw Summary Data'!A100:X135, P$2+2, 0)</f>
        <v>5</v>
      </c>
      <c r="Q25" s="23">
        <f>VLOOKUP(A25, 'Raw Summary Data'!A100:X135, Q$2-1, 0)</f>
        <v>40</v>
      </c>
      <c r="R25" s="23">
        <v>73</v>
      </c>
      <c r="S25" s="23"/>
      <c r="T25" s="23">
        <f>VLOOKUP(A25, 'Raw Summary Data'!A100:X135, T$2-1, 0)</f>
        <v>73</v>
      </c>
      <c r="U25" s="23">
        <f>VLOOKUP(A25, 'Raw Summary Data'!A100:X135, U$2-1, 0)</f>
        <v>5</v>
      </c>
      <c r="V25" s="23">
        <f>VLOOKUP(A25, 'Raw Summary Data'!A100:X135, V$2-1, 0)</f>
        <v>5</v>
      </c>
      <c r="W25" s="23">
        <f>VLOOKUP(A25, 'Raw Summary Data'!A100:X135, W$2-1, 0)</f>
        <v>5</v>
      </c>
      <c r="X25" s="23">
        <f>VLOOKUP(A25, 'Raw Summary Data'!A100:X135, X$2-1, 0)</f>
        <v>5</v>
      </c>
      <c r="Y25" s="23">
        <f>VLOOKUP(A25, 'Raw Summary Data'!A100:X135, Y$2-2, 0)</f>
        <v>0</v>
      </c>
      <c r="Z25" s="23">
        <v>5</v>
      </c>
      <c r="AA25" s="23">
        <f>VLOOKUP(A25, 'Raw Summary Data'!A100:X135, 23, 0)</f>
        <v>44</v>
      </c>
      <c r="AB25" s="23">
        <v>72</v>
      </c>
      <c r="AC25" s="23">
        <v>78</v>
      </c>
      <c r="AD25" s="23">
        <f>VLOOKUP(A25, 'Raw Summary Data'!A100:X135, 22, 0)</f>
        <v>72</v>
      </c>
    </row>
    <row r="26" spans="1:30" ht="15" customHeight="1" x14ac:dyDescent="0.2">
      <c r="A26" s="60" t="s">
        <v>258</v>
      </c>
      <c r="B26" s="61">
        <v>11</v>
      </c>
      <c r="C26" s="23">
        <f>VLOOKUP(A26, 'Raw Summary Data'!A101:X136, C$2+2, 0)</f>
        <v>1</v>
      </c>
      <c r="D26" s="23">
        <f>VLOOKUP(A26, 'Raw Summary Data'!A101:X136, D$2+2, 0)</f>
        <v>1</v>
      </c>
      <c r="E26" s="23">
        <f>VLOOKUP(A26, 'Raw Summary Data'!A101:X136, E$2+2, 0)</f>
        <v>1</v>
      </c>
      <c r="F26" s="23">
        <f>VLOOKUP(A26, 'Raw Summary Data'!A101:X136, F$2+2, 0)</f>
        <v>0</v>
      </c>
      <c r="G26" s="23">
        <f>VLOOKUP(A26, 'Raw Summary Data'!A101:X136, G$2+2, 0)</f>
        <v>0</v>
      </c>
      <c r="H26" s="23">
        <f>VLOOKUP(A26, 'Raw Summary Data'!A101:X136, H$2+2, 0)</f>
        <v>1</v>
      </c>
      <c r="I26" s="23">
        <f>VLOOKUP(A26, 'Raw Summary Data'!A101:X136, I$2+2, 0)</f>
        <v>5</v>
      </c>
      <c r="J26" s="23">
        <f>VLOOKUP(A26, 'Raw Summary Data'!A101:X136, J$2+2, 0)</f>
        <v>50</v>
      </c>
      <c r="K26" s="23">
        <v>75</v>
      </c>
      <c r="L26" s="21">
        <v>83</v>
      </c>
      <c r="M26" s="23">
        <f>VLOOKUP(A26, 'Raw Summary Data'!A101:X136, M$2+2, 0)</f>
        <v>75</v>
      </c>
      <c r="N26" s="23">
        <f>VLOOKUP(A26, 'Raw Summary Data'!A101:X136, N$2+2, 0)</f>
        <v>1</v>
      </c>
      <c r="O26" s="23">
        <f>VLOOKUP(A26, 'Raw Summary Data'!A101:X136, O$2+2, 0)</f>
        <v>0</v>
      </c>
      <c r="P26" s="23">
        <f>VLOOKUP(A26, 'Raw Summary Data'!A101:X136, P$2+2, 0)</f>
        <v>5</v>
      </c>
      <c r="Q26" s="23">
        <f>VLOOKUP(A26, 'Raw Summary Data'!A101:X136, Q$2-1, 0)</f>
        <v>39</v>
      </c>
      <c r="R26" s="23">
        <v>75</v>
      </c>
      <c r="S26" s="23">
        <v>80</v>
      </c>
      <c r="T26" s="23">
        <f>VLOOKUP(A26, 'Raw Summary Data'!A101:X136, T$2-1, 0)</f>
        <v>80</v>
      </c>
      <c r="U26" s="23">
        <f>VLOOKUP(A26, 'Raw Summary Data'!A101:X136, U$2-1, 0)</f>
        <v>0</v>
      </c>
      <c r="V26" s="23">
        <f>VLOOKUP(A26, 'Raw Summary Data'!A101:X136, V$2-1, 0)</f>
        <v>0</v>
      </c>
      <c r="W26" s="23">
        <f>VLOOKUP(A26, 'Raw Summary Data'!A101:X136, W$2-1, 0)</f>
        <v>0</v>
      </c>
      <c r="X26" s="23">
        <f>VLOOKUP(A26, 'Raw Summary Data'!A101:X136, X$2-1, 0)</f>
        <v>0</v>
      </c>
      <c r="Y26" s="23">
        <f>VLOOKUP(A26, 'Raw Summary Data'!A101:X136, Y$2-2, 0)</f>
        <v>0</v>
      </c>
      <c r="Z26" s="23">
        <v>0</v>
      </c>
      <c r="AA26" s="23">
        <f>VLOOKUP(A26, 'Raw Summary Data'!A101:X136, 23, 0)</f>
        <v>50</v>
      </c>
      <c r="AB26" s="23">
        <v>65</v>
      </c>
      <c r="AC26" s="23">
        <v>68</v>
      </c>
      <c r="AD26" s="23">
        <v>68</v>
      </c>
    </row>
    <row r="27" spans="1:30" ht="15" customHeight="1" x14ac:dyDescent="0.2">
      <c r="A27" s="60" t="s">
        <v>260</v>
      </c>
      <c r="B27" s="61">
        <v>10</v>
      </c>
      <c r="C27" s="23">
        <f>VLOOKUP(A27, 'Raw Summary Data'!A102:X137, C$2+2, 0)</f>
        <v>1</v>
      </c>
      <c r="D27" s="23">
        <f>VLOOKUP(A27, 'Raw Summary Data'!A102:X137, D$2+2, 0)</f>
        <v>1</v>
      </c>
      <c r="E27" s="23">
        <f>VLOOKUP(A27, 'Raw Summary Data'!A102:X137, E$2+2, 0)</f>
        <v>1</v>
      </c>
      <c r="F27" s="23">
        <f>VLOOKUP(A27, 'Raw Summary Data'!A102:X137, F$2+2, 0)</f>
        <v>0</v>
      </c>
      <c r="G27" s="23">
        <f>VLOOKUP(A27, 'Raw Summary Data'!A102:X137, G$2+2, 0)</f>
        <v>0</v>
      </c>
      <c r="H27" s="23">
        <f>VLOOKUP(A27, 'Raw Summary Data'!A102:X137, H$2+2, 0)</f>
        <v>0</v>
      </c>
      <c r="I27" s="23">
        <f>VLOOKUP(A27, 'Raw Summary Data'!A102:X137, I$2+2, 0)</f>
        <v>5</v>
      </c>
      <c r="J27" s="23">
        <f>VLOOKUP(A27, 'Raw Summary Data'!A102:X137, J$2+2, 0)</f>
        <v>50</v>
      </c>
      <c r="K27" s="23">
        <v>86</v>
      </c>
      <c r="M27" s="23">
        <f>VLOOKUP(A27, 'Raw Summary Data'!A102:X137, M$2+2, 0)</f>
        <v>86</v>
      </c>
      <c r="N27" s="23">
        <f>VLOOKUP(A27, 'Raw Summary Data'!A102:X137, N$2+2, 0)</f>
        <v>0</v>
      </c>
      <c r="O27" s="23">
        <f>VLOOKUP(A27, 'Raw Summary Data'!A102:X137, O$2+2, 0)</f>
        <v>0</v>
      </c>
      <c r="P27" s="23">
        <f>VLOOKUP(A27, 'Raw Summary Data'!A102:X137, P$2+2, 0)</f>
        <v>0</v>
      </c>
      <c r="Q27" s="23">
        <f>VLOOKUP(A27, 'Raw Summary Data'!A102:X137, Q$2-1, 0)</f>
        <v>34</v>
      </c>
      <c r="R27" s="23">
        <v>85</v>
      </c>
      <c r="S27" s="23"/>
      <c r="T27" s="23">
        <f>VLOOKUP(A27, 'Raw Summary Data'!A102:X137, T$2-1, 0)</f>
        <v>85</v>
      </c>
      <c r="U27" s="23">
        <f>VLOOKUP(A27, 'Raw Summary Data'!A102:X137, U$2-1, 0)</f>
        <v>5</v>
      </c>
      <c r="V27" s="23">
        <f>VLOOKUP(A27, 'Raw Summary Data'!A102:X137, V$2-1, 0)</f>
        <v>5</v>
      </c>
      <c r="W27" s="23">
        <f>VLOOKUP(A27, 'Raw Summary Data'!A102:X137, W$2-1, 0)</f>
        <v>5</v>
      </c>
      <c r="X27" s="23">
        <f>VLOOKUP(A27, 'Raw Summary Data'!A102:X137, X$2-1, 0)</f>
        <v>5</v>
      </c>
      <c r="Y27" s="23">
        <f>VLOOKUP(A27, 'Raw Summary Data'!A102:X137, Y$2-2, 0)</f>
        <v>5</v>
      </c>
      <c r="Z27" s="23">
        <v>5</v>
      </c>
      <c r="AA27" s="23">
        <f>VLOOKUP(A27, 'Raw Summary Data'!A102:X137, 23, 0)</f>
        <v>45</v>
      </c>
      <c r="AB27" s="23">
        <v>85</v>
      </c>
      <c r="AC27" s="23"/>
      <c r="AD27" s="23">
        <f>VLOOKUP(A27, 'Raw Summary Data'!A102:X137, 22, 0)</f>
        <v>85</v>
      </c>
    </row>
    <row r="28" spans="1:30" ht="15" customHeight="1" x14ac:dyDescent="0.2">
      <c r="A28" s="60" t="s">
        <v>262</v>
      </c>
      <c r="B28" s="61">
        <v>11</v>
      </c>
      <c r="C28" s="23">
        <f>VLOOKUP(A28, 'Raw Summary Data'!A103:X138, C$2+2, 0)</f>
        <v>0</v>
      </c>
      <c r="D28" s="23">
        <f>VLOOKUP(A28, 'Raw Summary Data'!A103:X138, D$2+2, 0)</f>
        <v>0</v>
      </c>
      <c r="E28" s="23">
        <f>VLOOKUP(A28, 'Raw Summary Data'!A103:X138, E$2+2, 0)</f>
        <v>0</v>
      </c>
      <c r="F28" s="23">
        <f>VLOOKUP(A28, 'Raw Summary Data'!A103:X138, F$2+2, 0)</f>
        <v>0</v>
      </c>
      <c r="G28" s="23">
        <f>VLOOKUP(A28, 'Raw Summary Data'!A103:X138, G$2+2, 0)</f>
        <v>0</v>
      </c>
      <c r="H28" s="23">
        <f>VLOOKUP(A28, 'Raw Summary Data'!A103:X138, H$2+2, 0)</f>
        <v>0</v>
      </c>
      <c r="I28" s="23">
        <f>VLOOKUP(A28, 'Raw Summary Data'!A103:X138, I$2+2, 0)</f>
        <v>5</v>
      </c>
      <c r="J28" s="23">
        <f>VLOOKUP(A28, 'Raw Summary Data'!A103:X138, J$2+2, 0)</f>
        <v>43</v>
      </c>
      <c r="K28" s="23">
        <v>60</v>
      </c>
      <c r="M28" s="23">
        <f>VLOOKUP(A28, 'Raw Summary Data'!A103:X138, M$2+2, 0)</f>
        <v>60</v>
      </c>
      <c r="N28" s="23">
        <f>VLOOKUP(A28, 'Raw Summary Data'!A103:X138, N$2+2, 0)</f>
        <v>0</v>
      </c>
      <c r="O28" s="23">
        <f>VLOOKUP(A28, 'Raw Summary Data'!A103:X138, O$2+2, 0)</f>
        <v>0</v>
      </c>
      <c r="P28" s="23">
        <f>VLOOKUP(A28, 'Raw Summary Data'!A103:X138, P$2+2, 0)</f>
        <v>2</v>
      </c>
      <c r="Q28" s="23">
        <f>VLOOKUP(A28, 'Raw Summary Data'!A103:X138, Q$2-1, 0)</f>
        <v>28.5</v>
      </c>
      <c r="R28" s="23">
        <v>65</v>
      </c>
      <c r="S28" s="23"/>
      <c r="T28" s="23">
        <f>VLOOKUP(A28, 'Raw Summary Data'!A103:X138, T$2-1, 0)</f>
        <v>65</v>
      </c>
      <c r="U28" s="23">
        <f>VLOOKUP(A28, 'Raw Summary Data'!A103:X138, U$2-1, 0)</f>
        <v>0</v>
      </c>
      <c r="V28" s="23">
        <f>VLOOKUP(A28, 'Raw Summary Data'!A103:X138, V$2-1, 0)</f>
        <v>0</v>
      </c>
      <c r="W28" s="23">
        <f>VLOOKUP(A28, 'Raw Summary Data'!A103:X138, W$2-1, 0)</f>
        <v>0</v>
      </c>
      <c r="X28" s="23">
        <f>VLOOKUP(A28, 'Raw Summary Data'!A103:X138, X$2-1, 0)</f>
        <v>0</v>
      </c>
      <c r="Y28" s="23">
        <f>VLOOKUP(A28, 'Raw Summary Data'!A103:X138, Y$2-2, 0)</f>
        <v>0</v>
      </c>
      <c r="Z28" s="23">
        <v>0</v>
      </c>
      <c r="AA28" s="23">
        <f>VLOOKUP(A28, 'Raw Summary Data'!A103:X138, 23, 0)</f>
        <v>10</v>
      </c>
      <c r="AB28" s="23">
        <v>30</v>
      </c>
      <c r="AC28" s="23"/>
      <c r="AD28" s="23">
        <f>VLOOKUP(A28, 'Raw Summary Data'!A103:X138, 22, 0)</f>
        <v>30</v>
      </c>
    </row>
    <row r="29" spans="1:30" ht="15" customHeight="1" x14ac:dyDescent="0.2">
      <c r="A29" s="60" t="s">
        <v>264</v>
      </c>
      <c r="B29" s="61">
        <v>10</v>
      </c>
      <c r="C29" s="23">
        <f>VLOOKUP(A29, 'Raw Summary Data'!A104:X139, C$2+2, 0)</f>
        <v>1</v>
      </c>
      <c r="D29" s="23">
        <f>VLOOKUP(A29, 'Raw Summary Data'!A104:X139, D$2+2, 0)</f>
        <v>1</v>
      </c>
      <c r="E29" s="23">
        <f>VLOOKUP(A29, 'Raw Summary Data'!A104:X139, E$2+2, 0)</f>
        <v>1</v>
      </c>
      <c r="F29" s="23">
        <f>VLOOKUP(A29, 'Raw Summary Data'!A104:X139, F$2+2, 0)</f>
        <v>0</v>
      </c>
      <c r="G29" s="23">
        <f>VLOOKUP(A29, 'Raw Summary Data'!A104:X139, G$2+2, 0)</f>
        <v>0</v>
      </c>
      <c r="H29" s="23">
        <f>VLOOKUP(A29, 'Raw Summary Data'!A104:X139, H$2+2, 0)</f>
        <v>0</v>
      </c>
      <c r="I29" s="23">
        <f>VLOOKUP(A29, 'Raw Summary Data'!A104:X139, I$2+2, 0)</f>
        <v>5</v>
      </c>
      <c r="J29" s="23">
        <f>VLOOKUP(A29, 'Raw Summary Data'!A104:X139, J$2+2, 0)</f>
        <v>50</v>
      </c>
      <c r="K29" s="23">
        <v>88</v>
      </c>
      <c r="M29" s="23">
        <f>VLOOKUP(A29, 'Raw Summary Data'!A104:X139, M$2+2, 0)</f>
        <v>88</v>
      </c>
      <c r="N29" s="23">
        <f>VLOOKUP(A29, 'Raw Summary Data'!A104:X139, N$2+2, 0)</f>
        <v>0</v>
      </c>
      <c r="O29" s="23">
        <f>VLOOKUP(A29, 'Raw Summary Data'!A104:X139, O$2+2, 0)</f>
        <v>0</v>
      </c>
      <c r="P29" s="23">
        <f>VLOOKUP(A29, 'Raw Summary Data'!A104:X139, P$2+2, 0)</f>
        <v>5</v>
      </c>
      <c r="Q29" s="23">
        <f>VLOOKUP(A29, 'Raw Summary Data'!A104:X139, Q$2-1, 0)</f>
        <v>50</v>
      </c>
      <c r="R29" s="23">
        <v>92</v>
      </c>
      <c r="S29" s="23"/>
      <c r="T29" s="23">
        <f>VLOOKUP(A29, 'Raw Summary Data'!A104:X139, T$2-1, 0)</f>
        <v>92</v>
      </c>
      <c r="U29" s="23">
        <f>VLOOKUP(A29, 'Raw Summary Data'!A104:X139, U$2-1, 0)</f>
        <v>5</v>
      </c>
      <c r="V29" s="23">
        <f>VLOOKUP(A29, 'Raw Summary Data'!A104:X139, V$2-1, 0)</f>
        <v>5</v>
      </c>
      <c r="W29" s="23">
        <f>VLOOKUP(A29, 'Raw Summary Data'!A104:X139, W$2-1, 0)</f>
        <v>5</v>
      </c>
      <c r="X29" s="23">
        <f>VLOOKUP(A29, 'Raw Summary Data'!A104:X139, X$2-1, 0)</f>
        <v>5</v>
      </c>
      <c r="Y29" s="23">
        <f>VLOOKUP(A29, 'Raw Summary Data'!A104:X139, Y$2-2, 0)</f>
        <v>5</v>
      </c>
      <c r="Z29" s="23">
        <v>0</v>
      </c>
      <c r="AA29" s="23">
        <f>VLOOKUP(A29, 'Raw Summary Data'!A104:X139, 23, 0)</f>
        <v>50</v>
      </c>
      <c r="AB29" s="23">
        <v>82</v>
      </c>
      <c r="AC29" s="23">
        <v>82</v>
      </c>
      <c r="AD29" s="23">
        <f>VLOOKUP(A29, 'Raw Summary Data'!A104:X139, 22, 0)</f>
        <v>82</v>
      </c>
    </row>
    <row r="30" spans="1:30" ht="15" customHeight="1" x14ac:dyDescent="0.2">
      <c r="A30" s="60" t="s">
        <v>266</v>
      </c>
      <c r="B30" s="61">
        <v>10</v>
      </c>
      <c r="C30" s="23">
        <f>VLOOKUP(A30, 'Raw Summary Data'!A105:X140, C$2+2, 0)</f>
        <v>1</v>
      </c>
      <c r="D30" s="23">
        <f>VLOOKUP(A30, 'Raw Summary Data'!A105:X140, D$2+2, 0)</f>
        <v>1</v>
      </c>
      <c r="E30" s="23">
        <f>VLOOKUP(A30, 'Raw Summary Data'!A105:X140, E$2+2, 0)</f>
        <v>1</v>
      </c>
      <c r="F30" s="23">
        <f>VLOOKUP(A30, 'Raw Summary Data'!A105:X140, F$2+2, 0)</f>
        <v>1</v>
      </c>
      <c r="G30" s="23">
        <f>VLOOKUP(A30, 'Raw Summary Data'!A105:X140, G$2+2, 0)</f>
        <v>1</v>
      </c>
      <c r="H30" s="23">
        <f>VLOOKUP(A30, 'Raw Summary Data'!A105:X140, H$2+2, 0)</f>
        <v>1</v>
      </c>
      <c r="I30" s="23">
        <f>VLOOKUP(A30, 'Raw Summary Data'!A105:X140, I$2+2, 0)</f>
        <v>5</v>
      </c>
      <c r="J30" s="23">
        <f>VLOOKUP(A30, 'Raw Summary Data'!A105:X140, J$2+2, 0)</f>
        <v>48</v>
      </c>
      <c r="K30" s="23">
        <v>100</v>
      </c>
      <c r="M30" s="23">
        <f>VLOOKUP(A30, 'Raw Summary Data'!A105:X140, M$2+2, 0)</f>
        <v>100</v>
      </c>
      <c r="N30" s="23">
        <f>VLOOKUP(A30, 'Raw Summary Data'!A105:X140, N$2+2, 0)</f>
        <v>1</v>
      </c>
      <c r="O30" s="23">
        <f>VLOOKUP(A30, 'Raw Summary Data'!A105:X140, O$2+2, 0)</f>
        <v>1</v>
      </c>
      <c r="P30" s="23">
        <f>VLOOKUP(A30, 'Raw Summary Data'!A105:X140, P$2+2, 0)</f>
        <v>5</v>
      </c>
      <c r="Q30" s="23">
        <f>VLOOKUP(A30, 'Raw Summary Data'!A105:X140, Q$2-1, 0)</f>
        <v>44</v>
      </c>
      <c r="R30" s="23">
        <v>95</v>
      </c>
      <c r="S30" s="23"/>
      <c r="T30" s="23">
        <f>VLOOKUP(A30, 'Raw Summary Data'!A105:X140, T$2-1, 0)</f>
        <v>95</v>
      </c>
      <c r="U30" s="23">
        <f>VLOOKUP(A30, 'Raw Summary Data'!A105:X140, U$2-1, 0)</f>
        <v>5</v>
      </c>
      <c r="V30" s="23">
        <f>VLOOKUP(A30, 'Raw Summary Data'!A105:X140, V$2-1, 0)</f>
        <v>5</v>
      </c>
      <c r="W30" s="23">
        <f>VLOOKUP(A30, 'Raw Summary Data'!A105:X140, W$2-1, 0)</f>
        <v>5</v>
      </c>
      <c r="X30" s="23">
        <f>VLOOKUP(A30, 'Raw Summary Data'!A105:X140, X$2-1, 0)</f>
        <v>0</v>
      </c>
      <c r="Y30" s="23">
        <f>VLOOKUP(A30, 'Raw Summary Data'!A105:X140, Y$2-2, 0)</f>
        <v>5</v>
      </c>
      <c r="Z30" s="23">
        <v>0</v>
      </c>
      <c r="AA30" s="23">
        <f>VLOOKUP(A30, 'Raw Summary Data'!A105:X140, 23, 0)</f>
        <v>50</v>
      </c>
      <c r="AB30" s="23">
        <v>100</v>
      </c>
      <c r="AC30" s="23"/>
      <c r="AD30" s="23">
        <f>VLOOKUP(A30, 'Raw Summary Data'!A105:X140, 22, 0)</f>
        <v>100</v>
      </c>
    </row>
    <row r="31" spans="1:30" ht="15" customHeight="1" x14ac:dyDescent="0.2">
      <c r="A31" s="60" t="s">
        <v>269</v>
      </c>
      <c r="B31" s="61">
        <v>11</v>
      </c>
      <c r="C31" s="23">
        <f>VLOOKUP(A31, 'Raw Summary Data'!A106:X141, C$2+2, 0)</f>
        <v>0</v>
      </c>
      <c r="D31" s="23">
        <f>VLOOKUP(A31, 'Raw Summary Data'!A106:X141, D$2+2, 0)</f>
        <v>0</v>
      </c>
      <c r="E31" s="23">
        <f>VLOOKUP(A31, 'Raw Summary Data'!A106:X141, E$2+2, 0)</f>
        <v>0</v>
      </c>
      <c r="F31" s="23">
        <f>VLOOKUP(A31, 'Raw Summary Data'!A106:X141, F$2+2, 0)</f>
        <v>0</v>
      </c>
      <c r="G31" s="23">
        <f>VLOOKUP(A31, 'Raw Summary Data'!A106:X141, G$2+2, 0)</f>
        <v>0</v>
      </c>
      <c r="H31" s="23">
        <f>VLOOKUP(A31, 'Raw Summary Data'!A106:X141, H$2+2, 0)</f>
        <v>0</v>
      </c>
      <c r="I31" s="23">
        <f>VLOOKUP(A31, 'Raw Summary Data'!A106:X141, I$2+2, 0)</f>
        <v>5</v>
      </c>
      <c r="J31" s="23">
        <f>VLOOKUP(A31, 'Raw Summary Data'!A106:X141, J$2+2, 0)</f>
        <v>48</v>
      </c>
      <c r="K31" s="23">
        <v>62</v>
      </c>
      <c r="M31" s="23">
        <f>VLOOKUP(A31, 'Raw Summary Data'!A106:X141, M$2+2, 0)</f>
        <v>62</v>
      </c>
      <c r="N31" s="23">
        <f>VLOOKUP(A31, 'Raw Summary Data'!A106:X141, N$2+2, 0)</f>
        <v>0</v>
      </c>
      <c r="O31" s="23">
        <f>VLOOKUP(A31, 'Raw Summary Data'!A106:X141, O$2+2, 0)</f>
        <v>0</v>
      </c>
      <c r="P31" s="23">
        <f>VLOOKUP(A31, 'Raw Summary Data'!A106:X141, P$2+2, 0)</f>
        <v>3</v>
      </c>
      <c r="Q31" s="23">
        <f>VLOOKUP(A31, 'Raw Summary Data'!A106:X141, Q$2-1, 0)</f>
        <v>48.5</v>
      </c>
      <c r="R31" s="23">
        <v>78</v>
      </c>
      <c r="S31" s="23"/>
      <c r="T31" s="23">
        <f>VLOOKUP(A31, 'Raw Summary Data'!A106:X141, T$2-1, 0)</f>
        <v>78</v>
      </c>
      <c r="U31" s="23">
        <f>VLOOKUP(A31, 'Raw Summary Data'!A106:X141, U$2-1, 0)</f>
        <v>0</v>
      </c>
      <c r="V31" s="23">
        <f>VLOOKUP(A31, 'Raw Summary Data'!A106:X141, V$2-1, 0)</f>
        <v>0</v>
      </c>
      <c r="W31" s="23">
        <f>VLOOKUP(A31, 'Raw Summary Data'!A106:X141, W$2-1, 0)</f>
        <v>0</v>
      </c>
      <c r="X31" s="23">
        <f>VLOOKUP(A31, 'Raw Summary Data'!A106:X141, X$2-1, 0)</f>
        <v>0</v>
      </c>
      <c r="Y31" s="23">
        <f>VLOOKUP(A31, 'Raw Summary Data'!A106:X141, Y$2-2, 0)</f>
        <v>0</v>
      </c>
      <c r="Z31" s="23">
        <v>0</v>
      </c>
      <c r="AA31" s="23">
        <f>VLOOKUP(A31, 'Raw Summary Data'!A106:X141, 23, 0)</f>
        <v>50</v>
      </c>
      <c r="AB31" s="23">
        <v>68</v>
      </c>
      <c r="AC31" s="23">
        <v>70</v>
      </c>
      <c r="AD31" s="23">
        <f>VLOOKUP(A31, 'Raw Summary Data'!A106:X141, 22, 0)</f>
        <v>70</v>
      </c>
    </row>
    <row r="32" spans="1:30" ht="15" customHeight="1" x14ac:dyDescent="0.2">
      <c r="A32" s="60" t="s">
        <v>271</v>
      </c>
      <c r="B32" s="61">
        <v>10</v>
      </c>
      <c r="C32" s="23">
        <f>VLOOKUP(A32, 'Raw Summary Data'!A107:X142, C$2+2, 0)</f>
        <v>1</v>
      </c>
      <c r="D32" s="23">
        <f>VLOOKUP(A32, 'Raw Summary Data'!A107:X142, D$2+2, 0)</f>
        <v>1</v>
      </c>
      <c r="E32" s="23">
        <f>VLOOKUP(A32, 'Raw Summary Data'!A107:X142, E$2+2, 0)</f>
        <v>1</v>
      </c>
      <c r="F32" s="23">
        <f>VLOOKUP(A32, 'Raw Summary Data'!A107:X142, F$2+2, 0)</f>
        <v>1</v>
      </c>
      <c r="G32" s="23">
        <f>VLOOKUP(A32, 'Raw Summary Data'!A107:X142, G$2+2, 0)</f>
        <v>1</v>
      </c>
      <c r="H32" s="23">
        <f>VLOOKUP(A32, 'Raw Summary Data'!A107:X142, H$2+2, 0)</f>
        <v>1</v>
      </c>
      <c r="I32" s="23">
        <f>VLOOKUP(A32, 'Raw Summary Data'!A107:X142, I$2+2, 0)</f>
        <v>5</v>
      </c>
      <c r="J32" s="23">
        <f>VLOOKUP(A32, 'Raw Summary Data'!A107:X142, J$2+2, 0)</f>
        <v>48</v>
      </c>
      <c r="K32" s="23">
        <v>92</v>
      </c>
      <c r="M32" s="23">
        <f>VLOOKUP(A32, 'Raw Summary Data'!A107:X142, M$2+2, 0)</f>
        <v>92</v>
      </c>
      <c r="N32" s="23">
        <f>VLOOKUP(A32, 'Raw Summary Data'!A107:X142, N$2+2, 0)</f>
        <v>1</v>
      </c>
      <c r="O32" s="23">
        <f>VLOOKUP(A32, 'Raw Summary Data'!A107:X142, O$2+2, 0)</f>
        <v>1</v>
      </c>
      <c r="P32" s="23">
        <f>VLOOKUP(A32, 'Raw Summary Data'!A107:X142, P$2+2, 0)</f>
        <v>5</v>
      </c>
      <c r="Q32" s="23">
        <f>VLOOKUP(A32, 'Raw Summary Data'!A107:X142, Q$2-1, 0)</f>
        <v>48.5</v>
      </c>
      <c r="R32" s="23">
        <v>88</v>
      </c>
      <c r="S32" s="23"/>
      <c r="T32" s="23">
        <f>VLOOKUP(A32, 'Raw Summary Data'!A107:X142, T$2-1, 0)</f>
        <v>88</v>
      </c>
      <c r="U32" s="23">
        <f>VLOOKUP(A32, 'Raw Summary Data'!A107:X142, U$2-1, 0)</f>
        <v>5</v>
      </c>
      <c r="V32" s="23">
        <f>VLOOKUP(A32, 'Raw Summary Data'!A107:X142, V$2-1, 0)</f>
        <v>5</v>
      </c>
      <c r="W32" s="23">
        <f>VLOOKUP(A32, 'Raw Summary Data'!A107:X142, W$2-1, 0)</f>
        <v>5</v>
      </c>
      <c r="X32" s="23">
        <f>VLOOKUP(A32, 'Raw Summary Data'!A107:X142, X$2-1, 0)</f>
        <v>5</v>
      </c>
      <c r="Y32" s="23">
        <f>VLOOKUP(A32, 'Raw Summary Data'!A107:X142, Y$2-2, 0)</f>
        <v>5</v>
      </c>
      <c r="Z32" s="23">
        <v>5</v>
      </c>
      <c r="AA32" s="23">
        <f>VLOOKUP(A32, 'Raw Summary Data'!A107:X142, 23, 0)</f>
        <v>47</v>
      </c>
      <c r="AB32" s="23">
        <v>85</v>
      </c>
      <c r="AC32" s="23">
        <v>95</v>
      </c>
      <c r="AD32" s="23">
        <f>VLOOKUP(A32, 'Raw Summary Data'!A107:X142, 22, 0)</f>
        <v>95</v>
      </c>
    </row>
    <row r="33" spans="1:30" ht="15" customHeight="1" x14ac:dyDescent="0.2">
      <c r="A33" s="60" t="s">
        <v>273</v>
      </c>
      <c r="B33" s="61">
        <v>10</v>
      </c>
      <c r="C33" s="23">
        <f>VLOOKUP(A33, 'Raw Summary Data'!A108:X143, C$2+2, 0)</f>
        <v>1</v>
      </c>
      <c r="D33" s="23">
        <f>VLOOKUP(A33, 'Raw Summary Data'!A108:X143, D$2+2, 0)</f>
        <v>1</v>
      </c>
      <c r="E33" s="23">
        <f>VLOOKUP(A33, 'Raw Summary Data'!A108:X143, E$2+2, 0)</f>
        <v>1</v>
      </c>
      <c r="F33" s="23">
        <f>VLOOKUP(A33, 'Raw Summary Data'!A108:X143, F$2+2, 0)</f>
        <v>1</v>
      </c>
      <c r="G33" s="23">
        <f>VLOOKUP(A33, 'Raw Summary Data'!A108:X143, G$2+2, 0)</f>
        <v>1</v>
      </c>
      <c r="H33" s="23">
        <f>VLOOKUP(A33, 'Raw Summary Data'!A108:X143, H$2+2, 0)</f>
        <v>1</v>
      </c>
      <c r="I33" s="23">
        <f>VLOOKUP(A33, 'Raw Summary Data'!A108:X143, I$2+2, 0)</f>
        <v>5</v>
      </c>
      <c r="J33" s="23">
        <f>VLOOKUP(A33, 'Raw Summary Data'!A108:X143, J$2+2, 0)</f>
        <v>48</v>
      </c>
      <c r="K33" s="23">
        <v>100</v>
      </c>
      <c r="M33" s="23">
        <f>VLOOKUP(A33, 'Raw Summary Data'!A108:X143, M$2+2, 0)</f>
        <v>100</v>
      </c>
      <c r="N33" s="23">
        <f>VLOOKUP(A33, 'Raw Summary Data'!A108:X143, N$2+2, 0)</f>
        <v>1</v>
      </c>
      <c r="O33" s="23">
        <f>VLOOKUP(A33, 'Raw Summary Data'!A108:X143, O$2+2, 0)</f>
        <v>1</v>
      </c>
      <c r="P33" s="23">
        <f>VLOOKUP(A33, 'Raw Summary Data'!A108:X143, P$2+2, 0)</f>
        <v>5</v>
      </c>
      <c r="Q33" s="23">
        <f>VLOOKUP(A33, 'Raw Summary Data'!A108:X143, Q$2-1, 0)</f>
        <v>50</v>
      </c>
      <c r="R33" s="23">
        <v>95</v>
      </c>
      <c r="S33" s="23">
        <v>90</v>
      </c>
      <c r="T33" s="23">
        <f>VLOOKUP(A33, 'Raw Summary Data'!A108:X143, T$2-1, 0)</f>
        <v>95</v>
      </c>
      <c r="U33" s="23">
        <f>VLOOKUP(A33, 'Raw Summary Data'!A108:X143, U$2-1, 0)</f>
        <v>5</v>
      </c>
      <c r="V33" s="23">
        <f>VLOOKUP(A33, 'Raw Summary Data'!A108:X143, V$2-1, 0)</f>
        <v>5</v>
      </c>
      <c r="W33" s="23">
        <f>VLOOKUP(A33, 'Raw Summary Data'!A108:X143, W$2-1, 0)</f>
        <v>5</v>
      </c>
      <c r="X33" s="23">
        <f>VLOOKUP(A33, 'Raw Summary Data'!A108:X143, X$2-1, 0)</f>
        <v>5</v>
      </c>
      <c r="Y33" s="23">
        <f>VLOOKUP(A33, 'Raw Summary Data'!A108:X143, Y$2-2, 0)</f>
        <v>5</v>
      </c>
      <c r="Z33" s="23">
        <v>5</v>
      </c>
      <c r="AA33" s="23">
        <f>VLOOKUP(A33, 'Raw Summary Data'!A108:X143, 23, 0)</f>
        <v>50</v>
      </c>
      <c r="AB33" s="23">
        <v>92</v>
      </c>
      <c r="AC33" s="23">
        <v>92</v>
      </c>
      <c r="AD33" s="23">
        <f>VLOOKUP(A33, 'Raw Summary Data'!A108:X143, 22, 0)</f>
        <v>92</v>
      </c>
    </row>
    <row r="34" spans="1:30" ht="15" customHeight="1" x14ac:dyDescent="0.2">
      <c r="A34" s="60" t="s">
        <v>275</v>
      </c>
      <c r="B34" s="61">
        <v>11</v>
      </c>
      <c r="C34" s="23">
        <f>VLOOKUP(A34, 'Raw Summary Data'!A109:X144, C$2+2, 0)</f>
        <v>0</v>
      </c>
      <c r="D34" s="23">
        <f>VLOOKUP(A34, 'Raw Summary Data'!A109:X144, D$2+2, 0)</f>
        <v>1</v>
      </c>
      <c r="E34" s="23">
        <f>VLOOKUP(A34, 'Raw Summary Data'!A109:X144, E$2+2, 0)</f>
        <v>1</v>
      </c>
      <c r="F34" s="23">
        <f>VLOOKUP(A34, 'Raw Summary Data'!A109:X144, F$2+2, 0)</f>
        <v>0</v>
      </c>
      <c r="G34" s="23">
        <f>VLOOKUP(A34, 'Raw Summary Data'!A109:X144, G$2+2, 0)</f>
        <v>0</v>
      </c>
      <c r="H34" s="23">
        <f>VLOOKUP(A34, 'Raw Summary Data'!A109:X144, H$2+2, 0)</f>
        <v>1</v>
      </c>
      <c r="I34" s="23">
        <f>VLOOKUP(A34, 'Raw Summary Data'!A109:X144, I$2+2, 0)</f>
        <v>5</v>
      </c>
      <c r="J34" s="23">
        <f>VLOOKUP(A34, 'Raw Summary Data'!A109:X144, J$2+2, 0)</f>
        <v>50</v>
      </c>
      <c r="K34" s="23">
        <v>70</v>
      </c>
      <c r="M34" s="23">
        <f>VLOOKUP(A34, 'Raw Summary Data'!A109:X144, M$2+2, 0)</f>
        <v>70</v>
      </c>
      <c r="N34" s="23">
        <f>VLOOKUP(A34, 'Raw Summary Data'!A109:X144, N$2+2, 0)</f>
        <v>1</v>
      </c>
      <c r="O34" s="23">
        <f>VLOOKUP(A34, 'Raw Summary Data'!A109:X144, O$2+2, 0)</f>
        <v>1</v>
      </c>
      <c r="P34" s="23">
        <f>VLOOKUP(A34, 'Raw Summary Data'!A109:X144, P$2+2, 0)</f>
        <v>5</v>
      </c>
      <c r="Q34" s="23">
        <f>VLOOKUP(A34, 'Raw Summary Data'!A109:X144, Q$2-1, 0)</f>
        <v>50</v>
      </c>
      <c r="R34" s="23">
        <v>72</v>
      </c>
      <c r="S34" s="23"/>
      <c r="T34" s="23">
        <f>VLOOKUP(A34, 'Raw Summary Data'!A109:X144, T$2-1, 0)</f>
        <v>72</v>
      </c>
      <c r="U34" s="23">
        <f>VLOOKUP(A34, 'Raw Summary Data'!A109:X144, U$2-1, 0)</f>
        <v>0</v>
      </c>
      <c r="V34" s="23">
        <f>VLOOKUP(A34, 'Raw Summary Data'!A109:X144, V$2-1, 0)</f>
        <v>5</v>
      </c>
      <c r="W34" s="23">
        <f>VLOOKUP(A34, 'Raw Summary Data'!A109:X144, W$2-1, 0)</f>
        <v>5</v>
      </c>
      <c r="X34" s="23">
        <f>VLOOKUP(A34, 'Raw Summary Data'!A109:X144, X$2-1, 0)</f>
        <v>5</v>
      </c>
      <c r="Y34" s="23">
        <f>VLOOKUP(A34, 'Raw Summary Data'!A109:X144, Y$2-2, 0)</f>
        <v>0</v>
      </c>
      <c r="Z34" s="23">
        <v>0</v>
      </c>
      <c r="AA34" s="23">
        <f>VLOOKUP(A34, 'Raw Summary Data'!A109:X144, 23, 0)</f>
        <v>50</v>
      </c>
      <c r="AB34" s="23">
        <v>75</v>
      </c>
      <c r="AC34" s="23"/>
      <c r="AD34" s="23">
        <f>VLOOKUP(A34, 'Raw Summary Data'!A109:X144, 22, 0)</f>
        <v>75</v>
      </c>
    </row>
    <row r="35" spans="1:30" ht="15" customHeight="1" x14ac:dyDescent="0.2">
      <c r="A35" s="60" t="s">
        <v>277</v>
      </c>
      <c r="B35" s="61">
        <v>11</v>
      </c>
      <c r="C35" s="23">
        <f>VLOOKUP(A35, 'Raw Summary Data'!A110:X145, C$2+2, 0)</f>
        <v>0</v>
      </c>
      <c r="D35" s="23">
        <f>VLOOKUP(A35, 'Raw Summary Data'!A110:X145, D$2+2, 0)</f>
        <v>0</v>
      </c>
      <c r="E35" s="23">
        <f>VLOOKUP(A35, 'Raw Summary Data'!A110:X145, E$2+2, 0)</f>
        <v>0</v>
      </c>
      <c r="F35" s="23">
        <f>VLOOKUP(A35, 'Raw Summary Data'!A110:X145, F$2+2, 0)</f>
        <v>0</v>
      </c>
      <c r="G35" s="23">
        <f>VLOOKUP(A35, 'Raw Summary Data'!A110:X145, G$2+2, 0)</f>
        <v>0</v>
      </c>
      <c r="H35" s="23">
        <f>VLOOKUP(A35, 'Raw Summary Data'!A110:X145, H$2+2, 0)</f>
        <v>0</v>
      </c>
      <c r="I35" s="23">
        <f>VLOOKUP(A35, 'Raw Summary Data'!A110:X145, I$2+2, 0)</f>
        <v>5</v>
      </c>
      <c r="J35" s="23">
        <f>VLOOKUP(A35, 'Raw Summary Data'!A110:X145, J$2+2, 0)</f>
        <v>39</v>
      </c>
      <c r="K35" s="23">
        <v>70</v>
      </c>
      <c r="M35" s="23">
        <f>VLOOKUP(A35, 'Raw Summary Data'!A110:X145, M$2+2, 0)</f>
        <v>70</v>
      </c>
      <c r="N35" s="23">
        <f>VLOOKUP(A35, 'Raw Summary Data'!A110:X145, N$2+2, 0)</f>
        <v>0</v>
      </c>
      <c r="O35" s="23">
        <f>VLOOKUP(A35, 'Raw Summary Data'!A110:X145, O$2+2, 0)</f>
        <v>0</v>
      </c>
      <c r="P35" s="23">
        <f>VLOOKUP(A35, 'Raw Summary Data'!A110:X145, P$2+2, 0)</f>
        <v>5</v>
      </c>
      <c r="Q35" s="23">
        <f>VLOOKUP(A35, 'Raw Summary Data'!A110:X145, Q$2-1, 0)</f>
        <v>36</v>
      </c>
      <c r="R35" s="23">
        <v>65</v>
      </c>
      <c r="S35" s="23">
        <v>65</v>
      </c>
      <c r="T35" s="23">
        <f>VLOOKUP(A35, 'Raw Summary Data'!A110:X145, T$2-1, 0)</f>
        <v>65</v>
      </c>
      <c r="U35" s="23">
        <f>VLOOKUP(A35, 'Raw Summary Data'!A110:X145, U$2-1, 0)</f>
        <v>0</v>
      </c>
      <c r="V35" s="23">
        <f>VLOOKUP(A35, 'Raw Summary Data'!A110:X145, V$2-1, 0)</f>
        <v>0</v>
      </c>
      <c r="W35" s="23">
        <f>VLOOKUP(A35, 'Raw Summary Data'!A110:X145, W$2-1, 0)</f>
        <v>0</v>
      </c>
      <c r="X35" s="23">
        <f>VLOOKUP(A35, 'Raw Summary Data'!A110:X145, X$2-1, 0)</f>
        <v>0</v>
      </c>
      <c r="Y35" s="23">
        <f>VLOOKUP(A35, 'Raw Summary Data'!A110:X145, Y$2-2, 0)</f>
        <v>0</v>
      </c>
      <c r="Z35" s="23">
        <v>0</v>
      </c>
      <c r="AA35" s="23">
        <f>VLOOKUP(A35, 'Raw Summary Data'!A110:X145, 23, 0)</f>
        <v>39</v>
      </c>
      <c r="AB35" s="23">
        <v>62</v>
      </c>
      <c r="AC35" s="23"/>
      <c r="AD35" s="23">
        <f>VLOOKUP(A35, 'Raw Summary Data'!A110:X145, 22, 0)</f>
        <v>62</v>
      </c>
    </row>
    <row r="36" spans="1:30" ht="15" customHeight="1" x14ac:dyDescent="0.2">
      <c r="A36" s="60" t="s">
        <v>279</v>
      </c>
      <c r="B36" s="61">
        <v>11</v>
      </c>
      <c r="C36" s="23">
        <f>VLOOKUP(A36, 'Raw Summary Data'!A111:X146, C$2+2, 0)</f>
        <v>0</v>
      </c>
      <c r="D36" s="23">
        <f>VLOOKUP(A36, 'Raw Summary Data'!A111:X146, D$2+2, 0)</f>
        <v>0</v>
      </c>
      <c r="E36" s="23">
        <f>VLOOKUP(A36, 'Raw Summary Data'!A111:X146, E$2+2, 0)</f>
        <v>0</v>
      </c>
      <c r="F36" s="23">
        <f>VLOOKUP(A36, 'Raw Summary Data'!A111:X146, F$2+2, 0)</f>
        <v>0</v>
      </c>
      <c r="G36" s="23">
        <f>VLOOKUP(A36, 'Raw Summary Data'!A111:X146, G$2+2, 0)</f>
        <v>0</v>
      </c>
      <c r="H36" s="23">
        <f>VLOOKUP(A36, 'Raw Summary Data'!A111:X146, H$2+2, 0)</f>
        <v>0</v>
      </c>
      <c r="I36" s="23">
        <f>VLOOKUP(A36, 'Raw Summary Data'!A111:X146, I$2+2, 0)</f>
        <v>5</v>
      </c>
      <c r="J36" s="23">
        <f>VLOOKUP(A36, 'Raw Summary Data'!A111:X146, J$2+2, 0)</f>
        <v>48</v>
      </c>
      <c r="K36" s="23">
        <v>85</v>
      </c>
      <c r="M36" s="23">
        <f>VLOOKUP(A36, 'Raw Summary Data'!A111:X146, M$2+2, 0)</f>
        <v>85</v>
      </c>
      <c r="N36" s="23">
        <f>VLOOKUP(A36, 'Raw Summary Data'!A111:X146, N$2+2, 0)</f>
        <v>0</v>
      </c>
      <c r="O36" s="23">
        <f>VLOOKUP(A36, 'Raw Summary Data'!A111:X146, O$2+2, 0)</f>
        <v>0</v>
      </c>
      <c r="P36" s="23">
        <f>VLOOKUP(A36, 'Raw Summary Data'!A111:X146, P$2+2, 0)</f>
        <v>5</v>
      </c>
      <c r="Q36" s="23">
        <f>VLOOKUP(A36, 'Raw Summary Data'!A111:X146, Q$2-1, 0)</f>
        <v>38</v>
      </c>
      <c r="R36" s="23">
        <v>86</v>
      </c>
      <c r="S36" s="23"/>
      <c r="T36" s="23">
        <f>VLOOKUP(A36, 'Raw Summary Data'!A111:X146, T$2-1, 0)</f>
        <v>86</v>
      </c>
      <c r="U36" s="23">
        <f>VLOOKUP(A36, 'Raw Summary Data'!A111:X146, U$2-1, 0)</f>
        <v>0</v>
      </c>
      <c r="V36" s="23">
        <f>VLOOKUP(A36, 'Raw Summary Data'!A111:X146, V$2-1, 0)</f>
        <v>0</v>
      </c>
      <c r="W36" s="23">
        <f>VLOOKUP(A36, 'Raw Summary Data'!A111:X146, W$2-1, 0)</f>
        <v>0</v>
      </c>
      <c r="X36" s="23">
        <f>VLOOKUP(A36, 'Raw Summary Data'!A111:X146, X$2-1, 0)</f>
        <v>0</v>
      </c>
      <c r="Y36" s="23">
        <f>VLOOKUP(A36, 'Raw Summary Data'!A111:X146, Y$2-2, 0)</f>
        <v>0</v>
      </c>
      <c r="Z36" s="23">
        <v>0</v>
      </c>
      <c r="AA36" s="23">
        <f>VLOOKUP(A36, 'Raw Summary Data'!A111:X146, 23, 0)</f>
        <v>50</v>
      </c>
      <c r="AB36" s="23">
        <v>62</v>
      </c>
      <c r="AC36" s="23"/>
      <c r="AD36" s="23">
        <f>VLOOKUP(A36, 'Raw Summary Data'!A111:X146, 22, 0)</f>
        <v>62</v>
      </c>
    </row>
    <row r="37" spans="1:30" ht="15" customHeight="1" x14ac:dyDescent="0.2">
      <c r="A37" s="60" t="s">
        <v>281</v>
      </c>
      <c r="B37" s="61">
        <v>11</v>
      </c>
      <c r="C37" s="23">
        <f>VLOOKUP(A37, 'Raw Summary Data'!A112:X147, C$2+2, 0)</f>
        <v>1</v>
      </c>
      <c r="D37" s="23">
        <f>VLOOKUP(A37, 'Raw Summary Data'!A112:X147, D$2+2, 0)</f>
        <v>1</v>
      </c>
      <c r="E37" s="23">
        <f>VLOOKUP(A37, 'Raw Summary Data'!A112:X147, E$2+2, 0)</f>
        <v>0</v>
      </c>
      <c r="F37" s="23">
        <f>VLOOKUP(A37, 'Raw Summary Data'!A112:X147, F$2+2, 0)</f>
        <v>1</v>
      </c>
      <c r="G37" s="23">
        <f>VLOOKUP(A37, 'Raw Summary Data'!A112:X147, G$2+2, 0)</f>
        <v>0</v>
      </c>
      <c r="H37" s="23">
        <f>VLOOKUP(A37, 'Raw Summary Data'!A112:X147, H$2+2, 0)</f>
        <v>1</v>
      </c>
      <c r="I37" s="23">
        <f>VLOOKUP(A37, 'Raw Summary Data'!A112:X147, I$2+2, 0)</f>
        <v>5</v>
      </c>
      <c r="J37" s="23">
        <f>VLOOKUP(A37, 'Raw Summary Data'!A112:X147, J$2+2, 0)</f>
        <v>48</v>
      </c>
      <c r="K37" s="23">
        <v>72</v>
      </c>
      <c r="M37" s="23">
        <f>VLOOKUP(A37, 'Raw Summary Data'!A112:X147, M$2+2, 0)</f>
        <v>72</v>
      </c>
      <c r="N37" s="23">
        <f>VLOOKUP(A37, 'Raw Summary Data'!A112:X147, N$2+2, 0)</f>
        <v>0</v>
      </c>
      <c r="O37" s="23">
        <f>VLOOKUP(A37, 'Raw Summary Data'!A112:X147, O$2+2, 0)</f>
        <v>0</v>
      </c>
      <c r="P37" s="23">
        <f>VLOOKUP(A37, 'Raw Summary Data'!A112:X147, P$2+2, 0)</f>
        <v>3</v>
      </c>
      <c r="Q37" s="23">
        <f>VLOOKUP(A37, 'Raw Summary Data'!A112:X147, Q$2-1, 0)</f>
        <v>44.5</v>
      </c>
      <c r="R37" s="23">
        <v>63</v>
      </c>
      <c r="S37" s="23">
        <v>62</v>
      </c>
      <c r="T37" s="23">
        <f>VLOOKUP(A37, 'Raw Summary Data'!A112:X147, T$2-1, 0)</f>
        <v>63</v>
      </c>
      <c r="U37" s="23">
        <f>VLOOKUP(A37, 'Raw Summary Data'!A112:X147, U$2-1, 0)</f>
        <v>0</v>
      </c>
      <c r="V37" s="23">
        <f>VLOOKUP(A37, 'Raw Summary Data'!A112:X147, V$2-1, 0)</f>
        <v>0</v>
      </c>
      <c r="W37" s="23">
        <f>VLOOKUP(A37, 'Raw Summary Data'!A112:X147, W$2-1, 0)</f>
        <v>0</v>
      </c>
      <c r="X37" s="23">
        <f>VLOOKUP(A37, 'Raw Summary Data'!A112:X147, X$2-1, 0)</f>
        <v>0</v>
      </c>
      <c r="Y37" s="23">
        <f>VLOOKUP(A37, 'Raw Summary Data'!A112:X147, Y$2-2, 0)</f>
        <v>0</v>
      </c>
      <c r="Z37" s="23">
        <v>0</v>
      </c>
      <c r="AA37" s="23">
        <f>VLOOKUP(A37, 'Raw Summary Data'!A112:X147, 23, 0)</f>
        <v>50</v>
      </c>
      <c r="AB37" s="23">
        <v>30</v>
      </c>
      <c r="AC37" s="23">
        <v>30</v>
      </c>
      <c r="AD37" s="23">
        <f>VLOOKUP(A37, 'Raw Summary Data'!A112:X147, 22, 0)</f>
        <v>30</v>
      </c>
    </row>
    <row r="38" spans="1:30" ht="15" customHeight="1" x14ac:dyDescent="0.2">
      <c r="A38" s="60" t="s">
        <v>283</v>
      </c>
      <c r="B38" s="61">
        <v>11</v>
      </c>
      <c r="C38" s="23">
        <f>VLOOKUP(A38, 'Raw Summary Data'!A113:X148, C$2+2, 0)</f>
        <v>0</v>
      </c>
      <c r="D38" s="23">
        <f>VLOOKUP(A38, 'Raw Summary Data'!A113:X148, D$2+2, 0)</f>
        <v>0</v>
      </c>
      <c r="E38" s="23">
        <f>VLOOKUP(A38, 'Raw Summary Data'!A113:X148, E$2+2, 0)</f>
        <v>0</v>
      </c>
      <c r="F38" s="23">
        <f>VLOOKUP(A38, 'Raw Summary Data'!A113:X148, F$2+2, 0)</f>
        <v>0</v>
      </c>
      <c r="G38" s="23">
        <f>VLOOKUP(A38, 'Raw Summary Data'!A113:X148, G$2+2, 0)</f>
        <v>0</v>
      </c>
      <c r="H38" s="23">
        <f>VLOOKUP(A38, 'Raw Summary Data'!A113:X148, H$2+2, 0)</f>
        <v>0</v>
      </c>
      <c r="I38" s="23">
        <f>VLOOKUP(A38, 'Raw Summary Data'!A113:X148, I$2+2, 0)</f>
        <v>0</v>
      </c>
      <c r="J38" s="23">
        <f>VLOOKUP(A38, 'Raw Summary Data'!A113:X148, J$2+2, 0)</f>
        <v>0</v>
      </c>
      <c r="K38" s="23"/>
      <c r="M38" s="23" t="str">
        <f>VLOOKUP(A38, 'Raw Summary Data'!A113:X148, M$2+2, 0)</f>
        <v>NA</v>
      </c>
      <c r="N38" s="23">
        <f>VLOOKUP(A38, 'Raw Summary Data'!A113:X148, N$2+2, 0)</f>
        <v>0</v>
      </c>
      <c r="O38" s="23">
        <f>VLOOKUP(A38, 'Raw Summary Data'!A113:X148, O$2+2, 0)</f>
        <v>0</v>
      </c>
      <c r="P38" s="23">
        <f>VLOOKUP(A38, 'Raw Summary Data'!A113:X148, P$2+2, 0)</f>
        <v>5</v>
      </c>
      <c r="Q38" s="23">
        <f>VLOOKUP(A38, 'Raw Summary Data'!A113:X148, Q$2-1, 0)</f>
        <v>45.5</v>
      </c>
      <c r="R38" s="23">
        <v>65</v>
      </c>
      <c r="S38" s="23">
        <v>72</v>
      </c>
      <c r="T38" s="23">
        <f>VLOOKUP(A38, 'Raw Summary Data'!A113:X148, T$2-1, 0)</f>
        <v>72</v>
      </c>
      <c r="U38" s="23">
        <f>VLOOKUP(A38, 'Raw Summary Data'!A113:X148, U$2-1, 0)</f>
        <v>0</v>
      </c>
      <c r="V38" s="23">
        <f>VLOOKUP(A38, 'Raw Summary Data'!A113:X148, V$2-1, 0)</f>
        <v>0</v>
      </c>
      <c r="W38" s="23">
        <f>VLOOKUP(A38, 'Raw Summary Data'!A113:X148, W$2-1, 0)</f>
        <v>0</v>
      </c>
      <c r="X38" s="23">
        <f>VLOOKUP(A38, 'Raw Summary Data'!A113:X148, X$2-1, 0)</f>
        <v>0</v>
      </c>
      <c r="Y38" s="23">
        <f>VLOOKUP(A38, 'Raw Summary Data'!A113:X148, Y$2-2, 0)</f>
        <v>0</v>
      </c>
      <c r="Z38" s="23">
        <v>0</v>
      </c>
      <c r="AA38" s="23">
        <f>VLOOKUP(A38, 'Raw Summary Data'!A113:X148, 23, 0)</f>
        <v>11</v>
      </c>
      <c r="AB38" s="23">
        <v>65</v>
      </c>
      <c r="AC38" s="23">
        <v>65</v>
      </c>
      <c r="AD38" s="23">
        <f>VLOOKUP(A38, 'Raw Summary Data'!A113:X148, 22, 0)</f>
        <v>65</v>
      </c>
    </row>
    <row r="39" spans="1:30" ht="15" customHeight="1" x14ac:dyDescent="0.2">
      <c r="A39" s="60" t="s">
        <v>285</v>
      </c>
      <c r="B39" s="61">
        <v>11</v>
      </c>
      <c r="C39" s="23">
        <f>VLOOKUP(A39, 'Raw Summary Data'!A114:X149, C$2+2, 0)</f>
        <v>0</v>
      </c>
      <c r="D39" s="23">
        <f>VLOOKUP(A39, 'Raw Summary Data'!A114:X149, D$2+2, 0)</f>
        <v>0</v>
      </c>
      <c r="E39" s="23">
        <f>VLOOKUP(A39, 'Raw Summary Data'!A114:X149, E$2+2, 0)</f>
        <v>0</v>
      </c>
      <c r="F39" s="23">
        <f>VLOOKUP(A39, 'Raw Summary Data'!A114:X149, F$2+2, 0)</f>
        <v>0</v>
      </c>
      <c r="G39" s="23">
        <f>VLOOKUP(A39, 'Raw Summary Data'!A114:X149, G$2+2, 0)</f>
        <v>0</v>
      </c>
      <c r="H39" s="23">
        <f>VLOOKUP(A39, 'Raw Summary Data'!A114:X149, H$2+2, 0)</f>
        <v>0</v>
      </c>
      <c r="I39" s="23">
        <f>VLOOKUP(A39, 'Raw Summary Data'!A114:X149, I$2+2, 0)</f>
        <v>0</v>
      </c>
      <c r="J39" s="23">
        <f>VLOOKUP(A39, 'Raw Summary Data'!A114:X149, J$2+2, 0)</f>
        <v>44</v>
      </c>
      <c r="K39" s="23"/>
      <c r="M39" s="23">
        <f>VLOOKUP(A39, 'Raw Summary Data'!A114:X149, M$2+2, 0)</f>
        <v>60</v>
      </c>
      <c r="N39" s="23">
        <f>VLOOKUP(A39, 'Raw Summary Data'!A114:X149, N$2+2, 0)</f>
        <v>1</v>
      </c>
      <c r="O39" s="23">
        <f>VLOOKUP(A39, 'Raw Summary Data'!A114:X149, O$2+2, 0)</f>
        <v>1</v>
      </c>
      <c r="P39" s="23">
        <f>VLOOKUP(A39, 'Raw Summary Data'!A114:X149, P$2+2, 0)</f>
        <v>5</v>
      </c>
      <c r="Q39" s="23">
        <f>VLOOKUP(A39, 'Raw Summary Data'!A114:X149, Q$2-1, 0)</f>
        <v>41</v>
      </c>
      <c r="R39" s="23">
        <v>63</v>
      </c>
      <c r="S39" s="23"/>
      <c r="T39" s="23">
        <f>VLOOKUP(A39, 'Raw Summary Data'!A114:X149, T$2-1, 0)</f>
        <v>63</v>
      </c>
      <c r="U39" s="23">
        <f>VLOOKUP(A39, 'Raw Summary Data'!A114:X149, U$2-1, 0)</f>
        <v>0</v>
      </c>
      <c r="V39" s="23">
        <f>VLOOKUP(A39, 'Raw Summary Data'!A114:X149, V$2-1, 0)</f>
        <v>0</v>
      </c>
      <c r="W39" s="23">
        <f>VLOOKUP(A39, 'Raw Summary Data'!A114:X149, W$2-1, 0)</f>
        <v>0</v>
      </c>
      <c r="X39" s="23">
        <f>VLOOKUP(A39, 'Raw Summary Data'!A114:X149, X$2-1, 0)</f>
        <v>0</v>
      </c>
      <c r="Y39" s="23">
        <f>VLOOKUP(A39, 'Raw Summary Data'!A114:X149, Y$2-2, 0)</f>
        <v>0</v>
      </c>
      <c r="Z39" s="23">
        <v>0</v>
      </c>
      <c r="AA39" s="23">
        <f>VLOOKUP(A39, 'Raw Summary Data'!A114:X149, 23, 0)</f>
        <v>44</v>
      </c>
      <c r="AB39" s="23">
        <v>68</v>
      </c>
      <c r="AC39" s="23"/>
      <c r="AD39" s="23">
        <f>VLOOKUP(A39, 'Raw Summary Data'!A114:X149, 22, 0)</f>
        <v>68</v>
      </c>
    </row>
    <row r="40" spans="1:30" ht="15" customHeight="1" x14ac:dyDescent="0.2">
      <c r="A40" s="24"/>
    </row>
    <row r="41" spans="1:30" ht="15" customHeight="1" x14ac:dyDescent="0.2">
      <c r="A41" s="24"/>
    </row>
    <row r="42" spans="1:30" ht="15" customHeight="1" x14ac:dyDescent="0.2">
      <c r="A42" s="24"/>
    </row>
    <row r="43" spans="1:30" ht="15" customHeight="1" x14ac:dyDescent="0.2">
      <c r="A43" s="24"/>
    </row>
    <row r="44" spans="1:30" ht="15.75" x14ac:dyDescent="0.25">
      <c r="A44" s="24"/>
      <c r="B44" s="52" t="s">
        <v>744</v>
      </c>
    </row>
    <row r="45" spans="1:30" ht="25.5" x14ac:dyDescent="0.2">
      <c r="A45" s="24"/>
      <c r="B45" s="38" t="s">
        <v>822</v>
      </c>
    </row>
    <row r="46" spans="1:30" ht="25.5" x14ac:dyDescent="0.2">
      <c r="A46" s="24"/>
      <c r="B46" s="25" t="s">
        <v>745</v>
      </c>
      <c r="C46" s="25" t="s">
        <v>746</v>
      </c>
      <c r="D46" s="25" t="s">
        <v>747</v>
      </c>
      <c r="E46" s="25" t="s">
        <v>748</v>
      </c>
    </row>
    <row r="50" spans="2:5" ht="63.75" x14ac:dyDescent="0.2">
      <c r="B50" s="25" t="s">
        <v>749</v>
      </c>
      <c r="C50" s="25" t="s">
        <v>750</v>
      </c>
      <c r="D50" s="25" t="s">
        <v>751</v>
      </c>
      <c r="E50" s="25" t="s">
        <v>752</v>
      </c>
    </row>
    <row r="51" spans="2:5" ht="12.75" x14ac:dyDescent="0.2">
      <c r="C51" s="38"/>
      <c r="D51" s="38"/>
    </row>
    <row r="52" spans="2:5" ht="12.75" x14ac:dyDescent="0.2">
      <c r="C52" s="38"/>
      <c r="D52" s="38"/>
    </row>
    <row r="53" spans="2:5" ht="12.75" x14ac:dyDescent="0.2">
      <c r="C53" s="38"/>
      <c r="D53" s="38"/>
    </row>
    <row r="54" spans="2:5" ht="63.75" x14ac:dyDescent="0.2">
      <c r="B54" s="25" t="s">
        <v>753</v>
      </c>
      <c r="C54" s="25" t="s">
        <v>754</v>
      </c>
      <c r="D54" s="25" t="s">
        <v>755</v>
      </c>
      <c r="E54" s="25" t="s">
        <v>756</v>
      </c>
    </row>
    <row r="55" spans="2:5" ht="12.75" x14ac:dyDescent="0.2">
      <c r="C55" s="38"/>
      <c r="D55" s="38"/>
    </row>
    <row r="56" spans="2:5" ht="12.75" x14ac:dyDescent="0.2">
      <c r="C56" s="38"/>
      <c r="D56" s="38"/>
    </row>
    <row r="57" spans="2:5" ht="12.75" x14ac:dyDescent="0.2">
      <c r="C57" s="38"/>
      <c r="D57" s="38"/>
    </row>
    <row r="58" spans="2:5" ht="63.75" x14ac:dyDescent="0.2">
      <c r="B58" s="25" t="s">
        <v>757</v>
      </c>
      <c r="C58" s="25" t="s">
        <v>758</v>
      </c>
      <c r="D58" s="25" t="s">
        <v>759</v>
      </c>
      <c r="E58" s="25" t="s">
        <v>760</v>
      </c>
    </row>
    <row r="59" spans="2:5" ht="12.75" x14ac:dyDescent="0.2">
      <c r="C59" s="38"/>
      <c r="D59" s="38"/>
    </row>
    <row r="60" spans="2:5" ht="12.75" x14ac:dyDescent="0.2">
      <c r="C60" s="38"/>
      <c r="D60" s="38"/>
    </row>
    <row r="61" spans="2:5" ht="12.75" x14ac:dyDescent="0.2">
      <c r="C61" s="38"/>
      <c r="D61" s="38"/>
    </row>
    <row r="62" spans="2:5" ht="63.75" x14ac:dyDescent="0.2">
      <c r="B62" s="25" t="s">
        <v>823</v>
      </c>
      <c r="C62" s="25" t="s">
        <v>824</v>
      </c>
      <c r="D62" s="25" t="s">
        <v>825</v>
      </c>
      <c r="E62" s="25" t="s">
        <v>826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T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 x14ac:dyDescent="0.2"/>
  <cols>
    <col min="1" max="1" width="30.7109375" customWidth="1"/>
  </cols>
  <sheetData>
    <row r="1" spans="1:46" ht="15" customHeight="1" x14ac:dyDescent="0.2">
      <c r="A1" s="25" t="s">
        <v>693</v>
      </c>
      <c r="B1" s="25" t="s">
        <v>694</v>
      </c>
      <c r="C1" s="25" t="s">
        <v>776</v>
      </c>
      <c r="D1" s="25" t="s">
        <v>815</v>
      </c>
      <c r="E1" s="25" t="s">
        <v>816</v>
      </c>
      <c r="F1" s="25" t="s">
        <v>779</v>
      </c>
      <c r="G1" s="25" t="s">
        <v>703</v>
      </c>
      <c r="H1" s="25" t="s">
        <v>705</v>
      </c>
      <c r="I1" s="25" t="s">
        <v>706</v>
      </c>
      <c r="J1" s="25" t="s">
        <v>782</v>
      </c>
      <c r="K1" s="25" t="s">
        <v>783</v>
      </c>
      <c r="L1" s="25" t="s">
        <v>817</v>
      </c>
      <c r="M1" s="25" t="s">
        <v>785</v>
      </c>
      <c r="N1" s="25" t="s">
        <v>712</v>
      </c>
      <c r="O1" s="25" t="s">
        <v>713</v>
      </c>
      <c r="P1" s="25" t="s">
        <v>714</v>
      </c>
      <c r="Q1" s="25" t="s">
        <v>788</v>
      </c>
      <c r="R1" s="25" t="s">
        <v>789</v>
      </c>
      <c r="S1" s="25" t="s">
        <v>790</v>
      </c>
      <c r="T1" s="25" t="s">
        <v>818</v>
      </c>
      <c r="U1" s="25" t="s">
        <v>792</v>
      </c>
      <c r="V1" s="25" t="s">
        <v>723</v>
      </c>
      <c r="W1" s="25" t="s">
        <v>725</v>
      </c>
      <c r="X1" s="25" t="s">
        <v>726</v>
      </c>
      <c r="Y1" s="25" t="s">
        <v>819</v>
      </c>
      <c r="Z1" s="25" t="s">
        <v>796</v>
      </c>
      <c r="AA1" s="25" t="s">
        <v>797</v>
      </c>
      <c r="AB1" s="25" t="s">
        <v>820</v>
      </c>
      <c r="AC1" s="25" t="s">
        <v>799</v>
      </c>
      <c r="AD1" s="25" t="s">
        <v>800</v>
      </c>
      <c r="AE1" s="25" t="s">
        <v>801</v>
      </c>
      <c r="AF1" s="25" t="s">
        <v>808</v>
      </c>
      <c r="AG1" s="25" t="s">
        <v>809</v>
      </c>
      <c r="AH1" s="25" t="s">
        <v>803</v>
      </c>
      <c r="AI1" s="25" t="s">
        <v>728</v>
      </c>
      <c r="AJ1" s="25" t="s">
        <v>804</v>
      </c>
      <c r="AK1" s="25" t="s">
        <v>729</v>
      </c>
      <c r="AL1" s="25" t="s">
        <v>805</v>
      </c>
      <c r="AM1" s="25" t="s">
        <v>730</v>
      </c>
      <c r="AN1" s="25" t="s">
        <v>806</v>
      </c>
      <c r="AO1" s="25" t="s">
        <v>807</v>
      </c>
      <c r="AP1" s="25" t="s">
        <v>731</v>
      </c>
      <c r="AQ1" s="25" t="s">
        <v>732</v>
      </c>
      <c r="AR1" s="25" t="s">
        <v>736</v>
      </c>
      <c r="AS1" s="25" t="s">
        <v>737</v>
      </c>
      <c r="AT1" s="25" t="s">
        <v>738</v>
      </c>
    </row>
    <row r="2" spans="1:46" ht="15" customHeight="1" x14ac:dyDescent="0.2">
      <c r="A2" s="60" t="s">
        <v>311</v>
      </c>
      <c r="B2" s="3" t="s">
        <v>8</v>
      </c>
      <c r="C2" s="20">
        <f>VLOOKUP(A2,'Raw Summary Data'!A123:T148, 3, 0)</f>
        <v>15</v>
      </c>
      <c r="D2" s="20">
        <f>VLOOKUP(A2,'Raw Summary Data'!A123:T148, 4, 0)</f>
        <v>7</v>
      </c>
      <c r="E2" s="20">
        <f>VLOOKUP(A2,'Raw Summary Data'!A123:T148, 5, 0)</f>
        <v>9.66</v>
      </c>
      <c r="F2" s="20" t="e">
        <f t="shared" ref="F2:F27" ca="1" si="0">CONVERT_13PT_SCALE(E2)</f>
        <v>#NAME?</v>
      </c>
      <c r="G2" s="20">
        <v>75</v>
      </c>
      <c r="H2" s="27">
        <v>78</v>
      </c>
      <c r="I2" s="20">
        <f>VLOOKUP(A2,'Raw Summary Data'!A123:T148, I$29-1, 0)</f>
        <v>78</v>
      </c>
      <c r="J2" s="20">
        <f>VLOOKUP(A2,'Raw Summary Data'!A123:T148, J$29-1, 0)</f>
        <v>9</v>
      </c>
      <c r="K2" s="20">
        <f>VLOOKUP(A2,'Raw Summary Data'!A123:T148, K$29-1, 0)</f>
        <v>0</v>
      </c>
      <c r="L2" s="20">
        <f>VLOOKUP(A2,'Raw Summary Data'!A123:T148, L$29-1, 0)</f>
        <v>0</v>
      </c>
      <c r="M2" s="20" t="e">
        <f t="shared" ref="M2:M27" ca="1" si="1">CONVERT_13PT_SCALE(L2)</f>
        <v>#NAME?</v>
      </c>
      <c r="N2" s="20">
        <v>62</v>
      </c>
      <c r="O2" s="20">
        <v>78</v>
      </c>
      <c r="P2" s="20">
        <f>VLOOKUP(A2,'Raw Summary Data'!A123:T148, P$29-1, 0)</f>
        <v>78</v>
      </c>
      <c r="Q2" s="20">
        <f>VLOOKUP(A2,'Raw Summary Data'!A123:T148, Q$29-1, 0)</f>
        <v>7</v>
      </c>
      <c r="R2" s="20">
        <f>VLOOKUP(A2,'Raw Summary Data'!A123:T148, R$29-1, 0)</f>
        <v>8</v>
      </c>
      <c r="S2" s="20">
        <f>VLOOKUP(A2,'Raw Summary Data'!A123:T148, S$29-1, 0)</f>
        <v>9</v>
      </c>
      <c r="T2" s="20">
        <f>VLOOKUP(A2,'Raw Summary Data'!A123:T148, T$29-1, 0)</f>
        <v>5.5</v>
      </c>
      <c r="U2" s="20" t="e">
        <f t="shared" ref="U2:U19" ca="1" si="2">CONVERT_13PT_SCALE(T2)</f>
        <v>#NAME?</v>
      </c>
      <c r="V2" s="20">
        <v>68</v>
      </c>
      <c r="W2" s="20">
        <v>72</v>
      </c>
      <c r="X2" s="20">
        <f>VLOOKUP(A2,'Raw Summary Data'!A123:T148, X$29-1, 0)</f>
        <v>68</v>
      </c>
      <c r="Y2" s="27" t="s">
        <v>462</v>
      </c>
      <c r="Z2" s="20">
        <f>VLOOKUP(A2,'Raw Summary Data'!A123:T148, 17, 0)</f>
        <v>22</v>
      </c>
      <c r="AA2" s="20">
        <f>VLOOKUP(A2,'Raw Summary Data'!A123:T148, 19, 0)</f>
        <v>5</v>
      </c>
      <c r="AB2" s="20">
        <f>VLOOKUP(A2,'Raw Summary Data'!A123:T148, 20, 0)</f>
        <v>0</v>
      </c>
      <c r="AC2" s="20">
        <f>VLOOKUP(A2,'Raw Summary Data'!A123:T148, AC$29-1, 0)</f>
        <v>13</v>
      </c>
      <c r="AD2" s="20" t="e">
        <f t="shared" ref="AD2:AD19" ca="1" si="3">CONVERT_13PT_SCALE(AC2)</f>
        <v>#NAME?</v>
      </c>
    </row>
    <row r="3" spans="1:46" ht="15" customHeight="1" x14ac:dyDescent="0.2">
      <c r="A3" s="60" t="s">
        <v>313</v>
      </c>
      <c r="B3" s="3" t="s">
        <v>8</v>
      </c>
      <c r="C3" s="20">
        <f>VLOOKUP(A3,'Raw Summary Data'!A124:T149, 3, 0)</f>
        <v>13.5</v>
      </c>
      <c r="D3" s="20">
        <f>VLOOKUP(A3,'Raw Summary Data'!A124:T149, 4, 0)</f>
        <v>14</v>
      </c>
      <c r="E3" s="20">
        <f>VLOOKUP(A3,'Raw Summary Data'!A124:T149, 5, 0)</f>
        <v>9.66</v>
      </c>
      <c r="F3" s="20" t="e">
        <f t="shared" ca="1" si="0"/>
        <v>#NAME?</v>
      </c>
      <c r="G3" s="20">
        <v>72</v>
      </c>
      <c r="H3" s="27" t="s">
        <v>462</v>
      </c>
      <c r="I3" s="20">
        <f>VLOOKUP(A3,'Raw Summary Data'!A124:T149, I$29-1, 0)</f>
        <v>72</v>
      </c>
      <c r="J3" s="20">
        <f>VLOOKUP(A3,'Raw Summary Data'!A124:T149, J$29-1, 0)</f>
        <v>17</v>
      </c>
      <c r="K3" s="20">
        <f>VLOOKUP(A3,'Raw Summary Data'!A124:T149, K$29-1, 0)</f>
        <v>12</v>
      </c>
      <c r="L3" s="20">
        <f>VLOOKUP(A3,'Raw Summary Data'!A124:T149, L$29-1, 0)</f>
        <v>12.4</v>
      </c>
      <c r="M3" s="20" t="e">
        <f t="shared" ca="1" si="1"/>
        <v>#NAME?</v>
      </c>
      <c r="N3" s="20">
        <v>72</v>
      </c>
      <c r="O3" s="27" t="s">
        <v>462</v>
      </c>
      <c r="P3" s="20">
        <f>VLOOKUP(A3,'Raw Summary Data'!A124:T149, P$29-1, 0)</f>
        <v>72</v>
      </c>
      <c r="Q3" s="20">
        <f>VLOOKUP(A3,'Raw Summary Data'!A124:T149, Q$29-1, 0)</f>
        <v>10</v>
      </c>
      <c r="R3" s="20">
        <f>VLOOKUP(A3,'Raw Summary Data'!A124:T149, R$29-1, 0)</f>
        <v>9</v>
      </c>
      <c r="S3" s="20">
        <f>VLOOKUP(A3,'Raw Summary Data'!A124:T149, S$29-1, 0)</f>
        <v>11</v>
      </c>
      <c r="T3" s="20">
        <f>VLOOKUP(A3,'Raw Summary Data'!A124:T149, T$29-1, 0)</f>
        <v>3</v>
      </c>
      <c r="U3" s="20" t="e">
        <f t="shared" ca="1" si="2"/>
        <v>#NAME?</v>
      </c>
      <c r="V3" s="20">
        <v>68</v>
      </c>
      <c r="W3" s="20" t="s">
        <v>462</v>
      </c>
      <c r="X3" s="20">
        <f>VLOOKUP(A3,'Raw Summary Data'!A124:T149, X$29-1, 0)</f>
        <v>68</v>
      </c>
      <c r="Y3" s="27" t="s">
        <v>462</v>
      </c>
      <c r="Z3" s="20">
        <f>VLOOKUP(A3,'Raw Summary Data'!A124:T149, 17, 0)</f>
        <v>21</v>
      </c>
      <c r="AA3" s="20">
        <f>VLOOKUP(A3,'Raw Summary Data'!A124:T149, 19, 0)</f>
        <v>9</v>
      </c>
      <c r="AB3" s="20">
        <f>VLOOKUP(A3,'Raw Summary Data'!A124:T149, 20, 0)</f>
        <v>26</v>
      </c>
      <c r="AC3" s="20">
        <f>VLOOKUP(A3,'Raw Summary Data'!A124:T149, AC$29-1, 0)</f>
        <v>9.9</v>
      </c>
      <c r="AD3" s="20" t="e">
        <f t="shared" ca="1" si="3"/>
        <v>#NAME?</v>
      </c>
    </row>
    <row r="4" spans="1:46" ht="15" customHeight="1" x14ac:dyDescent="0.2">
      <c r="A4" s="60" t="s">
        <v>315</v>
      </c>
      <c r="B4" s="3" t="s">
        <v>8</v>
      </c>
      <c r="C4" s="20">
        <f>VLOOKUP(A4,'Raw Summary Data'!A125:T150, 3, 0)</f>
        <v>15</v>
      </c>
      <c r="D4" s="20">
        <f>VLOOKUP(A4,'Raw Summary Data'!A125:T150, 4, 0)</f>
        <v>14</v>
      </c>
      <c r="E4" s="20">
        <f>VLOOKUP(A4,'Raw Summary Data'!A125:T150, 5, 0)</f>
        <v>11</v>
      </c>
      <c r="F4" s="20" t="e">
        <f t="shared" ca="1" si="0"/>
        <v>#NAME?</v>
      </c>
      <c r="G4" s="20">
        <v>95</v>
      </c>
      <c r="H4" s="27" t="s">
        <v>462</v>
      </c>
      <c r="I4" s="20">
        <f>VLOOKUP(A4,'Raw Summary Data'!A125:T150, I$29-1, 0)</f>
        <v>95</v>
      </c>
      <c r="J4" s="20">
        <f>VLOOKUP(A4,'Raw Summary Data'!A125:T150, J$29-1, 0)</f>
        <v>18</v>
      </c>
      <c r="K4" s="20">
        <f>VLOOKUP(A4,'Raw Summary Data'!A125:T150, K$29-1, 0)</f>
        <v>12</v>
      </c>
      <c r="L4" s="20">
        <f>VLOOKUP(A4,'Raw Summary Data'!A125:T150, L$29-1, 0)</f>
        <v>10</v>
      </c>
      <c r="M4" s="20" t="e">
        <f t="shared" ca="1" si="1"/>
        <v>#NAME?</v>
      </c>
      <c r="N4" s="20">
        <v>82</v>
      </c>
      <c r="O4" s="20">
        <v>95</v>
      </c>
      <c r="P4" s="20">
        <f>VLOOKUP(A4,'Raw Summary Data'!A125:T150, P$29-1, 0)</f>
        <v>95</v>
      </c>
      <c r="Q4" s="20">
        <f>VLOOKUP(A4,'Raw Summary Data'!A125:T150, Q$29-1, 0)</f>
        <v>10</v>
      </c>
      <c r="R4" s="20">
        <f>VLOOKUP(A4,'Raw Summary Data'!A125:T150, R$29-1, 0)</f>
        <v>10</v>
      </c>
      <c r="S4" s="20">
        <f>VLOOKUP(A4,'Raw Summary Data'!A125:T150, S$29-1, 0)</f>
        <v>11</v>
      </c>
      <c r="T4" s="20">
        <f>VLOOKUP(A4,'Raw Summary Data'!A125:T150, T$29-1, 0)</f>
        <v>11</v>
      </c>
      <c r="U4" s="20" t="e">
        <f t="shared" ca="1" si="2"/>
        <v>#NAME?</v>
      </c>
      <c r="V4" s="20">
        <v>100</v>
      </c>
      <c r="W4" s="20" t="s">
        <v>462</v>
      </c>
      <c r="X4" s="20">
        <f>VLOOKUP(A4,'Raw Summary Data'!A125:T150, X$29-1, 0)</f>
        <v>100</v>
      </c>
      <c r="Y4" s="27" t="s">
        <v>462</v>
      </c>
      <c r="Z4" s="20">
        <f>VLOOKUP(A4,'Raw Summary Data'!A125:T150, 17, 0)</f>
        <v>22</v>
      </c>
      <c r="AA4" s="20">
        <f>VLOOKUP(A4,'Raw Summary Data'!A125:T150, 19, 0)</f>
        <v>9.5</v>
      </c>
      <c r="AB4" s="20">
        <f>VLOOKUP(A4,'Raw Summary Data'!A125:T150, 20, 0)</f>
        <v>24</v>
      </c>
      <c r="AC4" s="20">
        <f>VLOOKUP(A4,'Raw Summary Data'!A125:T150, AC$29-1, 0)</f>
        <v>11</v>
      </c>
      <c r="AD4" s="20" t="e">
        <f t="shared" ca="1" si="3"/>
        <v>#NAME?</v>
      </c>
    </row>
    <row r="5" spans="1:46" ht="15" customHeight="1" x14ac:dyDescent="0.2">
      <c r="A5" s="60" t="s">
        <v>317</v>
      </c>
      <c r="B5" s="3" t="s">
        <v>8</v>
      </c>
      <c r="C5" s="20">
        <f>VLOOKUP(A5,'Raw Summary Data'!A126:T151, 3, 0)</f>
        <v>13</v>
      </c>
      <c r="D5" s="20">
        <f>VLOOKUP(A5,'Raw Summary Data'!A126:T151, 4, 0)</f>
        <v>6.5</v>
      </c>
      <c r="E5" s="20">
        <f>VLOOKUP(A5,'Raw Summary Data'!A126:T151, 5, 0)</f>
        <v>9.67</v>
      </c>
      <c r="F5" s="20" t="e">
        <f t="shared" ca="1" si="0"/>
        <v>#NAME?</v>
      </c>
      <c r="G5" s="20">
        <v>65</v>
      </c>
      <c r="H5" s="27" t="s">
        <v>462</v>
      </c>
      <c r="I5" s="20">
        <f>VLOOKUP(A5,'Raw Summary Data'!A126:T151, I$29-1, 0)</f>
        <v>65</v>
      </c>
      <c r="J5" s="20">
        <f>VLOOKUP(A5,'Raw Summary Data'!A126:T151, J$29-1, 0)</f>
        <v>16</v>
      </c>
      <c r="K5" s="20">
        <f>VLOOKUP(A5,'Raw Summary Data'!A126:T151, K$29-1, 0)</f>
        <v>0</v>
      </c>
      <c r="L5" s="20">
        <f>VLOOKUP(A5,'Raw Summary Data'!A126:T151, L$29-1, 0)</f>
        <v>0</v>
      </c>
      <c r="M5" s="20" t="e">
        <f t="shared" ca="1" si="1"/>
        <v>#NAME?</v>
      </c>
      <c r="N5" s="20">
        <v>62</v>
      </c>
      <c r="O5" s="27" t="s">
        <v>462</v>
      </c>
      <c r="P5" s="20">
        <f>VLOOKUP(A5,'Raw Summary Data'!A126:T151, P$29-1, 0)</f>
        <v>62</v>
      </c>
      <c r="Q5" s="20">
        <f>VLOOKUP(A5,'Raw Summary Data'!A126:T151, Q$29-1, 0)</f>
        <v>0</v>
      </c>
      <c r="R5" s="20">
        <f>VLOOKUP(A5,'Raw Summary Data'!A126:T151, R$29-1, 0)</f>
        <v>0</v>
      </c>
      <c r="S5" s="20">
        <f>VLOOKUP(A5,'Raw Summary Data'!A126:T151, S$29-1, 0)</f>
        <v>11</v>
      </c>
      <c r="T5" s="20">
        <f>VLOOKUP(A5,'Raw Summary Data'!A126:T151, T$29-1, 0)</f>
        <v>4.5</v>
      </c>
      <c r="U5" s="20" t="e">
        <f t="shared" ca="1" si="2"/>
        <v>#NAME?</v>
      </c>
      <c r="V5" s="20">
        <v>65</v>
      </c>
      <c r="W5" s="20">
        <v>68</v>
      </c>
      <c r="X5" s="20">
        <f>VLOOKUP(A5,'Raw Summary Data'!A126:T151, X$29-1, 0)</f>
        <v>68</v>
      </c>
      <c r="Y5" s="27" t="s">
        <v>462</v>
      </c>
      <c r="Z5" s="20">
        <f>VLOOKUP(A5,'Raw Summary Data'!A126:T151, 17, 0)</f>
        <v>21</v>
      </c>
      <c r="AA5" s="20">
        <f>VLOOKUP(A5,'Raw Summary Data'!A126:T151, 19, 0)</f>
        <v>4</v>
      </c>
      <c r="AB5" s="20">
        <f>VLOOKUP(A5,'Raw Summary Data'!A126:T151, 20, 0)</f>
        <v>0</v>
      </c>
      <c r="AC5" s="20">
        <f>VLOOKUP(A5,'Raw Summary Data'!A126:T151, AC$29-1, 0)</f>
        <v>12.8</v>
      </c>
      <c r="AD5" s="20" t="e">
        <f t="shared" ca="1" si="3"/>
        <v>#NAME?</v>
      </c>
    </row>
    <row r="6" spans="1:46" ht="15" customHeight="1" x14ac:dyDescent="0.2">
      <c r="A6" s="60" t="s">
        <v>319</v>
      </c>
      <c r="B6" s="3" t="s">
        <v>8</v>
      </c>
      <c r="C6" s="20">
        <f>VLOOKUP(A6,'Raw Summary Data'!A127:T152, 3, 0)</f>
        <v>5</v>
      </c>
      <c r="D6" s="20">
        <f>VLOOKUP(A6,'Raw Summary Data'!A127:T152, 4, 0)</f>
        <v>1</v>
      </c>
      <c r="E6" s="20">
        <f>VLOOKUP(A6,'Raw Summary Data'!A127:T152, 5, 0)</f>
        <v>8</v>
      </c>
      <c r="F6" s="20" t="e">
        <f t="shared" ca="1" si="0"/>
        <v>#NAME?</v>
      </c>
      <c r="G6" s="20">
        <v>85</v>
      </c>
      <c r="H6" s="27" t="s">
        <v>462</v>
      </c>
      <c r="I6" s="20">
        <f>VLOOKUP(A6,'Raw Summary Data'!A127:T152, I$29-1, 0)</f>
        <v>85</v>
      </c>
      <c r="J6" s="20">
        <f>VLOOKUP(A6,'Raw Summary Data'!A127:T152, J$29-1, 0)</f>
        <v>18</v>
      </c>
      <c r="K6" s="20">
        <f>VLOOKUP(A6,'Raw Summary Data'!A127:T152, K$29-1, 0)</f>
        <v>12</v>
      </c>
      <c r="L6" s="20">
        <f>VLOOKUP(A6,'Raw Summary Data'!A127:T152, L$29-1, 0)</f>
        <v>10</v>
      </c>
      <c r="M6" s="20" t="e">
        <f t="shared" ca="1" si="1"/>
        <v>#NAME?</v>
      </c>
      <c r="N6" s="20">
        <v>75</v>
      </c>
      <c r="O6" s="20">
        <v>95</v>
      </c>
      <c r="P6" s="20">
        <f>VLOOKUP(A6,'Raw Summary Data'!A127:T152, P$29-1, 0)</f>
        <v>95</v>
      </c>
      <c r="Q6" s="20">
        <f>VLOOKUP(A6,'Raw Summary Data'!A127:T152, Q$29-1, 0)</f>
        <v>10</v>
      </c>
      <c r="R6" s="20">
        <f>VLOOKUP(A6,'Raw Summary Data'!A127:T152, R$29-1, 0)</f>
        <v>10</v>
      </c>
      <c r="S6" s="20">
        <f>VLOOKUP(A6,'Raw Summary Data'!A127:T152, S$29-1, 0)</f>
        <v>10</v>
      </c>
      <c r="T6" s="20">
        <f>VLOOKUP(A6,'Raw Summary Data'!A127:T152, T$29-1, 0)</f>
        <v>5.5</v>
      </c>
      <c r="U6" s="20" t="e">
        <f t="shared" ca="1" si="2"/>
        <v>#NAME?</v>
      </c>
      <c r="V6" s="20">
        <v>75</v>
      </c>
      <c r="W6" s="20">
        <v>75</v>
      </c>
      <c r="X6" s="20">
        <f>VLOOKUP(A6,'Raw Summary Data'!A127:T152, X$29-1, 0)</f>
        <v>75</v>
      </c>
      <c r="Y6" s="27" t="s">
        <v>462</v>
      </c>
      <c r="Z6" s="20">
        <f>VLOOKUP(A6,'Raw Summary Data'!A127:T152, 17, 0)</f>
        <v>21</v>
      </c>
      <c r="AA6" s="20">
        <f>VLOOKUP(A6,'Raw Summary Data'!A127:T152, 19, 0)</f>
        <v>9</v>
      </c>
      <c r="AB6" s="20">
        <f>VLOOKUP(A6,'Raw Summary Data'!A127:T152, 20, 0)</f>
        <v>14</v>
      </c>
      <c r="AC6" s="20">
        <f>VLOOKUP(A6,'Raw Summary Data'!A127:T152, AC$29-1, 0)</f>
        <v>13</v>
      </c>
      <c r="AD6" s="20" t="e">
        <f t="shared" ca="1" si="3"/>
        <v>#NAME?</v>
      </c>
    </row>
    <row r="7" spans="1:46" ht="15" customHeight="1" x14ac:dyDescent="0.2">
      <c r="A7" s="60" t="s">
        <v>321</v>
      </c>
      <c r="B7" s="3" t="s">
        <v>8</v>
      </c>
      <c r="C7" s="20">
        <f>VLOOKUP(A7,'Raw Summary Data'!A128:T153, 3, 0)</f>
        <v>14</v>
      </c>
      <c r="D7" s="20">
        <f>VLOOKUP(A7,'Raw Summary Data'!A128:T153, 4, 0)</f>
        <v>12</v>
      </c>
      <c r="E7" s="20">
        <f>VLOOKUP(A7,'Raw Summary Data'!A128:T153, 5, 0)</f>
        <v>8.16</v>
      </c>
      <c r="F7" s="20" t="e">
        <f t="shared" ca="1" si="0"/>
        <v>#NAME?</v>
      </c>
      <c r="G7" s="20">
        <v>100</v>
      </c>
      <c r="H7" s="27" t="s">
        <v>462</v>
      </c>
      <c r="I7" s="20">
        <f>VLOOKUP(A7,'Raw Summary Data'!A128:T153, I$29-1, 0)</f>
        <v>100</v>
      </c>
      <c r="J7" s="20">
        <f>VLOOKUP(A7,'Raw Summary Data'!A128:T153, J$29-1, 0)</f>
        <v>17</v>
      </c>
      <c r="K7" s="20">
        <f>VLOOKUP(A7,'Raw Summary Data'!A128:T153, K$29-1, 0)</f>
        <v>12</v>
      </c>
      <c r="L7" s="20">
        <f>VLOOKUP(A7,'Raw Summary Data'!A128:T153, L$29-1, 0)</f>
        <v>10</v>
      </c>
      <c r="M7" s="20" t="e">
        <f t="shared" ca="1" si="1"/>
        <v>#NAME?</v>
      </c>
      <c r="N7" s="20">
        <v>92</v>
      </c>
      <c r="O7" s="27" t="s">
        <v>462</v>
      </c>
      <c r="P7" s="20">
        <f>VLOOKUP(A7,'Raw Summary Data'!A128:T153, P$29-1, 0)</f>
        <v>92</v>
      </c>
      <c r="Q7" s="20">
        <f>VLOOKUP(A7,'Raw Summary Data'!A128:T153, Q$29-1, 0)</f>
        <v>9</v>
      </c>
      <c r="R7" s="20">
        <f>VLOOKUP(A7,'Raw Summary Data'!A128:T153, R$29-1, 0)</f>
        <v>10</v>
      </c>
      <c r="S7" s="20">
        <f>VLOOKUP(A7,'Raw Summary Data'!A128:T153, S$29-1, 0)</f>
        <v>11</v>
      </c>
      <c r="T7" s="20">
        <f>VLOOKUP(A7,'Raw Summary Data'!A128:T153, T$29-1, 0)</f>
        <v>10</v>
      </c>
      <c r="U7" s="20" t="e">
        <f t="shared" ca="1" si="2"/>
        <v>#NAME?</v>
      </c>
      <c r="V7" s="20">
        <v>82</v>
      </c>
      <c r="W7" s="20" t="s">
        <v>462</v>
      </c>
      <c r="X7" s="20">
        <f>VLOOKUP(A7,'Raw Summary Data'!A128:T153, X$29-1, 0)</f>
        <v>82</v>
      </c>
      <c r="Y7" s="27" t="s">
        <v>462</v>
      </c>
      <c r="Z7" s="20">
        <f>VLOOKUP(A7,'Raw Summary Data'!A128:T153, 17, 0)</f>
        <v>22</v>
      </c>
      <c r="AA7" s="20">
        <f>VLOOKUP(A7,'Raw Summary Data'!A128:T153, 19, 0)</f>
        <v>10</v>
      </c>
      <c r="AB7" s="20">
        <f>VLOOKUP(A7,'Raw Summary Data'!A128:T153, 20, 0)</f>
        <v>0</v>
      </c>
      <c r="AC7" s="20">
        <f>VLOOKUP(A7,'Raw Summary Data'!A128:T153, AC$29-1, 0)</f>
        <v>13</v>
      </c>
      <c r="AD7" s="20" t="e">
        <f t="shared" ca="1" si="3"/>
        <v>#NAME?</v>
      </c>
    </row>
    <row r="8" spans="1:46" ht="15" customHeight="1" x14ac:dyDescent="0.2">
      <c r="A8" s="60" t="s">
        <v>323</v>
      </c>
      <c r="B8" s="3" t="s">
        <v>9</v>
      </c>
      <c r="C8" s="20">
        <f>VLOOKUP(A8,'Raw Summary Data'!A129:T154, 3, 0)</f>
        <v>12.5</v>
      </c>
      <c r="D8" s="20">
        <f>VLOOKUP(A8,'Raw Summary Data'!A129:T154, 4, 0)</f>
        <v>7</v>
      </c>
      <c r="E8" s="20">
        <f>VLOOKUP(A8,'Raw Summary Data'!A129:T154, 5, 0)</f>
        <v>8.5</v>
      </c>
      <c r="F8" s="20" t="e">
        <f t="shared" ca="1" si="0"/>
        <v>#NAME?</v>
      </c>
      <c r="G8" s="20">
        <v>30</v>
      </c>
      <c r="H8" s="27">
        <v>62</v>
      </c>
      <c r="I8" s="20">
        <f>VLOOKUP(A8,'Raw Summary Data'!A129:T154, I$29-1, 0)</f>
        <v>62</v>
      </c>
      <c r="J8" s="20">
        <f>VLOOKUP(A8,'Raw Summary Data'!A129:T154, J$29-1, 0)</f>
        <v>16</v>
      </c>
      <c r="K8" s="20">
        <f>VLOOKUP(A8,'Raw Summary Data'!A129:T154, K$29-1, 0)</f>
        <v>0</v>
      </c>
      <c r="L8" s="20">
        <f>VLOOKUP(A8,'Raw Summary Data'!A129:T154, L$29-1, 0)</f>
        <v>8.4</v>
      </c>
      <c r="M8" s="20" t="e">
        <f t="shared" ca="1" si="1"/>
        <v>#NAME?</v>
      </c>
      <c r="N8" s="20">
        <v>30</v>
      </c>
      <c r="O8" s="20">
        <v>62</v>
      </c>
      <c r="P8" s="20">
        <f>VLOOKUP(A8,'Raw Summary Data'!A129:T154, P$29-1, 0)</f>
        <v>62</v>
      </c>
      <c r="Q8" s="20">
        <f>VLOOKUP(A8,'Raw Summary Data'!A129:T154, Q$29-1, 0)</f>
        <v>10</v>
      </c>
      <c r="R8" s="20">
        <f>VLOOKUP(A8,'Raw Summary Data'!A129:T154, R$29-1, 0)</f>
        <v>9</v>
      </c>
      <c r="S8" s="20">
        <f>VLOOKUP(A8,'Raw Summary Data'!A129:T154, S$29-1, 0)</f>
        <v>6</v>
      </c>
      <c r="T8" s="20">
        <f>VLOOKUP(A8,'Raw Summary Data'!A129:T154, T$29-1, 0)</f>
        <v>4.5</v>
      </c>
      <c r="U8" s="20" t="e">
        <f t="shared" ca="1" si="2"/>
        <v>#NAME?</v>
      </c>
      <c r="V8" s="20">
        <v>68</v>
      </c>
      <c r="W8" s="20" t="s">
        <v>462</v>
      </c>
      <c r="X8" s="20">
        <f>VLOOKUP(A8,'Raw Summary Data'!A129:T154, X$29-1, 0)</f>
        <v>68</v>
      </c>
      <c r="Y8" s="27" t="s">
        <v>462</v>
      </c>
      <c r="Z8" s="20">
        <f>VLOOKUP(A8,'Raw Summary Data'!A129:T154, 17, 0)</f>
        <v>12</v>
      </c>
      <c r="AA8" s="20">
        <f>VLOOKUP(A8,'Raw Summary Data'!A129:T154, 19, 0)</f>
        <v>0</v>
      </c>
      <c r="AB8" s="20">
        <f>VLOOKUP(A8,'Raw Summary Data'!A129:T154, 20, 0)</f>
        <v>0</v>
      </c>
      <c r="AC8" s="20">
        <f>VLOOKUP(A8,'Raw Summary Data'!A129:T154, AC$29-1, 0)</f>
        <v>10.47</v>
      </c>
      <c r="AD8" s="20" t="e">
        <f t="shared" ca="1" si="3"/>
        <v>#NAME?</v>
      </c>
    </row>
    <row r="9" spans="1:46" ht="15" customHeight="1" x14ac:dyDescent="0.2">
      <c r="A9" s="60" t="s">
        <v>325</v>
      </c>
      <c r="B9" s="3" t="s">
        <v>8</v>
      </c>
      <c r="C9" s="20">
        <f>VLOOKUP(A9,'Raw Summary Data'!A130:T155, 3, 0)</f>
        <v>15</v>
      </c>
      <c r="D9" s="20">
        <f>VLOOKUP(A9,'Raw Summary Data'!A130:T155, 4, 0)</f>
        <v>14</v>
      </c>
      <c r="E9" s="20">
        <f>VLOOKUP(A9,'Raw Summary Data'!A130:T155, 5, 0)</f>
        <v>11</v>
      </c>
      <c r="F9" s="20" t="e">
        <f t="shared" ca="1" si="0"/>
        <v>#NAME?</v>
      </c>
      <c r="G9" s="20">
        <v>100</v>
      </c>
      <c r="H9" s="27" t="s">
        <v>462</v>
      </c>
      <c r="I9" s="20">
        <f>VLOOKUP(A9,'Raw Summary Data'!A130:T155, I$29-1, 0)</f>
        <v>100</v>
      </c>
      <c r="J9" s="20">
        <f>VLOOKUP(A9,'Raw Summary Data'!A130:T155, J$29-1, 0)</f>
        <v>17</v>
      </c>
      <c r="K9" s="20">
        <f>VLOOKUP(A9,'Raw Summary Data'!A130:T155, K$29-1, 0)</f>
        <v>12</v>
      </c>
      <c r="L9" s="20">
        <f>VLOOKUP(A9,'Raw Summary Data'!A130:T155, L$29-1, 0)</f>
        <v>10</v>
      </c>
      <c r="M9" s="20" t="e">
        <f t="shared" ca="1" si="1"/>
        <v>#NAME?</v>
      </c>
      <c r="N9" s="20">
        <v>82</v>
      </c>
      <c r="O9" s="20">
        <v>95</v>
      </c>
      <c r="P9" s="20">
        <f>VLOOKUP(A9,'Raw Summary Data'!A130:T155, P$29-1, 0)</f>
        <v>95</v>
      </c>
      <c r="Q9" s="20">
        <f>VLOOKUP(A9,'Raw Summary Data'!A130:T155, Q$29-1, 0)</f>
        <v>10</v>
      </c>
      <c r="R9" s="20">
        <f>VLOOKUP(A9,'Raw Summary Data'!A130:T155, R$29-1, 0)</f>
        <v>10</v>
      </c>
      <c r="S9" s="20">
        <f>VLOOKUP(A9,'Raw Summary Data'!A130:T155, S$29-1, 0)</f>
        <v>11</v>
      </c>
      <c r="T9" s="20">
        <f>VLOOKUP(A9,'Raw Summary Data'!A130:T155, T$29-1, 0)</f>
        <v>11</v>
      </c>
      <c r="U9" s="20" t="e">
        <f t="shared" ca="1" si="2"/>
        <v>#NAME?</v>
      </c>
      <c r="V9" s="20">
        <v>82</v>
      </c>
      <c r="W9" s="20" t="s">
        <v>462</v>
      </c>
      <c r="X9" s="20">
        <f>VLOOKUP(A9,'Raw Summary Data'!A130:T155, X$29-1, 0)</f>
        <v>82</v>
      </c>
      <c r="Y9" s="27" t="s">
        <v>462</v>
      </c>
      <c r="Z9" s="20">
        <f>VLOOKUP(A9,'Raw Summary Data'!A130:T155, 17, 0)</f>
        <v>22</v>
      </c>
      <c r="AA9" s="20">
        <f>VLOOKUP(A9,'Raw Summary Data'!A130:T155, 19, 0)</f>
        <v>10</v>
      </c>
      <c r="AB9" s="20">
        <f>VLOOKUP(A9,'Raw Summary Data'!A130:T155, 20, 0)</f>
        <v>27</v>
      </c>
      <c r="AC9" s="20">
        <f>VLOOKUP(A9,'Raw Summary Data'!A130:T155, AC$29-1, 0)</f>
        <v>13</v>
      </c>
      <c r="AD9" s="20" t="e">
        <f t="shared" ca="1" si="3"/>
        <v>#NAME?</v>
      </c>
    </row>
    <row r="10" spans="1:46" ht="15" customHeight="1" x14ac:dyDescent="0.2">
      <c r="A10" s="60" t="s">
        <v>327</v>
      </c>
      <c r="B10" s="3" t="s">
        <v>7</v>
      </c>
      <c r="C10" s="20">
        <f>VLOOKUP(A10,'Raw Summary Data'!A131:T156, 3, 0)</f>
        <v>14.5</v>
      </c>
      <c r="D10" s="20">
        <f>VLOOKUP(A10,'Raw Summary Data'!A131:T156, 4, 0)</f>
        <v>12.25</v>
      </c>
      <c r="E10" s="20">
        <f>VLOOKUP(A10,'Raw Summary Data'!A131:T156, 5, 0)</f>
        <v>9.16</v>
      </c>
      <c r="F10" s="20" t="e">
        <f t="shared" ca="1" si="0"/>
        <v>#NAME?</v>
      </c>
      <c r="G10" s="20">
        <v>98</v>
      </c>
      <c r="H10" s="27" t="s">
        <v>462</v>
      </c>
      <c r="I10" s="20">
        <f>VLOOKUP(A10,'Raw Summary Data'!A131:T156, I$29-1, 0)</f>
        <v>98</v>
      </c>
      <c r="J10" s="20">
        <f>VLOOKUP(A10,'Raw Summary Data'!A131:T156, J$29-1, 0)</f>
        <v>18</v>
      </c>
      <c r="K10" s="20">
        <f>VLOOKUP(A10,'Raw Summary Data'!A131:T156, K$29-1, 0)</f>
        <v>12</v>
      </c>
      <c r="L10" s="20">
        <f>VLOOKUP(A10,'Raw Summary Data'!A131:T156, L$29-1, 0)</f>
        <v>7.75</v>
      </c>
      <c r="M10" s="20" t="e">
        <f t="shared" ca="1" si="1"/>
        <v>#NAME?</v>
      </c>
      <c r="N10" s="20">
        <v>85</v>
      </c>
      <c r="O10" s="20" t="s">
        <v>462</v>
      </c>
      <c r="P10" s="20">
        <f>VLOOKUP(A10,'Raw Summary Data'!A131:T156, P$29-1, 0)</f>
        <v>85</v>
      </c>
      <c r="Q10" s="20">
        <f>VLOOKUP(A10,'Raw Summary Data'!A131:T156, Q$29-1, 0)</f>
        <v>10</v>
      </c>
      <c r="R10" s="20">
        <f>VLOOKUP(A10,'Raw Summary Data'!A131:T156, R$29-1, 0)</f>
        <v>10</v>
      </c>
      <c r="S10" s="20">
        <f>VLOOKUP(A10,'Raw Summary Data'!A131:T156, S$29-1, 0)</f>
        <v>11</v>
      </c>
      <c r="T10" s="20">
        <f>VLOOKUP(A10,'Raw Summary Data'!A131:T156, T$29-1, 0)</f>
        <v>12.5</v>
      </c>
      <c r="U10" s="20" t="e">
        <f t="shared" ca="1" si="2"/>
        <v>#NAME?</v>
      </c>
      <c r="V10" s="20">
        <v>78</v>
      </c>
      <c r="W10" s="20" t="s">
        <v>462</v>
      </c>
      <c r="X10" s="20">
        <f>VLOOKUP(A10,'Raw Summary Data'!A131:T156, X$29-1, 0)</f>
        <v>78</v>
      </c>
      <c r="Y10" s="27" t="s">
        <v>462</v>
      </c>
      <c r="Z10" s="20">
        <f>VLOOKUP(A10,'Raw Summary Data'!A131:T156, 17, 0)</f>
        <v>21</v>
      </c>
      <c r="AA10" s="20">
        <f>VLOOKUP(A10,'Raw Summary Data'!A131:T156, 19, 0)</f>
        <v>9.4</v>
      </c>
      <c r="AB10" s="20">
        <f>VLOOKUP(A10,'Raw Summary Data'!A131:T156, 20, 0)</f>
        <v>22</v>
      </c>
      <c r="AC10" s="20">
        <f>VLOOKUP(A10,'Raw Summary Data'!A131:T156, AC$29-1, 0)</f>
        <v>11</v>
      </c>
      <c r="AD10" s="20" t="e">
        <f t="shared" ca="1" si="3"/>
        <v>#NAME?</v>
      </c>
    </row>
    <row r="11" spans="1:46" ht="15" customHeight="1" x14ac:dyDescent="0.2">
      <c r="A11" s="60" t="s">
        <v>329</v>
      </c>
      <c r="B11" s="3" t="s">
        <v>9</v>
      </c>
      <c r="C11" s="20">
        <f>VLOOKUP(A11,'Raw Summary Data'!A132:T157, 3, 0)</f>
        <v>15</v>
      </c>
      <c r="D11" s="20">
        <f>VLOOKUP(A11,'Raw Summary Data'!A132:T157, 4, 0)</f>
        <v>1</v>
      </c>
      <c r="E11" s="20">
        <f>VLOOKUP(A11,'Raw Summary Data'!A132:T157, 5, 0)</f>
        <v>10.83</v>
      </c>
      <c r="F11" s="20" t="e">
        <f t="shared" ca="1" si="0"/>
        <v>#NAME?</v>
      </c>
      <c r="G11" s="20">
        <v>88</v>
      </c>
      <c r="H11" s="27" t="s">
        <v>462</v>
      </c>
      <c r="I11" s="20">
        <f>VLOOKUP(A11,'Raw Summary Data'!A132:T157, I$29-1, 0)</f>
        <v>88</v>
      </c>
      <c r="J11" s="20">
        <f>VLOOKUP(A11,'Raw Summary Data'!A132:T157, J$29-1, 0)</f>
        <v>17</v>
      </c>
      <c r="K11" s="20">
        <f>VLOOKUP(A11,'Raw Summary Data'!A132:T157, K$29-1, 0)</f>
        <v>12</v>
      </c>
      <c r="L11" s="20">
        <f>VLOOKUP(A11,'Raw Summary Data'!A132:T157, L$29-1, 0)</f>
        <v>12</v>
      </c>
      <c r="M11" s="20" t="e">
        <f t="shared" ca="1" si="1"/>
        <v>#NAME?</v>
      </c>
      <c r="N11" s="20">
        <v>85</v>
      </c>
      <c r="O11" s="20" t="s">
        <v>462</v>
      </c>
      <c r="P11" s="20">
        <f>VLOOKUP(A11,'Raw Summary Data'!A132:T157, P$29-1, 0)</f>
        <v>85</v>
      </c>
      <c r="Q11" s="20">
        <f>VLOOKUP(A11,'Raw Summary Data'!A132:T157, Q$29-1, 0)</f>
        <v>10</v>
      </c>
      <c r="R11" s="20">
        <f>VLOOKUP(A11,'Raw Summary Data'!A132:T157, R$29-1, 0)</f>
        <v>10</v>
      </c>
      <c r="S11" s="20">
        <f>VLOOKUP(A11,'Raw Summary Data'!A132:T157, S$29-1, 0)</f>
        <v>11</v>
      </c>
      <c r="T11" s="20">
        <f>VLOOKUP(A11,'Raw Summary Data'!A132:T157, T$29-1, 0)</f>
        <v>0</v>
      </c>
      <c r="U11" s="20" t="e">
        <f t="shared" ca="1" si="2"/>
        <v>#NAME?</v>
      </c>
      <c r="V11" s="20">
        <v>78</v>
      </c>
      <c r="W11" s="27" t="s">
        <v>462</v>
      </c>
      <c r="X11" s="20">
        <f>VLOOKUP(A11,'Raw Summary Data'!A132:T157, X$29-1, 0)</f>
        <v>78</v>
      </c>
      <c r="Y11" s="27" t="s">
        <v>462</v>
      </c>
      <c r="Z11" s="20">
        <f>VLOOKUP(A11,'Raw Summary Data'!A132:T157, 17, 0)</f>
        <v>19.600000000000001</v>
      </c>
      <c r="AA11" s="20">
        <f>VLOOKUP(A11,'Raw Summary Data'!A132:T157, 19, 0)</f>
        <v>9.8000000000000007</v>
      </c>
      <c r="AB11" s="20">
        <f>VLOOKUP(A11,'Raw Summary Data'!A132:T157, 20, 0)</f>
        <v>0</v>
      </c>
      <c r="AC11" s="20">
        <f>VLOOKUP(A11,'Raw Summary Data'!A132:T157, AC$29-1, 0)</f>
        <v>10.8</v>
      </c>
      <c r="AD11" s="20" t="e">
        <f t="shared" ca="1" si="3"/>
        <v>#NAME?</v>
      </c>
    </row>
    <row r="12" spans="1:46" ht="15" customHeight="1" x14ac:dyDescent="0.2">
      <c r="A12" s="60" t="s">
        <v>331</v>
      </c>
      <c r="B12" s="3" t="s">
        <v>8</v>
      </c>
      <c r="C12" s="20">
        <f>VLOOKUP(A12,'Raw Summary Data'!A133:T158, 3, 0)</f>
        <v>13</v>
      </c>
      <c r="D12" s="20">
        <f>VLOOKUP(A12,'Raw Summary Data'!A133:T158, 4, 0)</f>
        <v>13</v>
      </c>
      <c r="E12" s="20">
        <f>VLOOKUP(A12,'Raw Summary Data'!A133:T158, 5, 0)</f>
        <v>10.83</v>
      </c>
      <c r="F12" s="20" t="e">
        <f t="shared" ca="1" si="0"/>
        <v>#NAME?</v>
      </c>
      <c r="G12" s="20">
        <v>65</v>
      </c>
      <c r="H12" s="27">
        <v>68</v>
      </c>
      <c r="I12" s="20">
        <f>VLOOKUP(A12,'Raw Summary Data'!A133:T158, I$29-1, 0)</f>
        <v>68</v>
      </c>
      <c r="J12" s="20">
        <f>VLOOKUP(A12,'Raw Summary Data'!A133:T158, J$29-1, 0)</f>
        <v>13</v>
      </c>
      <c r="K12" s="20">
        <f>VLOOKUP(A12,'Raw Summary Data'!A133:T158, K$29-1, 0)</f>
        <v>0</v>
      </c>
      <c r="L12" s="20">
        <f>VLOOKUP(A12,'Raw Summary Data'!A133:T158, L$29-1, 0)</f>
        <v>10</v>
      </c>
      <c r="M12" s="20" t="e">
        <f t="shared" ca="1" si="1"/>
        <v>#NAME?</v>
      </c>
      <c r="N12" s="20">
        <v>30</v>
      </c>
      <c r="O12" s="20">
        <v>72</v>
      </c>
      <c r="P12" s="20">
        <f>VLOOKUP(A12,'Raw Summary Data'!A133:T158, P$29-1, 0)</f>
        <v>72</v>
      </c>
      <c r="Q12" s="20">
        <f>VLOOKUP(A12,'Raw Summary Data'!A133:T158, Q$29-1, 0)</f>
        <v>10</v>
      </c>
      <c r="R12" s="20">
        <f>VLOOKUP(A12,'Raw Summary Data'!A133:T158, R$29-1, 0)</f>
        <v>10</v>
      </c>
      <c r="S12" s="20">
        <f>VLOOKUP(A12,'Raw Summary Data'!A133:T158, S$29-1, 0)</f>
        <v>0</v>
      </c>
      <c r="T12" s="20">
        <f>VLOOKUP(A12,'Raw Summary Data'!A133:T158, T$29-1, 0)</f>
        <v>3</v>
      </c>
      <c r="U12" s="20" t="e">
        <f t="shared" ca="1" si="2"/>
        <v>#NAME?</v>
      </c>
      <c r="V12" s="20">
        <v>68</v>
      </c>
      <c r="W12" s="20">
        <v>75</v>
      </c>
      <c r="X12" s="20">
        <f>VLOOKUP(A12,'Raw Summary Data'!A133:T158, X$29-1, 0)</f>
        <v>68</v>
      </c>
      <c r="Y12" s="27" t="s">
        <v>462</v>
      </c>
      <c r="Z12" s="20">
        <f>VLOOKUP(A12,'Raw Summary Data'!A133:T158, 17, 0)</f>
        <v>19.8</v>
      </c>
      <c r="AA12" s="20">
        <f>VLOOKUP(A12,'Raw Summary Data'!A133:T158, 19, 0)</f>
        <v>8.5</v>
      </c>
      <c r="AB12" s="20">
        <f>VLOOKUP(A12,'Raw Summary Data'!A133:T158, 20, 0)</f>
        <v>0</v>
      </c>
      <c r="AC12" s="20">
        <f>VLOOKUP(A12,'Raw Summary Data'!A133:T158, AC$29-1, 0)</f>
        <v>10.33</v>
      </c>
      <c r="AD12" s="20" t="e">
        <f t="shared" ca="1" si="3"/>
        <v>#NAME?</v>
      </c>
    </row>
    <row r="13" spans="1:46" ht="15" customHeight="1" x14ac:dyDescent="0.2">
      <c r="A13" s="60" t="s">
        <v>333</v>
      </c>
      <c r="B13" s="3" t="s">
        <v>9</v>
      </c>
      <c r="C13" s="20">
        <f>VLOOKUP(A13,'Raw Summary Data'!A134:T159, 3, 0)</f>
        <v>7</v>
      </c>
      <c r="D13" s="20">
        <f>VLOOKUP(A13,'Raw Summary Data'!A134:T159, 4, 0)</f>
        <v>13</v>
      </c>
      <c r="E13" s="20">
        <f>VLOOKUP(A13,'Raw Summary Data'!A134:T159, 5, 0)</f>
        <v>8.16</v>
      </c>
      <c r="F13" s="20" t="e">
        <f t="shared" ca="1" si="0"/>
        <v>#NAME?</v>
      </c>
      <c r="G13" s="20">
        <v>85</v>
      </c>
      <c r="H13" s="27" t="s">
        <v>462</v>
      </c>
      <c r="I13" s="20">
        <f>VLOOKUP(A13,'Raw Summary Data'!A134:T159, I$29-1, 0)</f>
        <v>85</v>
      </c>
      <c r="J13" s="20">
        <f>VLOOKUP(A13,'Raw Summary Data'!A134:T159, J$29-1, 0)</f>
        <v>14</v>
      </c>
      <c r="K13" s="20">
        <f>VLOOKUP(A13,'Raw Summary Data'!A134:T159, K$29-1, 0)</f>
        <v>11</v>
      </c>
      <c r="L13" s="20">
        <f>VLOOKUP(A13,'Raw Summary Data'!A134:T159, L$29-1, 0)</f>
        <v>10</v>
      </c>
      <c r="M13" s="20" t="e">
        <f t="shared" ca="1" si="1"/>
        <v>#NAME?</v>
      </c>
      <c r="N13" s="20">
        <v>68</v>
      </c>
      <c r="O13" s="20" t="s">
        <v>462</v>
      </c>
      <c r="P13" s="20">
        <f>VLOOKUP(A13,'Raw Summary Data'!A134:T159, P$29-1, 0)</f>
        <v>68</v>
      </c>
      <c r="Q13" s="20">
        <f>VLOOKUP(A13,'Raw Summary Data'!A134:T159, Q$29-1, 0)</f>
        <v>7</v>
      </c>
      <c r="R13" s="20">
        <f>VLOOKUP(A13,'Raw Summary Data'!A134:T159, R$29-1, 0)</f>
        <v>9</v>
      </c>
      <c r="S13" s="20">
        <f>VLOOKUP(A13,'Raw Summary Data'!A134:T159, S$29-1, 0)</f>
        <v>10</v>
      </c>
      <c r="T13" s="20">
        <f>VLOOKUP(A13,'Raw Summary Data'!A134:T159, T$29-1, 0)</f>
        <v>8</v>
      </c>
      <c r="U13" s="20" t="e">
        <f t="shared" ca="1" si="2"/>
        <v>#NAME?</v>
      </c>
      <c r="V13" s="20">
        <v>72</v>
      </c>
      <c r="W13" s="27" t="s">
        <v>462</v>
      </c>
      <c r="X13" s="20">
        <f>VLOOKUP(A13,'Raw Summary Data'!A134:T159, X$29-1, 0)</f>
        <v>72</v>
      </c>
      <c r="Y13" s="27" t="s">
        <v>462</v>
      </c>
      <c r="Z13" s="20">
        <f>VLOOKUP(A13,'Raw Summary Data'!A134:T159, 17, 0)</f>
        <v>0</v>
      </c>
      <c r="AA13" s="20">
        <f>VLOOKUP(A13,'Raw Summary Data'!A134:T159, 19, 0)</f>
        <v>0</v>
      </c>
      <c r="AB13" s="20">
        <f>VLOOKUP(A13,'Raw Summary Data'!A134:T159, 20, 0)</f>
        <v>0</v>
      </c>
      <c r="AC13" s="20">
        <f>VLOOKUP(A13,'Raw Summary Data'!A134:T159, AC$29-1, 0)</f>
        <v>10.26</v>
      </c>
      <c r="AD13" s="20" t="e">
        <f t="shared" ca="1" si="3"/>
        <v>#NAME?</v>
      </c>
    </row>
    <row r="14" spans="1:46" ht="15" customHeight="1" x14ac:dyDescent="0.2">
      <c r="A14" s="60" t="s">
        <v>335</v>
      </c>
      <c r="B14" s="3" t="s">
        <v>8</v>
      </c>
      <c r="C14" s="20" t="s">
        <v>462</v>
      </c>
      <c r="D14" s="20">
        <f>VLOOKUP(A14,'Raw Summary Data'!A135:T160, 4, 0)</f>
        <v>14</v>
      </c>
      <c r="E14" s="20">
        <f>VLOOKUP(A14,'Raw Summary Data'!A135:T160, 5, 0)</f>
        <v>8.49</v>
      </c>
      <c r="F14" s="20" t="e">
        <f t="shared" ca="1" si="0"/>
        <v>#NAME?</v>
      </c>
      <c r="G14" s="20">
        <v>85</v>
      </c>
      <c r="H14" s="27" t="s">
        <v>462</v>
      </c>
      <c r="I14" s="20">
        <f>VLOOKUP(A14,'Raw Summary Data'!A135:T160, I$29-1, 0)</f>
        <v>85</v>
      </c>
      <c r="J14" s="20">
        <f>VLOOKUP(A14,'Raw Summary Data'!A135:T160, J$29-1, 0)</f>
        <v>18</v>
      </c>
      <c r="K14" s="20">
        <f>VLOOKUP(A14,'Raw Summary Data'!A135:T160, K$29-1, 0)</f>
        <v>8</v>
      </c>
      <c r="L14" s="20">
        <f>VLOOKUP(A14,'Raw Summary Data'!A135:T160, L$29-1, 0)</f>
        <v>12</v>
      </c>
      <c r="M14" s="20" t="e">
        <f t="shared" ca="1" si="1"/>
        <v>#NAME?</v>
      </c>
      <c r="N14" s="20">
        <v>78</v>
      </c>
      <c r="O14" s="20">
        <v>85</v>
      </c>
      <c r="P14" s="20">
        <f>VLOOKUP(A14,'Raw Summary Data'!A135:T160, P$29-1, 0)</f>
        <v>85</v>
      </c>
      <c r="Q14" s="20">
        <f>VLOOKUP(A14,'Raw Summary Data'!A135:T160, Q$29-1, 0)</f>
        <v>9</v>
      </c>
      <c r="R14" s="20">
        <f>VLOOKUP(A14,'Raw Summary Data'!A135:T160, R$29-1, 0)</f>
        <v>10</v>
      </c>
      <c r="S14" s="20">
        <f>VLOOKUP(A14,'Raw Summary Data'!A135:T160, S$29-1, 0)</f>
        <v>11</v>
      </c>
      <c r="T14" s="20">
        <f>VLOOKUP(A14,'Raw Summary Data'!A135:T160, T$29-1, 0)</f>
        <v>8</v>
      </c>
      <c r="U14" s="20" t="e">
        <f t="shared" ca="1" si="2"/>
        <v>#NAME?</v>
      </c>
      <c r="V14" s="20">
        <v>75</v>
      </c>
      <c r="W14" s="27" t="s">
        <v>462</v>
      </c>
      <c r="X14" s="20">
        <f>VLOOKUP(A14,'Raw Summary Data'!A135:T160, X$29-1, 0)</f>
        <v>75</v>
      </c>
      <c r="Y14" s="27" t="s">
        <v>462</v>
      </c>
      <c r="Z14" s="20">
        <f>VLOOKUP(A14,'Raw Summary Data'!A135:T160, 17, 0)</f>
        <v>22</v>
      </c>
      <c r="AA14" s="20">
        <f>VLOOKUP(A14,'Raw Summary Data'!A135:T160, 19, 0)</f>
        <v>4</v>
      </c>
      <c r="AB14" s="20">
        <f>VLOOKUP(A14,'Raw Summary Data'!A135:T160, 20, 0)</f>
        <v>0</v>
      </c>
      <c r="AC14" s="20">
        <f>VLOOKUP(A14,'Raw Summary Data'!A135:T160, AC$29-1, 0)</f>
        <v>10.8</v>
      </c>
      <c r="AD14" s="20" t="e">
        <f t="shared" ca="1" si="3"/>
        <v>#NAME?</v>
      </c>
    </row>
    <row r="15" spans="1:46" ht="15" customHeight="1" x14ac:dyDescent="0.2">
      <c r="A15" s="60" t="s">
        <v>337</v>
      </c>
      <c r="B15" s="3" t="s">
        <v>8</v>
      </c>
      <c r="C15" s="20">
        <f>VLOOKUP(A15,'Raw Summary Data'!A136:T161, 3, 0)</f>
        <v>13.5</v>
      </c>
      <c r="D15" s="20">
        <f>VLOOKUP(A15,'Raw Summary Data'!A136:T161, 4, 0)</f>
        <v>12.5</v>
      </c>
      <c r="E15" s="20">
        <f>VLOOKUP(A15,'Raw Summary Data'!A136:T161, 5, 0)</f>
        <v>0</v>
      </c>
      <c r="F15" s="20" t="e">
        <f t="shared" ca="1" si="0"/>
        <v>#NAME?</v>
      </c>
      <c r="G15" s="20">
        <v>30</v>
      </c>
      <c r="H15" s="27">
        <v>30</v>
      </c>
      <c r="I15" s="20">
        <f>VLOOKUP(A15,'Raw Summary Data'!A136:T161, I$29-1, 0)</f>
        <v>30</v>
      </c>
      <c r="J15" s="20">
        <f>VLOOKUP(A15,'Raw Summary Data'!A136:T161, J$29-1, 0)</f>
        <v>13</v>
      </c>
      <c r="K15" s="20">
        <f>VLOOKUP(A15,'Raw Summary Data'!A136:T161, K$29-1, 0)</f>
        <v>10</v>
      </c>
      <c r="L15" s="20">
        <f>VLOOKUP(A15,'Raw Summary Data'!A136:T161, L$29-1, 0)</f>
        <v>9</v>
      </c>
      <c r="M15" s="20" t="e">
        <f t="shared" ca="1" si="1"/>
        <v>#NAME?</v>
      </c>
      <c r="N15" s="20">
        <v>30</v>
      </c>
      <c r="O15" s="20">
        <v>65</v>
      </c>
      <c r="P15" s="20">
        <f>VLOOKUP(A15,'Raw Summary Data'!A136:T161, P$29-1, 0)</f>
        <v>65</v>
      </c>
      <c r="Q15" s="20">
        <f>VLOOKUP(A15,'Raw Summary Data'!A136:T161, Q$29-1, 0)</f>
        <v>0</v>
      </c>
      <c r="R15" s="20">
        <f>VLOOKUP(A15,'Raw Summary Data'!A136:T161, R$29-1, 0)</f>
        <v>10</v>
      </c>
      <c r="S15" s="20">
        <f>VLOOKUP(A15,'Raw Summary Data'!A136:T161, S$29-1, 0)</f>
        <v>0</v>
      </c>
      <c r="T15" s="20">
        <f>VLOOKUP(A15,'Raw Summary Data'!A136:T161, T$29-1, 0)</f>
        <v>7</v>
      </c>
      <c r="U15" s="20" t="e">
        <f t="shared" ca="1" si="2"/>
        <v>#NAME?</v>
      </c>
      <c r="V15" s="20">
        <v>65</v>
      </c>
      <c r="W15" s="27" t="s">
        <v>462</v>
      </c>
      <c r="X15" s="20">
        <f>VLOOKUP(A15,'Raw Summary Data'!A136:T161, X$29-1, 0)</f>
        <v>65</v>
      </c>
      <c r="Y15" s="27" t="s">
        <v>462</v>
      </c>
      <c r="Z15" s="20">
        <f>VLOOKUP(A15,'Raw Summary Data'!A136:T161, 17, 0)</f>
        <v>0</v>
      </c>
      <c r="AA15" s="20">
        <f>VLOOKUP(A15,'Raw Summary Data'!A136:T161, 19, 0)</f>
        <v>9</v>
      </c>
      <c r="AB15" s="20">
        <f>VLOOKUP(A15,'Raw Summary Data'!A136:T161, 20, 0)</f>
        <v>0</v>
      </c>
      <c r="AC15" s="20">
        <f>VLOOKUP(A15,'Raw Summary Data'!A136:T161, AC$29-1, 0)</f>
        <v>4.53</v>
      </c>
      <c r="AD15" s="20" t="e">
        <f t="shared" ca="1" si="3"/>
        <v>#NAME?</v>
      </c>
    </row>
    <row r="16" spans="1:46" ht="15" customHeight="1" x14ac:dyDescent="0.2">
      <c r="A16" s="60" t="s">
        <v>339</v>
      </c>
      <c r="B16" s="3" t="s">
        <v>8</v>
      </c>
      <c r="C16" s="20">
        <f>VLOOKUP(A16,'Raw Summary Data'!A137:T162, 3, 0)</f>
        <v>13</v>
      </c>
      <c r="D16" s="20">
        <f>VLOOKUP(A16,'Raw Summary Data'!A137:T162, 4, 0)</f>
        <v>13</v>
      </c>
      <c r="E16" s="20">
        <f>VLOOKUP(A16,'Raw Summary Data'!A137:T162, 5, 0)</f>
        <v>7.16</v>
      </c>
      <c r="F16" s="20" t="e">
        <f t="shared" ca="1" si="0"/>
        <v>#NAME?</v>
      </c>
      <c r="G16" s="20">
        <v>82</v>
      </c>
      <c r="H16" s="27" t="s">
        <v>462</v>
      </c>
      <c r="I16" s="20">
        <f>VLOOKUP(A16,'Raw Summary Data'!A137:T162, I$29-1, 0)</f>
        <v>82</v>
      </c>
      <c r="J16" s="20">
        <f>VLOOKUP(A16,'Raw Summary Data'!A137:T162, J$29-1, 0)</f>
        <v>18</v>
      </c>
      <c r="K16" s="20">
        <f>VLOOKUP(A16,'Raw Summary Data'!A137:T162, K$29-1, 0)</f>
        <v>12</v>
      </c>
      <c r="L16" s="20">
        <f>VLOOKUP(A16,'Raw Summary Data'!A137:T162, L$29-1, 0)</f>
        <v>9.6999999999999993</v>
      </c>
      <c r="M16" s="20" t="e">
        <f t="shared" ca="1" si="1"/>
        <v>#NAME?</v>
      </c>
      <c r="N16" s="20">
        <v>78</v>
      </c>
      <c r="O16" s="20">
        <v>100</v>
      </c>
      <c r="P16" s="20">
        <f>VLOOKUP(A16,'Raw Summary Data'!A137:T162, P$29-1, 0)</f>
        <v>100</v>
      </c>
      <c r="Q16" s="20">
        <f>VLOOKUP(A16,'Raw Summary Data'!A137:T162, Q$29-1, 0)</f>
        <v>10</v>
      </c>
      <c r="R16" s="20">
        <f>VLOOKUP(A16,'Raw Summary Data'!A137:T162, R$29-1, 0)</f>
        <v>10</v>
      </c>
      <c r="S16" s="20">
        <f>VLOOKUP(A16,'Raw Summary Data'!A137:T162, S$29-1, 0)</f>
        <v>9</v>
      </c>
      <c r="T16" s="20">
        <f>VLOOKUP(A16,'Raw Summary Data'!A137:T162, T$29-1, 0)</f>
        <v>10.5</v>
      </c>
      <c r="U16" s="20" t="e">
        <f t="shared" ca="1" si="2"/>
        <v>#NAME?</v>
      </c>
      <c r="V16" s="20">
        <v>85</v>
      </c>
      <c r="W16" s="27" t="s">
        <v>462</v>
      </c>
      <c r="X16" s="20">
        <f>VLOOKUP(A16,'Raw Summary Data'!A137:T162, X$29-1, 0)</f>
        <v>85</v>
      </c>
      <c r="Y16" s="27" t="s">
        <v>462</v>
      </c>
      <c r="Z16" s="20">
        <f>VLOOKUP(A16,'Raw Summary Data'!A137:T162, 17, 0)</f>
        <v>22</v>
      </c>
      <c r="AA16" s="20">
        <f>VLOOKUP(A16,'Raw Summary Data'!A137:T162, 19, 0)</f>
        <v>10</v>
      </c>
      <c r="AB16" s="20">
        <f>VLOOKUP(A16,'Raw Summary Data'!A137:T162, 20, 0)</f>
        <v>20</v>
      </c>
      <c r="AC16" s="20">
        <f>VLOOKUP(A16,'Raw Summary Data'!A137:T162, AC$29-1, 0)</f>
        <v>13</v>
      </c>
      <c r="AD16" s="20" t="e">
        <f t="shared" ca="1" si="3"/>
        <v>#NAME?</v>
      </c>
    </row>
    <row r="17" spans="1:32" ht="15" customHeight="1" x14ac:dyDescent="0.2">
      <c r="A17" s="60" t="s">
        <v>341</v>
      </c>
      <c r="B17" s="3" t="s">
        <v>8</v>
      </c>
      <c r="C17" s="20">
        <f>VLOOKUP(A17,'Raw Summary Data'!A138:T163, 3, 0)</f>
        <v>15</v>
      </c>
      <c r="D17" s="20">
        <f>VLOOKUP(A17,'Raw Summary Data'!A138:T163, 4, 0)</f>
        <v>15</v>
      </c>
      <c r="E17" s="20">
        <f>VLOOKUP(A17,'Raw Summary Data'!A138:T163, 5, 0)</f>
        <v>10</v>
      </c>
      <c r="F17" s="20" t="e">
        <f t="shared" ca="1" si="0"/>
        <v>#NAME?</v>
      </c>
      <c r="G17" s="20">
        <v>95</v>
      </c>
      <c r="H17" s="27" t="s">
        <v>462</v>
      </c>
      <c r="I17" s="20">
        <f>VLOOKUP(A17,'Raw Summary Data'!A138:T163, I$29-1, 0)</f>
        <v>95</v>
      </c>
      <c r="J17" s="20">
        <f>VLOOKUP(A17,'Raw Summary Data'!A138:T163, J$29-1, 0)</f>
        <v>15</v>
      </c>
      <c r="K17" s="20">
        <f>VLOOKUP(A17,'Raw Summary Data'!A138:T163, K$29-1, 0)</f>
        <v>11</v>
      </c>
      <c r="L17" s="20">
        <f>VLOOKUP(A17,'Raw Summary Data'!A138:T163, L$29-1, 0)</f>
        <v>6</v>
      </c>
      <c r="M17" s="20" t="e">
        <f t="shared" ca="1" si="1"/>
        <v>#NAME?</v>
      </c>
      <c r="N17" s="20">
        <v>100</v>
      </c>
      <c r="O17" s="20" t="s">
        <v>462</v>
      </c>
      <c r="P17" s="20">
        <f>VLOOKUP(A17,'Raw Summary Data'!A138:T163, P$29-1, 0)</f>
        <v>100</v>
      </c>
      <c r="Q17" s="20">
        <f>VLOOKUP(A17,'Raw Summary Data'!A138:T163, Q$29-1, 0)</f>
        <v>10</v>
      </c>
      <c r="R17" s="20">
        <f>VLOOKUP(A17,'Raw Summary Data'!A138:T163, R$29-1, 0)</f>
        <v>10</v>
      </c>
      <c r="S17" s="20">
        <f>VLOOKUP(A17,'Raw Summary Data'!A138:T163, S$29-1, 0)</f>
        <v>11</v>
      </c>
      <c r="T17" s="20">
        <f>VLOOKUP(A17,'Raw Summary Data'!A138:T163, T$29-1, 0)</f>
        <v>11.5</v>
      </c>
      <c r="U17" s="20" t="e">
        <f t="shared" ca="1" si="2"/>
        <v>#NAME?</v>
      </c>
      <c r="V17" s="20">
        <v>100</v>
      </c>
      <c r="W17" s="27" t="s">
        <v>462</v>
      </c>
      <c r="X17" s="20">
        <f>VLOOKUP(A17,'Raw Summary Data'!A138:T163, X$29-1, 0)</f>
        <v>100</v>
      </c>
      <c r="Y17" s="27" t="s">
        <v>462</v>
      </c>
      <c r="Z17" s="20">
        <f>VLOOKUP(A17,'Raw Summary Data'!A138:T163, 17, 0)</f>
        <v>22</v>
      </c>
      <c r="AA17" s="20">
        <f>VLOOKUP(A17,'Raw Summary Data'!A138:T163, 19, 0)</f>
        <v>10</v>
      </c>
      <c r="AB17" s="20">
        <f>VLOOKUP(A17,'Raw Summary Data'!A138:T163, 20, 0)</f>
        <v>0</v>
      </c>
      <c r="AC17" s="20">
        <f>VLOOKUP(A17,'Raw Summary Data'!A138:T163, AC$29-1, 0)</f>
        <v>13</v>
      </c>
      <c r="AD17" s="20" t="e">
        <f t="shared" ca="1" si="3"/>
        <v>#NAME?</v>
      </c>
    </row>
    <row r="18" spans="1:32" ht="15" customHeight="1" x14ac:dyDescent="0.2">
      <c r="A18" s="60" t="s">
        <v>343</v>
      </c>
      <c r="B18" s="3" t="s">
        <v>8</v>
      </c>
      <c r="C18" s="20">
        <f>VLOOKUP(A18,'Raw Summary Data'!A139:T164, 3, 0)</f>
        <v>15</v>
      </c>
      <c r="D18" s="20">
        <f>VLOOKUP(A18,'Raw Summary Data'!A139:T164, 4, 0)</f>
        <v>12</v>
      </c>
      <c r="E18" s="20">
        <f>VLOOKUP(A18,'Raw Summary Data'!A139:T164, 5, 0)</f>
        <v>9.17</v>
      </c>
      <c r="F18" s="20" t="e">
        <f t="shared" ca="1" si="0"/>
        <v>#NAME?</v>
      </c>
      <c r="G18" s="20">
        <v>85</v>
      </c>
      <c r="H18" s="27" t="s">
        <v>462</v>
      </c>
      <c r="I18" s="20">
        <f>VLOOKUP(A18,'Raw Summary Data'!A139:T164, I$29-1, 0)</f>
        <v>85</v>
      </c>
      <c r="J18" s="20">
        <f>VLOOKUP(A18,'Raw Summary Data'!A139:T164, J$29-1, 0)</f>
        <v>18</v>
      </c>
      <c r="K18" s="20">
        <f>VLOOKUP(A18,'Raw Summary Data'!A139:T164, K$29-1, 0)</f>
        <v>11</v>
      </c>
      <c r="L18" s="20">
        <f>VLOOKUP(A18,'Raw Summary Data'!A139:T164, L$29-1, 0)</f>
        <v>10</v>
      </c>
      <c r="M18" s="20" t="e">
        <f t="shared" ca="1" si="1"/>
        <v>#NAME?</v>
      </c>
      <c r="N18" s="20">
        <v>85</v>
      </c>
      <c r="O18" s="20" t="s">
        <v>462</v>
      </c>
      <c r="P18" s="20">
        <f>VLOOKUP(A18,'Raw Summary Data'!A139:T164, P$29-1, 0)</f>
        <v>85</v>
      </c>
      <c r="Q18" s="20">
        <f>VLOOKUP(A18,'Raw Summary Data'!A139:T164, Q$29-1, 0)</f>
        <v>10</v>
      </c>
      <c r="R18" s="20">
        <f>VLOOKUP(A18,'Raw Summary Data'!A139:T164, R$29-1, 0)</f>
        <v>0</v>
      </c>
      <c r="S18" s="20">
        <f>VLOOKUP(A18,'Raw Summary Data'!A139:T164, S$29-1, 0)</f>
        <v>0</v>
      </c>
      <c r="T18" s="20">
        <f>VLOOKUP(A18,'Raw Summary Data'!A139:T164, T$29-1, 0)</f>
        <v>0</v>
      </c>
      <c r="U18" s="20" t="e">
        <f t="shared" ca="1" si="2"/>
        <v>#NAME?</v>
      </c>
      <c r="V18" s="20">
        <v>82</v>
      </c>
      <c r="W18" s="27" t="s">
        <v>462</v>
      </c>
      <c r="X18" s="20">
        <f>VLOOKUP(A18,'Raw Summary Data'!A139:T164, X$29-1, 0)</f>
        <v>82</v>
      </c>
      <c r="Y18" s="27" t="s">
        <v>462</v>
      </c>
      <c r="Z18" s="20">
        <f>VLOOKUP(A18,'Raw Summary Data'!A139:T164, 17, 0)</f>
        <v>20.8</v>
      </c>
      <c r="AA18" s="20">
        <f>VLOOKUP(A18,'Raw Summary Data'!A139:T164, 19, 0)</f>
        <v>8</v>
      </c>
      <c r="AB18" s="20">
        <f>VLOOKUP(A18,'Raw Summary Data'!A139:T164, 20, 0)</f>
        <v>0</v>
      </c>
      <c r="AC18" s="20">
        <f>VLOOKUP(A18,'Raw Summary Data'!A139:T164, AC$29-1, 0)</f>
        <v>10.64</v>
      </c>
      <c r="AD18" s="20" t="e">
        <f t="shared" ca="1" si="3"/>
        <v>#NAME?</v>
      </c>
    </row>
    <row r="19" spans="1:32" ht="15" customHeight="1" x14ac:dyDescent="0.2">
      <c r="A19" s="60" t="s">
        <v>345</v>
      </c>
      <c r="B19" s="3" t="s">
        <v>8</v>
      </c>
      <c r="C19" s="20">
        <f>VLOOKUP(A19,'Raw Summary Data'!A140:T165, 3, 0)</f>
        <v>12.5</v>
      </c>
      <c r="D19" s="20">
        <f>VLOOKUP(A19,'Raw Summary Data'!A140:T165, 4, 0)</f>
        <v>5</v>
      </c>
      <c r="E19" s="20">
        <f>VLOOKUP(A19,'Raw Summary Data'!A140:T165, 5, 0)</f>
        <v>8.66</v>
      </c>
      <c r="F19" s="20" t="e">
        <f t="shared" ca="1" si="0"/>
        <v>#NAME?</v>
      </c>
      <c r="G19" s="20">
        <v>65</v>
      </c>
      <c r="H19" s="27" t="s">
        <v>462</v>
      </c>
      <c r="I19" s="20">
        <f>VLOOKUP(A19,'Raw Summary Data'!A140:T165, I$29-1, 0)</f>
        <v>65</v>
      </c>
      <c r="J19" s="20">
        <f>VLOOKUP(A19,'Raw Summary Data'!A140:T165, J$29-1, 0)</f>
        <v>17</v>
      </c>
      <c r="K19" s="20">
        <f>VLOOKUP(A19,'Raw Summary Data'!A140:T165, K$29-1, 0)</f>
        <v>4</v>
      </c>
      <c r="L19" s="20">
        <f>VLOOKUP(A19,'Raw Summary Data'!A140:T165, L$29-1, 0)</f>
        <v>9.4</v>
      </c>
      <c r="M19" s="20" t="e">
        <f t="shared" ca="1" si="1"/>
        <v>#NAME?</v>
      </c>
      <c r="N19" s="20">
        <v>65</v>
      </c>
      <c r="O19" s="20">
        <v>72</v>
      </c>
      <c r="P19" s="20">
        <f>VLOOKUP(A19,'Raw Summary Data'!A140:T165, P$29-1, 0)</f>
        <v>72</v>
      </c>
      <c r="Q19" s="20">
        <f>VLOOKUP(A19,'Raw Summary Data'!A140:T165, Q$29-1, 0)</f>
        <v>9</v>
      </c>
      <c r="R19" s="20">
        <f>VLOOKUP(A19,'Raw Summary Data'!A140:T165, R$29-1, 0)</f>
        <v>9</v>
      </c>
      <c r="S19" s="20">
        <f>VLOOKUP(A19,'Raw Summary Data'!A140:T165, S$29-1, 0)</f>
        <v>11</v>
      </c>
      <c r="T19" s="20">
        <f>VLOOKUP(A19,'Raw Summary Data'!A140:T165, T$29-1, 0)</f>
        <v>7.5</v>
      </c>
      <c r="U19" s="20" t="e">
        <f t="shared" ca="1" si="2"/>
        <v>#NAME?</v>
      </c>
      <c r="V19" s="20">
        <v>62</v>
      </c>
      <c r="W19" s="20">
        <v>68</v>
      </c>
      <c r="X19" s="20">
        <f>VLOOKUP(A19,'Raw Summary Data'!A140:T165, X$29-1, 0)</f>
        <v>62</v>
      </c>
      <c r="Y19" s="27" t="s">
        <v>462</v>
      </c>
      <c r="Z19" s="20">
        <f>VLOOKUP(A19,'Raw Summary Data'!A140:T165, 17, 0)</f>
        <v>14.4</v>
      </c>
      <c r="AA19" s="20">
        <f>VLOOKUP(A19,'Raw Summary Data'!A140:T165, 19, 0)</f>
        <v>6</v>
      </c>
      <c r="AB19" s="20">
        <f>VLOOKUP(A19,'Raw Summary Data'!A140:T165, 20, 0)</f>
        <v>0</v>
      </c>
      <c r="AC19" s="20">
        <f>VLOOKUP(A19,'Raw Summary Data'!A140:T165, AC$29-1, 0)</f>
        <v>6.3</v>
      </c>
      <c r="AD19" s="20" t="e">
        <f t="shared" ca="1" si="3"/>
        <v>#NAME?</v>
      </c>
    </row>
    <row r="20" spans="1:32" ht="15" customHeight="1" x14ac:dyDescent="0.2">
      <c r="A20" s="60" t="s">
        <v>347</v>
      </c>
      <c r="B20" s="3" t="s">
        <v>8</v>
      </c>
      <c r="C20" s="20">
        <f>VLOOKUP(A20,'Raw Summary Data'!A141:T166, 3, 0)</f>
        <v>13</v>
      </c>
      <c r="D20" s="20">
        <f>VLOOKUP(A20,'Raw Summary Data'!A141:T166, 4, 0)</f>
        <v>0.5</v>
      </c>
      <c r="E20" s="20">
        <f>VLOOKUP(A20,'Raw Summary Data'!A141:T166, 5, 0)</f>
        <v>2.16</v>
      </c>
      <c r="F20" s="20" t="e">
        <f t="shared" ca="1" si="0"/>
        <v>#NAME?</v>
      </c>
      <c r="G20" s="20">
        <v>65</v>
      </c>
      <c r="H20" s="27">
        <v>72</v>
      </c>
      <c r="I20" s="20">
        <f>VLOOKUP(A20,'Raw Summary Data'!A141:T166, I$29-1, 0)</f>
        <v>72</v>
      </c>
      <c r="J20" s="20">
        <f>VLOOKUP(A20,'Raw Summary Data'!A141:T166, J$29-1, 0)</f>
        <v>0</v>
      </c>
      <c r="K20" s="20" t="str">
        <f>VLOOKUP(A20,'Raw Summary Data'!A141:T166, K$29-1, 0)</f>
        <v>NA</v>
      </c>
      <c r="L20" s="20">
        <f>VLOOKUP(A20,'Raw Summary Data'!A141:T166, L$29-1, 0)</f>
        <v>10</v>
      </c>
      <c r="M20" s="20" t="e">
        <f t="shared" ca="1" si="1"/>
        <v>#NAME?</v>
      </c>
      <c r="N20" s="20" t="s">
        <v>150</v>
      </c>
      <c r="O20" s="20"/>
      <c r="P20" s="20" t="str">
        <f>VLOOKUP(A20,'Raw Summary Data'!A141:T166, P$29-1, 0)</f>
        <v>NA</v>
      </c>
      <c r="Q20" s="20" t="str">
        <f>VLOOKUP(A20,'Raw Summary Data'!A141:T166, Q$29-1, 0)</f>
        <v>NA</v>
      </c>
      <c r="R20" s="20" t="str">
        <f>VLOOKUP(A20,'Raw Summary Data'!A141:T166, R$29-1, 0)</f>
        <v>NA</v>
      </c>
      <c r="S20" s="20" t="str">
        <f>VLOOKUP(A20,'Raw Summary Data'!A141:T166, S$29-1, 0)</f>
        <v>NA</v>
      </c>
      <c r="T20" s="20" t="str">
        <f>VLOOKUP(A20,'Raw Summary Data'!A141:T166, T$29-1, 0)</f>
        <v>NA</v>
      </c>
      <c r="U20" s="20" t="b">
        <f ca="1">ISNUMBER(CONVERT_13PT_SCALE(T20))</f>
        <v>0</v>
      </c>
      <c r="V20" s="20" t="s">
        <v>150</v>
      </c>
      <c r="W20" s="27" t="s">
        <v>462</v>
      </c>
      <c r="X20" s="20" t="str">
        <f>VLOOKUP(A20,'Raw Summary Data'!A141:T166, X$29-1, 0)</f>
        <v>NA</v>
      </c>
      <c r="Y20" s="27" t="s">
        <v>462</v>
      </c>
      <c r="Z20" s="20" t="str">
        <f>VLOOKUP(A20,'Raw Summary Data'!A141:T166, 17, 0)</f>
        <v>NA</v>
      </c>
      <c r="AA20" s="20" t="str">
        <f>VLOOKUP(A20,'Raw Summary Data'!A141:T166, 19, 0)</f>
        <v>NA</v>
      </c>
      <c r="AB20" s="20" t="str">
        <f>VLOOKUP(A20,'Raw Summary Data'!A141:T166, 20, 0)</f>
        <v>NA</v>
      </c>
      <c r="AC20" s="20" t="str">
        <f>VLOOKUP(A20,'Raw Summary Data'!A141:T166, AC$29-1, 0)</f>
        <v>NA</v>
      </c>
      <c r="AD20" s="20" t="s">
        <v>150</v>
      </c>
    </row>
    <row r="21" spans="1:32" ht="15" customHeight="1" x14ac:dyDescent="0.2">
      <c r="A21" s="60" t="s">
        <v>349</v>
      </c>
      <c r="B21" s="3" t="s">
        <v>8</v>
      </c>
      <c r="C21" s="20">
        <f>VLOOKUP(A21,'Raw Summary Data'!A142:T167, 3, 0)</f>
        <v>15</v>
      </c>
      <c r="D21" s="20">
        <f>VLOOKUP(A21,'Raw Summary Data'!A142:T167, 4, 0)</f>
        <v>14</v>
      </c>
      <c r="E21" s="20">
        <f>VLOOKUP(A21,'Raw Summary Data'!A142:T167, 5, 0)</f>
        <v>8</v>
      </c>
      <c r="F21" s="20" t="e">
        <f t="shared" ca="1" si="0"/>
        <v>#NAME?</v>
      </c>
      <c r="G21" s="20">
        <v>85</v>
      </c>
      <c r="H21" s="27" t="s">
        <v>462</v>
      </c>
      <c r="I21" s="20">
        <f>VLOOKUP(A21,'Raw Summary Data'!A142:T167, I$29-1, 0)</f>
        <v>85</v>
      </c>
      <c r="J21" s="20">
        <f>VLOOKUP(A21,'Raw Summary Data'!A142:T167, J$29-1, 0)</f>
        <v>18</v>
      </c>
      <c r="K21" s="20">
        <f>VLOOKUP(A21,'Raw Summary Data'!A142:T167, K$29-1, 0)</f>
        <v>12</v>
      </c>
      <c r="L21" s="20">
        <f>VLOOKUP(A21,'Raw Summary Data'!A142:T167, L$29-1, 0)</f>
        <v>9.4</v>
      </c>
      <c r="M21" s="20" t="e">
        <f t="shared" ca="1" si="1"/>
        <v>#NAME?</v>
      </c>
      <c r="N21" s="20">
        <v>85</v>
      </c>
      <c r="O21" s="20" t="s">
        <v>462</v>
      </c>
      <c r="P21" s="20">
        <f>VLOOKUP(A21,'Raw Summary Data'!A142:T167, P$29-1, 0)</f>
        <v>85</v>
      </c>
      <c r="Q21" s="20">
        <f>VLOOKUP(A21,'Raw Summary Data'!A142:T167, Q$29-1, 0)</f>
        <v>10</v>
      </c>
      <c r="R21" s="20">
        <f>VLOOKUP(A21,'Raw Summary Data'!A142:T167, R$29-1, 0)</f>
        <v>10</v>
      </c>
      <c r="S21" s="20">
        <f>VLOOKUP(A21,'Raw Summary Data'!A142:T167, S$29-1, 0)</f>
        <v>11</v>
      </c>
      <c r="T21" s="20">
        <f>VLOOKUP(A21,'Raw Summary Data'!A142:T167, T$29-1, 0)</f>
        <v>11.5</v>
      </c>
      <c r="U21" s="20" t="e">
        <f t="shared" ref="U21:U27" ca="1" si="4">CONVERT_13PT_SCALE(T21)</f>
        <v>#NAME?</v>
      </c>
      <c r="V21" s="20">
        <v>72</v>
      </c>
      <c r="W21" s="20">
        <v>82</v>
      </c>
      <c r="X21" s="20">
        <f>VLOOKUP(A21,'Raw Summary Data'!A142:T167, X$29-1, 0)</f>
        <v>82</v>
      </c>
      <c r="Y21" s="27" t="s">
        <v>462</v>
      </c>
      <c r="Z21" s="20">
        <f>VLOOKUP(A21,'Raw Summary Data'!A142:T167, 17, 0)</f>
        <v>22</v>
      </c>
      <c r="AA21" s="20">
        <f>VLOOKUP(A21,'Raw Summary Data'!A142:T167, 19, 0)</f>
        <v>10</v>
      </c>
      <c r="AB21" s="20">
        <f>VLOOKUP(A21,'Raw Summary Data'!A142:T167, 20, 0)</f>
        <v>0</v>
      </c>
      <c r="AC21" s="20">
        <f>VLOOKUP(A21,'Raw Summary Data'!A142:T167, AC$29-1, 0)</f>
        <v>10.8</v>
      </c>
      <c r="AD21" s="20" t="e">
        <f t="shared" ref="AD21:AD27" ca="1" si="5">CONVERT_13PT_SCALE(AC21)</f>
        <v>#NAME?</v>
      </c>
    </row>
    <row r="22" spans="1:32" ht="15" customHeight="1" x14ac:dyDescent="0.2">
      <c r="A22" s="60" t="s">
        <v>351</v>
      </c>
      <c r="B22" s="3" t="s">
        <v>9</v>
      </c>
      <c r="C22" s="20">
        <f>VLOOKUP(A22,'Raw Summary Data'!A143:T168, 3, 0)</f>
        <v>14.5</v>
      </c>
      <c r="D22" s="20">
        <f>VLOOKUP(A22,'Raw Summary Data'!A143:T168, 4, 0)</f>
        <v>0</v>
      </c>
      <c r="E22" s="20">
        <f>VLOOKUP(A22,'Raw Summary Data'!A143:T168, 5, 0)</f>
        <v>5.33</v>
      </c>
      <c r="F22" s="20" t="e">
        <f t="shared" ca="1" si="0"/>
        <v>#NAME?</v>
      </c>
      <c r="G22" s="20">
        <v>78</v>
      </c>
      <c r="H22" s="27" t="s">
        <v>462</v>
      </c>
      <c r="I22" s="20">
        <f>VLOOKUP(A22,'Raw Summary Data'!A143:T168, I$29-1, 0)</f>
        <v>78</v>
      </c>
      <c r="J22" s="20">
        <f>VLOOKUP(A22,'Raw Summary Data'!A143:T168, J$29-1, 0)</f>
        <v>16</v>
      </c>
      <c r="K22" s="20">
        <f>VLOOKUP(A22,'Raw Summary Data'!A143:T168, K$29-1, 0)</f>
        <v>12</v>
      </c>
      <c r="L22" s="20">
        <f>VLOOKUP(A22,'Raw Summary Data'!A143:T168, L$29-1, 0)</f>
        <v>12</v>
      </c>
      <c r="M22" s="20" t="e">
        <f t="shared" ca="1" si="1"/>
        <v>#NAME?</v>
      </c>
      <c r="N22" s="20">
        <v>92</v>
      </c>
      <c r="O22" s="20" t="s">
        <v>462</v>
      </c>
      <c r="P22" s="20">
        <f>VLOOKUP(A22,'Raw Summary Data'!A143:T168, P$29-1, 0)</f>
        <v>92</v>
      </c>
      <c r="Q22" s="20">
        <f>VLOOKUP(A22,'Raw Summary Data'!A143:T168, Q$29-1, 0)</f>
        <v>0</v>
      </c>
      <c r="R22" s="20">
        <f>VLOOKUP(A22,'Raw Summary Data'!A143:T168, R$29-1, 0)</f>
        <v>0</v>
      </c>
      <c r="S22" s="20">
        <f>VLOOKUP(A22,'Raw Summary Data'!A143:T168, S$29-1, 0)</f>
        <v>0</v>
      </c>
      <c r="T22" s="20">
        <f>VLOOKUP(A22,'Raw Summary Data'!A143:T168, T$29-1, 0)</f>
        <v>9</v>
      </c>
      <c r="U22" s="20" t="e">
        <f t="shared" ca="1" si="4"/>
        <v>#NAME?</v>
      </c>
      <c r="V22" s="20">
        <v>72</v>
      </c>
      <c r="W22" s="27" t="s">
        <v>462</v>
      </c>
      <c r="X22" s="20">
        <f>VLOOKUP(A22,'Raw Summary Data'!A143:T168, X$29-1, 0)</f>
        <v>72</v>
      </c>
      <c r="Y22" s="27" t="s">
        <v>462</v>
      </c>
      <c r="Z22" s="20">
        <f>VLOOKUP(A22,'Raw Summary Data'!A143:T168, 17, 0)</f>
        <v>19.8</v>
      </c>
      <c r="AA22" s="20">
        <f>VLOOKUP(A22,'Raw Summary Data'!A143:T168, 19, 0)</f>
        <v>0</v>
      </c>
      <c r="AB22" s="20">
        <f>VLOOKUP(A22,'Raw Summary Data'!A143:T168, 20, 0)</f>
        <v>0</v>
      </c>
      <c r="AC22" s="20">
        <f>VLOOKUP(A22,'Raw Summary Data'!A143:T168, AC$29-1, 0)</f>
        <v>11.2</v>
      </c>
      <c r="AD22" s="20" t="e">
        <f t="shared" ca="1" si="5"/>
        <v>#NAME?</v>
      </c>
    </row>
    <row r="23" spans="1:32" ht="15" customHeight="1" x14ac:dyDescent="0.2">
      <c r="A23" s="60" t="s">
        <v>353</v>
      </c>
      <c r="B23" s="3" t="s">
        <v>8</v>
      </c>
      <c r="C23" s="20">
        <f>VLOOKUP(A23,'Raw Summary Data'!A144:T169, 3, 0)</f>
        <v>14.5</v>
      </c>
      <c r="D23" s="20">
        <f>VLOOKUP(A23,'Raw Summary Data'!A144:T169, 4, 0)</f>
        <v>11.25</v>
      </c>
      <c r="E23" s="20">
        <f>VLOOKUP(A23,'Raw Summary Data'!A144:T169, 5, 0)</f>
        <v>0</v>
      </c>
      <c r="F23" s="20" t="e">
        <f t="shared" ca="1" si="0"/>
        <v>#NAME?</v>
      </c>
      <c r="G23" s="20">
        <v>62</v>
      </c>
      <c r="H23" s="27" t="s">
        <v>462</v>
      </c>
      <c r="I23" s="20">
        <f>VLOOKUP(A23,'Raw Summary Data'!A144:T169, I$29-1, 0)</f>
        <v>62</v>
      </c>
      <c r="J23" s="20">
        <f>VLOOKUP(A23,'Raw Summary Data'!A144:T169, J$29-1, 0)</f>
        <v>18</v>
      </c>
      <c r="K23" s="20">
        <f>VLOOKUP(A23,'Raw Summary Data'!A144:T169, K$29-1, 0)</f>
        <v>0</v>
      </c>
      <c r="L23" s="20">
        <f>VLOOKUP(A23,'Raw Summary Data'!A144:T169, L$29-1, 0)</f>
        <v>10</v>
      </c>
      <c r="M23" s="20" t="e">
        <f t="shared" ca="1" si="1"/>
        <v>#NAME?</v>
      </c>
      <c r="N23" s="20">
        <v>30</v>
      </c>
      <c r="O23" s="20">
        <v>75</v>
      </c>
      <c r="P23" s="20">
        <f>VLOOKUP(A23,'Raw Summary Data'!A144:T169, P$29-1, 0)</f>
        <v>75</v>
      </c>
      <c r="Q23" s="20">
        <f>VLOOKUP(A23,'Raw Summary Data'!A144:T169, Q$29-1, 0)</f>
        <v>9</v>
      </c>
      <c r="R23" s="20">
        <f>VLOOKUP(A23,'Raw Summary Data'!A144:T169, R$29-1, 0)</f>
        <v>8</v>
      </c>
      <c r="S23" s="20">
        <f>VLOOKUP(A23,'Raw Summary Data'!A144:T169, S$29-1, 0)</f>
        <v>11</v>
      </c>
      <c r="T23" s="20">
        <f>VLOOKUP(A23,'Raw Summary Data'!A144:T169, T$29-1, 0)</f>
        <v>3</v>
      </c>
      <c r="U23" s="20" t="e">
        <f t="shared" ca="1" si="4"/>
        <v>#NAME?</v>
      </c>
      <c r="V23" s="20">
        <v>72</v>
      </c>
      <c r="W23" s="27" t="s">
        <v>462</v>
      </c>
      <c r="X23" s="20">
        <f>VLOOKUP(A23,'Raw Summary Data'!A144:T169, X$29-1, 0)</f>
        <v>72</v>
      </c>
      <c r="Y23" s="27" t="s">
        <v>462</v>
      </c>
      <c r="Z23" s="20">
        <f>VLOOKUP(A23,'Raw Summary Data'!A144:T169, 17, 0)</f>
        <v>21.4</v>
      </c>
      <c r="AA23" s="20">
        <f>VLOOKUP(A23,'Raw Summary Data'!A144:T169, 19, 0)</f>
        <v>9</v>
      </c>
      <c r="AB23" s="20">
        <f>VLOOKUP(A23,'Raw Summary Data'!A144:T169, 20, 0)</f>
        <v>26</v>
      </c>
      <c r="AC23" s="20">
        <f>VLOOKUP(A23,'Raw Summary Data'!A144:T169, AC$29-1, 0)</f>
        <v>12.14</v>
      </c>
      <c r="AD23" s="20" t="e">
        <f t="shared" ca="1" si="5"/>
        <v>#NAME?</v>
      </c>
    </row>
    <row r="24" spans="1:32" ht="15" customHeight="1" x14ac:dyDescent="0.2">
      <c r="A24" s="60" t="s">
        <v>355</v>
      </c>
      <c r="B24" s="3" t="s">
        <v>8</v>
      </c>
      <c r="C24" s="20">
        <f>VLOOKUP(A24,'Raw Summary Data'!A145:T170, 3, 0)</f>
        <v>0</v>
      </c>
      <c r="D24" s="20">
        <f>VLOOKUP(A24,'Raw Summary Data'!A145:T170, 4, 0)</f>
        <v>1</v>
      </c>
      <c r="E24" s="20">
        <f>VLOOKUP(A24,'Raw Summary Data'!A145:T170, 5, 0)</f>
        <v>10.67</v>
      </c>
      <c r="F24" s="20" t="e">
        <f t="shared" ca="1" si="0"/>
        <v>#NAME?</v>
      </c>
      <c r="G24" s="20">
        <v>78</v>
      </c>
      <c r="H24" s="27" t="s">
        <v>462</v>
      </c>
      <c r="I24" s="20">
        <f>VLOOKUP(A24,'Raw Summary Data'!A145:T170, I$29-1, 0)</f>
        <v>78</v>
      </c>
      <c r="J24" s="20">
        <f>VLOOKUP(A24,'Raw Summary Data'!A145:T170, J$29-1, 0)</f>
        <v>17</v>
      </c>
      <c r="K24" s="20">
        <f>VLOOKUP(A24,'Raw Summary Data'!A145:T170, K$29-1, 0)</f>
        <v>12</v>
      </c>
      <c r="L24" s="20">
        <f>VLOOKUP(A24,'Raw Summary Data'!A145:T170, L$29-1, 0)</f>
        <v>9.4</v>
      </c>
      <c r="M24" s="20" t="e">
        <f t="shared" ca="1" si="1"/>
        <v>#NAME?</v>
      </c>
      <c r="N24" s="20">
        <v>68</v>
      </c>
      <c r="O24" s="20">
        <v>65</v>
      </c>
      <c r="P24" s="20">
        <f>VLOOKUP(A24,'Raw Summary Data'!A145:T170, P$29-1, 0)</f>
        <v>68</v>
      </c>
      <c r="Q24" s="20">
        <f>VLOOKUP(A24,'Raw Summary Data'!A145:T170, Q$29-1, 0)</f>
        <v>0</v>
      </c>
      <c r="R24" s="20">
        <f>VLOOKUP(A24,'Raw Summary Data'!A145:T170, R$29-1, 0)</f>
        <v>9</v>
      </c>
      <c r="S24" s="20">
        <f>VLOOKUP(A24,'Raw Summary Data'!A145:T170, S$29-1, 0)</f>
        <v>7</v>
      </c>
      <c r="T24" s="20">
        <f>VLOOKUP(A24,'Raw Summary Data'!A145:T170, T$29-1, 0)</f>
        <v>4.5</v>
      </c>
      <c r="U24" s="20" t="e">
        <f t="shared" ca="1" si="4"/>
        <v>#NAME?</v>
      </c>
      <c r="V24" s="20">
        <v>68</v>
      </c>
      <c r="W24" s="27" t="s">
        <v>462</v>
      </c>
      <c r="X24" s="20">
        <f>VLOOKUP(A24,'Raw Summary Data'!A145:T170, X$29-1, 0)</f>
        <v>68</v>
      </c>
      <c r="Y24" s="27" t="s">
        <v>462</v>
      </c>
      <c r="Z24" s="20">
        <f>VLOOKUP(A24,'Raw Summary Data'!A145:T170, 17, 0)</f>
        <v>22</v>
      </c>
      <c r="AA24" s="20">
        <f>VLOOKUP(A24,'Raw Summary Data'!A145:T170, 19, 0)</f>
        <v>9.8000000000000007</v>
      </c>
      <c r="AB24" s="20">
        <f>VLOOKUP(A24,'Raw Summary Data'!A145:T170, 20, 0)</f>
        <v>0</v>
      </c>
      <c r="AC24" s="20">
        <f>VLOOKUP(A24,'Raw Summary Data'!A145:T170, AC$29-1, 0)</f>
        <v>0</v>
      </c>
      <c r="AD24" s="20" t="e">
        <f t="shared" ca="1" si="5"/>
        <v>#NAME?</v>
      </c>
    </row>
    <row r="25" spans="1:32" ht="15" customHeight="1" x14ac:dyDescent="0.2">
      <c r="A25" s="60" t="s">
        <v>357</v>
      </c>
      <c r="B25" s="3" t="s">
        <v>8</v>
      </c>
      <c r="C25" s="20">
        <f>VLOOKUP(A25,'Raw Summary Data'!A146:T171, 3, 0)</f>
        <v>0</v>
      </c>
      <c r="D25" s="20">
        <f>VLOOKUP(A25,'Raw Summary Data'!A146:T171, 4, 0)</f>
        <v>1</v>
      </c>
      <c r="E25" s="20">
        <f>VLOOKUP(A25,'Raw Summary Data'!A146:T171, 5, 0)</f>
        <v>6.17</v>
      </c>
      <c r="F25" s="20" t="e">
        <f t="shared" ca="1" si="0"/>
        <v>#NAME?</v>
      </c>
      <c r="G25" s="20">
        <v>30</v>
      </c>
      <c r="H25" s="27" t="s">
        <v>462</v>
      </c>
      <c r="I25" s="20">
        <f>VLOOKUP(A25,'Raw Summary Data'!A146:T171, I$29-1, 0)</f>
        <v>30</v>
      </c>
      <c r="J25" s="20">
        <f>VLOOKUP(A25,'Raw Summary Data'!A146:T171, J$29-1, 0)</f>
        <v>18</v>
      </c>
      <c r="K25" s="20">
        <f>VLOOKUP(A25,'Raw Summary Data'!A146:T171, K$29-1, 0)</f>
        <v>0</v>
      </c>
      <c r="L25" s="20">
        <f>VLOOKUP(A25,'Raw Summary Data'!A146:T171, L$29-1, 0)</f>
        <v>0</v>
      </c>
      <c r="M25" s="20" t="e">
        <f t="shared" ca="1" si="1"/>
        <v>#NAME?</v>
      </c>
      <c r="N25" s="20">
        <v>30</v>
      </c>
      <c r="O25" s="20">
        <v>62</v>
      </c>
      <c r="P25" s="20">
        <f>VLOOKUP(A25,'Raw Summary Data'!A146:T171, P$29-1, 0)</f>
        <v>62</v>
      </c>
      <c r="Q25" s="20">
        <f>VLOOKUP(A25,'Raw Summary Data'!A146:T171, Q$29-1, 0)</f>
        <v>10</v>
      </c>
      <c r="R25" s="20">
        <f>VLOOKUP(A25,'Raw Summary Data'!A146:T171, R$29-1, 0)</f>
        <v>10</v>
      </c>
      <c r="S25" s="20">
        <f>VLOOKUP(A25,'Raw Summary Data'!A146:T171, S$29-1, 0)</f>
        <v>11</v>
      </c>
      <c r="T25" s="20">
        <f>VLOOKUP(A25,'Raw Summary Data'!A146:T171, T$29-1, 0)</f>
        <v>9.5</v>
      </c>
      <c r="U25" s="20" t="e">
        <f t="shared" ca="1" si="4"/>
        <v>#NAME?</v>
      </c>
      <c r="V25" s="20">
        <v>68</v>
      </c>
      <c r="W25" s="27" t="s">
        <v>462</v>
      </c>
      <c r="X25" s="20">
        <f>VLOOKUP(A25,'Raw Summary Data'!A146:T171, X$29-1, 0)</f>
        <v>68</v>
      </c>
      <c r="Y25" s="27" t="s">
        <v>462</v>
      </c>
      <c r="Z25" s="20">
        <f>VLOOKUP(A25,'Raw Summary Data'!A146:T171, 17, 0)</f>
        <v>22</v>
      </c>
      <c r="AA25" s="20">
        <f>VLOOKUP(A25,'Raw Summary Data'!A146:T171, 19, 0)</f>
        <v>10</v>
      </c>
      <c r="AB25" s="20">
        <f>VLOOKUP(A25,'Raw Summary Data'!A146:T171, 20, 0)</f>
        <v>0</v>
      </c>
      <c r="AC25" s="20">
        <f>VLOOKUP(A25,'Raw Summary Data'!A146:T171, AC$29-1, 0)</f>
        <v>12.75</v>
      </c>
      <c r="AD25" s="20" t="e">
        <f t="shared" ca="1" si="5"/>
        <v>#NAME?</v>
      </c>
    </row>
    <row r="26" spans="1:32" ht="15" customHeight="1" x14ac:dyDescent="0.2">
      <c r="A26" s="60" t="s">
        <v>359</v>
      </c>
      <c r="B26" s="3" t="s">
        <v>7</v>
      </c>
      <c r="C26" s="20">
        <f>VLOOKUP(A26,'Raw Summary Data'!A147:T172, 3, 0)</f>
        <v>15</v>
      </c>
      <c r="D26" s="20">
        <f>VLOOKUP(A26,'Raw Summary Data'!A147:T172, 4, 0)</f>
        <v>14</v>
      </c>
      <c r="E26" s="20">
        <f>VLOOKUP(A26,'Raw Summary Data'!A147:T172, 5, 0)</f>
        <v>11</v>
      </c>
      <c r="F26" s="20" t="e">
        <f t="shared" ca="1" si="0"/>
        <v>#NAME?</v>
      </c>
      <c r="G26" s="20">
        <v>92</v>
      </c>
      <c r="H26" s="27" t="s">
        <v>462</v>
      </c>
      <c r="I26" s="20">
        <f>VLOOKUP(A26,'Raw Summary Data'!A147:T172, I$29-1, 0)</f>
        <v>92</v>
      </c>
      <c r="J26" s="20">
        <f>VLOOKUP(A26,'Raw Summary Data'!A147:T172, J$29-1, 0)</f>
        <v>18</v>
      </c>
      <c r="K26" s="20">
        <f>VLOOKUP(A26,'Raw Summary Data'!A147:T172, K$29-1, 0)</f>
        <v>12</v>
      </c>
      <c r="L26" s="20">
        <f>VLOOKUP(A26,'Raw Summary Data'!A147:T172, L$29-1, 0)</f>
        <v>10</v>
      </c>
      <c r="M26" s="20" t="e">
        <f t="shared" ca="1" si="1"/>
        <v>#NAME?</v>
      </c>
      <c r="N26" s="20">
        <v>88</v>
      </c>
      <c r="O26" s="20" t="s">
        <v>462</v>
      </c>
      <c r="P26" s="20">
        <f>VLOOKUP(A26,'Raw Summary Data'!A147:T172, P$29-1, 0)</f>
        <v>88</v>
      </c>
      <c r="Q26" s="20">
        <f>VLOOKUP(A26,'Raw Summary Data'!A147:T172, Q$29-1, 0)</f>
        <v>10</v>
      </c>
      <c r="R26" s="20">
        <f>VLOOKUP(A26,'Raw Summary Data'!A147:T172, R$29-1, 0)</f>
        <v>10</v>
      </c>
      <c r="S26" s="20">
        <f>VLOOKUP(A26,'Raw Summary Data'!A147:T172, S$29-1, 0)</f>
        <v>11</v>
      </c>
      <c r="T26" s="20">
        <f>VLOOKUP(A26,'Raw Summary Data'!A147:T172, T$29-1, 0)</f>
        <v>12</v>
      </c>
      <c r="U26" s="20" t="e">
        <f t="shared" ca="1" si="4"/>
        <v>#NAME?</v>
      </c>
      <c r="V26" s="20">
        <v>92</v>
      </c>
      <c r="W26" s="27" t="s">
        <v>462</v>
      </c>
      <c r="X26" s="20">
        <f>VLOOKUP(A26,'Raw Summary Data'!A147:T172, X$29-1, 0)</f>
        <v>92</v>
      </c>
      <c r="Y26" s="27" t="s">
        <v>462</v>
      </c>
      <c r="Z26" s="20">
        <f>VLOOKUP(A26,'Raw Summary Data'!A147:T172, 17, 0)</f>
        <v>22</v>
      </c>
      <c r="AA26" s="20">
        <f>VLOOKUP(A26,'Raw Summary Data'!A147:T172, 19, 0)</f>
        <v>10</v>
      </c>
      <c r="AB26" s="20">
        <f>VLOOKUP(A26,'Raw Summary Data'!A147:T172, 20, 0)</f>
        <v>27</v>
      </c>
      <c r="AC26" s="20">
        <f>VLOOKUP(A26,'Raw Summary Data'!A147:T172, AC$29-1, 0)</f>
        <v>13</v>
      </c>
      <c r="AD26" s="20" t="e">
        <f t="shared" ca="1" si="5"/>
        <v>#NAME?</v>
      </c>
    </row>
    <row r="27" spans="1:32" ht="15" customHeight="1" x14ac:dyDescent="0.2">
      <c r="A27" s="60" t="s">
        <v>361</v>
      </c>
      <c r="B27" s="3" t="s">
        <v>8</v>
      </c>
      <c r="C27" s="20">
        <f>VLOOKUP(A27,'Raw Summary Data'!A148:T173, 3, 0)</f>
        <v>15</v>
      </c>
      <c r="D27" s="20">
        <f>VLOOKUP(A27,'Raw Summary Data'!A148:T173, 4, 0)</f>
        <v>15</v>
      </c>
      <c r="E27" s="20">
        <f>VLOOKUP(A27,'Raw Summary Data'!A148:T173, 5, 0)</f>
        <v>13</v>
      </c>
      <c r="F27" s="20" t="e">
        <f t="shared" ca="1" si="0"/>
        <v>#NAME?</v>
      </c>
      <c r="G27" s="20">
        <v>95</v>
      </c>
      <c r="H27" s="27" t="s">
        <v>462</v>
      </c>
      <c r="I27" s="20">
        <f>VLOOKUP(A27,'Raw Summary Data'!A148:T173, I$29-1, 0)</f>
        <v>95</v>
      </c>
      <c r="J27" s="20">
        <f>VLOOKUP(A27,'Raw Summary Data'!A148:T173, J$29-1, 0)</f>
        <v>18</v>
      </c>
      <c r="K27" s="20">
        <f>VLOOKUP(A27,'Raw Summary Data'!A148:T173, K$29-1, 0)</f>
        <v>12</v>
      </c>
      <c r="L27" s="20">
        <f>VLOOKUP(A27,'Raw Summary Data'!A148:T173, L$29-1, 0)</f>
        <v>12</v>
      </c>
      <c r="M27" s="20" t="e">
        <f t="shared" ca="1" si="1"/>
        <v>#NAME?</v>
      </c>
      <c r="N27" s="20">
        <v>82</v>
      </c>
      <c r="O27" s="20" t="s">
        <v>462</v>
      </c>
      <c r="P27" s="20">
        <f>VLOOKUP(A27,'Raw Summary Data'!A148:T173, P$29-1, 0)</f>
        <v>82</v>
      </c>
      <c r="Q27" s="20">
        <f>VLOOKUP(A27,'Raw Summary Data'!A148:T173, Q$29-1, 0)</f>
        <v>10</v>
      </c>
      <c r="R27" s="20">
        <f>VLOOKUP(A27,'Raw Summary Data'!A148:T173, R$29-1, 0)</f>
        <v>10</v>
      </c>
      <c r="S27" s="20">
        <f>VLOOKUP(A27,'Raw Summary Data'!A148:T173, S$29-1, 0)</f>
        <v>11</v>
      </c>
      <c r="T27" s="20">
        <f>VLOOKUP(A27,'Raw Summary Data'!A148:T173, T$29-1, 0)</f>
        <v>10.5</v>
      </c>
      <c r="U27" s="20" t="e">
        <f t="shared" ca="1" si="4"/>
        <v>#NAME?</v>
      </c>
      <c r="V27" s="20">
        <v>82</v>
      </c>
      <c r="W27" s="27" t="s">
        <v>462</v>
      </c>
      <c r="X27" s="20">
        <f>VLOOKUP(A27,'Raw Summary Data'!A148:T173, X$29-1, 0)</f>
        <v>82</v>
      </c>
      <c r="Y27" s="27" t="s">
        <v>462</v>
      </c>
      <c r="Z27" s="20">
        <f>VLOOKUP(A27,'Raw Summary Data'!A148:T173, 17, 0)</f>
        <v>22</v>
      </c>
      <c r="AA27" s="20">
        <f>VLOOKUP(A27,'Raw Summary Data'!A148:T173, 19, 0)</f>
        <v>9.5</v>
      </c>
      <c r="AB27" s="20">
        <f>VLOOKUP(A27,'Raw Summary Data'!A148:T173, 20, 0)</f>
        <v>0</v>
      </c>
      <c r="AC27" s="20">
        <f>VLOOKUP(A27,'Raw Summary Data'!A148:T173, AC$29-1, 0)</f>
        <v>13</v>
      </c>
      <c r="AD27" s="20" t="e">
        <f t="shared" ca="1" si="5"/>
        <v>#NAME?</v>
      </c>
    </row>
    <row r="28" spans="1:32" ht="15" customHeight="1" x14ac:dyDescent="0.2">
      <c r="A28" s="24"/>
      <c r="H28" s="62"/>
    </row>
    <row r="29" spans="1:32" ht="15" customHeight="1" x14ac:dyDescent="0.2">
      <c r="A29" s="24" t="s">
        <v>821</v>
      </c>
      <c r="B29" s="58"/>
      <c r="C29" s="58">
        <v>4</v>
      </c>
      <c r="D29" s="58">
        <v>5</v>
      </c>
      <c r="E29" s="58">
        <v>6</v>
      </c>
      <c r="F29" s="58"/>
      <c r="G29" s="58"/>
      <c r="H29" s="62"/>
      <c r="I29" s="58">
        <v>7</v>
      </c>
      <c r="J29" s="58">
        <v>8</v>
      </c>
      <c r="K29" s="58">
        <v>10</v>
      </c>
      <c r="L29" s="58">
        <v>9</v>
      </c>
      <c r="M29" s="58"/>
      <c r="N29" s="58"/>
      <c r="O29" s="58"/>
      <c r="P29" s="58">
        <v>11</v>
      </c>
      <c r="Q29" s="58">
        <v>13</v>
      </c>
      <c r="R29" s="58">
        <v>12</v>
      </c>
      <c r="S29" s="58">
        <v>15</v>
      </c>
      <c r="T29" s="58">
        <v>14</v>
      </c>
      <c r="U29" s="58"/>
      <c r="V29" s="58"/>
      <c r="W29" s="58"/>
      <c r="X29" s="58">
        <v>16</v>
      </c>
      <c r="Y29" s="58"/>
      <c r="Z29" s="58">
        <v>20</v>
      </c>
      <c r="AA29" s="58">
        <v>21</v>
      </c>
      <c r="AB29" s="58">
        <v>18</v>
      </c>
      <c r="AC29" s="58">
        <v>19</v>
      </c>
      <c r="AD29" s="58"/>
      <c r="AE29" s="58"/>
      <c r="AF29" s="58"/>
    </row>
    <row r="34" spans="2:5" x14ac:dyDescent="0.25">
      <c r="B34" s="52" t="s">
        <v>744</v>
      </c>
    </row>
    <row r="35" spans="2:5" ht="15" customHeight="1" x14ac:dyDescent="0.2">
      <c r="B35" s="38" t="s">
        <v>822</v>
      </c>
    </row>
    <row r="36" spans="2:5" ht="15" customHeight="1" x14ac:dyDescent="0.2">
      <c r="B36" s="25" t="s">
        <v>745</v>
      </c>
      <c r="C36" s="25" t="s">
        <v>746</v>
      </c>
      <c r="D36" s="25" t="s">
        <v>747</v>
      </c>
      <c r="E36" s="25" t="s">
        <v>748</v>
      </c>
    </row>
    <row r="37" spans="2:5" ht="15" customHeight="1" x14ac:dyDescent="0.2">
      <c r="C37" s="38"/>
      <c r="D37" s="38"/>
    </row>
    <row r="39" spans="2:5" ht="15" customHeight="1" x14ac:dyDescent="0.2">
      <c r="C39" s="38"/>
      <c r="D39" s="38"/>
    </row>
    <row r="40" spans="2:5" ht="15" customHeight="1" x14ac:dyDescent="0.2">
      <c r="B40" s="25" t="s">
        <v>749</v>
      </c>
      <c r="C40" s="25" t="s">
        <v>750</v>
      </c>
      <c r="D40" s="25" t="s">
        <v>751</v>
      </c>
      <c r="E40" s="25" t="s">
        <v>752</v>
      </c>
    </row>
    <row r="41" spans="2:5" ht="15" customHeight="1" x14ac:dyDescent="0.2">
      <c r="C41" s="38"/>
      <c r="D41" s="38"/>
    </row>
    <row r="42" spans="2:5" ht="15" customHeight="1" x14ac:dyDescent="0.2">
      <c r="C42" s="38"/>
      <c r="D42" s="38"/>
    </row>
    <row r="43" spans="2:5" ht="15" customHeight="1" x14ac:dyDescent="0.2">
      <c r="C43" s="38"/>
      <c r="D43" s="38"/>
    </row>
    <row r="44" spans="2:5" ht="63.75" x14ac:dyDescent="0.2">
      <c r="B44" s="25" t="s">
        <v>753</v>
      </c>
      <c r="C44" s="25" t="s">
        <v>754</v>
      </c>
      <c r="D44" s="25" t="s">
        <v>755</v>
      </c>
      <c r="E44" s="25" t="s">
        <v>756</v>
      </c>
    </row>
    <row r="45" spans="2:5" ht="12.75" x14ac:dyDescent="0.2">
      <c r="C45" s="38"/>
      <c r="D45" s="38"/>
    </row>
    <row r="46" spans="2:5" ht="12.75" x14ac:dyDescent="0.2">
      <c r="C46" s="38"/>
      <c r="D46" s="38"/>
    </row>
    <row r="47" spans="2:5" ht="12.75" x14ac:dyDescent="0.2">
      <c r="C47" s="38"/>
      <c r="D47" s="38"/>
    </row>
    <row r="48" spans="2:5" ht="63.75" x14ac:dyDescent="0.2">
      <c r="B48" s="25" t="s">
        <v>757</v>
      </c>
      <c r="C48" s="25" t="s">
        <v>758</v>
      </c>
      <c r="D48" s="25" t="s">
        <v>759</v>
      </c>
      <c r="E48" s="25" t="s">
        <v>760</v>
      </c>
    </row>
    <row r="52" spans="2:5" ht="63.75" x14ac:dyDescent="0.2">
      <c r="B52" s="25" t="s">
        <v>823</v>
      </c>
      <c r="C52" s="25" t="s">
        <v>824</v>
      </c>
      <c r="D52" s="25" t="s">
        <v>825</v>
      </c>
      <c r="E52" s="25" t="s">
        <v>826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Z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" customHeight="1" x14ac:dyDescent="0.2"/>
  <cols>
    <col min="1" max="1" width="30.5703125" customWidth="1"/>
  </cols>
  <sheetData>
    <row r="1" spans="1:52" ht="15" customHeight="1" x14ac:dyDescent="0.2">
      <c r="A1" s="25" t="s">
        <v>689</v>
      </c>
      <c r="B1" s="25"/>
      <c r="C1" s="25" t="s">
        <v>766</v>
      </c>
      <c r="D1" s="25" t="s">
        <v>766</v>
      </c>
      <c r="F1" s="25" t="s">
        <v>766</v>
      </c>
      <c r="G1" s="25" t="s">
        <v>767</v>
      </c>
      <c r="H1" s="25"/>
      <c r="I1" s="25"/>
      <c r="J1" s="25" t="s">
        <v>768</v>
      </c>
      <c r="K1" s="25"/>
      <c r="L1" s="25" t="s">
        <v>769</v>
      </c>
      <c r="M1" s="25" t="s">
        <v>769</v>
      </c>
      <c r="N1" s="25"/>
      <c r="O1" s="25" t="s">
        <v>769</v>
      </c>
      <c r="P1" s="25" t="s">
        <v>770</v>
      </c>
      <c r="Q1" s="25"/>
      <c r="R1" s="25"/>
      <c r="S1" s="25" t="s">
        <v>771</v>
      </c>
      <c r="T1" s="25"/>
      <c r="U1" s="25" t="s">
        <v>772</v>
      </c>
      <c r="V1" s="25" t="s">
        <v>772</v>
      </c>
      <c r="W1" s="25" t="s">
        <v>772</v>
      </c>
      <c r="X1" s="25"/>
      <c r="Y1" s="25" t="s">
        <v>772</v>
      </c>
      <c r="Z1" s="25" t="s">
        <v>773</v>
      </c>
      <c r="AA1" s="25"/>
      <c r="AB1" s="25"/>
      <c r="AC1" s="25" t="s">
        <v>774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</row>
    <row r="2" spans="1:52" ht="15" customHeight="1" x14ac:dyDescent="0.2">
      <c r="A2" s="25" t="s">
        <v>693</v>
      </c>
      <c r="B2" s="25" t="s">
        <v>694</v>
      </c>
      <c r="C2" s="25" t="s">
        <v>776</v>
      </c>
      <c r="D2" s="25" t="s">
        <v>815</v>
      </c>
      <c r="E2" s="25" t="s">
        <v>816</v>
      </c>
      <c r="F2" s="25" t="s">
        <v>779</v>
      </c>
      <c r="G2" s="25" t="s">
        <v>703</v>
      </c>
      <c r="H2" s="25" t="s">
        <v>859</v>
      </c>
      <c r="I2" s="25" t="s">
        <v>705</v>
      </c>
      <c r="J2" s="25" t="s">
        <v>706</v>
      </c>
      <c r="K2" s="25" t="s">
        <v>860</v>
      </c>
      <c r="L2" s="25" t="s">
        <v>782</v>
      </c>
      <c r="M2" s="25" t="s">
        <v>783</v>
      </c>
      <c r="N2" s="25" t="s">
        <v>817</v>
      </c>
      <c r="O2" s="25" t="s">
        <v>785</v>
      </c>
      <c r="P2" s="25" t="s">
        <v>712</v>
      </c>
      <c r="Q2" s="25" t="s">
        <v>861</v>
      </c>
      <c r="R2" s="25" t="s">
        <v>713</v>
      </c>
      <c r="S2" s="25" t="s">
        <v>714</v>
      </c>
      <c r="T2" s="25" t="s">
        <v>861</v>
      </c>
      <c r="U2" s="25" t="s">
        <v>788</v>
      </c>
      <c r="V2" s="25" t="s">
        <v>789</v>
      </c>
      <c r="W2" s="25" t="s">
        <v>790</v>
      </c>
      <c r="X2" s="25" t="s">
        <v>818</v>
      </c>
      <c r="Y2" s="25" t="s">
        <v>792</v>
      </c>
      <c r="Z2" s="25" t="s">
        <v>723</v>
      </c>
      <c r="AA2" s="25" t="s">
        <v>862</v>
      </c>
      <c r="AB2" s="25" t="s">
        <v>725</v>
      </c>
      <c r="AC2" s="25" t="s">
        <v>726</v>
      </c>
      <c r="AD2" s="25" t="s">
        <v>862</v>
      </c>
      <c r="AE2" s="25" t="s">
        <v>819</v>
      </c>
      <c r="AF2" s="25" t="s">
        <v>796</v>
      </c>
      <c r="AG2" s="25" t="s">
        <v>797</v>
      </c>
      <c r="AH2" s="25" t="s">
        <v>820</v>
      </c>
      <c r="AI2" s="25" t="s">
        <v>799</v>
      </c>
      <c r="AJ2" s="25" t="s">
        <v>800</v>
      </c>
      <c r="AK2" s="25" t="s">
        <v>801</v>
      </c>
      <c r="AL2" s="25" t="s">
        <v>808</v>
      </c>
      <c r="AM2" s="25" t="s">
        <v>809</v>
      </c>
      <c r="AN2" s="25" t="s">
        <v>803</v>
      </c>
      <c r="AO2" s="25" t="s">
        <v>728</v>
      </c>
      <c r="AP2" s="25" t="s">
        <v>804</v>
      </c>
      <c r="AQ2" s="25" t="s">
        <v>729</v>
      </c>
      <c r="AR2" s="25" t="s">
        <v>805</v>
      </c>
      <c r="AS2" s="25" t="s">
        <v>730</v>
      </c>
      <c r="AT2" s="25" t="s">
        <v>806</v>
      </c>
      <c r="AU2" s="25" t="s">
        <v>807</v>
      </c>
      <c r="AV2" s="25" t="s">
        <v>731</v>
      </c>
      <c r="AW2" s="25" t="s">
        <v>732</v>
      </c>
      <c r="AX2" s="25" t="s">
        <v>736</v>
      </c>
      <c r="AY2" s="25" t="s">
        <v>737</v>
      </c>
      <c r="AZ2" s="25" t="s">
        <v>738</v>
      </c>
    </row>
    <row r="3" spans="1:52" ht="15" customHeight="1" x14ac:dyDescent="0.2">
      <c r="A3" s="60" t="s">
        <v>381</v>
      </c>
      <c r="B3" s="3" t="s">
        <v>8</v>
      </c>
      <c r="C3" s="20">
        <f>VLOOKUP(A3, 'Raw Summary Data'!$A$157:$T$172, C$20-1, 0)</f>
        <v>12.5</v>
      </c>
      <c r="D3" s="20">
        <f>VLOOKUP(A3, 'Raw Summary Data'!$A$157:$T$172, D$20-1, 0)</f>
        <v>2</v>
      </c>
      <c r="E3" s="20">
        <f>VLOOKUP(A3, 'Raw Summary Data'!$A$157:$T$172, E$20-1, 0)</f>
        <v>6.17</v>
      </c>
      <c r="F3" s="20" t="e">
        <f t="shared" ref="F3:F18" ca="1" si="0">CONVERT_13PT_SCALE(E3)/2</f>
        <v>#NAME?</v>
      </c>
      <c r="G3" s="20">
        <f>VLOOKUP(A3, 'Raw Summary Data'!A$157:T$172, 6, 0)</f>
        <v>65</v>
      </c>
      <c r="H3" s="20">
        <f ca="1">IFERROR(__xludf.DUMMYFUNCTION("Sum(FILTER(B3:G3, $B$1:$G$1=""Unit 1 Practice""))"),52)</f>
        <v>52</v>
      </c>
      <c r="I3" s="20"/>
      <c r="J3" s="20">
        <f>VLOOKUP(A3, 'Raw Summary Data'!$A$157:$T$172, J$20-1, 0)</f>
        <v>65</v>
      </c>
      <c r="K3" s="20"/>
      <c r="L3" s="20">
        <f>VLOOKUP(A3, 'Raw Summary Data'!$A$157:$T$172, L$20-1, 0)</f>
        <v>18</v>
      </c>
      <c r="M3" s="20">
        <f>VLOOKUP(A3, 'Raw Summary Data'!$A$157:$T$172, M$20-1, 0)</f>
        <v>8.6999999999999993</v>
      </c>
      <c r="N3" s="20">
        <f>VLOOKUP(A3, 'Raw Summary Data'!$A$157:$T$172, N$20-1, 0)</f>
        <v>12</v>
      </c>
      <c r="O3" s="20" t="e">
        <f t="shared" ref="O3:O18" ca="1" si="1">CONVERT_13PT_SCALE(N3)/2</f>
        <v>#NAME?</v>
      </c>
      <c r="P3" s="20" t="s">
        <v>810</v>
      </c>
      <c r="Q3" s="20"/>
      <c r="R3" s="20">
        <v>75</v>
      </c>
      <c r="S3" s="20">
        <f>VLOOKUP(A3, 'Raw Summary Data'!$A$157:$T$172, S$20-1, 0)</f>
        <v>75</v>
      </c>
      <c r="T3" s="20"/>
      <c r="U3" s="20">
        <f>VLOOKUP(A3, 'Raw Summary Data'!$A$157:$T$172, U$20-1, 0)</f>
        <v>10</v>
      </c>
      <c r="V3" s="20">
        <f>VLOOKUP(A3, 'Raw Summary Data'!$A$157:$T$172, V$20-1, 0)</f>
        <v>10</v>
      </c>
      <c r="W3" s="20">
        <f>VLOOKUP(A3, 'Raw Summary Data'!$A$157:$T$172, W$20-1, 0)</f>
        <v>11</v>
      </c>
      <c r="X3" s="20">
        <f>VLOOKUP(A3, 'Raw Summary Data'!$A$157:$T$172, X$20-1, 0)</f>
        <v>8</v>
      </c>
      <c r="Y3" s="20">
        <f t="shared" ref="Y3:Y18" si="2">IF(X3 = 1, 62, IF(X3=2, 65, IF(X3=3, 68, IF(X3=4, 72, IF(X3=5, 75, IF(X3=6, 77, IF(X3=7, 82, IF(X3=8, 85, IF(X3=9, 88, IF(X3=10, 92, IF(X3=11, 95, IF(X3=12, 100, IF(X3="NY", 30, IF(X3=0, 0,"not valid score"))))))))))))))/2</f>
        <v>42.5</v>
      </c>
      <c r="Z3" s="20">
        <v>68</v>
      </c>
      <c r="AA3" s="20"/>
      <c r="AB3" s="20">
        <v>68</v>
      </c>
      <c r="AC3" s="20">
        <f>VLOOKUP(A3, 'Raw Summary Data'!$A$157:$T$172, AC$20-1, 0)</f>
        <v>68</v>
      </c>
      <c r="AD3" s="20"/>
      <c r="AE3" s="20" t="s">
        <v>811</v>
      </c>
      <c r="AF3" s="20">
        <f>VLOOKUP(A3, 'Raw Summary Data'!$A$157:$T$172, 18, 0)</f>
        <v>0</v>
      </c>
      <c r="AG3" s="20">
        <f>VLOOKUP(A3, 'Raw Summary Data'!$A$157:$T$172, 19, 0)</f>
        <v>0</v>
      </c>
      <c r="AH3" s="20">
        <f>VLOOKUP(A3, 'Raw Summary Data'!$A$157:$T$172, 17, 0)</f>
        <v>0</v>
      </c>
      <c r="AI3" s="20">
        <f>VLOOKUP(A3, 'Raw Summary Data'!$A$157:$T$172, 20, 0)</f>
        <v>11</v>
      </c>
      <c r="AJ3" s="20" t="e">
        <f t="shared" ref="AJ3:AJ18" ca="1" si="3">CONVERT_13PT_SCALE(AI3)/2</f>
        <v>#NAME?</v>
      </c>
    </row>
    <row r="4" spans="1:52" ht="15" customHeight="1" x14ac:dyDescent="0.2">
      <c r="A4" s="60" t="s">
        <v>383</v>
      </c>
      <c r="B4" s="3" t="s">
        <v>8</v>
      </c>
      <c r="C4" s="20">
        <f>VLOOKUP(A4, 'Raw Summary Data'!$A$157:$T$172, C$20-1, 0)</f>
        <v>4</v>
      </c>
      <c r="D4" s="20">
        <f>VLOOKUP(A4, 'Raw Summary Data'!$A$157:$T$172, C$20-1, 0)</f>
        <v>4</v>
      </c>
      <c r="E4" s="20">
        <f>VLOOKUP(A4, 'Raw Summary Data'!$A$157:$T$172, E$20-1, 0)</f>
        <v>0.17</v>
      </c>
      <c r="F4" s="20" t="e">
        <f t="shared" ca="1" si="0"/>
        <v>#NAME?</v>
      </c>
      <c r="G4" s="20">
        <f>VLOOKUP(A4, 'Raw Summary Data'!A$157:T$172, 6, 0)</f>
        <v>75</v>
      </c>
      <c r="H4" s="20">
        <f ca="1">IFERROR(__xludf.DUMMYFUNCTION("AVERAGE(FILTER(B4:G4, $B$1:$G$1=""Unit 1 Practice""))"),2.66666666666666)</f>
        <v>2.6666666666666599</v>
      </c>
      <c r="I4" s="20"/>
      <c r="J4" s="20">
        <f>VLOOKUP(A4, 'Raw Summary Data'!$A$157:$T$172, J$20-1, 0)</f>
        <v>75</v>
      </c>
      <c r="K4" s="20"/>
      <c r="L4" s="20">
        <f>VLOOKUP(A4, 'Raw Summary Data'!$A$157:$T$172, L$20-1, 0)</f>
        <v>16</v>
      </c>
      <c r="M4" s="20">
        <f>VLOOKUP(A4, 'Raw Summary Data'!$A$157:$T$172, M$20-1, 0)</f>
        <v>11</v>
      </c>
      <c r="N4" s="20">
        <f>VLOOKUP(A4, 'Raw Summary Data'!$A$157:$T$172, N$20-1, 0)</f>
        <v>12</v>
      </c>
      <c r="O4" s="20" t="e">
        <f t="shared" ca="1" si="1"/>
        <v>#NAME?</v>
      </c>
      <c r="P4" s="20">
        <v>30</v>
      </c>
      <c r="Q4" s="20"/>
      <c r="R4" s="20" t="s">
        <v>462</v>
      </c>
      <c r="S4" s="20">
        <f>VLOOKUP(A4, 'Raw Summary Data'!$A$157:$T$172, S$20-1, 0)</f>
        <v>30</v>
      </c>
      <c r="T4" s="20"/>
      <c r="U4" s="20">
        <f>VLOOKUP(A4, 'Raw Summary Data'!$A$157:$T$172, U$20-1, 0)</f>
        <v>10</v>
      </c>
      <c r="V4" s="20">
        <f>VLOOKUP(A4, 'Raw Summary Data'!$A$157:$T$172, V$20-1, 0)</f>
        <v>0</v>
      </c>
      <c r="W4" s="20">
        <f>VLOOKUP(A4, 'Raw Summary Data'!$A$157:$T$172, W$20-1, 0)</f>
        <v>0</v>
      </c>
      <c r="X4" s="20">
        <f>VLOOKUP(A4, 'Raw Summary Data'!$A$157:$T$172, X$20-1, 0)</f>
        <v>0</v>
      </c>
      <c r="Y4" s="20">
        <f t="shared" si="2"/>
        <v>0</v>
      </c>
      <c r="Z4" s="20">
        <v>0</v>
      </c>
      <c r="AA4" s="20"/>
      <c r="AB4" s="20" t="s">
        <v>462</v>
      </c>
      <c r="AC4" s="20">
        <f>VLOOKUP(A4, 'Raw Summary Data'!$A$157:$T$172, AC$20-1, 0)</f>
        <v>0</v>
      </c>
      <c r="AD4" s="20"/>
      <c r="AE4" s="20" t="s">
        <v>811</v>
      </c>
      <c r="AF4" s="20">
        <f>VLOOKUP(A4, 'Raw Summary Data'!$A$157:$T$172, 18, 0)</f>
        <v>0</v>
      </c>
      <c r="AG4" s="20">
        <f>VLOOKUP(A4, 'Raw Summary Data'!$A$157:$T$172, 19, 0)</f>
        <v>0</v>
      </c>
      <c r="AH4" s="20">
        <f>VLOOKUP(A4, 'Raw Summary Data'!$A$157:$T$172, 17, 0)</f>
        <v>0</v>
      </c>
      <c r="AI4" s="20">
        <f>VLOOKUP(A4, 'Raw Summary Data'!$A$157:$T$172, 20, 0)</f>
        <v>0</v>
      </c>
      <c r="AJ4" s="20" t="e">
        <f t="shared" ca="1" si="3"/>
        <v>#NAME?</v>
      </c>
    </row>
    <row r="5" spans="1:52" ht="15" customHeight="1" x14ac:dyDescent="0.2">
      <c r="A5" s="60" t="s">
        <v>385</v>
      </c>
      <c r="B5" s="3" t="s">
        <v>8</v>
      </c>
      <c r="C5" s="20">
        <f>VLOOKUP(A5, 'Raw Summary Data'!$A$157:$T$172, C$20-1, 0)</f>
        <v>14.5</v>
      </c>
      <c r="D5" s="20">
        <f>VLOOKUP(A5, 'Raw Summary Data'!$A$157:$T$172, C$20-1, 0)</f>
        <v>14.5</v>
      </c>
      <c r="E5" s="20">
        <f>VLOOKUP(A5, 'Raw Summary Data'!$A$157:$T$172, E$20-1, 0)</f>
        <v>9.67</v>
      </c>
      <c r="F5" s="20" t="e">
        <f t="shared" ca="1" si="0"/>
        <v>#NAME?</v>
      </c>
      <c r="G5" s="20">
        <f>VLOOKUP(A5, 'Raw Summary Data'!A$157:T$172, 6, 0)</f>
        <v>82</v>
      </c>
      <c r="H5" s="20">
        <f ca="1">IFERROR(__xludf.DUMMYFUNCTION("AVERAGE(FILTER(B5:G5, $B$1:$G$1=""Unit 1 Practice""))"),24.3333333333333)</f>
        <v>24.3333333333333</v>
      </c>
      <c r="I5" s="20"/>
      <c r="J5" s="20">
        <f>VLOOKUP(A5, 'Raw Summary Data'!$A$157:$T$172, J$20-1, 0)</f>
        <v>82</v>
      </c>
      <c r="K5" s="20"/>
      <c r="L5" s="20">
        <f>VLOOKUP(A5, 'Raw Summary Data'!$A$157:$T$172, L$20-1, 0)</f>
        <v>18</v>
      </c>
      <c r="M5" s="20">
        <f>VLOOKUP(A5, 'Raw Summary Data'!$A$157:$T$172, M$20-1, 0)</f>
        <v>10.4</v>
      </c>
      <c r="N5" s="20">
        <f>VLOOKUP(A5, 'Raw Summary Data'!$A$157:$T$172, N$20-1, 0)</f>
        <v>12</v>
      </c>
      <c r="O5" s="20" t="e">
        <f t="shared" ca="1" si="1"/>
        <v>#NAME?</v>
      </c>
      <c r="P5" s="20">
        <v>68</v>
      </c>
      <c r="Q5" s="20"/>
      <c r="R5" s="20">
        <v>82</v>
      </c>
      <c r="S5" s="20">
        <f>VLOOKUP(A5, 'Raw Summary Data'!$A$157:$T$172, S$20-1, 0)</f>
        <v>82</v>
      </c>
      <c r="T5" s="20"/>
      <c r="U5" s="20">
        <f>VLOOKUP(A5, 'Raw Summary Data'!$A$157:$T$172, U$20-1, 0)</f>
        <v>10</v>
      </c>
      <c r="V5" s="20">
        <f>VLOOKUP(A5, 'Raw Summary Data'!$A$157:$T$172, V$20-1, 0)</f>
        <v>10</v>
      </c>
      <c r="W5" s="20">
        <f>VLOOKUP(A5, 'Raw Summary Data'!$A$157:$T$172, W$20-1, 0)</f>
        <v>11</v>
      </c>
      <c r="X5" s="20">
        <v>11</v>
      </c>
      <c r="Y5" s="20">
        <f t="shared" si="2"/>
        <v>47.5</v>
      </c>
      <c r="Z5" s="20">
        <v>68</v>
      </c>
      <c r="AA5" s="20"/>
      <c r="AB5" s="20">
        <v>75</v>
      </c>
      <c r="AC5" s="20">
        <f>VLOOKUP(A5, 'Raw Summary Data'!$A$157:$T$172, AC$20-1, 0)</f>
        <v>68</v>
      </c>
      <c r="AD5" s="20"/>
      <c r="AE5" s="20" t="s">
        <v>811</v>
      </c>
      <c r="AF5" s="20">
        <f>VLOOKUP(A5, 'Raw Summary Data'!$A$157:$T$172, 18, 0)</f>
        <v>21.8</v>
      </c>
      <c r="AG5" s="20">
        <f>VLOOKUP(A5, 'Raw Summary Data'!$A$157:$T$172, 19, 0)</f>
        <v>8</v>
      </c>
      <c r="AH5" s="20">
        <f>VLOOKUP(A5, 'Raw Summary Data'!$A$157:$T$172, 17, 0)</f>
        <v>24.7</v>
      </c>
      <c r="AI5" s="20">
        <f>VLOOKUP(A5, 'Raw Summary Data'!$A$157:$T$172, 20, 0)</f>
        <v>12.56</v>
      </c>
      <c r="AJ5" s="20" t="e">
        <f t="shared" ca="1" si="3"/>
        <v>#NAME?</v>
      </c>
    </row>
    <row r="6" spans="1:52" ht="15" customHeight="1" x14ac:dyDescent="0.2">
      <c r="A6" s="60" t="s">
        <v>387</v>
      </c>
      <c r="B6" s="3" t="s">
        <v>9</v>
      </c>
      <c r="C6" s="20">
        <f>VLOOKUP(A6, 'Raw Summary Data'!$A$157:$T$172, C$20-1, 0)</f>
        <v>10</v>
      </c>
      <c r="D6" s="20">
        <f>VLOOKUP(A6, 'Raw Summary Data'!$A$157:$T$172, C$20-1, 0)</f>
        <v>10</v>
      </c>
      <c r="E6" s="20">
        <f>VLOOKUP(A6, 'Raw Summary Data'!$A$157:$T$172, E$20-1, 0)</f>
        <v>1.17</v>
      </c>
      <c r="F6" s="20" t="e">
        <f t="shared" ca="1" si="0"/>
        <v>#NAME?</v>
      </c>
      <c r="G6" s="20">
        <f>VLOOKUP(A6, 'Raw Summary Data'!A$157:T$172, 6, 0)</f>
        <v>65</v>
      </c>
      <c r="H6" s="20">
        <f ca="1">IFERROR(__xludf.DUMMYFUNCTION("AVERAGE(FILTER(B6:G6, $B$1:$G$1=""Unit 1 Practice""))"),11.6666666666666)</f>
        <v>11.6666666666666</v>
      </c>
      <c r="I6" s="20"/>
      <c r="J6" s="20">
        <f>VLOOKUP(A6, 'Raw Summary Data'!$A$157:$T$172, J$20-1, 0)</f>
        <v>65</v>
      </c>
      <c r="K6" s="20"/>
      <c r="L6" s="20">
        <f>VLOOKUP(A6, 'Raw Summary Data'!$A$157:$T$172, L$20-1, 0)</f>
        <v>18</v>
      </c>
      <c r="M6" s="20">
        <f>VLOOKUP(A6, 'Raw Summary Data'!$A$157:$T$172, M$20-1, 0)</f>
        <v>9</v>
      </c>
      <c r="N6" s="20">
        <f>VLOOKUP(A6, 'Raw Summary Data'!$A$157:$T$172, N$20-1, 0)</f>
        <v>12</v>
      </c>
      <c r="O6" s="20" t="e">
        <f t="shared" ca="1" si="1"/>
        <v>#NAME?</v>
      </c>
      <c r="P6" s="20">
        <v>30</v>
      </c>
      <c r="Q6" s="20"/>
      <c r="R6" s="20" t="s">
        <v>462</v>
      </c>
      <c r="S6" s="20">
        <f>VLOOKUP(A6, 'Raw Summary Data'!$A$157:$T$172, S$20-1, 0)</f>
        <v>30</v>
      </c>
      <c r="T6" s="20"/>
      <c r="U6" s="20">
        <f>VLOOKUP(A6, 'Raw Summary Data'!$A$157:$T$172, U$20-1, 0)</f>
        <v>10</v>
      </c>
      <c r="V6" s="20">
        <f>VLOOKUP(A6, 'Raw Summary Data'!$A$157:$T$172, V$20-1, 0)</f>
        <v>7</v>
      </c>
      <c r="W6" s="20">
        <f>VLOOKUP(A6, 'Raw Summary Data'!$A$157:$T$172, W$20-1, 0)</f>
        <v>10.5</v>
      </c>
      <c r="X6" s="20">
        <v>7</v>
      </c>
      <c r="Y6" s="20">
        <f t="shared" si="2"/>
        <v>41</v>
      </c>
      <c r="Z6" s="20">
        <v>65</v>
      </c>
      <c r="AA6" s="20"/>
      <c r="AB6" s="20" t="s">
        <v>462</v>
      </c>
      <c r="AC6" s="20">
        <f>VLOOKUP(A6, 'Raw Summary Data'!$A$157:$T$172, AC$20-1, 0)</f>
        <v>65</v>
      </c>
      <c r="AD6" s="20"/>
      <c r="AE6" s="20" t="s">
        <v>811</v>
      </c>
      <c r="AF6" s="20">
        <f>VLOOKUP(A6, 'Raw Summary Data'!$A$157:$T$172, 18, 0)</f>
        <v>21</v>
      </c>
      <c r="AG6" s="20">
        <f>VLOOKUP(A6, 'Raw Summary Data'!$A$157:$T$172, 19, 0)</f>
        <v>5.5</v>
      </c>
      <c r="AH6" s="20">
        <f>VLOOKUP(A6, 'Raw Summary Data'!$A$157:$T$172, 17, 0)</f>
        <v>23</v>
      </c>
      <c r="AI6" s="20">
        <f>VLOOKUP(A6, 'Raw Summary Data'!$A$157:$T$172, 20, 0)</f>
        <v>8</v>
      </c>
      <c r="AJ6" s="20" t="e">
        <f t="shared" ca="1" si="3"/>
        <v>#NAME?</v>
      </c>
    </row>
    <row r="7" spans="1:52" ht="15" customHeight="1" x14ac:dyDescent="0.2">
      <c r="A7" s="60" t="s">
        <v>389</v>
      </c>
      <c r="B7" s="3" t="s">
        <v>8</v>
      </c>
      <c r="C7" s="20">
        <f>VLOOKUP(A7, 'Raw Summary Data'!$A$157:$T$172, C$20-1, 0)</f>
        <v>15</v>
      </c>
      <c r="D7" s="20">
        <f>VLOOKUP(A7, 'Raw Summary Data'!$A$157:$T$172, C$20-1, 0)</f>
        <v>15</v>
      </c>
      <c r="E7" s="20">
        <f>VLOOKUP(A7, 'Raw Summary Data'!$A$157:$T$172, E$20-1, 0)</f>
        <v>10</v>
      </c>
      <c r="F7" s="20" t="e">
        <f t="shared" ca="1" si="0"/>
        <v>#NAME?</v>
      </c>
      <c r="G7" s="20">
        <f>VLOOKUP(A7, 'Raw Summary Data'!A$157:T$172, 6, 0)</f>
        <v>92</v>
      </c>
      <c r="H7" s="20">
        <f ca="1">IFERROR(__xludf.DUMMYFUNCTION("AVERAGE(FILTER(B7:G7, $B$1:$G$1=""Unit 1 Practice""))"),24.6666666666666)</f>
        <v>24.6666666666666</v>
      </c>
      <c r="I7" s="20"/>
      <c r="J7" s="20">
        <f>VLOOKUP(A7, 'Raw Summary Data'!$A$157:$T$172, J$20-1, 0)</f>
        <v>92</v>
      </c>
      <c r="K7" s="20"/>
      <c r="L7" s="20">
        <f>VLOOKUP(A7, 'Raw Summary Data'!$A$157:$T$172, L$20-1, 0)</f>
        <v>18</v>
      </c>
      <c r="M7" s="20">
        <f>VLOOKUP(A7, 'Raw Summary Data'!$A$157:$T$172, M$20-1, 0)</f>
        <v>11</v>
      </c>
      <c r="N7" s="20">
        <f>VLOOKUP(A7, 'Raw Summary Data'!$A$157:$T$172, N$20-1, 0)</f>
        <v>12</v>
      </c>
      <c r="O7" s="20" t="e">
        <f t="shared" ca="1" si="1"/>
        <v>#NAME?</v>
      </c>
      <c r="P7" s="20">
        <v>85</v>
      </c>
      <c r="Q7" s="20"/>
      <c r="R7" s="20" t="s">
        <v>462</v>
      </c>
      <c r="S7" s="20">
        <f>VLOOKUP(A7, 'Raw Summary Data'!$A$157:$T$172, S$20-1, 0)</f>
        <v>85</v>
      </c>
      <c r="T7" s="20"/>
      <c r="U7" s="20">
        <f>VLOOKUP(A7, 'Raw Summary Data'!$A$157:$T$172, U$20-1, 0)</f>
        <v>10</v>
      </c>
      <c r="V7" s="20">
        <f>VLOOKUP(A7, 'Raw Summary Data'!$A$157:$T$172, V$20-1, 0)</f>
        <v>10</v>
      </c>
      <c r="W7" s="20">
        <f>VLOOKUP(A7, 'Raw Summary Data'!$A$157:$T$172, W$20-1, 0)</f>
        <v>11</v>
      </c>
      <c r="X7" s="20">
        <v>11</v>
      </c>
      <c r="Y7" s="20">
        <f t="shared" si="2"/>
        <v>47.5</v>
      </c>
      <c r="Z7" s="20">
        <v>85</v>
      </c>
      <c r="AA7" s="20"/>
      <c r="AB7" s="20" t="s">
        <v>462</v>
      </c>
      <c r="AC7" s="20">
        <f>VLOOKUP(A7, 'Raw Summary Data'!$A$157:$T$172, AC$20-1, 0)</f>
        <v>85</v>
      </c>
      <c r="AD7" s="20"/>
      <c r="AE7" s="20" t="s">
        <v>811</v>
      </c>
      <c r="AF7" s="20">
        <f>VLOOKUP(A7, 'Raw Summary Data'!$A$157:$T$172, 18, 0)</f>
        <v>22</v>
      </c>
      <c r="AG7" s="20">
        <f>VLOOKUP(A7, 'Raw Summary Data'!$A$157:$T$172, 19, 0)</f>
        <v>10</v>
      </c>
      <c r="AH7" s="20">
        <f>VLOOKUP(A7, 'Raw Summary Data'!$A$157:$T$172, 17, 0)</f>
        <v>28</v>
      </c>
      <c r="AI7" s="20">
        <f>VLOOKUP(A7, 'Raw Summary Data'!$A$157:$T$172, 20, 0)</f>
        <v>13</v>
      </c>
      <c r="AJ7" s="20" t="e">
        <f t="shared" ca="1" si="3"/>
        <v>#NAME?</v>
      </c>
    </row>
    <row r="8" spans="1:52" ht="15" customHeight="1" x14ac:dyDescent="0.2">
      <c r="A8" s="60" t="s">
        <v>391</v>
      </c>
      <c r="B8" s="3" t="s">
        <v>8</v>
      </c>
      <c r="C8" s="20">
        <f>VLOOKUP(A8, 'Raw Summary Data'!$A$157:$T$172, C$20-1, 0)</f>
        <v>15</v>
      </c>
      <c r="D8" s="20">
        <f>VLOOKUP(A8, 'Raw Summary Data'!$A$157:$T$172, C$20-1, 0)</f>
        <v>15</v>
      </c>
      <c r="E8" s="20">
        <f>VLOOKUP(A8, 'Raw Summary Data'!$A$157:$T$172, E$20-1, 0)</f>
        <v>7.66</v>
      </c>
      <c r="F8" s="20" t="e">
        <f t="shared" ca="1" si="0"/>
        <v>#NAME?</v>
      </c>
      <c r="G8" s="20">
        <f>VLOOKUP(A8, 'Raw Summary Data'!A$157:T$172, 6, 0)</f>
        <v>82</v>
      </c>
      <c r="H8" s="20">
        <f ca="1">IFERROR(__xludf.DUMMYFUNCTION("AVERAGE(FILTER(B8:G8, $B$1:$G$1=""Unit 1 Practice""))"),23.6666666666666)</f>
        <v>23.6666666666666</v>
      </c>
      <c r="I8" s="20"/>
      <c r="J8" s="20">
        <f>VLOOKUP(A8, 'Raw Summary Data'!$A$157:$T$172, J$20-1, 0)</f>
        <v>82</v>
      </c>
      <c r="K8" s="20"/>
      <c r="L8" s="20">
        <f>VLOOKUP(A8, 'Raw Summary Data'!$A$157:$T$172, L$20-1, 0)</f>
        <v>17</v>
      </c>
      <c r="M8" s="20">
        <f>VLOOKUP(A8, 'Raw Summary Data'!$A$157:$T$172, M$20-1, 0)</f>
        <v>11</v>
      </c>
      <c r="N8" s="20">
        <f>VLOOKUP(A8, 'Raw Summary Data'!$A$157:$T$172, N$20-1, 0)</f>
        <v>12</v>
      </c>
      <c r="O8" s="20" t="e">
        <f t="shared" ca="1" si="1"/>
        <v>#NAME?</v>
      </c>
      <c r="P8" s="20">
        <v>72</v>
      </c>
      <c r="Q8" s="20"/>
      <c r="R8" s="20" t="s">
        <v>462</v>
      </c>
      <c r="S8" s="20">
        <f>VLOOKUP(A8, 'Raw Summary Data'!$A$157:$T$172, S$20-1, 0)</f>
        <v>72</v>
      </c>
      <c r="T8" s="20"/>
      <c r="U8" s="20">
        <f>VLOOKUP(A8, 'Raw Summary Data'!$A$157:$T$172, U$20-1, 0)</f>
        <v>10</v>
      </c>
      <c r="V8" s="20">
        <f>VLOOKUP(A8, 'Raw Summary Data'!$A$157:$T$172, V$20-1, 0)</f>
        <v>9</v>
      </c>
      <c r="W8" s="20">
        <f>VLOOKUP(A8, 'Raw Summary Data'!$A$157:$T$172, W$20-1, 0)</f>
        <v>11</v>
      </c>
      <c r="X8" s="20">
        <v>10</v>
      </c>
      <c r="Y8" s="20">
        <f t="shared" si="2"/>
        <v>46</v>
      </c>
      <c r="Z8" s="20">
        <v>68</v>
      </c>
      <c r="AA8" s="20"/>
      <c r="AB8" s="20" t="s">
        <v>462</v>
      </c>
      <c r="AC8" s="20">
        <f>VLOOKUP(A8, 'Raw Summary Data'!$A$157:$T$172, AC$20-1, 0)</f>
        <v>68</v>
      </c>
      <c r="AD8" s="20"/>
      <c r="AE8" s="20" t="s">
        <v>811</v>
      </c>
      <c r="AF8" s="20">
        <f>VLOOKUP(A8, 'Raw Summary Data'!$A$157:$T$172, 18, 0)</f>
        <v>21</v>
      </c>
      <c r="AG8" s="20">
        <f>VLOOKUP(A8, 'Raw Summary Data'!$A$157:$T$172, 19, 0)</f>
        <v>6.5</v>
      </c>
      <c r="AH8" s="20">
        <f>VLOOKUP(A8, 'Raw Summary Data'!$A$157:$T$172, 17, 0)</f>
        <v>19</v>
      </c>
      <c r="AI8" s="20">
        <f>VLOOKUP(A8, 'Raw Summary Data'!$A$157:$T$172, 20, 0)</f>
        <v>13</v>
      </c>
      <c r="AJ8" s="20" t="e">
        <f t="shared" ca="1" si="3"/>
        <v>#NAME?</v>
      </c>
    </row>
    <row r="9" spans="1:52" ht="15" customHeight="1" x14ac:dyDescent="0.2">
      <c r="A9" s="60" t="s">
        <v>393</v>
      </c>
      <c r="B9" s="3" t="s">
        <v>7</v>
      </c>
      <c r="C9" s="20" t="s">
        <v>462</v>
      </c>
      <c r="D9" s="20" t="s">
        <v>462</v>
      </c>
      <c r="E9" s="20" t="s">
        <v>462</v>
      </c>
      <c r="F9" s="20" t="e">
        <f t="shared" ca="1" si="0"/>
        <v>#NAME?</v>
      </c>
      <c r="G9" s="20">
        <f>VLOOKUP(A9, 'Raw Summary Data'!A$157:T$172, 6, 0)</f>
        <v>92</v>
      </c>
      <c r="H9" s="20"/>
      <c r="I9" s="20"/>
      <c r="J9" s="20">
        <f>VLOOKUP(A9, 'Raw Summary Data'!$A$157:$T$172, J$20-1, 0)</f>
        <v>92</v>
      </c>
      <c r="K9" s="20"/>
      <c r="L9" s="20">
        <f>VLOOKUP(A9, 'Raw Summary Data'!$A$157:$T$172, L$20-1, 0)</f>
        <v>15</v>
      </c>
      <c r="M9" s="20">
        <f>VLOOKUP(A9, 'Raw Summary Data'!$A$157:$T$172, M$20-1, 0)</f>
        <v>4.7</v>
      </c>
      <c r="N9" s="20">
        <f>VLOOKUP(A9, 'Raw Summary Data'!$A$157:$T$172, N$20-1, 0)</f>
        <v>12</v>
      </c>
      <c r="O9" s="20" t="e">
        <f t="shared" ca="1" si="1"/>
        <v>#NAME?</v>
      </c>
      <c r="P9" s="20">
        <v>92</v>
      </c>
      <c r="Q9" s="20"/>
      <c r="R9" s="20" t="s">
        <v>462</v>
      </c>
      <c r="S9" s="20">
        <f>VLOOKUP(A9, 'Raw Summary Data'!$A$157:$T$172, S$20-1, 0)</f>
        <v>92</v>
      </c>
      <c r="T9" s="20"/>
      <c r="U9" s="20">
        <f>VLOOKUP(A9, 'Raw Summary Data'!$A$157:$T$172, U$20-1, 0)</f>
        <v>10</v>
      </c>
      <c r="V9" s="20">
        <f>VLOOKUP(A9, 'Raw Summary Data'!$A$157:$T$172, V$20-1, 0)</f>
        <v>10</v>
      </c>
      <c r="W9" s="20">
        <f>VLOOKUP(A9, 'Raw Summary Data'!$A$157:$T$172, W$20-1, 0)</f>
        <v>11</v>
      </c>
      <c r="X9" s="20">
        <v>12</v>
      </c>
      <c r="Y9" s="20">
        <f t="shared" si="2"/>
        <v>50</v>
      </c>
      <c r="Z9" s="20">
        <v>95</v>
      </c>
      <c r="AA9" s="20"/>
      <c r="AB9" s="20" t="s">
        <v>462</v>
      </c>
      <c r="AC9" s="20">
        <f>VLOOKUP(A9, 'Raw Summary Data'!$A$157:$T$172, AC$20-1, 0)</f>
        <v>95</v>
      </c>
      <c r="AD9" s="20"/>
      <c r="AE9" s="20" t="s">
        <v>811</v>
      </c>
      <c r="AF9" s="20">
        <f>VLOOKUP(A9, 'Raw Summary Data'!$A$157:$T$172, 18, 0)</f>
        <v>22</v>
      </c>
      <c r="AG9" s="20">
        <f>VLOOKUP(A9, 'Raw Summary Data'!$A$157:$T$172, 19, 0)</f>
        <v>10</v>
      </c>
      <c r="AH9" s="20">
        <f>VLOOKUP(A9, 'Raw Summary Data'!$A$157:$T$172, 17, 0)</f>
        <v>27</v>
      </c>
      <c r="AI9" s="20">
        <f>VLOOKUP(A9, 'Raw Summary Data'!$A$157:$T$172, 20, 0)</f>
        <v>12.8</v>
      </c>
      <c r="AJ9" s="20" t="e">
        <f t="shared" ca="1" si="3"/>
        <v>#NAME?</v>
      </c>
    </row>
    <row r="10" spans="1:52" ht="15" customHeight="1" x14ac:dyDescent="0.2">
      <c r="A10" s="60" t="s">
        <v>394</v>
      </c>
      <c r="B10" s="3" t="s">
        <v>8</v>
      </c>
      <c r="C10" s="20">
        <f>VLOOKUP(A10, 'Raw Summary Data'!$A$157:$T$172, C$20-1, 0)</f>
        <v>14.5</v>
      </c>
      <c r="D10" s="20">
        <f>VLOOKUP(A10, 'Raw Summary Data'!$A$157:$T$172, C$20-1, 0)</f>
        <v>14.5</v>
      </c>
      <c r="E10" s="20">
        <f>VLOOKUP(A10, 'Raw Summary Data'!$A$157:$T$172, E$20-1, 0)</f>
        <v>10.67</v>
      </c>
      <c r="F10" s="20" t="e">
        <f t="shared" ca="1" si="0"/>
        <v>#NAME?</v>
      </c>
      <c r="G10" s="20">
        <f>VLOOKUP(A10, 'Raw Summary Data'!A$157:T$172, 6, 0)</f>
        <v>78</v>
      </c>
      <c r="H10" s="20">
        <f ca="1">IFERROR(__xludf.DUMMYFUNCTION("AVERAGE(FILTER(B10:G10, $B$1:$G$1=""Unit 1 Practice""))"),25)</f>
        <v>25</v>
      </c>
      <c r="I10" s="20"/>
      <c r="J10" s="20">
        <f>VLOOKUP(A10, 'Raw Summary Data'!$A$157:$T$172, J$20-1, 0)</f>
        <v>78</v>
      </c>
      <c r="K10" s="20"/>
      <c r="L10" s="20">
        <f>VLOOKUP(A10, 'Raw Summary Data'!$A$157:$T$172, L$20-1, 0)</f>
        <v>18</v>
      </c>
      <c r="M10" s="20">
        <f>VLOOKUP(A10, 'Raw Summary Data'!$A$157:$T$172, M$20-1, 0)</f>
        <v>10</v>
      </c>
      <c r="N10" s="20">
        <f>VLOOKUP(A10, 'Raw Summary Data'!$A$157:$T$172, N$20-1, 0)</f>
        <v>12</v>
      </c>
      <c r="O10" s="20" t="e">
        <f t="shared" ca="1" si="1"/>
        <v>#NAME?</v>
      </c>
      <c r="P10" s="20">
        <v>82</v>
      </c>
      <c r="Q10" s="20"/>
      <c r="R10" s="20" t="s">
        <v>462</v>
      </c>
      <c r="S10" s="20">
        <f>VLOOKUP(A10, 'Raw Summary Data'!$A$157:$T$172, S$20-1, 0)</f>
        <v>82</v>
      </c>
      <c r="T10" s="20"/>
      <c r="U10" s="20">
        <f>VLOOKUP(A10, 'Raw Summary Data'!$A$157:$T$172, U$20-1, 0)</f>
        <v>10</v>
      </c>
      <c r="V10" s="20">
        <f>VLOOKUP(A10, 'Raw Summary Data'!$A$157:$T$172, V$20-1, 0)</f>
        <v>10</v>
      </c>
      <c r="W10" s="20">
        <f>VLOOKUP(A10, 'Raw Summary Data'!$A$157:$T$172, W$20-1, 0)</f>
        <v>11</v>
      </c>
      <c r="X10" s="20">
        <v>11</v>
      </c>
      <c r="Y10" s="20">
        <f t="shared" si="2"/>
        <v>47.5</v>
      </c>
      <c r="Z10" s="20">
        <v>78</v>
      </c>
      <c r="AA10" s="20"/>
      <c r="AB10" s="20" t="s">
        <v>462</v>
      </c>
      <c r="AC10" s="20">
        <f>VLOOKUP(A10, 'Raw Summary Data'!$A$157:$T$172, AC$20-1, 0)</f>
        <v>78</v>
      </c>
      <c r="AD10" s="20"/>
      <c r="AE10" s="20" t="s">
        <v>811</v>
      </c>
      <c r="AF10" s="20">
        <f>VLOOKUP(A10, 'Raw Summary Data'!$A$157:$T$172, 18, 0)</f>
        <v>22</v>
      </c>
      <c r="AG10" s="20">
        <f>VLOOKUP(A10, 'Raw Summary Data'!$A$157:$T$172, 19, 0)</f>
        <v>10</v>
      </c>
      <c r="AH10" s="20">
        <f>VLOOKUP(A10, 'Raw Summary Data'!$A$157:$T$172, 17, 0)</f>
        <v>27</v>
      </c>
      <c r="AI10" s="20">
        <f>VLOOKUP(A10, 'Raw Summary Data'!$A$157:$T$172, 20, 0)</f>
        <v>13</v>
      </c>
      <c r="AJ10" s="20" t="e">
        <f t="shared" ca="1" si="3"/>
        <v>#NAME?</v>
      </c>
    </row>
    <row r="11" spans="1:52" ht="15" customHeight="1" x14ac:dyDescent="0.2">
      <c r="A11" s="60" t="s">
        <v>396</v>
      </c>
      <c r="B11" s="3" t="s">
        <v>8</v>
      </c>
      <c r="C11" s="20">
        <f>VLOOKUP(A11, 'Raw Summary Data'!$A$157:$T$172, C$20-1, 0)</f>
        <v>12.5</v>
      </c>
      <c r="D11" s="20">
        <f>VLOOKUP(A11, 'Raw Summary Data'!$A$157:$T$172, C$20-1, 0)</f>
        <v>12.5</v>
      </c>
      <c r="E11" s="20">
        <f>VLOOKUP(A11, 'Raw Summary Data'!$A$157:$T$172, E$20-1, 0)</f>
        <v>8</v>
      </c>
      <c r="F11" s="20" t="e">
        <f t="shared" ca="1" si="0"/>
        <v>#NAME?</v>
      </c>
      <c r="G11" s="20">
        <f>VLOOKUP(A11, 'Raw Summary Data'!A$157:T$172, 6, 0)</f>
        <v>78</v>
      </c>
      <c r="H11" s="20">
        <f ca="1">IFERROR(__xludf.DUMMYFUNCTION("AVERAGE(FILTER(B11:G11, $B$1:$G$1=""Unit 1 Practice""))"),22)</f>
        <v>22</v>
      </c>
      <c r="I11" s="20"/>
      <c r="J11" s="20">
        <f>VLOOKUP(A11, 'Raw Summary Data'!$A$157:$T$172, J$20-1, 0)</f>
        <v>78</v>
      </c>
      <c r="K11" s="20"/>
      <c r="L11" s="20">
        <f>VLOOKUP(A11, 'Raw Summary Data'!$A$157:$T$172, L$20-1, 0)</f>
        <v>9</v>
      </c>
      <c r="M11" s="20">
        <f>VLOOKUP(A11, 'Raw Summary Data'!$A$157:$T$172, M$20-1, 0)</f>
        <v>10</v>
      </c>
      <c r="N11" s="20">
        <f>VLOOKUP(A11, 'Raw Summary Data'!$A$157:$T$172, N$20-1, 0)</f>
        <v>12</v>
      </c>
      <c r="O11" s="20" t="e">
        <f t="shared" ca="1" si="1"/>
        <v>#NAME?</v>
      </c>
      <c r="P11" s="20">
        <v>68</v>
      </c>
      <c r="Q11" s="20"/>
      <c r="R11" s="20">
        <v>72</v>
      </c>
      <c r="S11" s="20">
        <f>VLOOKUP(A11, 'Raw Summary Data'!$A$157:$T$172, S$20-1, 0)</f>
        <v>72</v>
      </c>
      <c r="T11" s="20"/>
      <c r="U11" s="20">
        <f>VLOOKUP(A11, 'Raw Summary Data'!$A$157:$T$172, U$20-1, 0)</f>
        <v>10</v>
      </c>
      <c r="V11" s="20">
        <f>VLOOKUP(A11, 'Raw Summary Data'!$A$157:$T$172, V$20-1, 0)</f>
        <v>10</v>
      </c>
      <c r="W11" s="20">
        <f>VLOOKUP(A11, 'Raw Summary Data'!$A$157:$T$172, W$20-1, 0)</f>
        <v>11</v>
      </c>
      <c r="X11" s="20">
        <v>6</v>
      </c>
      <c r="Y11" s="20">
        <f t="shared" si="2"/>
        <v>38.5</v>
      </c>
      <c r="Z11" s="20">
        <v>72</v>
      </c>
      <c r="AA11" s="20"/>
      <c r="AB11" s="20">
        <v>72</v>
      </c>
      <c r="AC11" s="20">
        <f>VLOOKUP(A11, 'Raw Summary Data'!$A$157:$T$172, AC$20-1, 0)</f>
        <v>72</v>
      </c>
      <c r="AD11" s="20"/>
      <c r="AE11" s="20" t="s">
        <v>811</v>
      </c>
      <c r="AF11" s="20">
        <f>VLOOKUP(A11, 'Raw Summary Data'!$A$157:$T$172, 18, 0)</f>
        <v>16</v>
      </c>
      <c r="AG11" s="20">
        <f>VLOOKUP(A11, 'Raw Summary Data'!$A$157:$T$172, 19, 0)</f>
        <v>6.5</v>
      </c>
      <c r="AH11" s="20">
        <f>VLOOKUP(A11, 'Raw Summary Data'!$A$157:$T$172, 17, 0)</f>
        <v>0</v>
      </c>
      <c r="AI11" s="20">
        <f>VLOOKUP(A11, 'Raw Summary Data'!$A$157:$T$172, 20, 0)</f>
        <v>0</v>
      </c>
      <c r="AJ11" s="20" t="e">
        <f t="shared" ca="1" si="3"/>
        <v>#NAME?</v>
      </c>
    </row>
    <row r="12" spans="1:52" ht="15" customHeight="1" x14ac:dyDescent="0.2">
      <c r="A12" s="60" t="s">
        <v>398</v>
      </c>
      <c r="B12" s="3" t="s">
        <v>8</v>
      </c>
      <c r="C12" s="20">
        <f>VLOOKUP(A12, 'Raw Summary Data'!$A$157:$T$172, C$20-1, 0)</f>
        <v>14.5</v>
      </c>
      <c r="D12" s="20">
        <f>VLOOKUP(A12, 'Raw Summary Data'!$A$157:$T$172, C$20-1, 0)</f>
        <v>14.5</v>
      </c>
      <c r="E12" s="20">
        <f>VLOOKUP(A12, 'Raw Summary Data'!$A$157:$T$172, E$20-1, 0)</f>
        <v>11.5</v>
      </c>
      <c r="F12" s="20" t="e">
        <f t="shared" ca="1" si="0"/>
        <v>#NAME?</v>
      </c>
      <c r="G12" s="20">
        <f>VLOOKUP(A12, 'Raw Summary Data'!A$157:T$172, 6, 0)</f>
        <v>92</v>
      </c>
      <c r="H12" s="20">
        <f ca="1">IFERROR(__xludf.DUMMYFUNCTION("AVERAGE(FILTER(B12:G12, $B$1:$G$1=""Unit 1 Practice""))"),25.5)</f>
        <v>25.5</v>
      </c>
      <c r="I12" s="20"/>
      <c r="J12" s="20">
        <f>VLOOKUP(A12, 'Raw Summary Data'!$A$157:$T$172, J$20-1, 0)</f>
        <v>92</v>
      </c>
      <c r="K12" s="20"/>
      <c r="L12" s="20">
        <f>VLOOKUP(A12, 'Raw Summary Data'!$A$157:$T$172, L$20-1, 0)</f>
        <v>18</v>
      </c>
      <c r="M12" s="20">
        <f>VLOOKUP(A12, 'Raw Summary Data'!$A$157:$T$172, M$20-1, 0)</f>
        <v>12</v>
      </c>
      <c r="N12" s="20">
        <f>VLOOKUP(A12, 'Raw Summary Data'!$A$157:$T$172, N$20-1, 0)</f>
        <v>12</v>
      </c>
      <c r="O12" s="20" t="e">
        <f t="shared" ca="1" si="1"/>
        <v>#NAME?</v>
      </c>
      <c r="P12" s="20">
        <v>92</v>
      </c>
      <c r="Q12" s="20"/>
      <c r="R12" s="20">
        <v>100</v>
      </c>
      <c r="S12" s="20">
        <f>VLOOKUP(A12, 'Raw Summary Data'!$A$157:$T$172, S$20-1, 0)</f>
        <v>100</v>
      </c>
      <c r="T12" s="20"/>
      <c r="U12" s="20">
        <f>VLOOKUP(A12, 'Raw Summary Data'!$A$157:$T$172, U$20-1, 0)</f>
        <v>10</v>
      </c>
      <c r="V12" s="20">
        <f>VLOOKUP(A12, 'Raw Summary Data'!$A$157:$T$172, V$20-1, 0)</f>
        <v>10</v>
      </c>
      <c r="W12" s="20">
        <f>VLOOKUP(A12, 'Raw Summary Data'!$A$157:$T$172, W$20-1, 0)</f>
        <v>11</v>
      </c>
      <c r="X12" s="20">
        <v>11</v>
      </c>
      <c r="Y12" s="20">
        <f t="shared" si="2"/>
        <v>47.5</v>
      </c>
      <c r="Z12" s="20">
        <v>95</v>
      </c>
      <c r="AA12" s="20"/>
      <c r="AB12" s="20" t="s">
        <v>462</v>
      </c>
      <c r="AC12" s="20">
        <f>VLOOKUP(A12, 'Raw Summary Data'!$A$157:$T$172, AC$20-1, 0)</f>
        <v>95</v>
      </c>
      <c r="AD12" s="20"/>
      <c r="AE12" s="20" t="s">
        <v>811</v>
      </c>
      <c r="AF12" s="20">
        <f>VLOOKUP(A12, 'Raw Summary Data'!$A$157:$T$172, 18, 0)</f>
        <v>22</v>
      </c>
      <c r="AG12" s="20">
        <f>VLOOKUP(A12, 'Raw Summary Data'!$A$157:$T$172, 19, 0)</f>
        <v>9.5</v>
      </c>
      <c r="AH12" s="20">
        <f>VLOOKUP(A12, 'Raw Summary Data'!$A$157:$T$172, 17, 0)</f>
        <v>28</v>
      </c>
      <c r="AI12" s="20">
        <f>VLOOKUP(A12, 'Raw Summary Data'!$A$157:$T$172, 20, 0)</f>
        <v>12.42</v>
      </c>
      <c r="AJ12" s="20" t="e">
        <f t="shared" ca="1" si="3"/>
        <v>#NAME?</v>
      </c>
    </row>
    <row r="13" spans="1:52" ht="15" customHeight="1" x14ac:dyDescent="0.2">
      <c r="A13" s="60" t="s">
        <v>400</v>
      </c>
      <c r="B13" s="3" t="s">
        <v>8</v>
      </c>
      <c r="C13" s="20">
        <f>VLOOKUP(A13, 'Raw Summary Data'!$A$157:$T$172, C$20-1, 0)</f>
        <v>14</v>
      </c>
      <c r="D13" s="20">
        <f>VLOOKUP(A13, 'Raw Summary Data'!$A$157:$T$172, C$20-1, 0)</f>
        <v>14</v>
      </c>
      <c r="E13" s="20">
        <f>VLOOKUP(A13, 'Raw Summary Data'!$A$157:$T$172, E$20-1, 0)</f>
        <v>10.5</v>
      </c>
      <c r="F13" s="20" t="e">
        <f t="shared" ca="1" si="0"/>
        <v>#NAME?</v>
      </c>
      <c r="G13" s="20">
        <f>VLOOKUP(A13, 'Raw Summary Data'!A$157:T$172, 6, 0)</f>
        <v>78</v>
      </c>
      <c r="H13" s="20">
        <f ca="1">IFERROR(__xludf.DUMMYFUNCTION("AVERAGE(FILTER(B13:G13, $B$1:$G$1=""Unit 1 Practice""))"),24.6666666666666)</f>
        <v>24.6666666666666</v>
      </c>
      <c r="I13" s="20"/>
      <c r="J13" s="20">
        <f>VLOOKUP(A13, 'Raw Summary Data'!$A$157:$T$172, J$20-1, 0)</f>
        <v>78</v>
      </c>
      <c r="K13" s="20"/>
      <c r="L13" s="20">
        <f>VLOOKUP(A13, 'Raw Summary Data'!$A$157:$T$172, L$20-1, 0)</f>
        <v>0</v>
      </c>
      <c r="M13" s="20">
        <f>VLOOKUP(A13, 'Raw Summary Data'!$A$157:$T$172, M$20-1, 0)</f>
        <v>9</v>
      </c>
      <c r="N13" s="20">
        <f>VLOOKUP(A13, 'Raw Summary Data'!$A$157:$T$172, N$20-1, 0)</f>
        <v>0</v>
      </c>
      <c r="O13" s="20" t="e">
        <f t="shared" ca="1" si="1"/>
        <v>#NAME?</v>
      </c>
      <c r="P13" s="20">
        <v>78</v>
      </c>
      <c r="Q13" s="20"/>
      <c r="R13" s="20" t="s">
        <v>462</v>
      </c>
      <c r="S13" s="20">
        <f>VLOOKUP(A13, 'Raw Summary Data'!$A$157:$T$172, S$20-1, 0)</f>
        <v>78</v>
      </c>
      <c r="T13" s="20"/>
      <c r="U13" s="20">
        <f>VLOOKUP(A13, 'Raw Summary Data'!$A$157:$T$172, U$20-1, 0)</f>
        <v>10</v>
      </c>
      <c r="V13" s="20">
        <f>VLOOKUP(A13, 'Raw Summary Data'!$A$157:$T$172, V$20-1, 0)</f>
        <v>10</v>
      </c>
      <c r="W13" s="20">
        <f>VLOOKUP(A13, 'Raw Summary Data'!$A$157:$T$172, W$20-1, 0)</f>
        <v>11</v>
      </c>
      <c r="X13" s="20">
        <v>9</v>
      </c>
      <c r="Y13" s="20">
        <f t="shared" si="2"/>
        <v>44</v>
      </c>
      <c r="Z13" s="20">
        <v>75</v>
      </c>
      <c r="AA13" s="20"/>
      <c r="AB13" s="20" t="s">
        <v>462</v>
      </c>
      <c r="AC13" s="20">
        <f>VLOOKUP(A13, 'Raw Summary Data'!$A$157:$T$172, AC$20-1, 0)</f>
        <v>75</v>
      </c>
      <c r="AD13" s="20"/>
      <c r="AE13" s="20" t="s">
        <v>811</v>
      </c>
      <c r="AF13" s="20">
        <f>VLOOKUP(A13, 'Raw Summary Data'!$A$157:$T$172, 18, 0)</f>
        <v>21</v>
      </c>
      <c r="AG13" s="20">
        <f>VLOOKUP(A13, 'Raw Summary Data'!$A$157:$T$172, 19, 0)</f>
        <v>0</v>
      </c>
      <c r="AH13" s="20">
        <f>VLOOKUP(A13, 'Raw Summary Data'!$A$157:$T$172, 17, 0)</f>
        <v>0</v>
      </c>
      <c r="AI13" s="20">
        <f>VLOOKUP(A13, 'Raw Summary Data'!$A$157:$T$172, 20, 0)</f>
        <v>12.36</v>
      </c>
      <c r="AJ13" s="20" t="e">
        <f t="shared" ca="1" si="3"/>
        <v>#NAME?</v>
      </c>
    </row>
    <row r="14" spans="1:52" ht="15" customHeight="1" x14ac:dyDescent="0.2">
      <c r="A14" s="60" t="s">
        <v>402</v>
      </c>
      <c r="B14" s="3" t="s">
        <v>8</v>
      </c>
      <c r="C14" s="20">
        <f>VLOOKUP(A14, 'Raw Summary Data'!$A$157:$T$172, C$20-1, 0)</f>
        <v>0</v>
      </c>
      <c r="D14" s="20">
        <f>VLOOKUP(A14, 'Raw Summary Data'!$A$157:$T$172, C$20-1, 0)</f>
        <v>0</v>
      </c>
      <c r="E14" s="20">
        <f>VLOOKUP(A14, 'Raw Summary Data'!$A$157:$T$172, E$20-1, 0)</f>
        <v>10</v>
      </c>
      <c r="F14" s="20" t="e">
        <f t="shared" ca="1" si="0"/>
        <v>#NAME?</v>
      </c>
      <c r="G14" s="20">
        <f>VLOOKUP(A14, 'Raw Summary Data'!A$157:T$172, 6, 0)</f>
        <v>88</v>
      </c>
      <c r="H14" s="20">
        <f ca="1">IFERROR(__xludf.DUMMYFUNCTION("AVERAGE(FILTER(B14:G14, $B$1:$G$1=""Unit 1 Practice""))"),44)</f>
        <v>44</v>
      </c>
      <c r="I14" s="20"/>
      <c r="J14" s="20">
        <f>VLOOKUP(A14, 'Raw Summary Data'!$A$157:$T$172, J$20-1, 0)</f>
        <v>88</v>
      </c>
      <c r="K14" s="20"/>
      <c r="L14" s="20">
        <f>VLOOKUP(A14, 'Raw Summary Data'!$A$157:$T$172, L$20-1, 0)</f>
        <v>18</v>
      </c>
      <c r="M14" s="20">
        <f>VLOOKUP(A14, 'Raw Summary Data'!$A$157:$T$172, M$20-1, 0)</f>
        <v>10</v>
      </c>
      <c r="N14" s="20">
        <f>VLOOKUP(A14, 'Raw Summary Data'!$A$157:$T$172, N$20-1, 0)</f>
        <v>12</v>
      </c>
      <c r="O14" s="20" t="e">
        <f t="shared" ca="1" si="1"/>
        <v>#NAME?</v>
      </c>
      <c r="P14" s="20">
        <v>85</v>
      </c>
      <c r="Q14" s="20"/>
      <c r="R14" s="20" t="s">
        <v>462</v>
      </c>
      <c r="S14" s="20">
        <f>VLOOKUP(A14, 'Raw Summary Data'!$A$157:$T$172, S$20-1, 0)</f>
        <v>85</v>
      </c>
      <c r="T14" s="20"/>
      <c r="U14" s="20">
        <f>VLOOKUP(A14, 'Raw Summary Data'!$A$157:$T$172, U$20-1, 0)</f>
        <v>10</v>
      </c>
      <c r="V14" s="20">
        <f>VLOOKUP(A14, 'Raw Summary Data'!$A$157:$T$172, V$20-1, 0)</f>
        <v>10</v>
      </c>
      <c r="W14" s="20">
        <f>VLOOKUP(A14, 'Raw Summary Data'!$A$157:$T$172, W$20-1, 0)</f>
        <v>11</v>
      </c>
      <c r="X14" s="20">
        <v>11</v>
      </c>
      <c r="Y14" s="20">
        <f t="shared" si="2"/>
        <v>47.5</v>
      </c>
      <c r="Z14" s="20">
        <v>95</v>
      </c>
      <c r="AA14" s="20"/>
      <c r="AB14" s="20" t="s">
        <v>462</v>
      </c>
      <c r="AC14" s="20">
        <f>VLOOKUP(A14, 'Raw Summary Data'!$A$157:$T$172, AC$20-1, 0)</f>
        <v>95</v>
      </c>
      <c r="AD14" s="20"/>
      <c r="AE14" s="20" t="s">
        <v>811</v>
      </c>
      <c r="AF14" s="20">
        <f>VLOOKUP(A14, 'Raw Summary Data'!$A$157:$T$172, 18, 0)</f>
        <v>21</v>
      </c>
      <c r="AG14" s="20">
        <f>VLOOKUP(A14, 'Raw Summary Data'!$A$157:$T$172, 19, 0)</f>
        <v>9</v>
      </c>
      <c r="AH14" s="20">
        <f>VLOOKUP(A14, 'Raw Summary Data'!$A$157:$T$172, 17, 0)</f>
        <v>27.5</v>
      </c>
      <c r="AI14" s="20">
        <f>VLOOKUP(A14, 'Raw Summary Data'!$A$157:$T$172, 20, 0)</f>
        <v>12.3</v>
      </c>
      <c r="AJ14" s="20" t="e">
        <f t="shared" ca="1" si="3"/>
        <v>#NAME?</v>
      </c>
    </row>
    <row r="15" spans="1:52" ht="15" customHeight="1" x14ac:dyDescent="0.2">
      <c r="A15" s="60" t="s">
        <v>404</v>
      </c>
      <c r="B15" s="3" t="s">
        <v>8</v>
      </c>
      <c r="C15" s="20">
        <f>VLOOKUP(A15, 'Raw Summary Data'!$A$157:$T$172, C$20-1, 0)</f>
        <v>13</v>
      </c>
      <c r="D15" s="20">
        <f>VLOOKUP(A15, 'Raw Summary Data'!$A$157:$T$172, C$20-1, 0)</f>
        <v>13</v>
      </c>
      <c r="E15" s="20">
        <f>VLOOKUP(A15, 'Raw Summary Data'!$A$157:$T$172, E$20-1, 0)</f>
        <v>0</v>
      </c>
      <c r="F15" s="20" t="e">
        <f t="shared" ca="1" si="0"/>
        <v>#NAME?</v>
      </c>
      <c r="G15" s="20">
        <f>VLOOKUP(A15, 'Raw Summary Data'!A$157:T$172, 6, 0)</f>
        <v>92</v>
      </c>
      <c r="H15" s="20">
        <f ca="1">IFERROR(__xludf.DUMMYFUNCTION("AVERAGE(FILTER(B15:G15, $B$1:$G$1=""Unit 1 Practice""))"),8.66666666666666)</f>
        <v>8.6666666666666607</v>
      </c>
      <c r="I15" s="20"/>
      <c r="J15" s="20">
        <f>VLOOKUP(A15, 'Raw Summary Data'!$A$157:$T$172, J$20-1, 0)</f>
        <v>92</v>
      </c>
      <c r="K15" s="20"/>
      <c r="L15" s="20">
        <f>VLOOKUP(A15, 'Raw Summary Data'!$A$157:$T$172, L$20-1, 0)</f>
        <v>17</v>
      </c>
      <c r="M15" s="20">
        <f>VLOOKUP(A15, 'Raw Summary Data'!$A$157:$T$172, M$20-1, 0)</f>
        <v>9.9499999999999993</v>
      </c>
      <c r="N15" s="20">
        <f>VLOOKUP(A15, 'Raw Summary Data'!$A$157:$T$172, N$20-1, 0)</f>
        <v>10</v>
      </c>
      <c r="O15" s="20" t="e">
        <f t="shared" ca="1" si="1"/>
        <v>#NAME?</v>
      </c>
      <c r="P15" s="20">
        <v>78</v>
      </c>
      <c r="Q15" s="20"/>
      <c r="R15" s="20" t="s">
        <v>462</v>
      </c>
      <c r="S15" s="20">
        <f>VLOOKUP(A15, 'Raw Summary Data'!$A$157:$T$172, S$20-1, 0)</f>
        <v>78</v>
      </c>
      <c r="T15" s="20"/>
      <c r="U15" s="20">
        <f>VLOOKUP(A15, 'Raw Summary Data'!$A$157:$T$172, U$20-1, 0)</f>
        <v>10</v>
      </c>
      <c r="V15" s="20">
        <f>VLOOKUP(A15, 'Raw Summary Data'!$A$157:$T$172, V$20-1, 0)</f>
        <v>10</v>
      </c>
      <c r="W15" s="20">
        <f>VLOOKUP(A15, 'Raw Summary Data'!$A$157:$T$172, W$20-1, 0)</f>
        <v>8</v>
      </c>
      <c r="X15" s="20">
        <v>4</v>
      </c>
      <c r="Y15" s="20">
        <f t="shared" si="2"/>
        <v>36</v>
      </c>
      <c r="Z15" s="20">
        <v>68</v>
      </c>
      <c r="AA15" s="20"/>
      <c r="AB15" s="20">
        <v>72</v>
      </c>
      <c r="AC15" s="20">
        <f>VLOOKUP(A15, 'Raw Summary Data'!$A$157:$T$172, AC$20-1, 0)</f>
        <v>72</v>
      </c>
      <c r="AD15" s="20"/>
      <c r="AE15" s="20" t="s">
        <v>811</v>
      </c>
      <c r="AF15" s="20">
        <f>VLOOKUP(A15, 'Raw Summary Data'!$A$157:$T$172, 18, 0)</f>
        <v>22</v>
      </c>
      <c r="AG15" s="20">
        <f>VLOOKUP(A15, 'Raw Summary Data'!$A$157:$T$172, 19, 0)</f>
        <v>8</v>
      </c>
      <c r="AH15" s="20">
        <f>VLOOKUP(A15, 'Raw Summary Data'!$A$157:$T$172, 17, 0)</f>
        <v>27.5</v>
      </c>
      <c r="AI15" s="20">
        <f>VLOOKUP(A15, 'Raw Summary Data'!$A$157:$T$172, 20, 0)</f>
        <v>12.33</v>
      </c>
      <c r="AJ15" s="20" t="e">
        <f t="shared" ca="1" si="3"/>
        <v>#NAME?</v>
      </c>
    </row>
    <row r="16" spans="1:52" ht="15" customHeight="1" x14ac:dyDescent="0.2">
      <c r="A16" s="60" t="s">
        <v>406</v>
      </c>
      <c r="B16" s="3" t="s">
        <v>7</v>
      </c>
      <c r="C16" s="20">
        <f>VLOOKUP(A16, 'Raw Summary Data'!$A$157:$T$172, C$20-1, 0)</f>
        <v>15</v>
      </c>
      <c r="D16" s="20">
        <f>VLOOKUP(A16, 'Raw Summary Data'!$A$157:$T$172, C$20-1, 0)</f>
        <v>15</v>
      </c>
      <c r="E16" s="20">
        <f>VLOOKUP(A16, 'Raw Summary Data'!$A$157:$T$172, E$20-1, 0)</f>
        <v>11</v>
      </c>
      <c r="F16" s="20" t="e">
        <f t="shared" ca="1" si="0"/>
        <v>#NAME?</v>
      </c>
      <c r="G16" s="20">
        <f>VLOOKUP(A16, 'Raw Summary Data'!A$157:T$172, 6, 0)</f>
        <v>92</v>
      </c>
      <c r="H16" s="20">
        <f ca="1">IFERROR(__xludf.DUMMYFUNCTION("AVERAGE(FILTER(B16:G16, $B$1:$G$1=""Unit 1 Practice""))"),25.3333333333333)</f>
        <v>25.3333333333333</v>
      </c>
      <c r="I16" s="20"/>
      <c r="J16" s="20">
        <f>VLOOKUP(A16, 'Raw Summary Data'!$A$157:$T$172, J$20-1, 0)</f>
        <v>92</v>
      </c>
      <c r="K16" s="20"/>
      <c r="L16" s="20">
        <f>VLOOKUP(A16, 'Raw Summary Data'!$A$157:$T$172, L$20-1, 0)</f>
        <v>18</v>
      </c>
      <c r="M16" s="20">
        <f>VLOOKUP(A16, 'Raw Summary Data'!$A$157:$T$172, M$20-1, 0)</f>
        <v>13</v>
      </c>
      <c r="N16" s="20">
        <f>VLOOKUP(A16, 'Raw Summary Data'!$A$157:$T$172, N$20-1, 0)</f>
        <v>12</v>
      </c>
      <c r="O16" s="20" t="e">
        <f t="shared" ca="1" si="1"/>
        <v>#NAME?</v>
      </c>
      <c r="P16" s="20">
        <v>92</v>
      </c>
      <c r="Q16" s="20"/>
      <c r="R16" s="20" t="s">
        <v>462</v>
      </c>
      <c r="S16" s="20">
        <f>VLOOKUP(A16, 'Raw Summary Data'!$A$157:$T$172, S$20-1, 0)</f>
        <v>92</v>
      </c>
      <c r="T16" s="20"/>
      <c r="U16" s="20">
        <f>VLOOKUP(A16, 'Raw Summary Data'!$A$157:$T$172, U$20-1, 0)</f>
        <v>10</v>
      </c>
      <c r="V16" s="20">
        <f>VLOOKUP(A16, 'Raw Summary Data'!$A$157:$T$172, V$20-1, 0)</f>
        <v>10</v>
      </c>
      <c r="W16" s="20">
        <f>VLOOKUP(A16, 'Raw Summary Data'!$A$157:$T$172, W$20-1, 0)</f>
        <v>11</v>
      </c>
      <c r="X16" s="20">
        <v>11</v>
      </c>
      <c r="Y16" s="20">
        <f t="shared" si="2"/>
        <v>47.5</v>
      </c>
      <c r="Z16" s="20">
        <v>100</v>
      </c>
      <c r="AA16" s="20"/>
      <c r="AB16" s="20" t="s">
        <v>462</v>
      </c>
      <c r="AC16" s="20">
        <f>VLOOKUP(A16, 'Raw Summary Data'!$A$157:$T$172, AC$20-1, 0)</f>
        <v>100</v>
      </c>
      <c r="AD16" s="20"/>
      <c r="AE16" s="20" t="s">
        <v>811</v>
      </c>
      <c r="AF16" s="20">
        <f>VLOOKUP(A16, 'Raw Summary Data'!$A$157:$T$172, 18, 0)</f>
        <v>22</v>
      </c>
      <c r="AG16" s="20">
        <f>VLOOKUP(A16, 'Raw Summary Data'!$A$157:$T$172, 19, 0)</f>
        <v>10</v>
      </c>
      <c r="AH16" s="20">
        <f>VLOOKUP(A16, 'Raw Summary Data'!$A$157:$T$172, 17, 0)</f>
        <v>28</v>
      </c>
      <c r="AI16" s="20">
        <f>VLOOKUP(A16, 'Raw Summary Data'!$A$157:$T$172, 20, 0)</f>
        <v>12</v>
      </c>
      <c r="AJ16" s="20" t="e">
        <f t="shared" ca="1" si="3"/>
        <v>#NAME?</v>
      </c>
    </row>
    <row r="17" spans="1:39" ht="15" customHeight="1" x14ac:dyDescent="0.2">
      <c r="A17" s="60" t="s">
        <v>408</v>
      </c>
      <c r="B17" s="3" t="s">
        <v>8</v>
      </c>
      <c r="C17" s="20">
        <f>VLOOKUP(A17, 'Raw Summary Data'!$A$157:$T$172, C$20-1, 0)</f>
        <v>6.5</v>
      </c>
      <c r="D17" s="20">
        <f>VLOOKUP(A17, 'Raw Summary Data'!$A$157:$T$172, C$20-1, 0)</f>
        <v>6.5</v>
      </c>
      <c r="E17" s="20">
        <f>VLOOKUP(A17, 'Raw Summary Data'!$A$157:$T$172, E$20-1, 0)</f>
        <v>8.33</v>
      </c>
      <c r="F17" s="20" t="e">
        <f t="shared" ca="1" si="0"/>
        <v>#NAME?</v>
      </c>
      <c r="G17" s="20">
        <f>VLOOKUP(A17, 'Raw Summary Data'!A$157:T$172, 6, 0)</f>
        <v>85</v>
      </c>
      <c r="H17" s="20">
        <f ca="1">IFERROR(__xludf.DUMMYFUNCTION("AVERAGE(FILTER(B17:G17, $B$1:$G$1=""Unit 1 Practice""))"),18)</f>
        <v>18</v>
      </c>
      <c r="I17" s="20"/>
      <c r="J17" s="20">
        <f>VLOOKUP(A17, 'Raw Summary Data'!$A$157:$T$172, J$20-1, 0)</f>
        <v>85</v>
      </c>
      <c r="K17" s="20"/>
      <c r="L17" s="20">
        <f>VLOOKUP(A17, 'Raw Summary Data'!$A$157:$T$172, L$20-1, 0)</f>
        <v>18</v>
      </c>
      <c r="M17" s="20">
        <f>VLOOKUP(A17, 'Raw Summary Data'!$A$157:$T$172, M$20-1, 0)</f>
        <v>9.6999999999999993</v>
      </c>
      <c r="N17" s="20">
        <f>VLOOKUP(A17, 'Raw Summary Data'!$A$157:$T$172, N$20-1, 0)</f>
        <v>12</v>
      </c>
      <c r="O17" s="20" t="e">
        <f t="shared" ca="1" si="1"/>
        <v>#NAME?</v>
      </c>
      <c r="P17" s="20">
        <v>75</v>
      </c>
      <c r="Q17" s="20"/>
      <c r="R17" s="20">
        <v>92</v>
      </c>
      <c r="S17" s="20">
        <f>VLOOKUP(A17, 'Raw Summary Data'!$A$157:$T$172, S$20-1, 0)</f>
        <v>92</v>
      </c>
      <c r="T17" s="20"/>
      <c r="U17" s="20">
        <f>VLOOKUP(A17, 'Raw Summary Data'!$A$157:$T$172, U$20-1, 0)</f>
        <v>10</v>
      </c>
      <c r="V17" s="20">
        <f>VLOOKUP(A17, 'Raw Summary Data'!$A$157:$T$172, V$20-1, 0)</f>
        <v>10</v>
      </c>
      <c r="W17" s="20">
        <f>VLOOKUP(A17, 'Raw Summary Data'!$A$157:$T$172, W$20-1, 0)</f>
        <v>11</v>
      </c>
      <c r="X17" s="20">
        <v>11</v>
      </c>
      <c r="Y17" s="20">
        <f t="shared" si="2"/>
        <v>47.5</v>
      </c>
      <c r="Z17" s="20">
        <v>75</v>
      </c>
      <c r="AA17" s="20"/>
      <c r="AB17" s="20">
        <v>75</v>
      </c>
      <c r="AC17" s="20">
        <f>VLOOKUP(A17, 'Raw Summary Data'!$A$157:$T$172, AC$20-1, 0)</f>
        <v>75</v>
      </c>
      <c r="AD17" s="20"/>
      <c r="AE17" s="20" t="s">
        <v>811</v>
      </c>
      <c r="AF17" s="20">
        <f>VLOOKUP(A17, 'Raw Summary Data'!$A$157:$T$172, 18, 0)</f>
        <v>21.8</v>
      </c>
      <c r="AG17" s="20">
        <f>VLOOKUP(A17, 'Raw Summary Data'!$A$157:$T$172, 19, 0)</f>
        <v>9.25</v>
      </c>
      <c r="AH17" s="20">
        <f>VLOOKUP(A17, 'Raw Summary Data'!$A$157:$T$172, 17, 0)</f>
        <v>17</v>
      </c>
      <c r="AI17" s="20">
        <f>VLOOKUP(A17, 'Raw Summary Data'!$A$157:$T$172, 20, 0)</f>
        <v>13</v>
      </c>
      <c r="AJ17" s="20" t="e">
        <f t="shared" ca="1" si="3"/>
        <v>#NAME?</v>
      </c>
    </row>
    <row r="18" spans="1:39" ht="15" customHeight="1" x14ac:dyDescent="0.2">
      <c r="A18" s="60" t="s">
        <v>410</v>
      </c>
      <c r="B18" s="3" t="s">
        <v>8</v>
      </c>
      <c r="C18" s="20">
        <f>VLOOKUP(A18, 'Raw Summary Data'!$A$157:$T$172, C$20-1, 0)</f>
        <v>10.5</v>
      </c>
      <c r="D18" s="20">
        <f>VLOOKUP(A18, 'Raw Summary Data'!$A$157:$T$172, C$20-1, 0)</f>
        <v>10.5</v>
      </c>
      <c r="E18" s="20">
        <f>VLOOKUP(A18, 'Raw Summary Data'!$A$157:$T$172, E$20-1, 0)</f>
        <v>8.5</v>
      </c>
      <c r="F18" s="20" t="e">
        <f t="shared" ca="1" si="0"/>
        <v>#NAME?</v>
      </c>
      <c r="G18" s="20">
        <f>VLOOKUP(A18, 'Raw Summary Data'!A$157:T$172, 6, 0)</f>
        <v>75</v>
      </c>
      <c r="H18" s="20">
        <f ca="1">IFERROR(__xludf.DUMMYFUNCTION("AVERAGE(FILTER(B18:G18, $B$1:$G$1=""Unit 1 Practice""))"),21.1666666666666)</f>
        <v>21.1666666666666</v>
      </c>
      <c r="I18" s="20"/>
      <c r="J18" s="20">
        <f>VLOOKUP(A18, 'Raw Summary Data'!$A$157:$T$172, J$20-1, 0)</f>
        <v>75</v>
      </c>
      <c r="K18" s="20"/>
      <c r="L18" s="20">
        <f>VLOOKUP(A18, 'Raw Summary Data'!$A$157:$T$172, L$20-1, 0)</f>
        <v>16</v>
      </c>
      <c r="M18" s="20">
        <f>VLOOKUP(A18, 'Raw Summary Data'!$A$157:$T$172, M$20-1, 0)</f>
        <v>8.1</v>
      </c>
      <c r="N18" s="20">
        <f>VLOOKUP(A18, 'Raw Summary Data'!$A$157:$T$172, N$20-1, 0)</f>
        <v>12</v>
      </c>
      <c r="O18" s="20" t="e">
        <f t="shared" ca="1" si="1"/>
        <v>#NAME?</v>
      </c>
      <c r="P18" s="20">
        <v>72</v>
      </c>
      <c r="Q18" s="20"/>
      <c r="R18" s="20">
        <v>85</v>
      </c>
      <c r="S18" s="20">
        <f>VLOOKUP(A18, 'Raw Summary Data'!$A$157:$T$172, S$20-1, 0)</f>
        <v>85</v>
      </c>
      <c r="T18" s="20"/>
      <c r="U18" s="20">
        <f>VLOOKUP(A18, 'Raw Summary Data'!$A$157:$T$172, U$20-1, 0)</f>
        <v>10</v>
      </c>
      <c r="V18" s="20">
        <f>VLOOKUP(A18, 'Raw Summary Data'!$A$157:$T$172, V$20-1, 0)</f>
        <v>8</v>
      </c>
      <c r="W18" s="20">
        <f>VLOOKUP(A18, 'Raw Summary Data'!$A$157:$T$172, W$20-1, 0)</f>
        <v>10</v>
      </c>
      <c r="X18" s="20">
        <v>10</v>
      </c>
      <c r="Y18" s="20">
        <f t="shared" si="2"/>
        <v>46</v>
      </c>
      <c r="Z18" s="20">
        <v>75</v>
      </c>
      <c r="AA18" s="20"/>
      <c r="AB18" s="20" t="s">
        <v>462</v>
      </c>
      <c r="AC18" s="20">
        <f>VLOOKUP(A18, 'Raw Summary Data'!$A$157:$T$172, AC$20-1, 0)</f>
        <v>75</v>
      </c>
      <c r="AD18" s="20"/>
      <c r="AE18" s="20" t="s">
        <v>811</v>
      </c>
      <c r="AF18" s="20">
        <f>VLOOKUP(A18, 'Raw Summary Data'!$A$157:$T$172, 18, 0)</f>
        <v>21</v>
      </c>
      <c r="AG18" s="20">
        <f>VLOOKUP(A18, 'Raw Summary Data'!$A$157:$T$172, 19, 0)</f>
        <v>8</v>
      </c>
      <c r="AH18" s="20">
        <f>VLOOKUP(A18, 'Raw Summary Data'!$A$157:$T$172, 17, 0)</f>
        <v>27</v>
      </c>
      <c r="AI18" s="20">
        <f>VLOOKUP(A18, 'Raw Summary Data'!$A$157:$T$172, 20, 0)</f>
        <v>11.83</v>
      </c>
      <c r="AJ18" s="20" t="e">
        <f t="shared" ca="1" si="3"/>
        <v>#NAME?</v>
      </c>
    </row>
    <row r="19" spans="1:39" ht="15" customHeight="1" x14ac:dyDescent="0.2">
      <c r="A19" s="24"/>
    </row>
    <row r="20" spans="1:39" ht="15" customHeight="1" x14ac:dyDescent="0.2">
      <c r="A20" s="24" t="s">
        <v>821</v>
      </c>
      <c r="B20" s="58"/>
      <c r="C20" s="58">
        <v>4</v>
      </c>
      <c r="D20" s="58">
        <v>5</v>
      </c>
      <c r="E20" s="58">
        <v>6</v>
      </c>
      <c r="F20" s="58"/>
      <c r="G20" s="58"/>
      <c r="H20" s="58"/>
      <c r="I20" s="58"/>
      <c r="J20" s="58">
        <v>7</v>
      </c>
      <c r="K20" s="58"/>
      <c r="L20" s="58">
        <v>8</v>
      </c>
      <c r="M20" s="58">
        <v>10</v>
      </c>
      <c r="N20" s="58">
        <v>9</v>
      </c>
      <c r="O20" s="58"/>
      <c r="P20" s="58"/>
      <c r="Q20" s="58"/>
      <c r="R20" s="58"/>
      <c r="S20" s="58">
        <v>11</v>
      </c>
      <c r="T20" s="58"/>
      <c r="U20" s="58">
        <v>13</v>
      </c>
      <c r="V20" s="58">
        <v>12</v>
      </c>
      <c r="W20" s="58">
        <v>15</v>
      </c>
      <c r="X20" s="58">
        <v>14</v>
      </c>
      <c r="Y20" s="58"/>
      <c r="Z20" s="58"/>
      <c r="AA20" s="58"/>
      <c r="AB20" s="58"/>
      <c r="AC20" s="58">
        <v>16</v>
      </c>
      <c r="AD20" s="58"/>
      <c r="AE20" s="58"/>
      <c r="AF20" s="58"/>
      <c r="AG20" s="58"/>
      <c r="AH20" s="58"/>
      <c r="AI20" s="58"/>
      <c r="AJ20" s="58"/>
      <c r="AK20" s="58"/>
      <c r="AL20" s="58"/>
      <c r="AM20" s="58"/>
    </row>
    <row r="21" spans="1:39" ht="15" customHeight="1" x14ac:dyDescent="0.2">
      <c r="A21" s="24"/>
    </row>
    <row r="22" spans="1:39" ht="15" customHeight="1" x14ac:dyDescent="0.2">
      <c r="A22" s="24" t="s">
        <v>863</v>
      </c>
    </row>
    <row r="23" spans="1:39" ht="15" customHeight="1" x14ac:dyDescent="0.2">
      <c r="A23" s="24" t="s">
        <v>864</v>
      </c>
    </row>
    <row r="24" spans="1:39" ht="15" customHeight="1" x14ac:dyDescent="0.2">
      <c r="A24" s="24"/>
    </row>
    <row r="25" spans="1:39" ht="15" customHeight="1" x14ac:dyDescent="0.2">
      <c r="A25" s="24"/>
    </row>
    <row r="26" spans="1:39" ht="15" customHeight="1" x14ac:dyDescent="0.2">
      <c r="A26" s="24"/>
    </row>
    <row r="27" spans="1:39" ht="15" customHeight="1" x14ac:dyDescent="0.2">
      <c r="A27" s="24"/>
    </row>
    <row r="28" spans="1:39" x14ac:dyDescent="0.25">
      <c r="A28" s="24"/>
      <c r="B28" s="52" t="s">
        <v>744</v>
      </c>
    </row>
    <row r="29" spans="1:39" ht="15" customHeight="1" x14ac:dyDescent="0.2">
      <c r="A29" s="24"/>
      <c r="B29" s="38" t="s">
        <v>822</v>
      </c>
      <c r="C29" s="21">
        <f>COUNTA(A3:A18)</f>
        <v>16</v>
      </c>
    </row>
    <row r="30" spans="1:39" ht="15" customHeight="1" x14ac:dyDescent="0.2">
      <c r="A30" s="24"/>
      <c r="B30" s="25" t="s">
        <v>745</v>
      </c>
      <c r="C30" s="25" t="s">
        <v>746</v>
      </c>
      <c r="D30" s="25" t="s">
        <v>747</v>
      </c>
      <c r="E30" s="25" t="s">
        <v>748</v>
      </c>
    </row>
    <row r="31" spans="1:39" ht="15" customHeight="1" x14ac:dyDescent="0.2">
      <c r="A31" s="24"/>
      <c r="B31" s="21">
        <f>COUNT(G3:G171)</f>
        <v>16</v>
      </c>
      <c r="C31" s="38">
        <f>COUNT(R3:R18)</f>
        <v>6</v>
      </c>
      <c r="D31" s="38">
        <f>COUNT(AB3:AB18)</f>
        <v>5</v>
      </c>
      <c r="E31" s="21">
        <f>SUM(B31:D31)</f>
        <v>27</v>
      </c>
    </row>
    <row r="32" spans="1:39" ht="15" customHeight="1" x14ac:dyDescent="0.2">
      <c r="A32" s="24"/>
      <c r="B32" s="21">
        <f>B31/C$29*100</f>
        <v>100</v>
      </c>
      <c r="C32" s="21">
        <f>C31/C29*100</f>
        <v>37.5</v>
      </c>
      <c r="D32" s="21">
        <f>D31/C29*100</f>
        <v>31.25</v>
      </c>
    </row>
    <row r="34" spans="2:5" ht="15" customHeight="1" x14ac:dyDescent="0.2">
      <c r="B34" s="25" t="s">
        <v>749</v>
      </c>
      <c r="C34" s="25" t="s">
        <v>750</v>
      </c>
      <c r="D34" s="25" t="s">
        <v>751</v>
      </c>
      <c r="E34" s="25" t="s">
        <v>752</v>
      </c>
    </row>
    <row r="35" spans="2:5" ht="15" customHeight="1" x14ac:dyDescent="0.2">
      <c r="C35" s="38"/>
      <c r="D35" s="38"/>
    </row>
    <row r="36" spans="2:5" ht="15" customHeight="1" x14ac:dyDescent="0.2">
      <c r="C36" s="38"/>
      <c r="D36" s="38"/>
    </row>
    <row r="37" spans="2:5" ht="15" customHeight="1" x14ac:dyDescent="0.2">
      <c r="C37" s="38"/>
      <c r="D37" s="38"/>
    </row>
    <row r="38" spans="2:5" ht="15" customHeight="1" x14ac:dyDescent="0.2">
      <c r="B38" s="25" t="s">
        <v>753</v>
      </c>
      <c r="C38" s="25" t="s">
        <v>754</v>
      </c>
      <c r="D38" s="25" t="s">
        <v>755</v>
      </c>
      <c r="E38" s="25" t="s">
        <v>756</v>
      </c>
    </row>
    <row r="39" spans="2:5" ht="15" customHeight="1" x14ac:dyDescent="0.2">
      <c r="B39" s="21">
        <f>COUNTIFS(Z3:Z18, "&gt;"&amp;AB3:AB18, Z3:Z18, "&gt;"&amp;AB3:AB18)</f>
        <v>0</v>
      </c>
      <c r="C39" s="38"/>
      <c r="D39" s="38"/>
    </row>
    <row r="40" spans="2:5" ht="15" customHeight="1" x14ac:dyDescent="0.2">
      <c r="C40" s="38"/>
      <c r="D40" s="38"/>
    </row>
    <row r="41" spans="2:5" ht="15" customHeight="1" x14ac:dyDescent="0.2">
      <c r="C41" s="38"/>
      <c r="D41" s="38"/>
    </row>
    <row r="42" spans="2:5" ht="15" customHeight="1" x14ac:dyDescent="0.2">
      <c r="B42" s="25" t="s">
        <v>757</v>
      </c>
      <c r="C42" s="25" t="s">
        <v>758</v>
      </c>
      <c r="D42" s="25" t="s">
        <v>759</v>
      </c>
      <c r="E42" s="25" t="s">
        <v>760</v>
      </c>
    </row>
    <row r="43" spans="2:5" ht="15" customHeight="1" x14ac:dyDescent="0.2">
      <c r="C43" s="38"/>
      <c r="D43" s="38"/>
    </row>
    <row r="44" spans="2:5" ht="15" customHeight="1" x14ac:dyDescent="0.2">
      <c r="C44" s="38"/>
      <c r="D44" s="38"/>
    </row>
    <row r="45" spans="2:5" ht="12.75" x14ac:dyDescent="0.2">
      <c r="C45" s="38"/>
      <c r="D45" s="38"/>
    </row>
    <row r="46" spans="2:5" ht="63.75" x14ac:dyDescent="0.2">
      <c r="B46" s="25" t="s">
        <v>823</v>
      </c>
      <c r="C46" s="25" t="s">
        <v>824</v>
      </c>
      <c r="D46" s="25" t="s">
        <v>825</v>
      </c>
      <c r="E46" s="25" t="s">
        <v>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7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 x14ac:dyDescent="0.2"/>
  <cols>
    <col min="1" max="1" width="17.28515625" customWidth="1"/>
    <col min="2" max="2" width="10.140625" customWidth="1"/>
    <col min="9" max="9" width="16.28515625" customWidth="1"/>
  </cols>
  <sheetData>
    <row r="1" spans="1:32" ht="58.5" customHeight="1" x14ac:dyDescent="0.2">
      <c r="A1" s="13" t="s">
        <v>428</v>
      </c>
      <c r="B1" s="14" t="s">
        <v>429</v>
      </c>
      <c r="C1" s="15" t="s">
        <v>430</v>
      </c>
      <c r="D1" s="13" t="s">
        <v>431</v>
      </c>
      <c r="E1" s="13" t="s">
        <v>432</v>
      </c>
      <c r="F1" s="13" t="s">
        <v>433</v>
      </c>
      <c r="G1" s="13" t="s">
        <v>434</v>
      </c>
      <c r="H1" s="13" t="s">
        <v>435</v>
      </c>
      <c r="I1" s="13" t="s">
        <v>436</v>
      </c>
      <c r="J1" s="13" t="s">
        <v>437</v>
      </c>
      <c r="K1" s="13" t="s">
        <v>438</v>
      </c>
      <c r="L1" s="13" t="s">
        <v>439</v>
      </c>
      <c r="M1" s="13" t="s">
        <v>440</v>
      </c>
      <c r="N1" s="13" t="s">
        <v>441</v>
      </c>
      <c r="O1" s="13" t="s">
        <v>442</v>
      </c>
      <c r="P1" s="13" t="s">
        <v>443</v>
      </c>
      <c r="Q1" s="13" t="s">
        <v>444</v>
      </c>
      <c r="R1" s="13" t="s">
        <v>445</v>
      </c>
      <c r="S1" s="13" t="s">
        <v>446</v>
      </c>
      <c r="T1" s="13" t="s">
        <v>447</v>
      </c>
      <c r="U1" s="13" t="s">
        <v>448</v>
      </c>
      <c r="V1" s="13" t="s">
        <v>449</v>
      </c>
      <c r="W1" s="13" t="s">
        <v>450</v>
      </c>
      <c r="X1" s="13" t="s">
        <v>451</v>
      </c>
      <c r="Y1" s="13" t="s">
        <v>452</v>
      </c>
      <c r="Z1" s="13" t="s">
        <v>453</v>
      </c>
      <c r="AA1" s="15" t="s">
        <v>454</v>
      </c>
      <c r="AB1" s="13" t="s">
        <v>455</v>
      </c>
      <c r="AC1" s="13" t="s">
        <v>456</v>
      </c>
      <c r="AD1" s="13" t="s">
        <v>457</v>
      </c>
      <c r="AE1" s="13" t="s">
        <v>458</v>
      </c>
      <c r="AF1" s="16" t="s">
        <v>459</v>
      </c>
    </row>
    <row r="2" spans="1:32" ht="16.5" customHeight="1" x14ac:dyDescent="0.25">
      <c r="A2" s="17" t="s">
        <v>460</v>
      </c>
      <c r="B2" s="18" t="s">
        <v>461</v>
      </c>
      <c r="C2" s="19" t="s">
        <v>9</v>
      </c>
      <c r="D2" s="20">
        <v>0.5</v>
      </c>
      <c r="E2" s="20">
        <v>1</v>
      </c>
      <c r="F2" s="20">
        <v>0.5</v>
      </c>
      <c r="G2" s="20">
        <v>1</v>
      </c>
      <c r="H2" s="20">
        <v>0</v>
      </c>
      <c r="I2" s="20">
        <v>0</v>
      </c>
      <c r="J2" s="20">
        <v>5</v>
      </c>
      <c r="K2" s="20">
        <v>44</v>
      </c>
      <c r="L2" s="20">
        <v>70</v>
      </c>
      <c r="M2" s="21" t="s">
        <v>462</v>
      </c>
      <c r="N2" s="20">
        <v>70</v>
      </c>
      <c r="O2" s="20">
        <v>0</v>
      </c>
      <c r="P2" s="20">
        <v>0</v>
      </c>
      <c r="Q2" s="20">
        <v>5</v>
      </c>
      <c r="R2" s="20">
        <v>44</v>
      </c>
      <c r="S2" s="20">
        <v>66</v>
      </c>
      <c r="T2" s="21" t="s">
        <v>462</v>
      </c>
      <c r="U2" s="20">
        <v>66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50</v>
      </c>
      <c r="AC2" s="20">
        <v>68</v>
      </c>
      <c r="AD2" s="21" t="s">
        <v>462</v>
      </c>
      <c r="AE2" s="20">
        <v>68</v>
      </c>
      <c r="AF2" s="20">
        <v>62</v>
      </c>
    </row>
    <row r="3" spans="1:32" ht="16.5" customHeight="1" x14ac:dyDescent="0.25">
      <c r="A3" s="17" t="s">
        <v>463</v>
      </c>
      <c r="B3" s="18" t="s">
        <v>464</v>
      </c>
      <c r="C3" s="19" t="s">
        <v>9</v>
      </c>
      <c r="D3" s="20">
        <v>0</v>
      </c>
      <c r="E3" s="20">
        <v>1</v>
      </c>
      <c r="F3" s="20">
        <v>1</v>
      </c>
      <c r="G3" s="20">
        <v>0</v>
      </c>
      <c r="H3" s="20">
        <v>0</v>
      </c>
      <c r="I3" s="20">
        <v>0</v>
      </c>
      <c r="J3" s="20">
        <v>5</v>
      </c>
      <c r="K3" s="20">
        <v>35</v>
      </c>
      <c r="L3" s="20">
        <v>78</v>
      </c>
      <c r="M3" s="21" t="s">
        <v>462</v>
      </c>
      <c r="N3" s="20">
        <v>78</v>
      </c>
      <c r="O3" s="20">
        <v>0</v>
      </c>
      <c r="P3" s="20">
        <v>1</v>
      </c>
      <c r="Q3" s="20">
        <v>5</v>
      </c>
      <c r="R3" s="20">
        <v>49.5</v>
      </c>
      <c r="S3" s="20">
        <v>73</v>
      </c>
      <c r="T3" s="21" t="s">
        <v>462</v>
      </c>
      <c r="U3" s="20">
        <v>73</v>
      </c>
      <c r="V3" s="20">
        <v>5</v>
      </c>
      <c r="W3" s="20">
        <v>5</v>
      </c>
      <c r="X3" s="20">
        <v>5</v>
      </c>
      <c r="Y3" s="20">
        <v>5</v>
      </c>
      <c r="Z3" s="20">
        <v>0</v>
      </c>
      <c r="AA3" s="20">
        <v>0</v>
      </c>
      <c r="AB3" s="20">
        <v>44</v>
      </c>
      <c r="AC3" s="20">
        <v>65</v>
      </c>
      <c r="AD3" s="21">
        <v>78</v>
      </c>
      <c r="AE3" s="20">
        <v>78</v>
      </c>
      <c r="AF3" s="20">
        <v>72</v>
      </c>
    </row>
    <row r="4" spans="1:32" ht="16.5" customHeight="1" x14ac:dyDescent="0.25">
      <c r="A4" s="17" t="s">
        <v>465</v>
      </c>
      <c r="B4" s="18" t="s">
        <v>464</v>
      </c>
      <c r="C4" s="19" t="s">
        <v>9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5</v>
      </c>
      <c r="K4" s="20">
        <v>45</v>
      </c>
      <c r="L4" s="20">
        <v>68</v>
      </c>
      <c r="M4" s="21" t="s">
        <v>462</v>
      </c>
      <c r="N4" s="20">
        <v>68</v>
      </c>
      <c r="O4" s="20">
        <v>1</v>
      </c>
      <c r="P4" s="20">
        <v>1</v>
      </c>
      <c r="Q4" s="20">
        <v>5</v>
      </c>
      <c r="R4" s="20">
        <v>49.5</v>
      </c>
      <c r="S4" s="20">
        <v>65</v>
      </c>
      <c r="T4" s="21">
        <v>70</v>
      </c>
      <c r="U4" s="20">
        <v>70</v>
      </c>
      <c r="V4" s="20">
        <v>5</v>
      </c>
      <c r="W4" s="20">
        <v>5</v>
      </c>
      <c r="X4" s="20">
        <v>5</v>
      </c>
      <c r="Y4" s="20">
        <v>5</v>
      </c>
      <c r="Z4" s="20">
        <v>5</v>
      </c>
      <c r="AA4" s="20">
        <v>5</v>
      </c>
      <c r="AB4" s="20">
        <v>46</v>
      </c>
      <c r="AC4" s="20">
        <v>65</v>
      </c>
      <c r="AD4" s="21">
        <v>62</v>
      </c>
      <c r="AE4" s="20">
        <v>65</v>
      </c>
      <c r="AF4" s="20">
        <v>68</v>
      </c>
    </row>
    <row r="5" spans="1:32" ht="16.5" customHeight="1" x14ac:dyDescent="0.25">
      <c r="A5" s="17" t="s">
        <v>466</v>
      </c>
      <c r="B5" s="18" t="s">
        <v>461</v>
      </c>
      <c r="C5" s="19" t="s">
        <v>9</v>
      </c>
      <c r="D5" s="20" t="s">
        <v>462</v>
      </c>
      <c r="E5" s="20" t="s">
        <v>462</v>
      </c>
      <c r="F5" s="20" t="s">
        <v>462</v>
      </c>
      <c r="G5" s="20" t="s">
        <v>462</v>
      </c>
      <c r="H5" s="20" t="s">
        <v>462</v>
      </c>
      <c r="I5" s="20" t="s">
        <v>462</v>
      </c>
      <c r="J5" s="20" t="s">
        <v>462</v>
      </c>
      <c r="K5" s="20" t="s">
        <v>462</v>
      </c>
      <c r="L5" s="20">
        <v>85</v>
      </c>
      <c r="M5" s="21" t="s">
        <v>462</v>
      </c>
      <c r="N5" s="20">
        <v>85</v>
      </c>
      <c r="O5" s="20">
        <v>0</v>
      </c>
      <c r="P5" s="20">
        <v>0</v>
      </c>
      <c r="Q5" s="20">
        <v>5</v>
      </c>
      <c r="R5" s="20">
        <v>45.5</v>
      </c>
      <c r="S5" s="20">
        <v>78</v>
      </c>
      <c r="T5" s="21" t="s">
        <v>462</v>
      </c>
      <c r="U5" s="20">
        <v>78</v>
      </c>
      <c r="V5" s="20">
        <v>5</v>
      </c>
      <c r="W5" s="20">
        <v>5</v>
      </c>
      <c r="X5" s="20">
        <v>5</v>
      </c>
      <c r="Y5" s="20">
        <v>0</v>
      </c>
      <c r="Z5" s="20">
        <v>0</v>
      </c>
      <c r="AA5" s="20">
        <v>0</v>
      </c>
      <c r="AB5" s="20">
        <v>50</v>
      </c>
      <c r="AC5" s="20">
        <v>68</v>
      </c>
      <c r="AD5" s="21">
        <v>75</v>
      </c>
      <c r="AE5" s="20">
        <v>75</v>
      </c>
      <c r="AF5" s="20">
        <v>80</v>
      </c>
    </row>
    <row r="6" spans="1:32" ht="16.5" customHeight="1" x14ac:dyDescent="0.25">
      <c r="A6" s="17" t="s">
        <v>467</v>
      </c>
      <c r="B6" s="18" t="s">
        <v>461</v>
      </c>
      <c r="C6" s="19" t="s">
        <v>9</v>
      </c>
      <c r="D6" s="20" t="s">
        <v>462</v>
      </c>
      <c r="E6" s="20" t="s">
        <v>462</v>
      </c>
      <c r="F6" s="20" t="s">
        <v>462</v>
      </c>
      <c r="G6" s="20" t="s">
        <v>462</v>
      </c>
      <c r="H6" s="20" t="s">
        <v>462</v>
      </c>
      <c r="I6" s="20" t="s">
        <v>462</v>
      </c>
      <c r="J6" s="20" t="s">
        <v>462</v>
      </c>
      <c r="K6" s="20" t="s">
        <v>462</v>
      </c>
      <c r="L6" s="20">
        <v>78</v>
      </c>
      <c r="M6" s="21">
        <v>76</v>
      </c>
      <c r="N6" s="20">
        <v>78</v>
      </c>
      <c r="O6" s="20">
        <v>1</v>
      </c>
      <c r="P6" s="20">
        <v>1</v>
      </c>
      <c r="Q6" s="20">
        <v>5</v>
      </c>
      <c r="R6" s="20">
        <v>45</v>
      </c>
      <c r="S6" s="20">
        <v>83</v>
      </c>
      <c r="T6" s="21" t="s">
        <v>462</v>
      </c>
      <c r="U6" s="20">
        <v>83</v>
      </c>
      <c r="V6" s="20">
        <v>0</v>
      </c>
      <c r="W6" s="20">
        <v>5</v>
      </c>
      <c r="X6" s="20">
        <v>5</v>
      </c>
      <c r="Y6" s="20">
        <v>5</v>
      </c>
      <c r="Z6" s="20">
        <v>0</v>
      </c>
      <c r="AA6" s="20">
        <v>0</v>
      </c>
      <c r="AB6" s="20">
        <v>50</v>
      </c>
      <c r="AC6" s="20">
        <v>75</v>
      </c>
      <c r="AD6" s="21">
        <v>78</v>
      </c>
      <c r="AE6" s="20">
        <v>78</v>
      </c>
      <c r="AF6" s="20">
        <v>75</v>
      </c>
    </row>
    <row r="7" spans="1:32" ht="16.5" customHeight="1" x14ac:dyDescent="0.25">
      <c r="A7" s="17" t="s">
        <v>468</v>
      </c>
      <c r="B7" s="18" t="s">
        <v>461</v>
      </c>
      <c r="C7" s="19" t="s">
        <v>10</v>
      </c>
      <c r="D7" s="20">
        <v>1</v>
      </c>
      <c r="E7" s="20">
        <v>1</v>
      </c>
      <c r="F7" s="20">
        <v>1</v>
      </c>
      <c r="G7" s="20">
        <v>1</v>
      </c>
      <c r="H7" s="20">
        <v>0</v>
      </c>
      <c r="I7" s="20">
        <v>0</v>
      </c>
      <c r="J7" s="20">
        <v>5</v>
      </c>
      <c r="K7" s="20">
        <v>43</v>
      </c>
      <c r="L7" s="20">
        <v>60</v>
      </c>
      <c r="M7" s="21" t="s">
        <v>462</v>
      </c>
      <c r="N7" s="20">
        <v>60</v>
      </c>
      <c r="O7" s="20">
        <v>1</v>
      </c>
      <c r="P7" s="20">
        <v>0</v>
      </c>
      <c r="Q7" s="20">
        <v>5</v>
      </c>
      <c r="R7" s="20">
        <v>39.5</v>
      </c>
      <c r="S7" s="20">
        <v>86</v>
      </c>
      <c r="T7" s="21" t="s">
        <v>462</v>
      </c>
      <c r="U7" s="20">
        <v>86</v>
      </c>
      <c r="V7" s="20">
        <v>0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50</v>
      </c>
      <c r="AC7" s="20">
        <v>72</v>
      </c>
      <c r="AD7" s="21">
        <v>65</v>
      </c>
      <c r="AE7" s="20">
        <v>72</v>
      </c>
      <c r="AF7" s="20">
        <v>68</v>
      </c>
    </row>
    <row r="8" spans="1:32" ht="16.5" customHeight="1" x14ac:dyDescent="0.25">
      <c r="A8" s="17" t="s">
        <v>469</v>
      </c>
      <c r="B8" s="18" t="s">
        <v>461</v>
      </c>
      <c r="C8" s="19" t="s">
        <v>9</v>
      </c>
      <c r="D8" s="20">
        <v>1</v>
      </c>
      <c r="E8" s="20">
        <v>1</v>
      </c>
      <c r="F8" s="20">
        <v>0.5</v>
      </c>
      <c r="G8" s="20">
        <v>1</v>
      </c>
      <c r="H8" s="20">
        <v>1</v>
      </c>
      <c r="I8" s="20">
        <v>0</v>
      </c>
      <c r="J8" s="20">
        <v>5</v>
      </c>
      <c r="K8" s="20">
        <v>35</v>
      </c>
      <c r="L8" s="20">
        <v>85</v>
      </c>
      <c r="M8" s="21" t="s">
        <v>462</v>
      </c>
      <c r="N8" s="20">
        <v>85</v>
      </c>
      <c r="O8" s="20">
        <v>1</v>
      </c>
      <c r="P8" s="20">
        <v>1</v>
      </c>
      <c r="Q8" s="20">
        <v>5</v>
      </c>
      <c r="R8" s="20">
        <v>38.5</v>
      </c>
      <c r="S8" s="20">
        <v>69</v>
      </c>
      <c r="T8" s="21">
        <v>73</v>
      </c>
      <c r="U8" s="20">
        <v>73</v>
      </c>
      <c r="V8" s="20">
        <v>5</v>
      </c>
      <c r="W8" s="20">
        <v>5</v>
      </c>
      <c r="X8" s="20">
        <v>0</v>
      </c>
      <c r="Y8" s="20">
        <v>5</v>
      </c>
      <c r="Z8" s="20">
        <v>0</v>
      </c>
      <c r="AA8" s="20">
        <v>0</v>
      </c>
      <c r="AB8" s="20">
        <v>41</v>
      </c>
      <c r="AC8" s="20">
        <v>72</v>
      </c>
      <c r="AD8" s="21">
        <v>85</v>
      </c>
      <c r="AE8" s="20">
        <v>85</v>
      </c>
      <c r="AF8" s="20">
        <v>75</v>
      </c>
    </row>
    <row r="9" spans="1:32" ht="16.5" customHeight="1" x14ac:dyDescent="0.25">
      <c r="A9" s="17" t="s">
        <v>470</v>
      </c>
      <c r="B9" s="18" t="s">
        <v>464</v>
      </c>
      <c r="C9" s="19" t="s">
        <v>8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5</v>
      </c>
      <c r="K9" s="20">
        <v>48</v>
      </c>
      <c r="L9" s="20">
        <v>95</v>
      </c>
      <c r="M9" s="21" t="s">
        <v>462</v>
      </c>
      <c r="N9" s="20">
        <v>95</v>
      </c>
      <c r="O9" s="20">
        <v>1</v>
      </c>
      <c r="P9" s="20">
        <v>1</v>
      </c>
      <c r="Q9" s="20">
        <v>5</v>
      </c>
      <c r="R9" s="20">
        <v>50</v>
      </c>
      <c r="S9" s="20">
        <v>92</v>
      </c>
      <c r="T9" s="21" t="s">
        <v>462</v>
      </c>
      <c r="U9" s="20">
        <v>92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50</v>
      </c>
      <c r="AC9" s="20">
        <v>82</v>
      </c>
      <c r="AD9" s="21">
        <v>88</v>
      </c>
      <c r="AE9" s="20">
        <v>88</v>
      </c>
      <c r="AF9" s="20">
        <v>92</v>
      </c>
    </row>
    <row r="10" spans="1:32" ht="16.5" customHeight="1" x14ac:dyDescent="0.25">
      <c r="A10" s="17" t="s">
        <v>471</v>
      </c>
      <c r="B10" s="18" t="s">
        <v>461</v>
      </c>
      <c r="C10" s="19" t="s">
        <v>9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5</v>
      </c>
      <c r="K10" s="20">
        <v>48</v>
      </c>
      <c r="L10" s="20">
        <v>92</v>
      </c>
      <c r="M10" s="21" t="s">
        <v>462</v>
      </c>
      <c r="N10" s="20">
        <v>92</v>
      </c>
      <c r="O10" s="20">
        <v>1</v>
      </c>
      <c r="P10" s="20">
        <v>1</v>
      </c>
      <c r="Q10" s="20">
        <v>5</v>
      </c>
      <c r="R10" s="20">
        <v>50</v>
      </c>
      <c r="S10" s="20">
        <v>93</v>
      </c>
      <c r="T10" s="21">
        <v>86</v>
      </c>
      <c r="U10" s="20">
        <v>93</v>
      </c>
      <c r="V10" s="20">
        <v>5</v>
      </c>
      <c r="W10" s="20">
        <v>5</v>
      </c>
      <c r="X10" s="20">
        <v>5</v>
      </c>
      <c r="Y10" s="20">
        <v>5</v>
      </c>
      <c r="Z10" s="20">
        <v>5</v>
      </c>
      <c r="AA10" s="20">
        <v>5</v>
      </c>
      <c r="AB10" s="20">
        <v>50</v>
      </c>
      <c r="AC10" s="20">
        <v>92</v>
      </c>
      <c r="AD10" s="21">
        <v>92</v>
      </c>
      <c r="AE10" s="20">
        <v>92</v>
      </c>
      <c r="AF10" s="20">
        <v>92</v>
      </c>
    </row>
    <row r="11" spans="1:32" ht="16.5" customHeight="1" x14ac:dyDescent="0.25">
      <c r="A11" s="17" t="s">
        <v>472</v>
      </c>
      <c r="B11" s="18" t="s">
        <v>461</v>
      </c>
      <c r="C11" s="19" t="s">
        <v>8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5</v>
      </c>
      <c r="K11" s="20">
        <v>47</v>
      </c>
      <c r="L11" s="20">
        <v>100</v>
      </c>
      <c r="M11" s="21" t="s">
        <v>462</v>
      </c>
      <c r="N11" s="20">
        <v>100</v>
      </c>
      <c r="O11" s="20">
        <v>1</v>
      </c>
      <c r="P11" s="20">
        <v>1</v>
      </c>
      <c r="Q11" s="20">
        <v>5</v>
      </c>
      <c r="R11" s="20">
        <v>50</v>
      </c>
      <c r="S11" s="20">
        <v>86</v>
      </c>
      <c r="T11" s="21" t="s">
        <v>462</v>
      </c>
      <c r="U11" s="20">
        <v>86</v>
      </c>
      <c r="V11" s="20">
        <v>5</v>
      </c>
      <c r="W11" s="20">
        <v>5</v>
      </c>
      <c r="X11" s="20">
        <v>5</v>
      </c>
      <c r="Y11" s="20">
        <v>5</v>
      </c>
      <c r="Z11" s="20">
        <v>5</v>
      </c>
      <c r="AA11" s="20">
        <v>5</v>
      </c>
      <c r="AB11" s="20">
        <v>50</v>
      </c>
      <c r="AC11" s="20">
        <v>95</v>
      </c>
      <c r="AD11" s="21" t="s">
        <v>462</v>
      </c>
      <c r="AE11" s="20">
        <v>95</v>
      </c>
      <c r="AF11" s="20">
        <v>92</v>
      </c>
    </row>
    <row r="12" spans="1:32" ht="16.5" customHeight="1" x14ac:dyDescent="0.25">
      <c r="A12" s="17" t="s">
        <v>473</v>
      </c>
      <c r="B12" s="18" t="s">
        <v>464</v>
      </c>
      <c r="C12" s="19" t="s">
        <v>9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44</v>
      </c>
      <c r="L12" s="20">
        <v>60</v>
      </c>
      <c r="M12" s="21" t="s">
        <v>462</v>
      </c>
      <c r="N12" s="20">
        <v>60</v>
      </c>
      <c r="O12" s="20">
        <v>0</v>
      </c>
      <c r="P12" s="20">
        <v>0</v>
      </c>
      <c r="Q12" s="20">
        <v>4</v>
      </c>
      <c r="R12" s="20">
        <v>31.5</v>
      </c>
      <c r="S12" s="20">
        <v>78</v>
      </c>
      <c r="T12" s="21" t="s">
        <v>462</v>
      </c>
      <c r="U12" s="20">
        <v>78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12</v>
      </c>
      <c r="AC12" s="20">
        <v>30</v>
      </c>
      <c r="AD12" s="21" t="s">
        <v>462</v>
      </c>
      <c r="AE12" s="20">
        <v>30</v>
      </c>
      <c r="AF12" s="20" t="s">
        <v>150</v>
      </c>
    </row>
    <row r="13" spans="1:32" ht="16.5" customHeight="1" x14ac:dyDescent="0.25">
      <c r="A13" s="17" t="s">
        <v>474</v>
      </c>
      <c r="B13" s="18" t="s">
        <v>461</v>
      </c>
      <c r="C13" s="19" t="s">
        <v>9</v>
      </c>
      <c r="D13" s="20">
        <v>1</v>
      </c>
      <c r="E13" s="20">
        <v>1</v>
      </c>
      <c r="F13" s="20">
        <v>1</v>
      </c>
      <c r="G13" s="20">
        <v>1</v>
      </c>
      <c r="H13" s="20">
        <v>0</v>
      </c>
      <c r="I13" s="20">
        <v>0</v>
      </c>
      <c r="J13" s="20">
        <v>5</v>
      </c>
      <c r="K13" s="20">
        <v>48</v>
      </c>
      <c r="L13" s="20">
        <v>68</v>
      </c>
      <c r="M13" s="21">
        <v>78</v>
      </c>
      <c r="N13" s="20">
        <v>78</v>
      </c>
      <c r="O13" s="20">
        <v>0</v>
      </c>
      <c r="P13" s="20">
        <v>0</v>
      </c>
      <c r="Q13" s="20">
        <v>5</v>
      </c>
      <c r="R13" s="20">
        <v>40</v>
      </c>
      <c r="S13" s="20">
        <v>80</v>
      </c>
      <c r="T13" s="21" t="s">
        <v>462</v>
      </c>
      <c r="U13" s="20">
        <v>80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50</v>
      </c>
      <c r="AC13" s="20">
        <v>65</v>
      </c>
      <c r="AD13" s="21">
        <v>68</v>
      </c>
      <c r="AE13" s="20">
        <v>68</v>
      </c>
      <c r="AF13" s="20">
        <v>72</v>
      </c>
    </row>
    <row r="14" spans="1:32" ht="16.5" customHeight="1" x14ac:dyDescent="0.25">
      <c r="A14" s="17" t="s">
        <v>475</v>
      </c>
      <c r="B14" s="18" t="s">
        <v>461</v>
      </c>
      <c r="C14" s="19" t="s">
        <v>8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0</v>
      </c>
      <c r="J14" s="20">
        <v>5</v>
      </c>
      <c r="K14" s="20">
        <v>48</v>
      </c>
      <c r="L14" s="20">
        <v>72</v>
      </c>
      <c r="M14" s="21">
        <v>78</v>
      </c>
      <c r="N14" s="20">
        <v>78</v>
      </c>
      <c r="O14" s="20">
        <v>1</v>
      </c>
      <c r="P14" s="20">
        <v>0</v>
      </c>
      <c r="Q14" s="20">
        <v>5</v>
      </c>
      <c r="R14" s="20">
        <v>50</v>
      </c>
      <c r="S14" s="20">
        <v>88</v>
      </c>
      <c r="T14" s="21" t="s">
        <v>462</v>
      </c>
      <c r="U14" s="20">
        <v>88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47</v>
      </c>
      <c r="AC14" s="20">
        <v>65</v>
      </c>
      <c r="AD14" s="21">
        <v>65</v>
      </c>
      <c r="AE14" s="20">
        <v>65</v>
      </c>
      <c r="AF14" s="20">
        <v>82</v>
      </c>
    </row>
    <row r="15" spans="1:32" ht="16.5" customHeight="1" x14ac:dyDescent="0.25">
      <c r="A15" s="17" t="s">
        <v>476</v>
      </c>
      <c r="B15" s="18" t="s">
        <v>461</v>
      </c>
      <c r="C15" s="19" t="s">
        <v>9</v>
      </c>
      <c r="D15" s="20">
        <v>1</v>
      </c>
      <c r="E15" s="20">
        <v>1</v>
      </c>
      <c r="F15" s="20">
        <v>1</v>
      </c>
      <c r="G15" s="20">
        <v>1</v>
      </c>
      <c r="H15" s="20">
        <v>0</v>
      </c>
      <c r="I15" s="20">
        <v>0</v>
      </c>
      <c r="J15" s="20">
        <v>5</v>
      </c>
      <c r="K15" s="20">
        <v>48</v>
      </c>
      <c r="L15" s="20">
        <v>72</v>
      </c>
      <c r="M15" s="21" t="s">
        <v>462</v>
      </c>
      <c r="N15" s="20">
        <v>72</v>
      </c>
      <c r="O15" s="20">
        <v>0</v>
      </c>
      <c r="P15" s="20">
        <v>0</v>
      </c>
      <c r="Q15" s="20">
        <v>5</v>
      </c>
      <c r="R15" s="20">
        <v>29</v>
      </c>
      <c r="S15" s="20">
        <v>67</v>
      </c>
      <c r="T15" s="21" t="s">
        <v>462</v>
      </c>
      <c r="U15" s="20">
        <v>67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47</v>
      </c>
      <c r="AC15" s="20">
        <v>65</v>
      </c>
      <c r="AD15" s="21">
        <v>76</v>
      </c>
      <c r="AE15" s="20">
        <v>76</v>
      </c>
      <c r="AF15" s="20">
        <v>62</v>
      </c>
    </row>
    <row r="16" spans="1:32" ht="16.5" customHeight="1" x14ac:dyDescent="0.25">
      <c r="A16" s="17" t="s">
        <v>477</v>
      </c>
      <c r="B16" s="18" t="s">
        <v>461</v>
      </c>
      <c r="C16" s="19" t="s">
        <v>8</v>
      </c>
      <c r="D16" s="20" t="s">
        <v>150</v>
      </c>
      <c r="E16" s="20" t="s">
        <v>150</v>
      </c>
      <c r="F16" s="20" t="s">
        <v>150</v>
      </c>
      <c r="G16" s="20" t="s">
        <v>150</v>
      </c>
      <c r="H16" s="20" t="s">
        <v>150</v>
      </c>
      <c r="I16" s="20" t="s">
        <v>150</v>
      </c>
      <c r="J16" s="20" t="s">
        <v>150</v>
      </c>
      <c r="K16" s="20" t="s">
        <v>150</v>
      </c>
      <c r="L16" s="20">
        <v>85</v>
      </c>
      <c r="M16" s="21">
        <v>92</v>
      </c>
      <c r="N16" s="20">
        <v>92</v>
      </c>
      <c r="O16" s="20">
        <v>1</v>
      </c>
      <c r="P16" s="20">
        <v>1</v>
      </c>
      <c r="Q16" s="20">
        <v>5</v>
      </c>
      <c r="R16" s="20">
        <v>44</v>
      </c>
      <c r="S16" s="20">
        <v>93</v>
      </c>
      <c r="T16" s="21" t="s">
        <v>462</v>
      </c>
      <c r="U16" s="20">
        <v>93</v>
      </c>
      <c r="V16" s="20">
        <v>5</v>
      </c>
      <c r="W16" s="20">
        <v>5</v>
      </c>
      <c r="X16" s="20">
        <v>5</v>
      </c>
      <c r="Y16" s="20">
        <v>5</v>
      </c>
      <c r="Z16" s="20">
        <v>0</v>
      </c>
      <c r="AA16" s="20">
        <v>5</v>
      </c>
      <c r="AB16" s="20">
        <v>47</v>
      </c>
      <c r="AC16" s="20">
        <v>92</v>
      </c>
      <c r="AD16" s="21">
        <v>85</v>
      </c>
      <c r="AE16" s="20">
        <v>92</v>
      </c>
      <c r="AF16" s="20">
        <v>85</v>
      </c>
    </row>
    <row r="17" spans="1:32" ht="16.5" customHeight="1" x14ac:dyDescent="0.25">
      <c r="A17" s="17" t="s">
        <v>478</v>
      </c>
      <c r="B17" s="18" t="s">
        <v>464</v>
      </c>
      <c r="C17" s="19" t="s">
        <v>9</v>
      </c>
      <c r="D17" s="20" t="s">
        <v>150</v>
      </c>
      <c r="E17" s="20" t="s">
        <v>150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44</v>
      </c>
      <c r="L17" s="20">
        <v>60</v>
      </c>
      <c r="M17" s="21" t="s">
        <v>462</v>
      </c>
      <c r="N17" s="20">
        <v>60</v>
      </c>
      <c r="O17" s="20">
        <v>0</v>
      </c>
      <c r="P17" s="20">
        <v>0</v>
      </c>
      <c r="Q17" s="20">
        <v>2.5</v>
      </c>
      <c r="R17" s="20">
        <v>49.5</v>
      </c>
      <c r="S17" s="20">
        <v>63</v>
      </c>
      <c r="T17" s="21" t="s">
        <v>462</v>
      </c>
      <c r="U17" s="20">
        <v>63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50</v>
      </c>
      <c r="AC17" s="20">
        <v>62</v>
      </c>
      <c r="AD17" s="21" t="s">
        <v>462</v>
      </c>
      <c r="AE17" s="20">
        <v>62</v>
      </c>
      <c r="AF17" s="20">
        <v>30</v>
      </c>
    </row>
    <row r="18" spans="1:32" ht="16.5" customHeight="1" x14ac:dyDescent="0.25">
      <c r="A18" s="17" t="s">
        <v>479</v>
      </c>
      <c r="B18" s="18" t="s">
        <v>461</v>
      </c>
      <c r="C18" s="19" t="s">
        <v>9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0</v>
      </c>
      <c r="J18" s="20">
        <v>5</v>
      </c>
      <c r="K18" s="20">
        <v>48</v>
      </c>
      <c r="L18" s="20">
        <v>88</v>
      </c>
      <c r="M18" s="21">
        <v>95</v>
      </c>
      <c r="N18" s="20">
        <v>88</v>
      </c>
      <c r="O18" s="20">
        <v>1</v>
      </c>
      <c r="P18" s="20">
        <v>1</v>
      </c>
      <c r="Q18" s="20">
        <v>5</v>
      </c>
      <c r="R18" s="20">
        <v>50</v>
      </c>
      <c r="S18" s="20">
        <v>86</v>
      </c>
      <c r="T18" s="21">
        <v>85</v>
      </c>
      <c r="U18" s="20">
        <v>86</v>
      </c>
      <c r="V18" s="20">
        <v>5</v>
      </c>
      <c r="W18" s="20">
        <v>5</v>
      </c>
      <c r="X18" s="20">
        <v>5</v>
      </c>
      <c r="Y18" s="20">
        <v>5</v>
      </c>
      <c r="Z18" s="20">
        <v>5</v>
      </c>
      <c r="AA18" s="20">
        <v>5</v>
      </c>
      <c r="AB18" s="20">
        <v>50</v>
      </c>
      <c r="AC18" s="20">
        <v>88</v>
      </c>
      <c r="AD18" s="21">
        <v>88</v>
      </c>
      <c r="AE18" s="20">
        <v>88</v>
      </c>
      <c r="AF18" s="20">
        <v>78</v>
      </c>
    </row>
    <row r="19" spans="1:32" ht="16.5" customHeight="1" x14ac:dyDescent="0.25">
      <c r="A19" s="17" t="s">
        <v>480</v>
      </c>
      <c r="B19" s="18" t="s">
        <v>464</v>
      </c>
      <c r="C19" s="19" t="s">
        <v>9</v>
      </c>
      <c r="D19" s="20" t="s">
        <v>462</v>
      </c>
      <c r="E19" s="20" t="s">
        <v>462</v>
      </c>
      <c r="F19" s="20" t="s">
        <v>462</v>
      </c>
      <c r="G19" s="20" t="s">
        <v>462</v>
      </c>
      <c r="H19" s="20" t="s">
        <v>462</v>
      </c>
      <c r="I19" s="20" t="s">
        <v>462</v>
      </c>
      <c r="J19" s="20" t="s">
        <v>462</v>
      </c>
      <c r="K19" s="20" t="s">
        <v>462</v>
      </c>
      <c r="L19" s="20">
        <v>72</v>
      </c>
      <c r="M19" s="21" t="s">
        <v>462</v>
      </c>
      <c r="N19" s="20">
        <v>72</v>
      </c>
      <c r="O19" s="20">
        <v>1</v>
      </c>
      <c r="P19" s="20">
        <v>1</v>
      </c>
      <c r="Q19" s="20">
        <v>5</v>
      </c>
      <c r="R19" s="20">
        <v>50</v>
      </c>
      <c r="S19" s="20">
        <v>95</v>
      </c>
      <c r="T19" s="21">
        <v>88</v>
      </c>
      <c r="U19" s="20">
        <v>95</v>
      </c>
      <c r="V19" s="20">
        <v>5</v>
      </c>
      <c r="W19" s="20">
        <v>5</v>
      </c>
      <c r="X19" s="20">
        <v>5</v>
      </c>
      <c r="Y19" s="20">
        <v>5</v>
      </c>
      <c r="Z19" s="20">
        <v>5</v>
      </c>
      <c r="AA19" s="20">
        <v>5</v>
      </c>
      <c r="AB19" s="20">
        <v>50</v>
      </c>
      <c r="AC19" s="20">
        <v>85</v>
      </c>
      <c r="AD19" s="21">
        <v>95</v>
      </c>
      <c r="AE19" s="20">
        <v>95</v>
      </c>
      <c r="AF19" s="20">
        <v>72</v>
      </c>
    </row>
    <row r="20" spans="1:32" ht="16.5" customHeight="1" x14ac:dyDescent="0.25">
      <c r="A20" s="17" t="s">
        <v>481</v>
      </c>
      <c r="B20" s="18" t="s">
        <v>464</v>
      </c>
      <c r="C20" s="19" t="s">
        <v>9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0</v>
      </c>
      <c r="J20" s="20">
        <v>5</v>
      </c>
      <c r="K20" s="20">
        <v>39</v>
      </c>
      <c r="L20" s="20">
        <v>90</v>
      </c>
      <c r="M20" s="21" t="s">
        <v>462</v>
      </c>
      <c r="N20" s="20">
        <v>90</v>
      </c>
      <c r="O20" s="20">
        <v>1</v>
      </c>
      <c r="P20" s="20">
        <v>0</v>
      </c>
      <c r="Q20" s="20">
        <v>5</v>
      </c>
      <c r="R20" s="20">
        <v>44</v>
      </c>
      <c r="S20" s="20">
        <v>76</v>
      </c>
      <c r="T20" s="21" t="s">
        <v>462</v>
      </c>
      <c r="U20" s="20">
        <v>76</v>
      </c>
      <c r="V20" s="20">
        <v>5</v>
      </c>
      <c r="W20" s="20">
        <v>5</v>
      </c>
      <c r="X20" s="20">
        <v>5</v>
      </c>
      <c r="Y20" s="20">
        <v>5</v>
      </c>
      <c r="Z20" s="20">
        <v>5</v>
      </c>
      <c r="AA20" s="20">
        <v>0</v>
      </c>
      <c r="AB20" s="20">
        <v>48</v>
      </c>
      <c r="AC20" s="20">
        <v>82</v>
      </c>
      <c r="AD20" s="21" t="s">
        <v>462</v>
      </c>
      <c r="AE20" s="20">
        <v>82</v>
      </c>
      <c r="AF20" s="20">
        <v>68</v>
      </c>
    </row>
    <row r="21" spans="1:32" ht="16.5" customHeight="1" x14ac:dyDescent="0.25">
      <c r="A21" s="17" t="s">
        <v>482</v>
      </c>
      <c r="B21" s="18" t="s">
        <v>461</v>
      </c>
      <c r="C21" s="19" t="s">
        <v>8</v>
      </c>
      <c r="D21" s="20">
        <v>1</v>
      </c>
      <c r="E21" s="20">
        <v>1</v>
      </c>
      <c r="F21" s="20">
        <v>1</v>
      </c>
      <c r="G21" s="20">
        <v>1</v>
      </c>
      <c r="H21" s="20">
        <v>0</v>
      </c>
      <c r="I21" s="20">
        <v>0</v>
      </c>
      <c r="J21" s="20">
        <v>5</v>
      </c>
      <c r="K21" s="20">
        <v>47</v>
      </c>
      <c r="L21" s="20">
        <v>92</v>
      </c>
      <c r="M21" s="21" t="s">
        <v>462</v>
      </c>
      <c r="N21" s="20">
        <v>92</v>
      </c>
      <c r="O21" s="20">
        <v>1</v>
      </c>
      <c r="P21" s="20">
        <v>1</v>
      </c>
      <c r="Q21" s="20">
        <v>5</v>
      </c>
      <c r="R21" s="20" t="s">
        <v>150</v>
      </c>
      <c r="S21" s="20">
        <v>85</v>
      </c>
      <c r="T21" s="21" t="s">
        <v>462</v>
      </c>
      <c r="U21" s="20">
        <v>85</v>
      </c>
      <c r="V21" s="20">
        <v>5</v>
      </c>
      <c r="W21" s="20">
        <v>0</v>
      </c>
      <c r="X21" s="20">
        <v>0</v>
      </c>
      <c r="Y21" s="20">
        <v>5</v>
      </c>
      <c r="Z21" s="20">
        <v>5</v>
      </c>
      <c r="AA21" s="20">
        <v>0</v>
      </c>
      <c r="AB21" s="20">
        <v>50</v>
      </c>
      <c r="AC21" s="20">
        <v>75</v>
      </c>
      <c r="AD21" s="21">
        <v>78</v>
      </c>
      <c r="AE21" s="20">
        <v>78</v>
      </c>
      <c r="AF21" s="20">
        <v>72</v>
      </c>
    </row>
    <row r="22" spans="1:32" ht="16.5" customHeight="1" x14ac:dyDescent="0.25">
      <c r="A22" s="17" t="s">
        <v>483</v>
      </c>
      <c r="B22" s="18" t="s">
        <v>464</v>
      </c>
      <c r="C22" s="19" t="s">
        <v>9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5</v>
      </c>
      <c r="K22" s="20">
        <v>32</v>
      </c>
      <c r="L22" s="20">
        <v>82</v>
      </c>
      <c r="M22" s="21" t="s">
        <v>462</v>
      </c>
      <c r="N22" s="20">
        <v>82</v>
      </c>
      <c r="O22" s="20">
        <v>0</v>
      </c>
      <c r="P22" s="20">
        <v>0</v>
      </c>
      <c r="Q22" s="20">
        <v>5</v>
      </c>
      <c r="R22" s="20">
        <v>32</v>
      </c>
      <c r="S22" s="20">
        <v>78</v>
      </c>
      <c r="T22" s="21" t="s">
        <v>462</v>
      </c>
      <c r="U22" s="20">
        <v>78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20</v>
      </c>
      <c r="AC22" s="20">
        <v>72</v>
      </c>
      <c r="AD22" s="21" t="s">
        <v>462</v>
      </c>
      <c r="AE22" s="20">
        <v>72</v>
      </c>
      <c r="AF22" s="20">
        <v>65</v>
      </c>
    </row>
    <row r="23" spans="1:32" ht="16.5" customHeight="1" x14ac:dyDescent="0.25">
      <c r="A23" s="17" t="s">
        <v>484</v>
      </c>
      <c r="B23" s="18" t="s">
        <v>464</v>
      </c>
      <c r="C23" s="19" t="s">
        <v>9</v>
      </c>
      <c r="D23" s="20" t="s">
        <v>150</v>
      </c>
      <c r="E23" s="20" t="s">
        <v>150</v>
      </c>
      <c r="F23" s="20" t="s">
        <v>150</v>
      </c>
      <c r="G23" s="20" t="s">
        <v>150</v>
      </c>
      <c r="H23" s="20" t="s">
        <v>150</v>
      </c>
      <c r="I23" s="20" t="s">
        <v>150</v>
      </c>
      <c r="J23" s="20" t="s">
        <v>150</v>
      </c>
      <c r="K23" s="20" t="s">
        <v>150</v>
      </c>
      <c r="L23" s="20">
        <v>68</v>
      </c>
      <c r="M23" s="21" t="s">
        <v>462</v>
      </c>
      <c r="N23" s="20">
        <v>68</v>
      </c>
      <c r="O23" s="20">
        <v>1</v>
      </c>
      <c r="P23" s="20">
        <v>0</v>
      </c>
      <c r="Q23" s="20">
        <v>5</v>
      </c>
      <c r="R23" s="20">
        <v>43</v>
      </c>
      <c r="S23" s="20">
        <v>72</v>
      </c>
      <c r="T23" s="21">
        <v>68</v>
      </c>
      <c r="U23" s="20">
        <v>72</v>
      </c>
      <c r="V23" s="20">
        <v>5</v>
      </c>
      <c r="W23" s="20">
        <v>5</v>
      </c>
      <c r="X23" s="20">
        <v>3</v>
      </c>
      <c r="Y23" s="20">
        <v>1</v>
      </c>
      <c r="Z23" s="20">
        <v>0</v>
      </c>
      <c r="AA23" s="20">
        <v>0</v>
      </c>
      <c r="AB23" s="20">
        <v>44</v>
      </c>
      <c r="AC23" s="20">
        <v>78</v>
      </c>
      <c r="AD23" s="21" t="s">
        <v>462</v>
      </c>
      <c r="AE23" s="20">
        <v>78</v>
      </c>
      <c r="AF23" s="20">
        <v>65</v>
      </c>
    </row>
    <row r="24" spans="1:32" ht="16.5" customHeight="1" x14ac:dyDescent="0.25">
      <c r="A24" s="17" t="s">
        <v>485</v>
      </c>
      <c r="B24" s="18" t="s">
        <v>464</v>
      </c>
      <c r="C24" s="19" t="s">
        <v>10</v>
      </c>
      <c r="D24" s="20">
        <v>1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5</v>
      </c>
      <c r="K24" s="20">
        <v>48</v>
      </c>
      <c r="L24" s="20">
        <v>60</v>
      </c>
      <c r="M24" s="21" t="s">
        <v>462</v>
      </c>
      <c r="N24" s="20">
        <v>60</v>
      </c>
      <c r="O24" s="20">
        <v>1</v>
      </c>
      <c r="P24" s="20">
        <v>1</v>
      </c>
      <c r="Q24" s="20">
        <v>5</v>
      </c>
      <c r="R24" s="20">
        <v>50</v>
      </c>
      <c r="S24" s="20">
        <v>65</v>
      </c>
      <c r="T24" s="21">
        <v>65</v>
      </c>
      <c r="U24" s="20">
        <v>65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50</v>
      </c>
      <c r="AC24" s="20">
        <v>65</v>
      </c>
      <c r="AD24" s="21" t="s">
        <v>462</v>
      </c>
      <c r="AE24" s="20">
        <v>65</v>
      </c>
      <c r="AF24" s="20">
        <v>30</v>
      </c>
    </row>
    <row r="25" spans="1:32" ht="16.5" customHeight="1" x14ac:dyDescent="0.25">
      <c r="A25" s="17" t="s">
        <v>486</v>
      </c>
      <c r="B25" s="18" t="s">
        <v>464</v>
      </c>
      <c r="C25" s="19" t="s">
        <v>8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5</v>
      </c>
      <c r="K25" s="20">
        <v>0</v>
      </c>
      <c r="L25" s="20">
        <v>30</v>
      </c>
      <c r="M25" s="21">
        <v>66</v>
      </c>
      <c r="N25" s="21">
        <v>66</v>
      </c>
      <c r="O25" s="20">
        <v>0</v>
      </c>
      <c r="P25" s="20">
        <v>0</v>
      </c>
      <c r="Q25" s="20">
        <v>5</v>
      </c>
      <c r="R25" s="20">
        <v>50</v>
      </c>
      <c r="S25" s="20">
        <v>75</v>
      </c>
      <c r="T25" s="21" t="s">
        <v>462</v>
      </c>
      <c r="U25" s="20">
        <v>75</v>
      </c>
      <c r="V25" s="20">
        <v>0</v>
      </c>
      <c r="W25" s="20">
        <v>0</v>
      </c>
      <c r="X25" s="20">
        <v>0</v>
      </c>
      <c r="Y25" s="20">
        <v>0</v>
      </c>
      <c r="Z25" s="20">
        <v>5</v>
      </c>
      <c r="AA25" s="20">
        <v>5</v>
      </c>
      <c r="AB25" s="20">
        <v>50</v>
      </c>
      <c r="AC25" s="20">
        <v>68</v>
      </c>
      <c r="AD25" s="21" t="s">
        <v>462</v>
      </c>
      <c r="AE25" s="20">
        <v>68</v>
      </c>
      <c r="AF25" s="20">
        <v>30</v>
      </c>
    </row>
    <row r="26" spans="1:32" ht="16.5" customHeight="1" x14ac:dyDescent="0.25">
      <c r="A26" s="17" t="s">
        <v>487</v>
      </c>
      <c r="B26" s="18" t="s">
        <v>464</v>
      </c>
      <c r="C26" s="19" t="s">
        <v>10</v>
      </c>
      <c r="D26" s="20">
        <v>1</v>
      </c>
      <c r="E26" s="20">
        <v>1</v>
      </c>
      <c r="F26" s="20">
        <v>0.5</v>
      </c>
      <c r="G26" s="20">
        <v>1</v>
      </c>
      <c r="H26" s="20">
        <v>1</v>
      </c>
      <c r="I26" s="20">
        <v>0</v>
      </c>
      <c r="J26" s="20">
        <v>5</v>
      </c>
      <c r="K26" s="20">
        <v>47</v>
      </c>
      <c r="L26" s="20">
        <v>48</v>
      </c>
      <c r="M26" s="21">
        <v>66</v>
      </c>
      <c r="N26" s="20">
        <v>66</v>
      </c>
      <c r="O26" s="20">
        <v>1</v>
      </c>
      <c r="P26" s="20">
        <v>1</v>
      </c>
      <c r="Q26" s="20">
        <v>5</v>
      </c>
      <c r="R26" s="20">
        <v>50</v>
      </c>
      <c r="S26" s="20">
        <v>68</v>
      </c>
      <c r="T26" s="21">
        <v>73</v>
      </c>
      <c r="U26" s="20">
        <v>73</v>
      </c>
      <c r="V26" s="20">
        <v>3</v>
      </c>
      <c r="W26" s="20">
        <v>5</v>
      </c>
      <c r="X26" s="20">
        <v>5</v>
      </c>
      <c r="Y26" s="20">
        <v>5</v>
      </c>
      <c r="Z26" s="20">
        <v>2</v>
      </c>
      <c r="AA26" s="20">
        <v>5</v>
      </c>
      <c r="AB26" s="20">
        <v>50</v>
      </c>
      <c r="AC26" s="20">
        <v>62</v>
      </c>
      <c r="AD26" s="21">
        <v>30</v>
      </c>
      <c r="AE26" s="20">
        <v>62</v>
      </c>
      <c r="AF26" s="20">
        <v>68</v>
      </c>
    </row>
    <row r="27" spans="1:32" ht="16.5" customHeight="1" x14ac:dyDescent="0.25">
      <c r="A27" s="17" t="s">
        <v>488</v>
      </c>
      <c r="B27" s="18" t="s">
        <v>464</v>
      </c>
      <c r="C27" s="19" t="s">
        <v>9</v>
      </c>
      <c r="D27" s="20">
        <v>1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5</v>
      </c>
      <c r="K27" s="20">
        <v>31</v>
      </c>
      <c r="L27" s="20">
        <v>78</v>
      </c>
      <c r="M27" s="21" t="s">
        <v>462</v>
      </c>
      <c r="N27" s="20">
        <v>78</v>
      </c>
      <c r="O27" s="20">
        <v>0</v>
      </c>
      <c r="P27" s="20">
        <v>0</v>
      </c>
      <c r="Q27" s="20">
        <v>5</v>
      </c>
      <c r="R27" s="20">
        <v>42</v>
      </c>
      <c r="S27" s="20">
        <v>65</v>
      </c>
      <c r="T27" s="21" t="s">
        <v>462</v>
      </c>
      <c r="U27" s="20">
        <v>65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34</v>
      </c>
      <c r="AC27" s="20">
        <v>68</v>
      </c>
      <c r="AD27" s="21" t="s">
        <v>462</v>
      </c>
      <c r="AE27" s="20">
        <v>68</v>
      </c>
      <c r="AF27" s="20">
        <v>62</v>
      </c>
    </row>
    <row r="28" spans="1:32" ht="16.5" customHeight="1" x14ac:dyDescent="0.25">
      <c r="A28" s="17" t="s">
        <v>489</v>
      </c>
      <c r="B28" s="18" t="s">
        <v>461</v>
      </c>
      <c r="C28" s="19" t="s">
        <v>8</v>
      </c>
      <c r="D28" s="20" t="s">
        <v>150</v>
      </c>
      <c r="E28" s="20" t="s">
        <v>150</v>
      </c>
      <c r="F28" s="20" t="s">
        <v>150</v>
      </c>
      <c r="G28" s="20" t="s">
        <v>150</v>
      </c>
      <c r="H28" s="20" t="s">
        <v>150</v>
      </c>
      <c r="I28" s="20" t="s">
        <v>150</v>
      </c>
      <c r="J28" s="20" t="s">
        <v>150</v>
      </c>
      <c r="K28" s="20">
        <v>48</v>
      </c>
      <c r="L28" s="20">
        <v>96</v>
      </c>
      <c r="M28" s="21" t="s">
        <v>462</v>
      </c>
      <c r="N28" s="20">
        <v>96</v>
      </c>
      <c r="O28" s="20">
        <v>1</v>
      </c>
      <c r="P28" s="20">
        <v>1</v>
      </c>
      <c r="Q28" s="20">
        <v>5</v>
      </c>
      <c r="R28" s="20">
        <v>50</v>
      </c>
      <c r="S28" s="20">
        <v>92</v>
      </c>
      <c r="T28" s="21" t="s">
        <v>462</v>
      </c>
      <c r="U28" s="20">
        <v>92</v>
      </c>
      <c r="V28" s="20">
        <v>5</v>
      </c>
      <c r="W28" s="20">
        <v>5</v>
      </c>
      <c r="X28" s="20">
        <v>5</v>
      </c>
      <c r="Y28" s="20">
        <v>5</v>
      </c>
      <c r="Z28" s="20">
        <v>5</v>
      </c>
      <c r="AA28" s="20">
        <v>5</v>
      </c>
      <c r="AB28" s="20">
        <v>50</v>
      </c>
      <c r="AC28" s="20">
        <v>82</v>
      </c>
      <c r="AD28" s="21">
        <v>88</v>
      </c>
      <c r="AE28" s="20">
        <v>88</v>
      </c>
      <c r="AF28" s="20">
        <v>92</v>
      </c>
    </row>
    <row r="29" spans="1:32" ht="16.5" customHeight="1" x14ac:dyDescent="0.25">
      <c r="A29" s="17" t="s">
        <v>490</v>
      </c>
      <c r="B29" s="18" t="s">
        <v>461</v>
      </c>
      <c r="C29" s="19" t="s">
        <v>8</v>
      </c>
      <c r="D29" s="20" t="s">
        <v>150</v>
      </c>
      <c r="E29" s="20" t="s">
        <v>150</v>
      </c>
      <c r="F29" s="20" t="s">
        <v>150</v>
      </c>
      <c r="G29" s="20" t="s">
        <v>150</v>
      </c>
      <c r="H29" s="20" t="s">
        <v>150</v>
      </c>
      <c r="I29" s="20" t="s">
        <v>150</v>
      </c>
      <c r="J29" s="20" t="s">
        <v>150</v>
      </c>
      <c r="K29" s="20"/>
      <c r="L29" s="20">
        <v>88</v>
      </c>
      <c r="M29" s="21">
        <v>88</v>
      </c>
      <c r="N29" s="20">
        <v>88</v>
      </c>
      <c r="O29" s="20">
        <v>1</v>
      </c>
      <c r="P29" s="20">
        <v>1</v>
      </c>
      <c r="Q29" s="20">
        <v>5</v>
      </c>
      <c r="R29" s="20">
        <v>49.5</v>
      </c>
      <c r="S29" s="20">
        <v>90</v>
      </c>
      <c r="T29" s="21">
        <v>92</v>
      </c>
      <c r="U29" s="20">
        <v>92</v>
      </c>
      <c r="V29" s="20">
        <v>5</v>
      </c>
      <c r="W29" s="20">
        <v>5</v>
      </c>
      <c r="X29" s="20">
        <v>5</v>
      </c>
      <c r="Y29" s="20">
        <v>5</v>
      </c>
      <c r="Z29" s="20">
        <v>0</v>
      </c>
      <c r="AA29" s="20">
        <v>0</v>
      </c>
      <c r="AB29" s="20">
        <v>50</v>
      </c>
      <c r="AC29" s="20">
        <v>85</v>
      </c>
      <c r="AD29" s="21">
        <v>95</v>
      </c>
      <c r="AE29" s="20">
        <v>95</v>
      </c>
      <c r="AF29" s="20">
        <v>85</v>
      </c>
    </row>
    <row r="30" spans="1:32" ht="16.5" customHeight="1" x14ac:dyDescent="0.25">
      <c r="A30" s="17" t="s">
        <v>491</v>
      </c>
      <c r="B30" s="18" t="s">
        <v>464</v>
      </c>
      <c r="C30" s="19" t="s">
        <v>9</v>
      </c>
      <c r="D30" s="20">
        <v>1</v>
      </c>
      <c r="E30" s="20">
        <v>1</v>
      </c>
      <c r="F30" s="20">
        <v>0</v>
      </c>
      <c r="G30" s="20">
        <v>0</v>
      </c>
      <c r="H30" s="20">
        <v>1</v>
      </c>
      <c r="I30" s="20">
        <v>0</v>
      </c>
      <c r="J30" s="20">
        <v>5</v>
      </c>
      <c r="K30" s="20">
        <v>47</v>
      </c>
      <c r="L30" s="20">
        <v>75</v>
      </c>
      <c r="M30" s="21" t="s">
        <v>462</v>
      </c>
      <c r="N30" s="20">
        <v>75</v>
      </c>
      <c r="O30" s="20">
        <v>1</v>
      </c>
      <c r="P30" s="20">
        <v>1</v>
      </c>
      <c r="Q30" s="20">
        <v>5</v>
      </c>
      <c r="R30" s="20">
        <v>49.5</v>
      </c>
      <c r="S30" s="20">
        <v>65</v>
      </c>
      <c r="T30" s="21" t="s">
        <v>462</v>
      </c>
      <c r="U30" s="20">
        <v>65</v>
      </c>
      <c r="V30" s="20">
        <v>5</v>
      </c>
      <c r="W30" s="20">
        <v>5</v>
      </c>
      <c r="X30" s="20">
        <v>5</v>
      </c>
      <c r="Y30" s="20">
        <v>5</v>
      </c>
      <c r="Z30" s="20">
        <v>0</v>
      </c>
      <c r="AA30" s="20">
        <v>0</v>
      </c>
      <c r="AB30" s="20">
        <v>32</v>
      </c>
      <c r="AC30" s="20">
        <v>65</v>
      </c>
      <c r="AD30" s="21" t="s">
        <v>462</v>
      </c>
      <c r="AE30" s="20">
        <v>65</v>
      </c>
      <c r="AF30" s="20">
        <v>65</v>
      </c>
    </row>
    <row r="31" spans="1:32" ht="16.5" customHeight="1" x14ac:dyDescent="0.25">
      <c r="A31" s="17" t="s">
        <v>492</v>
      </c>
      <c r="B31" s="18" t="s">
        <v>461</v>
      </c>
      <c r="C31" s="19" t="s">
        <v>8</v>
      </c>
      <c r="D31" s="20">
        <v>1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5</v>
      </c>
      <c r="K31" s="20">
        <v>49</v>
      </c>
      <c r="L31" s="20">
        <v>95</v>
      </c>
      <c r="M31" s="21" t="s">
        <v>462</v>
      </c>
      <c r="N31" s="20">
        <v>95</v>
      </c>
      <c r="O31" s="20">
        <v>1</v>
      </c>
      <c r="P31" s="20">
        <v>1</v>
      </c>
      <c r="Q31" s="20">
        <v>5</v>
      </c>
      <c r="R31" s="20">
        <v>50</v>
      </c>
      <c r="S31" s="20">
        <v>88</v>
      </c>
      <c r="T31" s="21" t="s">
        <v>462</v>
      </c>
      <c r="U31" s="20">
        <v>88</v>
      </c>
      <c r="V31" s="20">
        <v>5</v>
      </c>
      <c r="W31" s="20">
        <v>5</v>
      </c>
      <c r="X31" s="20">
        <v>5</v>
      </c>
      <c r="Y31" s="20">
        <v>5</v>
      </c>
      <c r="Z31" s="20">
        <v>5</v>
      </c>
      <c r="AA31" s="20">
        <v>5</v>
      </c>
      <c r="AB31" s="20">
        <v>50</v>
      </c>
      <c r="AC31" s="20">
        <v>92</v>
      </c>
      <c r="AD31" s="21" t="s">
        <v>462</v>
      </c>
      <c r="AE31" s="20">
        <v>92</v>
      </c>
      <c r="AF31" s="20">
        <v>88</v>
      </c>
    </row>
    <row r="32" spans="1:32" ht="16.5" customHeight="1" x14ac:dyDescent="0.25">
      <c r="A32" s="17" t="s">
        <v>493</v>
      </c>
      <c r="B32" s="18" t="s">
        <v>464</v>
      </c>
      <c r="C32" s="19" t="s">
        <v>9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5</v>
      </c>
      <c r="K32" s="20">
        <v>36</v>
      </c>
      <c r="L32" s="20">
        <v>85</v>
      </c>
      <c r="M32" s="21" t="s">
        <v>462</v>
      </c>
      <c r="N32" s="20">
        <v>85</v>
      </c>
      <c r="O32" s="20">
        <v>0</v>
      </c>
      <c r="P32" s="20">
        <v>0</v>
      </c>
      <c r="Q32" s="20">
        <v>5</v>
      </c>
      <c r="R32" s="20">
        <v>24</v>
      </c>
      <c r="S32" s="20">
        <v>76</v>
      </c>
      <c r="T32" s="21" t="s">
        <v>462</v>
      </c>
      <c r="U32" s="20">
        <v>76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9</v>
      </c>
      <c r="AC32" s="20">
        <v>68</v>
      </c>
      <c r="AD32" s="21">
        <v>64</v>
      </c>
      <c r="AE32" s="20">
        <v>68</v>
      </c>
      <c r="AF32" s="20">
        <v>72</v>
      </c>
    </row>
    <row r="33" spans="1:32" ht="16.5" customHeight="1" x14ac:dyDescent="0.25">
      <c r="A33" s="17" t="s">
        <v>494</v>
      </c>
      <c r="B33" s="18" t="s">
        <v>464</v>
      </c>
      <c r="C33" s="19" t="s">
        <v>8</v>
      </c>
      <c r="D33" s="20" t="s">
        <v>150</v>
      </c>
      <c r="E33" s="20" t="s">
        <v>150</v>
      </c>
      <c r="F33" s="20" t="s">
        <v>150</v>
      </c>
      <c r="G33" s="20" t="s">
        <v>150</v>
      </c>
      <c r="H33" s="20" t="s">
        <v>150</v>
      </c>
      <c r="I33" s="20" t="s">
        <v>150</v>
      </c>
      <c r="J33" s="20" t="s">
        <v>150</v>
      </c>
      <c r="K33" s="20" t="s">
        <v>150</v>
      </c>
      <c r="L33" s="20">
        <v>72</v>
      </c>
      <c r="M33" s="21">
        <v>92</v>
      </c>
      <c r="N33" s="20">
        <v>92</v>
      </c>
      <c r="O33" s="20">
        <v>1</v>
      </c>
      <c r="P33" s="20">
        <v>1</v>
      </c>
      <c r="Q33" s="20">
        <v>5</v>
      </c>
      <c r="R33" s="20">
        <v>50</v>
      </c>
      <c r="S33" s="20">
        <v>92</v>
      </c>
      <c r="T33" s="21" t="s">
        <v>462</v>
      </c>
      <c r="U33" s="20">
        <v>92</v>
      </c>
      <c r="V33" s="20">
        <v>5</v>
      </c>
      <c r="W33" s="20">
        <v>5</v>
      </c>
      <c r="X33" s="20">
        <v>5</v>
      </c>
      <c r="Y33" s="20">
        <v>5</v>
      </c>
      <c r="Z33" s="20">
        <v>5</v>
      </c>
      <c r="AA33" s="20">
        <v>5</v>
      </c>
      <c r="AB33" s="20">
        <v>50</v>
      </c>
      <c r="AC33" s="20">
        <v>72</v>
      </c>
      <c r="AD33" s="21">
        <v>92</v>
      </c>
      <c r="AE33" s="20">
        <v>92</v>
      </c>
      <c r="AF33" s="20">
        <v>95</v>
      </c>
    </row>
    <row r="34" spans="1:32" ht="16.5" customHeight="1" x14ac:dyDescent="0.25">
      <c r="A34" s="17" t="s">
        <v>495</v>
      </c>
      <c r="B34" s="18" t="s">
        <v>461</v>
      </c>
      <c r="C34" s="19" t="s">
        <v>9</v>
      </c>
      <c r="D34" s="20" t="s">
        <v>150</v>
      </c>
      <c r="E34" s="20" t="s">
        <v>150</v>
      </c>
      <c r="F34" s="20" t="s">
        <v>150</v>
      </c>
      <c r="G34" s="20" t="s">
        <v>150</v>
      </c>
      <c r="H34" s="20" t="s">
        <v>150</v>
      </c>
      <c r="I34" s="20" t="s">
        <v>150</v>
      </c>
      <c r="J34" s="20" t="s">
        <v>150</v>
      </c>
      <c r="K34" s="20" t="s">
        <v>150</v>
      </c>
      <c r="L34" s="20">
        <v>75</v>
      </c>
      <c r="M34" s="21" t="s">
        <v>462</v>
      </c>
      <c r="N34" s="20">
        <v>75</v>
      </c>
      <c r="O34" s="20">
        <v>0</v>
      </c>
      <c r="P34" s="20">
        <v>0</v>
      </c>
      <c r="Q34" s="20">
        <v>5</v>
      </c>
      <c r="R34" s="20">
        <v>27</v>
      </c>
      <c r="S34" s="20">
        <v>82</v>
      </c>
      <c r="T34" s="21" t="s">
        <v>462</v>
      </c>
      <c r="U34" s="20">
        <v>82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25</v>
      </c>
      <c r="AC34" s="20">
        <v>75</v>
      </c>
      <c r="AD34" s="21" t="s">
        <v>462</v>
      </c>
      <c r="AE34" s="20">
        <v>75</v>
      </c>
      <c r="AF34" s="20">
        <v>65</v>
      </c>
    </row>
    <row r="35" spans="1:32" ht="16.5" customHeight="1" x14ac:dyDescent="0.25">
      <c r="A35" s="17" t="s">
        <v>496</v>
      </c>
      <c r="B35" s="18" t="s">
        <v>461</v>
      </c>
      <c r="C35" s="19" t="s">
        <v>9</v>
      </c>
      <c r="D35" s="20">
        <v>1</v>
      </c>
      <c r="E35" s="20">
        <v>1</v>
      </c>
      <c r="F35" s="20">
        <v>1</v>
      </c>
      <c r="G35" s="20">
        <v>1</v>
      </c>
      <c r="H35" s="20">
        <v>1</v>
      </c>
      <c r="I35" s="20">
        <v>0</v>
      </c>
      <c r="J35" s="20">
        <v>5</v>
      </c>
      <c r="K35" s="20">
        <v>48</v>
      </c>
      <c r="L35" s="20">
        <v>73</v>
      </c>
      <c r="M35" s="21">
        <v>68</v>
      </c>
      <c r="N35" s="20">
        <v>73</v>
      </c>
      <c r="O35" s="20">
        <v>1</v>
      </c>
      <c r="P35" s="20">
        <v>1</v>
      </c>
      <c r="Q35" s="20">
        <v>5</v>
      </c>
      <c r="R35" s="20">
        <v>50</v>
      </c>
      <c r="S35" s="20">
        <v>67</v>
      </c>
      <c r="T35" s="21">
        <v>68</v>
      </c>
      <c r="U35" s="20">
        <v>68</v>
      </c>
      <c r="V35" s="20">
        <v>5</v>
      </c>
      <c r="W35" s="20">
        <v>5</v>
      </c>
      <c r="X35" s="20">
        <v>5</v>
      </c>
      <c r="Y35" s="20">
        <v>5</v>
      </c>
      <c r="Z35" s="20">
        <v>5</v>
      </c>
      <c r="AA35" s="20">
        <v>0</v>
      </c>
      <c r="AB35" s="20">
        <v>50</v>
      </c>
      <c r="AC35" s="20">
        <v>62</v>
      </c>
      <c r="AD35" s="21">
        <v>72</v>
      </c>
      <c r="AE35" s="20">
        <v>72</v>
      </c>
      <c r="AF35" s="20">
        <v>62</v>
      </c>
    </row>
    <row r="36" spans="1:32" ht="16.5" customHeight="1" x14ac:dyDescent="0.25">
      <c r="A36" s="17" t="s">
        <v>497</v>
      </c>
      <c r="B36" s="18" t="s">
        <v>464</v>
      </c>
      <c r="C36" s="19" t="s">
        <v>8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5</v>
      </c>
      <c r="K36" s="20">
        <v>44</v>
      </c>
      <c r="L36" s="20">
        <v>88</v>
      </c>
      <c r="M36" s="21" t="s">
        <v>462</v>
      </c>
      <c r="N36" s="20">
        <v>88</v>
      </c>
      <c r="O36" s="20">
        <v>0</v>
      </c>
      <c r="P36" s="20">
        <v>1</v>
      </c>
      <c r="Q36" s="20">
        <v>5</v>
      </c>
      <c r="R36" s="20">
        <v>50</v>
      </c>
      <c r="S36" s="20">
        <v>93</v>
      </c>
      <c r="T36" s="21" t="s">
        <v>150</v>
      </c>
      <c r="U36" s="20">
        <v>93</v>
      </c>
      <c r="V36" s="20">
        <v>5</v>
      </c>
      <c r="W36" s="20">
        <v>5</v>
      </c>
      <c r="X36" s="20">
        <v>5</v>
      </c>
      <c r="Y36" s="20">
        <v>0</v>
      </c>
      <c r="Z36" s="20">
        <v>0</v>
      </c>
      <c r="AA36" s="20">
        <v>0</v>
      </c>
      <c r="AB36" s="20">
        <v>50</v>
      </c>
      <c r="AC36" s="20">
        <v>88</v>
      </c>
      <c r="AD36" s="21">
        <v>95</v>
      </c>
      <c r="AE36" s="20">
        <v>95</v>
      </c>
      <c r="AF36" s="20">
        <v>92</v>
      </c>
    </row>
    <row r="37" spans="1:32" ht="16.5" customHeight="1" x14ac:dyDescent="0.25">
      <c r="A37" s="17" t="s">
        <v>498</v>
      </c>
      <c r="B37" s="22" t="s">
        <v>461</v>
      </c>
      <c r="C37" s="19" t="s">
        <v>9</v>
      </c>
      <c r="D37" s="23">
        <v>1</v>
      </c>
      <c r="E37" s="23">
        <v>1</v>
      </c>
      <c r="F37" s="23">
        <v>0</v>
      </c>
      <c r="G37" s="23">
        <v>0</v>
      </c>
      <c r="H37" s="23">
        <v>0</v>
      </c>
      <c r="I37" s="23">
        <v>0</v>
      </c>
      <c r="J37" s="23">
        <v>5</v>
      </c>
      <c r="K37" s="23">
        <v>39</v>
      </c>
      <c r="L37" s="23">
        <v>72</v>
      </c>
      <c r="M37" s="21" t="s">
        <v>462</v>
      </c>
      <c r="N37" s="23">
        <v>72</v>
      </c>
      <c r="O37" s="23">
        <v>1</v>
      </c>
      <c r="P37" s="23">
        <v>0</v>
      </c>
      <c r="Q37" s="23">
        <v>0</v>
      </c>
      <c r="R37" s="23">
        <v>42</v>
      </c>
      <c r="S37" s="23">
        <v>68</v>
      </c>
      <c r="T37" s="21" t="s">
        <v>462</v>
      </c>
      <c r="U37" s="23">
        <v>68</v>
      </c>
      <c r="V37" s="23">
        <v>5</v>
      </c>
      <c r="W37" s="23">
        <v>5</v>
      </c>
      <c r="X37" s="23">
        <v>5</v>
      </c>
      <c r="Y37" s="23">
        <v>5</v>
      </c>
      <c r="Z37" s="23">
        <v>0</v>
      </c>
      <c r="AA37" s="23">
        <v>0</v>
      </c>
      <c r="AB37" s="23">
        <v>50</v>
      </c>
      <c r="AC37" s="23">
        <v>72</v>
      </c>
      <c r="AD37" s="21" t="s">
        <v>462</v>
      </c>
      <c r="AE37" s="23">
        <v>72</v>
      </c>
      <c r="AF37" s="20">
        <v>62</v>
      </c>
    </row>
    <row r="38" spans="1:32" ht="16.5" customHeight="1" x14ac:dyDescent="0.25">
      <c r="A38" s="17" t="s">
        <v>499</v>
      </c>
      <c r="B38" s="22" t="s">
        <v>461</v>
      </c>
      <c r="C38" s="19" t="s">
        <v>9</v>
      </c>
      <c r="D38" s="23">
        <v>1</v>
      </c>
      <c r="E38" s="23">
        <v>1</v>
      </c>
      <c r="F38" s="23">
        <v>0</v>
      </c>
      <c r="G38" s="23">
        <v>0</v>
      </c>
      <c r="H38" s="23">
        <v>0</v>
      </c>
      <c r="I38" s="23">
        <v>1</v>
      </c>
      <c r="J38" s="23">
        <v>5</v>
      </c>
      <c r="K38" s="23">
        <v>50</v>
      </c>
      <c r="L38" s="23">
        <v>78</v>
      </c>
      <c r="M38" s="21" t="s">
        <v>462</v>
      </c>
      <c r="N38" s="23">
        <v>78</v>
      </c>
      <c r="O38" s="23">
        <v>0</v>
      </c>
      <c r="P38" s="23">
        <v>0</v>
      </c>
      <c r="Q38" s="23">
        <v>5</v>
      </c>
      <c r="R38" s="23">
        <v>42</v>
      </c>
      <c r="S38" s="23">
        <v>85</v>
      </c>
      <c r="T38" s="21" t="s">
        <v>462</v>
      </c>
      <c r="U38" s="23">
        <v>85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48</v>
      </c>
      <c r="AC38" s="23">
        <v>88</v>
      </c>
      <c r="AD38" s="21" t="s">
        <v>462</v>
      </c>
      <c r="AE38" s="23">
        <v>88</v>
      </c>
      <c r="AF38" s="20">
        <v>72</v>
      </c>
    </row>
    <row r="39" spans="1:32" ht="16.5" customHeight="1" x14ac:dyDescent="0.25">
      <c r="A39" s="17" t="s">
        <v>500</v>
      </c>
      <c r="B39" s="22" t="s">
        <v>464</v>
      </c>
      <c r="C39" s="19" t="s">
        <v>9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5</v>
      </c>
      <c r="K39" s="23">
        <v>50</v>
      </c>
      <c r="L39" s="23">
        <v>82</v>
      </c>
      <c r="M39" s="21" t="s">
        <v>462</v>
      </c>
      <c r="N39" s="23">
        <v>82</v>
      </c>
      <c r="O39" s="23">
        <v>0</v>
      </c>
      <c r="P39" s="23">
        <v>0</v>
      </c>
      <c r="Q39" s="23">
        <v>5</v>
      </c>
      <c r="R39" s="23">
        <v>48.5</v>
      </c>
      <c r="S39" s="23">
        <v>62</v>
      </c>
      <c r="T39" s="21" t="s">
        <v>462</v>
      </c>
      <c r="U39" s="23">
        <v>62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43</v>
      </c>
      <c r="AC39" s="23">
        <v>62</v>
      </c>
      <c r="AD39" s="23">
        <v>65</v>
      </c>
      <c r="AE39" s="23">
        <v>65</v>
      </c>
      <c r="AF39" s="20">
        <v>65</v>
      </c>
    </row>
    <row r="40" spans="1:32" ht="16.5" customHeight="1" x14ac:dyDescent="0.25">
      <c r="A40" s="17" t="s">
        <v>501</v>
      </c>
      <c r="B40" s="22" t="s">
        <v>464</v>
      </c>
      <c r="C40" s="19" t="s">
        <v>9</v>
      </c>
      <c r="D40" s="23">
        <v>1</v>
      </c>
      <c r="E40" s="23">
        <v>1</v>
      </c>
      <c r="F40" s="23">
        <v>1</v>
      </c>
      <c r="G40" s="23">
        <v>0</v>
      </c>
      <c r="H40" s="23">
        <v>0</v>
      </c>
      <c r="I40" s="23">
        <v>1</v>
      </c>
      <c r="J40" s="23">
        <v>5</v>
      </c>
      <c r="K40" s="23">
        <v>50</v>
      </c>
      <c r="L40" s="23">
        <v>72</v>
      </c>
      <c r="M40" s="21" t="s">
        <v>462</v>
      </c>
      <c r="N40" s="23">
        <v>72</v>
      </c>
      <c r="O40" s="23">
        <v>1</v>
      </c>
      <c r="P40" s="23">
        <v>1</v>
      </c>
      <c r="Q40" s="23">
        <v>5</v>
      </c>
      <c r="R40" s="23">
        <v>46</v>
      </c>
      <c r="S40" s="23">
        <v>85</v>
      </c>
      <c r="T40" s="21" t="s">
        <v>462</v>
      </c>
      <c r="U40" s="23">
        <v>85</v>
      </c>
      <c r="V40" s="23">
        <v>5</v>
      </c>
      <c r="W40" s="23">
        <v>5</v>
      </c>
      <c r="X40" s="23">
        <v>5</v>
      </c>
      <c r="Y40" s="23">
        <v>5</v>
      </c>
      <c r="Z40" s="23">
        <v>0</v>
      </c>
      <c r="AA40" s="23">
        <v>5</v>
      </c>
      <c r="AB40" s="23">
        <v>50</v>
      </c>
      <c r="AC40" s="23">
        <v>68</v>
      </c>
      <c r="AD40" s="21" t="s">
        <v>462</v>
      </c>
      <c r="AE40" s="23">
        <v>68</v>
      </c>
      <c r="AF40" s="20">
        <v>75</v>
      </c>
    </row>
    <row r="41" spans="1:32" ht="16.5" customHeight="1" x14ac:dyDescent="0.25">
      <c r="A41" s="17" t="s">
        <v>502</v>
      </c>
      <c r="B41" s="22" t="s">
        <v>464</v>
      </c>
      <c r="C41" s="19" t="s">
        <v>8</v>
      </c>
      <c r="D41" s="23">
        <v>1</v>
      </c>
      <c r="E41" s="23">
        <v>1</v>
      </c>
      <c r="F41" s="23">
        <v>1</v>
      </c>
      <c r="G41" s="23">
        <v>1</v>
      </c>
      <c r="H41" s="23">
        <v>0</v>
      </c>
      <c r="I41" s="23">
        <v>1</v>
      </c>
      <c r="J41" s="23">
        <v>5</v>
      </c>
      <c r="K41" s="23">
        <v>48</v>
      </c>
      <c r="L41" s="23">
        <v>93</v>
      </c>
      <c r="M41" s="21" t="s">
        <v>462</v>
      </c>
      <c r="N41" s="23">
        <v>93</v>
      </c>
      <c r="O41" s="23">
        <v>1</v>
      </c>
      <c r="P41" s="23">
        <v>0</v>
      </c>
      <c r="Q41" s="23">
        <v>5</v>
      </c>
      <c r="R41" s="23">
        <v>49</v>
      </c>
      <c r="S41" s="23">
        <v>95</v>
      </c>
      <c r="T41" s="21" t="s">
        <v>462</v>
      </c>
      <c r="U41" s="23">
        <v>95</v>
      </c>
      <c r="V41" s="23">
        <v>0</v>
      </c>
      <c r="W41" s="23">
        <v>5</v>
      </c>
      <c r="X41" s="23">
        <v>5</v>
      </c>
      <c r="Y41" s="23">
        <v>5</v>
      </c>
      <c r="Z41" s="23">
        <v>0</v>
      </c>
      <c r="AA41" s="23">
        <v>0</v>
      </c>
      <c r="AB41" s="23">
        <v>50</v>
      </c>
      <c r="AC41" s="23">
        <v>92</v>
      </c>
      <c r="AD41" s="21" t="s">
        <v>462</v>
      </c>
      <c r="AE41" s="23">
        <v>92</v>
      </c>
      <c r="AF41" s="20">
        <v>88</v>
      </c>
    </row>
    <row r="42" spans="1:32" ht="16.5" customHeight="1" x14ac:dyDescent="0.25">
      <c r="A42" s="17" t="s">
        <v>503</v>
      </c>
      <c r="B42" s="22" t="s">
        <v>464</v>
      </c>
      <c r="C42" s="19" t="s">
        <v>9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5</v>
      </c>
      <c r="K42" s="23">
        <v>47</v>
      </c>
      <c r="L42" s="23">
        <v>76</v>
      </c>
      <c r="M42" s="21" t="s">
        <v>462</v>
      </c>
      <c r="N42" s="23">
        <v>76</v>
      </c>
      <c r="O42" s="23">
        <v>0</v>
      </c>
      <c r="P42" s="23">
        <v>0</v>
      </c>
      <c r="Q42" s="23">
        <v>5</v>
      </c>
      <c r="R42" s="23">
        <v>50</v>
      </c>
      <c r="S42" s="23">
        <v>67</v>
      </c>
      <c r="T42" s="21" t="s">
        <v>462</v>
      </c>
      <c r="U42" s="23">
        <v>67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47</v>
      </c>
      <c r="AC42" s="23">
        <v>68</v>
      </c>
      <c r="AD42" s="21" t="s">
        <v>462</v>
      </c>
      <c r="AE42" s="23">
        <v>68</v>
      </c>
      <c r="AF42" s="20">
        <v>65</v>
      </c>
    </row>
    <row r="43" spans="1:32" ht="16.5" customHeight="1" x14ac:dyDescent="0.25">
      <c r="A43" s="17" t="s">
        <v>504</v>
      </c>
      <c r="B43" s="22" t="s">
        <v>464</v>
      </c>
      <c r="C43" s="19" t="s">
        <v>9</v>
      </c>
      <c r="D43" s="23">
        <v>1</v>
      </c>
      <c r="E43" s="23">
        <v>1</v>
      </c>
      <c r="F43" s="23">
        <v>1</v>
      </c>
      <c r="G43" s="23">
        <v>0.5</v>
      </c>
      <c r="H43" s="23">
        <v>1</v>
      </c>
      <c r="I43" s="23">
        <v>1</v>
      </c>
      <c r="J43" s="23">
        <v>5</v>
      </c>
      <c r="K43" s="23">
        <v>50</v>
      </c>
      <c r="L43" s="23">
        <v>99</v>
      </c>
      <c r="M43" s="21" t="s">
        <v>462</v>
      </c>
      <c r="N43" s="23">
        <v>99</v>
      </c>
      <c r="O43" s="23">
        <v>1</v>
      </c>
      <c r="P43" s="23">
        <v>1</v>
      </c>
      <c r="Q43" s="23">
        <v>5</v>
      </c>
      <c r="R43" s="23">
        <v>43.5</v>
      </c>
      <c r="S43" s="23">
        <v>75</v>
      </c>
      <c r="T43" s="23">
        <v>78</v>
      </c>
      <c r="U43" s="23">
        <v>78</v>
      </c>
      <c r="V43" s="23">
        <v>5</v>
      </c>
      <c r="W43" s="23">
        <v>5</v>
      </c>
      <c r="X43" s="23">
        <v>5</v>
      </c>
      <c r="Y43" s="23">
        <v>5</v>
      </c>
      <c r="Z43" s="23">
        <v>5</v>
      </c>
      <c r="AA43" s="23">
        <v>5</v>
      </c>
      <c r="AB43" s="23">
        <v>50</v>
      </c>
      <c r="AC43" s="23">
        <v>75</v>
      </c>
      <c r="AD43" s="23">
        <v>85</v>
      </c>
      <c r="AE43" s="23">
        <v>85</v>
      </c>
      <c r="AF43" s="20">
        <v>82</v>
      </c>
    </row>
    <row r="44" spans="1:32" ht="16.5" customHeight="1" x14ac:dyDescent="0.25">
      <c r="A44" s="17" t="s">
        <v>505</v>
      </c>
      <c r="B44" s="22" t="s">
        <v>461</v>
      </c>
      <c r="C44" s="19" t="s">
        <v>9</v>
      </c>
      <c r="D44" s="23">
        <v>0</v>
      </c>
      <c r="E44" s="23">
        <v>0</v>
      </c>
      <c r="F44" s="23">
        <v>0</v>
      </c>
      <c r="G44" s="23">
        <v>1</v>
      </c>
      <c r="H44" s="23">
        <v>0</v>
      </c>
      <c r="I44" s="23">
        <v>1</v>
      </c>
      <c r="J44" s="23">
        <v>5</v>
      </c>
      <c r="K44" s="23">
        <v>44</v>
      </c>
      <c r="L44" s="23">
        <v>83</v>
      </c>
      <c r="M44" s="21" t="s">
        <v>462</v>
      </c>
      <c r="N44" s="23">
        <v>83</v>
      </c>
      <c r="O44" s="23">
        <v>1</v>
      </c>
      <c r="P44" s="23">
        <v>1</v>
      </c>
      <c r="Q44" s="23">
        <v>5</v>
      </c>
      <c r="R44" s="23">
        <v>39</v>
      </c>
      <c r="S44" s="23">
        <v>80</v>
      </c>
      <c r="T44" s="23">
        <v>76</v>
      </c>
      <c r="U44" s="23">
        <v>80</v>
      </c>
      <c r="V44" s="23">
        <v>5</v>
      </c>
      <c r="W44" s="23">
        <v>5</v>
      </c>
      <c r="X44" s="23">
        <v>5</v>
      </c>
      <c r="Y44" s="23">
        <v>5</v>
      </c>
      <c r="Z44" s="23">
        <v>0</v>
      </c>
      <c r="AA44" s="23">
        <v>0</v>
      </c>
      <c r="AB44" s="23">
        <v>50</v>
      </c>
      <c r="AC44" s="23">
        <v>75</v>
      </c>
      <c r="AD44" s="23">
        <v>82</v>
      </c>
      <c r="AE44" s="23">
        <v>82</v>
      </c>
      <c r="AF44" s="20">
        <v>85</v>
      </c>
    </row>
    <row r="45" spans="1:32" ht="16.5" customHeight="1" x14ac:dyDescent="0.25">
      <c r="A45" s="17" t="s">
        <v>506</v>
      </c>
      <c r="B45" s="22" t="s">
        <v>464</v>
      </c>
      <c r="C45" s="19" t="s">
        <v>9</v>
      </c>
      <c r="D45" s="23">
        <v>1</v>
      </c>
      <c r="E45" s="23">
        <v>1</v>
      </c>
      <c r="F45" s="23">
        <v>1</v>
      </c>
      <c r="G45" s="23">
        <v>0</v>
      </c>
      <c r="H45" s="23">
        <v>0</v>
      </c>
      <c r="I45" s="23">
        <v>1</v>
      </c>
      <c r="J45" s="23">
        <v>5</v>
      </c>
      <c r="K45" s="23">
        <v>50</v>
      </c>
      <c r="L45" s="23">
        <v>63</v>
      </c>
      <c r="M45" s="21" t="s">
        <v>462</v>
      </c>
      <c r="N45" s="23">
        <v>63</v>
      </c>
      <c r="O45" s="23">
        <v>1</v>
      </c>
      <c r="P45" s="23">
        <v>0</v>
      </c>
      <c r="Q45" s="23">
        <v>5</v>
      </c>
      <c r="R45" s="23">
        <v>48.5</v>
      </c>
      <c r="S45" s="23">
        <v>0</v>
      </c>
      <c r="T45" s="21" t="s">
        <v>462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45</v>
      </c>
      <c r="AC45" s="23">
        <v>62</v>
      </c>
      <c r="AD45" s="21" t="s">
        <v>462</v>
      </c>
      <c r="AE45" s="23">
        <v>62</v>
      </c>
      <c r="AF45" s="20">
        <v>62</v>
      </c>
    </row>
    <row r="46" spans="1:32" ht="16.5" customHeight="1" x14ac:dyDescent="0.25">
      <c r="A46" s="17" t="s">
        <v>507</v>
      </c>
      <c r="B46" s="22" t="s">
        <v>464</v>
      </c>
      <c r="C46" s="19" t="s">
        <v>9</v>
      </c>
      <c r="D46" s="23">
        <v>1</v>
      </c>
      <c r="E46" s="23">
        <v>1</v>
      </c>
      <c r="F46" s="23">
        <v>1</v>
      </c>
      <c r="G46" s="23">
        <v>0</v>
      </c>
      <c r="H46" s="23">
        <v>0</v>
      </c>
      <c r="I46" s="23">
        <v>1</v>
      </c>
      <c r="J46" s="23">
        <v>5</v>
      </c>
      <c r="K46" s="23">
        <v>48</v>
      </c>
      <c r="L46" s="23">
        <v>78</v>
      </c>
      <c r="M46" s="21" t="s">
        <v>462</v>
      </c>
      <c r="N46" s="23">
        <v>78</v>
      </c>
      <c r="O46" s="23">
        <v>1</v>
      </c>
      <c r="P46" s="23">
        <v>1</v>
      </c>
      <c r="Q46" s="23">
        <v>5</v>
      </c>
      <c r="R46" s="23">
        <v>49.5</v>
      </c>
      <c r="S46" s="23">
        <v>68</v>
      </c>
      <c r="T46" s="23">
        <v>75</v>
      </c>
      <c r="U46" s="23">
        <v>75</v>
      </c>
      <c r="V46" s="23">
        <v>5</v>
      </c>
      <c r="W46" s="23">
        <v>0</v>
      </c>
      <c r="X46" s="23">
        <v>5</v>
      </c>
      <c r="Y46" s="23">
        <v>5</v>
      </c>
      <c r="Z46" s="23">
        <v>0</v>
      </c>
      <c r="AA46" s="23">
        <v>0</v>
      </c>
      <c r="AB46" s="23">
        <v>50</v>
      </c>
      <c r="AC46" s="23">
        <v>78</v>
      </c>
      <c r="AD46" s="21" t="s">
        <v>462</v>
      </c>
      <c r="AE46" s="23">
        <v>78</v>
      </c>
      <c r="AF46" s="20">
        <v>65</v>
      </c>
    </row>
    <row r="47" spans="1:32" ht="16.5" customHeight="1" x14ac:dyDescent="0.25">
      <c r="A47" s="17" t="s">
        <v>508</v>
      </c>
      <c r="B47" s="22" t="s">
        <v>464</v>
      </c>
      <c r="C47" s="19" t="s">
        <v>9</v>
      </c>
      <c r="D47" s="23">
        <v>0</v>
      </c>
      <c r="E47" s="23">
        <v>1</v>
      </c>
      <c r="F47" s="23">
        <v>1</v>
      </c>
      <c r="G47" s="23">
        <v>1</v>
      </c>
      <c r="H47" s="23">
        <v>1</v>
      </c>
      <c r="I47" s="23">
        <v>1</v>
      </c>
      <c r="J47" s="23">
        <v>5</v>
      </c>
      <c r="K47" s="23">
        <v>42</v>
      </c>
      <c r="L47" s="23">
        <v>93</v>
      </c>
      <c r="M47" s="21" t="s">
        <v>462</v>
      </c>
      <c r="N47" s="23">
        <v>93</v>
      </c>
      <c r="O47" s="23">
        <v>1</v>
      </c>
      <c r="P47" s="23">
        <v>1</v>
      </c>
      <c r="Q47" s="23">
        <v>5</v>
      </c>
      <c r="R47" s="23">
        <v>41</v>
      </c>
      <c r="S47" s="23">
        <v>86</v>
      </c>
      <c r="T47" s="21" t="s">
        <v>462</v>
      </c>
      <c r="U47" s="23">
        <v>86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46</v>
      </c>
      <c r="AC47" s="23">
        <v>82</v>
      </c>
      <c r="AD47" s="21" t="s">
        <v>462</v>
      </c>
      <c r="AE47" s="23">
        <v>82</v>
      </c>
      <c r="AF47" s="20">
        <v>82</v>
      </c>
    </row>
    <row r="48" spans="1:32" ht="16.5" customHeight="1" x14ac:dyDescent="0.25">
      <c r="A48" s="17" t="s">
        <v>509</v>
      </c>
      <c r="B48" s="22" t="s">
        <v>464</v>
      </c>
      <c r="C48" s="19" t="s">
        <v>8</v>
      </c>
      <c r="D48" s="23">
        <v>1</v>
      </c>
      <c r="E48" s="23">
        <v>1</v>
      </c>
      <c r="F48" s="23">
        <v>1</v>
      </c>
      <c r="G48" s="23">
        <v>1</v>
      </c>
      <c r="H48" s="23">
        <v>1</v>
      </c>
      <c r="I48" s="23">
        <v>1</v>
      </c>
      <c r="J48" s="23">
        <v>5</v>
      </c>
      <c r="K48" s="23">
        <v>48</v>
      </c>
      <c r="L48" s="23">
        <v>100</v>
      </c>
      <c r="M48" s="21" t="s">
        <v>462</v>
      </c>
      <c r="N48" s="23">
        <v>100</v>
      </c>
      <c r="O48" s="23">
        <v>1</v>
      </c>
      <c r="P48" s="23">
        <v>1</v>
      </c>
      <c r="Q48" s="23">
        <v>5</v>
      </c>
      <c r="R48" s="23">
        <v>50</v>
      </c>
      <c r="S48" s="23">
        <v>86</v>
      </c>
      <c r="T48" s="21" t="s">
        <v>462</v>
      </c>
      <c r="U48" s="23">
        <v>86</v>
      </c>
      <c r="V48" s="23">
        <v>5</v>
      </c>
      <c r="W48" s="23">
        <v>5</v>
      </c>
      <c r="X48" s="23">
        <v>5</v>
      </c>
      <c r="Y48" s="23">
        <v>5</v>
      </c>
      <c r="Z48" s="23">
        <v>5</v>
      </c>
      <c r="AA48" s="23">
        <v>5</v>
      </c>
      <c r="AB48" s="23">
        <v>50</v>
      </c>
      <c r="AC48" s="23">
        <v>92</v>
      </c>
      <c r="AD48" s="21" t="s">
        <v>462</v>
      </c>
      <c r="AE48" s="23">
        <v>92</v>
      </c>
      <c r="AF48" s="20">
        <v>88</v>
      </c>
    </row>
    <row r="49" spans="1:32" ht="16.5" customHeight="1" x14ac:dyDescent="0.25">
      <c r="A49" s="17" t="s">
        <v>510</v>
      </c>
      <c r="B49" s="22" t="s">
        <v>464</v>
      </c>
      <c r="C49" s="19" t="s">
        <v>9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5</v>
      </c>
      <c r="K49" s="23">
        <v>28</v>
      </c>
      <c r="L49" s="23">
        <v>90</v>
      </c>
      <c r="M49" s="21" t="s">
        <v>462</v>
      </c>
      <c r="N49" s="23">
        <v>90</v>
      </c>
      <c r="O49" s="23">
        <v>0</v>
      </c>
      <c r="P49" s="23">
        <v>0</v>
      </c>
      <c r="Q49" s="23">
        <v>5</v>
      </c>
      <c r="R49" s="23">
        <v>39</v>
      </c>
      <c r="S49" s="23">
        <v>85</v>
      </c>
      <c r="T49" s="21" t="s">
        <v>462</v>
      </c>
      <c r="U49" s="23">
        <v>85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43</v>
      </c>
      <c r="AC49" s="23">
        <v>72</v>
      </c>
      <c r="AD49" s="21" t="s">
        <v>462</v>
      </c>
      <c r="AE49" s="23">
        <v>72</v>
      </c>
      <c r="AF49" s="20">
        <v>72</v>
      </c>
    </row>
    <row r="50" spans="1:32" ht="16.5" customHeight="1" x14ac:dyDescent="0.25">
      <c r="A50" s="17" t="s">
        <v>511</v>
      </c>
      <c r="B50" s="22" t="s">
        <v>461</v>
      </c>
      <c r="C50" s="19" t="s">
        <v>9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5</v>
      </c>
      <c r="K50" s="23">
        <v>40</v>
      </c>
      <c r="L50" s="23">
        <v>60</v>
      </c>
      <c r="M50" s="21" t="s">
        <v>462</v>
      </c>
      <c r="N50" s="23">
        <v>60</v>
      </c>
      <c r="O50" s="23">
        <v>0</v>
      </c>
      <c r="P50" s="23">
        <v>0</v>
      </c>
      <c r="Q50" s="23">
        <v>0</v>
      </c>
      <c r="R50" s="23">
        <v>39</v>
      </c>
      <c r="S50" s="23">
        <v>63</v>
      </c>
      <c r="T50" s="21" t="s">
        <v>462</v>
      </c>
      <c r="U50" s="23">
        <v>63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44</v>
      </c>
      <c r="AC50" s="23">
        <v>30</v>
      </c>
      <c r="AD50" s="21" t="s">
        <v>462</v>
      </c>
      <c r="AE50" s="23">
        <v>30</v>
      </c>
      <c r="AF50" s="20">
        <v>30</v>
      </c>
    </row>
    <row r="51" spans="1:32" ht="16.5" customHeight="1" x14ac:dyDescent="0.25">
      <c r="A51" s="17" t="s">
        <v>512</v>
      </c>
      <c r="B51" s="22" t="s">
        <v>461</v>
      </c>
      <c r="C51" s="19" t="s">
        <v>9</v>
      </c>
      <c r="D51" s="23">
        <v>1</v>
      </c>
      <c r="E51" s="23">
        <v>1</v>
      </c>
      <c r="F51" s="23">
        <v>1</v>
      </c>
      <c r="G51" s="23">
        <v>0</v>
      </c>
      <c r="H51" s="23">
        <v>0</v>
      </c>
      <c r="I51" s="23">
        <v>0</v>
      </c>
      <c r="J51" s="23">
        <v>5</v>
      </c>
      <c r="K51" s="23">
        <v>49</v>
      </c>
      <c r="L51" s="23">
        <v>76</v>
      </c>
      <c r="M51" s="21" t="s">
        <v>462</v>
      </c>
      <c r="N51" s="23">
        <v>76</v>
      </c>
      <c r="O51" s="23">
        <v>0</v>
      </c>
      <c r="P51" s="23">
        <v>1</v>
      </c>
      <c r="Q51" s="23">
        <v>5</v>
      </c>
      <c r="R51" s="23">
        <v>40</v>
      </c>
      <c r="S51" s="23">
        <v>70</v>
      </c>
      <c r="T51" s="23">
        <v>82</v>
      </c>
      <c r="U51" s="23">
        <v>82</v>
      </c>
      <c r="V51" s="23">
        <v>5</v>
      </c>
      <c r="W51" s="23">
        <v>5</v>
      </c>
      <c r="X51" s="23">
        <v>5</v>
      </c>
      <c r="Y51" s="23">
        <v>5</v>
      </c>
      <c r="Z51" s="23">
        <v>5</v>
      </c>
      <c r="AA51" s="23">
        <v>5</v>
      </c>
      <c r="AB51" s="23">
        <v>47</v>
      </c>
      <c r="AC51" s="23">
        <v>75</v>
      </c>
      <c r="AD51" s="23">
        <v>82</v>
      </c>
      <c r="AE51" s="23">
        <v>82</v>
      </c>
      <c r="AF51" s="20">
        <v>72</v>
      </c>
    </row>
    <row r="52" spans="1:32" ht="16.5" customHeight="1" x14ac:dyDescent="0.25">
      <c r="A52" s="17" t="s">
        <v>513</v>
      </c>
      <c r="B52" s="22" t="s">
        <v>461</v>
      </c>
      <c r="C52" s="19" t="s">
        <v>9</v>
      </c>
      <c r="D52" s="23">
        <v>1</v>
      </c>
      <c r="E52" s="23">
        <v>1</v>
      </c>
      <c r="F52" s="23">
        <v>1</v>
      </c>
      <c r="G52" s="23">
        <v>1</v>
      </c>
      <c r="H52" s="23">
        <v>1</v>
      </c>
      <c r="I52" s="23">
        <v>1</v>
      </c>
      <c r="J52" s="23">
        <v>5</v>
      </c>
      <c r="K52" s="23">
        <v>47</v>
      </c>
      <c r="L52" s="23">
        <v>85</v>
      </c>
      <c r="M52" s="21" t="s">
        <v>462</v>
      </c>
      <c r="N52" s="23">
        <v>85</v>
      </c>
      <c r="O52" s="23">
        <v>1</v>
      </c>
      <c r="P52" s="23">
        <v>1</v>
      </c>
      <c r="Q52" s="23">
        <v>5</v>
      </c>
      <c r="R52" s="23">
        <v>50</v>
      </c>
      <c r="S52" s="23">
        <v>80</v>
      </c>
      <c r="T52" s="21" t="s">
        <v>462</v>
      </c>
      <c r="U52" s="23">
        <v>80</v>
      </c>
      <c r="V52" s="23">
        <v>5</v>
      </c>
      <c r="W52" s="23">
        <v>5</v>
      </c>
      <c r="X52" s="23">
        <v>5</v>
      </c>
      <c r="Y52" s="23">
        <v>5</v>
      </c>
      <c r="Z52" s="23">
        <v>5</v>
      </c>
      <c r="AA52" s="23">
        <v>5</v>
      </c>
      <c r="AB52" s="23">
        <v>50</v>
      </c>
      <c r="AC52" s="23">
        <v>85</v>
      </c>
      <c r="AD52" s="21" t="s">
        <v>462</v>
      </c>
      <c r="AE52" s="23">
        <v>85</v>
      </c>
      <c r="AF52" s="20">
        <v>82</v>
      </c>
    </row>
    <row r="53" spans="1:32" ht="16.5" customHeight="1" x14ac:dyDescent="0.25">
      <c r="A53" s="17" t="s">
        <v>514</v>
      </c>
      <c r="B53" s="22" t="s">
        <v>461</v>
      </c>
      <c r="C53" s="19" t="s">
        <v>9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1</v>
      </c>
      <c r="J53" s="23">
        <v>5</v>
      </c>
      <c r="K53" s="23">
        <v>49</v>
      </c>
      <c r="L53" s="23">
        <v>68</v>
      </c>
      <c r="M53" s="21" t="s">
        <v>462</v>
      </c>
      <c r="N53" s="23">
        <v>68</v>
      </c>
      <c r="O53" s="23">
        <v>0</v>
      </c>
      <c r="P53" s="23">
        <v>0</v>
      </c>
      <c r="Q53" s="23">
        <v>5</v>
      </c>
      <c r="R53" s="23">
        <v>41</v>
      </c>
      <c r="S53" s="23">
        <v>66</v>
      </c>
      <c r="T53" s="21" t="s">
        <v>462</v>
      </c>
      <c r="U53" s="23">
        <v>66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11</v>
      </c>
      <c r="AC53" s="23">
        <v>65</v>
      </c>
      <c r="AD53" s="23">
        <v>62</v>
      </c>
      <c r="AE53" s="23">
        <v>65</v>
      </c>
      <c r="AF53" s="20">
        <v>65</v>
      </c>
    </row>
    <row r="54" spans="1:32" ht="16.5" customHeight="1" x14ac:dyDescent="0.25">
      <c r="A54" s="17" t="s">
        <v>515</v>
      </c>
      <c r="B54" s="22" t="s">
        <v>464</v>
      </c>
      <c r="C54" s="19" t="s">
        <v>9</v>
      </c>
      <c r="D54" s="23">
        <v>1</v>
      </c>
      <c r="E54" s="23">
        <v>1</v>
      </c>
      <c r="F54" s="23">
        <v>1</v>
      </c>
      <c r="G54" s="23">
        <v>1</v>
      </c>
      <c r="H54" s="23">
        <v>0</v>
      </c>
      <c r="I54" s="23">
        <v>1</v>
      </c>
      <c r="J54" s="23"/>
      <c r="K54" s="23">
        <v>50</v>
      </c>
      <c r="L54" s="23">
        <v>92</v>
      </c>
      <c r="M54" s="21" t="s">
        <v>462</v>
      </c>
      <c r="N54" s="23">
        <v>92</v>
      </c>
      <c r="O54" s="23">
        <v>1</v>
      </c>
      <c r="P54" s="23">
        <v>1</v>
      </c>
      <c r="Q54" s="23">
        <v>5</v>
      </c>
      <c r="R54" s="23">
        <v>39</v>
      </c>
      <c r="S54" s="23">
        <v>82</v>
      </c>
      <c r="T54" s="21" t="s">
        <v>462</v>
      </c>
      <c r="U54" s="23">
        <v>82</v>
      </c>
      <c r="V54" s="23">
        <v>0</v>
      </c>
      <c r="W54" s="23">
        <v>3.5</v>
      </c>
      <c r="X54" s="23">
        <v>5</v>
      </c>
      <c r="Y54" s="23">
        <v>5</v>
      </c>
      <c r="Z54" s="23">
        <v>5</v>
      </c>
      <c r="AA54" s="23">
        <v>5</v>
      </c>
      <c r="AB54" s="23">
        <v>50</v>
      </c>
      <c r="AC54" s="23">
        <v>78</v>
      </c>
      <c r="AD54" s="23">
        <v>85</v>
      </c>
      <c r="AE54" s="23">
        <v>85</v>
      </c>
      <c r="AF54" s="20">
        <v>85</v>
      </c>
    </row>
    <row r="55" spans="1:32" ht="16.5" customHeight="1" x14ac:dyDescent="0.25">
      <c r="A55" s="17" t="s">
        <v>516</v>
      </c>
      <c r="B55" s="22" t="s">
        <v>461</v>
      </c>
      <c r="C55" s="19" t="s">
        <v>10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5</v>
      </c>
      <c r="K55" s="23">
        <v>40</v>
      </c>
      <c r="L55" s="23">
        <v>60</v>
      </c>
      <c r="M55" s="21" t="s">
        <v>462</v>
      </c>
      <c r="N55" s="23">
        <v>60</v>
      </c>
      <c r="O55" s="23">
        <v>0</v>
      </c>
      <c r="P55" s="23">
        <v>0</v>
      </c>
      <c r="Q55" s="23">
        <v>4</v>
      </c>
      <c r="R55" s="23">
        <v>35.5</v>
      </c>
      <c r="S55" s="23">
        <v>62</v>
      </c>
      <c r="T55" s="21" t="s">
        <v>462</v>
      </c>
      <c r="U55" s="23">
        <v>62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11</v>
      </c>
      <c r="AC55" s="23">
        <v>30</v>
      </c>
      <c r="AD55" s="21" t="s">
        <v>462</v>
      </c>
      <c r="AE55" s="23">
        <v>30</v>
      </c>
      <c r="AF55" s="20">
        <v>30</v>
      </c>
    </row>
    <row r="56" spans="1:32" ht="16.5" customHeight="1" x14ac:dyDescent="0.25">
      <c r="A56" s="17" t="s">
        <v>517</v>
      </c>
      <c r="B56" s="22" t="s">
        <v>464</v>
      </c>
      <c r="C56" s="19" t="s">
        <v>9</v>
      </c>
      <c r="D56" s="23">
        <v>1</v>
      </c>
      <c r="E56" s="23">
        <v>1</v>
      </c>
      <c r="F56" s="23">
        <v>0.75</v>
      </c>
      <c r="G56" s="23">
        <v>0</v>
      </c>
      <c r="H56" s="23">
        <v>0</v>
      </c>
      <c r="I56" s="23">
        <v>1</v>
      </c>
      <c r="J56" s="23">
        <v>5</v>
      </c>
      <c r="K56" s="23">
        <v>47</v>
      </c>
      <c r="L56" s="23">
        <v>75</v>
      </c>
      <c r="M56" s="21" t="s">
        <v>462</v>
      </c>
      <c r="N56" s="23">
        <v>75</v>
      </c>
      <c r="O56" s="23">
        <v>1</v>
      </c>
      <c r="P56" s="23">
        <v>0.5</v>
      </c>
      <c r="Q56" s="23">
        <v>5</v>
      </c>
      <c r="R56" s="23">
        <v>43</v>
      </c>
      <c r="S56" s="23">
        <v>80</v>
      </c>
      <c r="T56" s="21" t="s">
        <v>462</v>
      </c>
      <c r="U56" s="23">
        <v>80</v>
      </c>
      <c r="V56" s="23">
        <v>5</v>
      </c>
      <c r="W56" s="23">
        <v>5</v>
      </c>
      <c r="X56" s="23">
        <v>5</v>
      </c>
      <c r="Y56" s="23">
        <v>5</v>
      </c>
      <c r="Z56" s="23">
        <v>5</v>
      </c>
      <c r="AA56" s="23">
        <v>5</v>
      </c>
      <c r="AB56" s="23">
        <v>50</v>
      </c>
      <c r="AC56" s="23">
        <v>78</v>
      </c>
      <c r="AD56" s="21" t="s">
        <v>462</v>
      </c>
      <c r="AE56" s="23">
        <v>78</v>
      </c>
      <c r="AF56" s="20">
        <v>72</v>
      </c>
    </row>
    <row r="57" spans="1:32" ht="16.5" customHeight="1" x14ac:dyDescent="0.25">
      <c r="A57" s="17" t="s">
        <v>518</v>
      </c>
      <c r="B57" s="22" t="s">
        <v>464</v>
      </c>
      <c r="C57" s="19" t="s">
        <v>8</v>
      </c>
      <c r="D57" s="23">
        <v>1</v>
      </c>
      <c r="E57" s="23">
        <v>1</v>
      </c>
      <c r="F57" s="23">
        <v>1</v>
      </c>
      <c r="G57" s="23">
        <v>1</v>
      </c>
      <c r="H57" s="23">
        <v>0</v>
      </c>
      <c r="I57" s="23">
        <v>1</v>
      </c>
      <c r="J57" s="23">
        <v>5</v>
      </c>
      <c r="K57" s="23">
        <v>50</v>
      </c>
      <c r="L57" s="23">
        <v>68</v>
      </c>
      <c r="M57" s="21">
        <v>72</v>
      </c>
      <c r="N57" s="23">
        <v>68</v>
      </c>
      <c r="O57" s="23">
        <v>1</v>
      </c>
      <c r="P57" s="23">
        <v>1</v>
      </c>
      <c r="Q57" s="23">
        <v>5</v>
      </c>
      <c r="R57" s="23">
        <v>48.5</v>
      </c>
      <c r="S57" s="23">
        <v>67</v>
      </c>
      <c r="T57" s="23">
        <v>72</v>
      </c>
      <c r="U57" s="23">
        <v>72</v>
      </c>
      <c r="V57" s="23">
        <v>5</v>
      </c>
      <c r="W57" s="23">
        <v>5</v>
      </c>
      <c r="X57" s="23">
        <v>5</v>
      </c>
      <c r="Y57" s="23">
        <v>5</v>
      </c>
      <c r="Z57" s="23">
        <v>5</v>
      </c>
      <c r="AA57" s="23">
        <v>0</v>
      </c>
      <c r="AB57" s="23">
        <v>11</v>
      </c>
      <c r="AC57" s="23">
        <v>62</v>
      </c>
      <c r="AD57" s="23">
        <v>30</v>
      </c>
      <c r="AE57" s="23">
        <v>62</v>
      </c>
      <c r="AF57" s="20">
        <v>72</v>
      </c>
    </row>
    <row r="58" spans="1:32" ht="16.5" customHeight="1" x14ac:dyDescent="0.25">
      <c r="A58" s="17" t="s">
        <v>519</v>
      </c>
      <c r="B58" s="22" t="s">
        <v>464</v>
      </c>
      <c r="C58" s="19" t="s">
        <v>9</v>
      </c>
      <c r="D58" s="23">
        <v>1</v>
      </c>
      <c r="E58" s="23">
        <v>1</v>
      </c>
      <c r="F58" s="23">
        <v>1</v>
      </c>
      <c r="G58" s="23">
        <v>0</v>
      </c>
      <c r="H58" s="23">
        <v>0</v>
      </c>
      <c r="I58" s="23">
        <v>1</v>
      </c>
      <c r="J58" s="23">
        <v>5</v>
      </c>
      <c r="K58" s="23">
        <v>48</v>
      </c>
      <c r="L58" s="23">
        <v>66</v>
      </c>
      <c r="M58" s="21">
        <v>75</v>
      </c>
      <c r="N58" s="23">
        <v>66</v>
      </c>
      <c r="O58" s="23">
        <v>0</v>
      </c>
      <c r="P58" s="23">
        <v>1</v>
      </c>
      <c r="Q58" s="23">
        <v>5</v>
      </c>
      <c r="R58" s="23">
        <v>40</v>
      </c>
      <c r="S58" s="23">
        <v>73</v>
      </c>
      <c r="T58" s="21" t="s">
        <v>462</v>
      </c>
      <c r="U58" s="23">
        <v>73</v>
      </c>
      <c r="V58" s="23">
        <v>5</v>
      </c>
      <c r="W58" s="23">
        <v>5</v>
      </c>
      <c r="X58" s="23">
        <v>5</v>
      </c>
      <c r="Y58" s="23">
        <v>5</v>
      </c>
      <c r="Z58" s="23">
        <v>0</v>
      </c>
      <c r="AA58" s="23">
        <v>5</v>
      </c>
      <c r="AB58" s="23">
        <v>44</v>
      </c>
      <c r="AC58" s="23">
        <v>72</v>
      </c>
      <c r="AD58" s="23">
        <v>78</v>
      </c>
      <c r="AE58" s="23">
        <v>72</v>
      </c>
      <c r="AF58" s="20">
        <v>72</v>
      </c>
    </row>
    <row r="59" spans="1:32" ht="16.5" customHeight="1" x14ac:dyDescent="0.25">
      <c r="A59" s="17" t="s">
        <v>520</v>
      </c>
      <c r="B59" s="22" t="s">
        <v>461</v>
      </c>
      <c r="C59" s="19" t="s">
        <v>9</v>
      </c>
      <c r="D59" s="23">
        <v>1</v>
      </c>
      <c r="E59" s="23">
        <v>1</v>
      </c>
      <c r="F59" s="23">
        <v>1</v>
      </c>
      <c r="G59" s="23">
        <v>0</v>
      </c>
      <c r="H59" s="23">
        <v>0</v>
      </c>
      <c r="I59" s="23">
        <v>1</v>
      </c>
      <c r="J59" s="23">
        <v>5</v>
      </c>
      <c r="K59" s="23">
        <v>50</v>
      </c>
      <c r="L59" s="23">
        <v>75</v>
      </c>
      <c r="M59" s="21">
        <v>83</v>
      </c>
      <c r="N59" s="23">
        <v>75</v>
      </c>
      <c r="O59" s="23">
        <v>1</v>
      </c>
      <c r="P59" s="23">
        <v>0</v>
      </c>
      <c r="Q59" s="23">
        <v>5</v>
      </c>
      <c r="R59" s="23">
        <v>39</v>
      </c>
      <c r="S59" s="23">
        <v>75</v>
      </c>
      <c r="T59" s="23">
        <v>80</v>
      </c>
      <c r="U59" s="23">
        <v>80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50</v>
      </c>
      <c r="AC59" s="23">
        <v>65</v>
      </c>
      <c r="AD59" s="23">
        <v>68</v>
      </c>
      <c r="AE59" s="23">
        <v>68</v>
      </c>
      <c r="AF59" s="20">
        <v>75</v>
      </c>
    </row>
    <row r="60" spans="1:32" ht="16.5" customHeight="1" x14ac:dyDescent="0.25">
      <c r="A60" s="17" t="s">
        <v>521</v>
      </c>
      <c r="B60" s="22" t="s">
        <v>461</v>
      </c>
      <c r="C60" s="19" t="s">
        <v>8</v>
      </c>
      <c r="D60" s="23">
        <v>1</v>
      </c>
      <c r="E60" s="23">
        <v>1</v>
      </c>
      <c r="F60" s="23">
        <v>1</v>
      </c>
      <c r="G60" s="23">
        <v>0</v>
      </c>
      <c r="H60" s="23">
        <v>0</v>
      </c>
      <c r="I60" s="23">
        <v>0</v>
      </c>
      <c r="J60" s="23">
        <v>5</v>
      </c>
      <c r="K60" s="23">
        <v>50</v>
      </c>
      <c r="L60" s="23">
        <v>86</v>
      </c>
      <c r="M60" s="21" t="s">
        <v>462</v>
      </c>
      <c r="N60" s="23">
        <v>86</v>
      </c>
      <c r="O60" s="23">
        <v>0</v>
      </c>
      <c r="P60" s="23">
        <v>0</v>
      </c>
      <c r="Q60" s="23">
        <v>0</v>
      </c>
      <c r="R60" s="23">
        <v>34</v>
      </c>
      <c r="S60" s="23">
        <v>85</v>
      </c>
      <c r="T60" s="21" t="s">
        <v>462</v>
      </c>
      <c r="U60" s="23">
        <v>85</v>
      </c>
      <c r="V60" s="23">
        <v>5</v>
      </c>
      <c r="W60" s="23">
        <v>5</v>
      </c>
      <c r="X60" s="23">
        <v>5</v>
      </c>
      <c r="Y60" s="23">
        <v>5</v>
      </c>
      <c r="Z60" s="23">
        <v>5</v>
      </c>
      <c r="AA60" s="23">
        <v>5</v>
      </c>
      <c r="AB60" s="23">
        <v>45</v>
      </c>
      <c r="AC60" s="23">
        <v>85</v>
      </c>
      <c r="AD60" s="21" t="s">
        <v>462</v>
      </c>
      <c r="AE60" s="23">
        <v>85</v>
      </c>
      <c r="AF60" s="20">
        <v>88</v>
      </c>
    </row>
    <row r="61" spans="1:32" ht="16.5" customHeight="1" x14ac:dyDescent="0.25">
      <c r="A61" s="17" t="s">
        <v>522</v>
      </c>
      <c r="B61" s="22" t="s">
        <v>464</v>
      </c>
      <c r="C61" s="19" t="s">
        <v>9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5</v>
      </c>
      <c r="K61" s="23">
        <v>43</v>
      </c>
      <c r="L61" s="23">
        <v>60</v>
      </c>
      <c r="M61" s="21" t="s">
        <v>462</v>
      </c>
      <c r="N61" s="23">
        <v>60</v>
      </c>
      <c r="O61" s="23">
        <v>0</v>
      </c>
      <c r="P61" s="23">
        <v>0</v>
      </c>
      <c r="Q61" s="23">
        <v>2</v>
      </c>
      <c r="R61" s="23">
        <v>28.5</v>
      </c>
      <c r="S61" s="23">
        <v>65</v>
      </c>
      <c r="T61" s="21" t="s">
        <v>462</v>
      </c>
      <c r="U61" s="23">
        <v>65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10</v>
      </c>
      <c r="AC61" s="23">
        <v>30</v>
      </c>
      <c r="AD61" s="21" t="s">
        <v>462</v>
      </c>
      <c r="AE61" s="23">
        <v>30</v>
      </c>
      <c r="AF61" s="20">
        <v>62</v>
      </c>
    </row>
    <row r="62" spans="1:32" ht="16.5" customHeight="1" x14ac:dyDescent="0.25">
      <c r="A62" s="17" t="s">
        <v>523</v>
      </c>
      <c r="B62" s="22" t="s">
        <v>461</v>
      </c>
      <c r="C62" s="19" t="s">
        <v>8</v>
      </c>
      <c r="D62" s="23">
        <v>1</v>
      </c>
      <c r="E62" s="23">
        <v>1</v>
      </c>
      <c r="F62" s="23">
        <v>1</v>
      </c>
      <c r="G62" s="23">
        <v>0</v>
      </c>
      <c r="H62" s="23">
        <v>0</v>
      </c>
      <c r="I62" s="23">
        <v>0</v>
      </c>
      <c r="J62" s="23">
        <v>5</v>
      </c>
      <c r="K62" s="23">
        <v>50</v>
      </c>
      <c r="L62" s="23">
        <v>88</v>
      </c>
      <c r="M62" s="21" t="s">
        <v>462</v>
      </c>
      <c r="N62" s="23">
        <v>88</v>
      </c>
      <c r="O62" s="23">
        <v>0</v>
      </c>
      <c r="P62" s="23">
        <v>0</v>
      </c>
      <c r="Q62" s="23">
        <v>5</v>
      </c>
      <c r="R62" s="23">
        <v>50</v>
      </c>
      <c r="S62" s="23">
        <v>92</v>
      </c>
      <c r="T62" s="21" t="s">
        <v>462</v>
      </c>
      <c r="U62" s="23">
        <v>92</v>
      </c>
      <c r="V62" s="23">
        <v>5</v>
      </c>
      <c r="W62" s="23">
        <v>5</v>
      </c>
      <c r="X62" s="23">
        <v>5</v>
      </c>
      <c r="Y62" s="23">
        <v>5</v>
      </c>
      <c r="Z62" s="23">
        <v>5</v>
      </c>
      <c r="AA62" s="23">
        <v>0</v>
      </c>
      <c r="AB62" s="23">
        <v>50</v>
      </c>
      <c r="AC62" s="23">
        <v>82</v>
      </c>
      <c r="AD62" s="23">
        <v>82</v>
      </c>
      <c r="AE62" s="23">
        <v>82</v>
      </c>
      <c r="AF62" s="20">
        <v>92</v>
      </c>
    </row>
    <row r="63" spans="1:32" ht="16.5" customHeight="1" x14ac:dyDescent="0.25">
      <c r="A63" s="17" t="s">
        <v>524</v>
      </c>
      <c r="B63" s="22" t="s">
        <v>464</v>
      </c>
      <c r="C63" s="19" t="s">
        <v>8</v>
      </c>
      <c r="D63" s="23">
        <v>1</v>
      </c>
      <c r="E63" s="23">
        <v>1</v>
      </c>
      <c r="F63" s="23">
        <v>1</v>
      </c>
      <c r="G63" s="23">
        <v>1</v>
      </c>
      <c r="H63" s="23">
        <v>1</v>
      </c>
      <c r="I63" s="23">
        <v>1</v>
      </c>
      <c r="J63" s="23">
        <v>5</v>
      </c>
      <c r="K63" s="23">
        <v>48</v>
      </c>
      <c r="L63" s="23">
        <v>100</v>
      </c>
      <c r="M63" s="21" t="s">
        <v>462</v>
      </c>
      <c r="N63" s="23">
        <v>100</v>
      </c>
      <c r="O63" s="23">
        <v>1</v>
      </c>
      <c r="P63" s="23">
        <v>1</v>
      </c>
      <c r="Q63" s="23">
        <v>5</v>
      </c>
      <c r="R63" s="23">
        <v>44</v>
      </c>
      <c r="S63" s="23">
        <v>95</v>
      </c>
      <c r="T63" s="21" t="s">
        <v>462</v>
      </c>
      <c r="U63" s="23">
        <v>95</v>
      </c>
      <c r="V63" s="23">
        <v>5</v>
      </c>
      <c r="W63" s="23">
        <v>5</v>
      </c>
      <c r="X63" s="23">
        <v>5</v>
      </c>
      <c r="Y63" s="23">
        <v>0</v>
      </c>
      <c r="Z63" s="23">
        <v>5</v>
      </c>
      <c r="AA63" s="23">
        <v>0</v>
      </c>
      <c r="AB63" s="23">
        <v>50</v>
      </c>
      <c r="AC63" s="23">
        <v>100</v>
      </c>
      <c r="AD63" s="21" t="s">
        <v>462</v>
      </c>
      <c r="AE63" s="23">
        <v>100</v>
      </c>
      <c r="AF63" s="20">
        <v>92</v>
      </c>
    </row>
    <row r="64" spans="1:32" ht="16.5" customHeight="1" x14ac:dyDescent="0.25">
      <c r="A64" s="17" t="s">
        <v>525</v>
      </c>
      <c r="B64" s="22" t="s">
        <v>464</v>
      </c>
      <c r="C64" s="19" t="s">
        <v>9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5</v>
      </c>
      <c r="K64" s="23">
        <v>48</v>
      </c>
      <c r="L64" s="23">
        <v>62</v>
      </c>
      <c r="M64" s="21" t="s">
        <v>462</v>
      </c>
      <c r="N64" s="23">
        <v>62</v>
      </c>
      <c r="O64" s="23">
        <v>0</v>
      </c>
      <c r="P64" s="23">
        <v>0</v>
      </c>
      <c r="Q64" s="23">
        <v>3</v>
      </c>
      <c r="R64" s="23">
        <v>48.5</v>
      </c>
      <c r="S64" s="23">
        <v>78</v>
      </c>
      <c r="T64" s="21" t="s">
        <v>462</v>
      </c>
      <c r="U64" s="23">
        <v>78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50</v>
      </c>
      <c r="AC64" s="23">
        <v>68</v>
      </c>
      <c r="AD64" s="23">
        <v>70</v>
      </c>
      <c r="AE64" s="23">
        <v>70</v>
      </c>
      <c r="AF64" s="20">
        <v>78</v>
      </c>
    </row>
    <row r="65" spans="1:32" ht="16.5" customHeight="1" x14ac:dyDescent="0.25">
      <c r="A65" s="17" t="s">
        <v>526</v>
      </c>
      <c r="B65" s="22" t="s">
        <v>461</v>
      </c>
      <c r="C65" s="19" t="s">
        <v>8</v>
      </c>
      <c r="D65" s="23">
        <v>1</v>
      </c>
      <c r="E65" s="23">
        <v>1</v>
      </c>
      <c r="F65" s="23">
        <v>1</v>
      </c>
      <c r="G65" s="23">
        <v>1</v>
      </c>
      <c r="H65" s="23">
        <v>1</v>
      </c>
      <c r="I65" s="23">
        <v>1</v>
      </c>
      <c r="J65" s="23">
        <v>5</v>
      </c>
      <c r="K65" s="23">
        <v>48</v>
      </c>
      <c r="L65" s="23">
        <v>92</v>
      </c>
      <c r="M65" s="21" t="s">
        <v>462</v>
      </c>
      <c r="N65" s="23">
        <v>92</v>
      </c>
      <c r="O65" s="23">
        <v>1</v>
      </c>
      <c r="P65" s="23">
        <v>1</v>
      </c>
      <c r="Q65" s="23">
        <v>5</v>
      </c>
      <c r="R65" s="23">
        <v>48.5</v>
      </c>
      <c r="S65" s="23">
        <v>88</v>
      </c>
      <c r="T65" s="21" t="s">
        <v>462</v>
      </c>
      <c r="U65" s="23">
        <v>88</v>
      </c>
      <c r="V65" s="23">
        <v>5</v>
      </c>
      <c r="W65" s="23">
        <v>5</v>
      </c>
      <c r="X65" s="23">
        <v>5</v>
      </c>
      <c r="Y65" s="23">
        <v>5</v>
      </c>
      <c r="Z65" s="23">
        <v>5</v>
      </c>
      <c r="AA65" s="23">
        <v>5</v>
      </c>
      <c r="AB65" s="23">
        <v>47</v>
      </c>
      <c r="AC65" s="23">
        <v>85</v>
      </c>
      <c r="AD65" s="23">
        <v>95</v>
      </c>
      <c r="AE65" s="23">
        <v>95</v>
      </c>
      <c r="AF65" s="20">
        <v>85</v>
      </c>
    </row>
    <row r="66" spans="1:32" ht="16.5" customHeight="1" x14ac:dyDescent="0.25">
      <c r="A66" s="17" t="s">
        <v>527</v>
      </c>
      <c r="B66" s="22" t="s">
        <v>461</v>
      </c>
      <c r="C66" s="19" t="s">
        <v>8</v>
      </c>
      <c r="D66" s="23">
        <v>1</v>
      </c>
      <c r="E66" s="23">
        <v>1</v>
      </c>
      <c r="F66" s="23">
        <v>1</v>
      </c>
      <c r="G66" s="23">
        <v>1</v>
      </c>
      <c r="H66" s="23">
        <v>1</v>
      </c>
      <c r="I66" s="23">
        <v>1</v>
      </c>
      <c r="J66" s="23">
        <v>5</v>
      </c>
      <c r="K66" s="23">
        <v>48</v>
      </c>
      <c r="L66" s="23">
        <v>100</v>
      </c>
      <c r="M66" s="21" t="s">
        <v>462</v>
      </c>
      <c r="N66" s="23">
        <v>100</v>
      </c>
      <c r="O66" s="23">
        <v>1</v>
      </c>
      <c r="P66" s="23">
        <v>1</v>
      </c>
      <c r="Q66" s="23">
        <v>5</v>
      </c>
      <c r="R66" s="23">
        <v>50</v>
      </c>
      <c r="S66" s="23">
        <v>95</v>
      </c>
      <c r="T66" s="23">
        <v>90</v>
      </c>
      <c r="U66" s="23">
        <v>95</v>
      </c>
      <c r="V66" s="23">
        <v>5</v>
      </c>
      <c r="W66" s="23">
        <v>5</v>
      </c>
      <c r="X66" s="23">
        <v>5</v>
      </c>
      <c r="Y66" s="23">
        <v>5</v>
      </c>
      <c r="Z66" s="23">
        <v>5</v>
      </c>
      <c r="AA66" s="23">
        <v>5</v>
      </c>
      <c r="AB66" s="23">
        <v>50</v>
      </c>
      <c r="AC66" s="23">
        <v>92</v>
      </c>
      <c r="AD66" s="23">
        <v>92</v>
      </c>
      <c r="AE66" s="23">
        <v>92</v>
      </c>
      <c r="AF66" s="20">
        <v>88</v>
      </c>
    </row>
    <row r="67" spans="1:32" ht="16.5" customHeight="1" x14ac:dyDescent="0.25">
      <c r="A67" s="17" t="s">
        <v>528</v>
      </c>
      <c r="B67" s="22" t="s">
        <v>464</v>
      </c>
      <c r="C67" s="19" t="s">
        <v>9</v>
      </c>
      <c r="D67" s="23">
        <v>0</v>
      </c>
      <c r="E67" s="23">
        <v>1</v>
      </c>
      <c r="F67" s="23">
        <v>1</v>
      </c>
      <c r="G67" s="23">
        <v>0</v>
      </c>
      <c r="H67" s="23">
        <v>0</v>
      </c>
      <c r="I67" s="23">
        <v>1</v>
      </c>
      <c r="J67" s="23">
        <v>5</v>
      </c>
      <c r="K67" s="23">
        <v>50</v>
      </c>
      <c r="L67" s="23">
        <v>70</v>
      </c>
      <c r="M67" s="21" t="s">
        <v>462</v>
      </c>
      <c r="N67" s="23">
        <v>70</v>
      </c>
      <c r="O67" s="23">
        <v>1</v>
      </c>
      <c r="P67" s="23">
        <v>1</v>
      </c>
      <c r="Q67" s="23">
        <v>5</v>
      </c>
      <c r="R67" s="23">
        <v>50</v>
      </c>
      <c r="S67" s="23">
        <v>72</v>
      </c>
      <c r="T67" s="21" t="s">
        <v>462</v>
      </c>
      <c r="U67" s="23">
        <v>72</v>
      </c>
      <c r="V67" s="23">
        <v>0</v>
      </c>
      <c r="W67" s="23">
        <v>5</v>
      </c>
      <c r="X67" s="23">
        <v>5</v>
      </c>
      <c r="Y67" s="23">
        <v>5</v>
      </c>
      <c r="Z67" s="23">
        <v>0</v>
      </c>
      <c r="AA67" s="23">
        <v>0</v>
      </c>
      <c r="AB67" s="23">
        <v>50</v>
      </c>
      <c r="AC67" s="23">
        <v>75</v>
      </c>
      <c r="AD67" s="21" t="s">
        <v>462</v>
      </c>
      <c r="AE67" s="23">
        <v>75</v>
      </c>
      <c r="AF67" s="20">
        <v>65</v>
      </c>
    </row>
    <row r="68" spans="1:32" ht="16.5" customHeight="1" x14ac:dyDescent="0.25">
      <c r="A68" s="17" t="s">
        <v>529</v>
      </c>
      <c r="B68" s="22" t="s">
        <v>464</v>
      </c>
      <c r="C68" s="19" t="s">
        <v>9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5</v>
      </c>
      <c r="K68" s="23">
        <v>39</v>
      </c>
      <c r="L68" s="23">
        <v>70</v>
      </c>
      <c r="M68" s="21" t="s">
        <v>462</v>
      </c>
      <c r="N68" s="23">
        <v>70</v>
      </c>
      <c r="O68" s="23">
        <v>0</v>
      </c>
      <c r="P68" s="23">
        <v>0</v>
      </c>
      <c r="Q68" s="23">
        <v>5</v>
      </c>
      <c r="R68" s="23">
        <v>36</v>
      </c>
      <c r="S68" s="23">
        <v>65</v>
      </c>
      <c r="T68" s="23">
        <v>65</v>
      </c>
      <c r="U68" s="23">
        <v>65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39</v>
      </c>
      <c r="AC68" s="23">
        <v>62</v>
      </c>
      <c r="AD68" s="21" t="s">
        <v>462</v>
      </c>
      <c r="AE68" s="23">
        <v>62</v>
      </c>
      <c r="AF68" s="20">
        <v>62</v>
      </c>
    </row>
    <row r="69" spans="1:32" ht="16.5" customHeight="1" x14ac:dyDescent="0.25">
      <c r="A69" s="17" t="s">
        <v>530</v>
      </c>
      <c r="B69" s="22" t="s">
        <v>464</v>
      </c>
      <c r="C69" s="19" t="s">
        <v>9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5</v>
      </c>
      <c r="K69" s="23">
        <v>48</v>
      </c>
      <c r="L69" s="23">
        <v>85</v>
      </c>
      <c r="M69" s="21" t="s">
        <v>462</v>
      </c>
      <c r="N69" s="23">
        <v>85</v>
      </c>
      <c r="O69" s="23">
        <v>0</v>
      </c>
      <c r="P69" s="23">
        <v>0</v>
      </c>
      <c r="Q69" s="23">
        <v>5</v>
      </c>
      <c r="R69" s="23">
        <v>38</v>
      </c>
      <c r="S69" s="23">
        <v>86</v>
      </c>
      <c r="T69" s="21" t="s">
        <v>462</v>
      </c>
      <c r="U69" s="23">
        <v>86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50</v>
      </c>
      <c r="AC69" s="23">
        <v>62</v>
      </c>
      <c r="AD69" s="21" t="s">
        <v>462</v>
      </c>
      <c r="AE69" s="23">
        <v>62</v>
      </c>
      <c r="AF69" s="20">
        <v>68</v>
      </c>
    </row>
    <row r="70" spans="1:32" ht="16.5" customHeight="1" x14ac:dyDescent="0.25">
      <c r="A70" s="17" t="s">
        <v>531</v>
      </c>
      <c r="B70" s="22" t="s">
        <v>464</v>
      </c>
      <c r="C70" s="19" t="s">
        <v>9</v>
      </c>
      <c r="D70" s="23">
        <v>1</v>
      </c>
      <c r="E70" s="23">
        <v>1</v>
      </c>
      <c r="F70" s="23">
        <v>0</v>
      </c>
      <c r="G70" s="23">
        <v>1</v>
      </c>
      <c r="H70" s="23">
        <v>0</v>
      </c>
      <c r="I70" s="23">
        <v>1</v>
      </c>
      <c r="J70" s="23">
        <v>5</v>
      </c>
      <c r="K70" s="23">
        <v>48</v>
      </c>
      <c r="L70" s="23">
        <v>72</v>
      </c>
      <c r="M70" s="21" t="s">
        <v>462</v>
      </c>
      <c r="N70" s="23">
        <v>72</v>
      </c>
      <c r="O70" s="23">
        <v>0</v>
      </c>
      <c r="P70" s="23">
        <v>0</v>
      </c>
      <c r="Q70" s="23">
        <v>3</v>
      </c>
      <c r="R70" s="23">
        <v>44.5</v>
      </c>
      <c r="S70" s="23">
        <v>63</v>
      </c>
      <c r="T70" s="23">
        <v>62</v>
      </c>
      <c r="U70" s="23">
        <v>63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50</v>
      </c>
      <c r="AC70" s="23">
        <v>30</v>
      </c>
      <c r="AD70" s="23">
        <v>30</v>
      </c>
      <c r="AE70" s="23">
        <v>30</v>
      </c>
      <c r="AF70" s="20">
        <v>62</v>
      </c>
    </row>
    <row r="71" spans="1:32" ht="16.5" customHeight="1" x14ac:dyDescent="0.25">
      <c r="A71" s="17" t="s">
        <v>532</v>
      </c>
      <c r="B71" s="22" t="s">
        <v>464</v>
      </c>
      <c r="C71" s="19" t="s">
        <v>9</v>
      </c>
      <c r="D71" s="23" t="s">
        <v>462</v>
      </c>
      <c r="E71" s="23" t="s">
        <v>462</v>
      </c>
      <c r="F71" s="23" t="s">
        <v>462</v>
      </c>
      <c r="G71" s="23" t="s">
        <v>462</v>
      </c>
      <c r="H71" s="23" t="s">
        <v>462</v>
      </c>
      <c r="I71" s="23" t="s">
        <v>462</v>
      </c>
      <c r="J71" s="23" t="s">
        <v>462</v>
      </c>
      <c r="K71" s="23" t="s">
        <v>462</v>
      </c>
      <c r="L71" s="23" t="s">
        <v>462</v>
      </c>
      <c r="M71" s="21" t="s">
        <v>462</v>
      </c>
      <c r="N71" s="23" t="s">
        <v>150</v>
      </c>
      <c r="O71" s="23">
        <v>0</v>
      </c>
      <c r="P71" s="23">
        <v>0</v>
      </c>
      <c r="Q71" s="23">
        <v>5</v>
      </c>
      <c r="R71" s="23">
        <v>45.5</v>
      </c>
      <c r="S71" s="23">
        <v>65</v>
      </c>
      <c r="T71" s="23">
        <v>72</v>
      </c>
      <c r="U71" s="23">
        <v>72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11</v>
      </c>
      <c r="AC71" s="23">
        <v>65</v>
      </c>
      <c r="AD71" s="23">
        <v>65</v>
      </c>
      <c r="AE71" s="23">
        <v>65</v>
      </c>
      <c r="AF71" s="20">
        <v>62</v>
      </c>
    </row>
    <row r="72" spans="1:32" ht="16.5" customHeight="1" x14ac:dyDescent="0.25">
      <c r="A72" s="17" t="s">
        <v>533</v>
      </c>
      <c r="B72" s="22" t="s">
        <v>464</v>
      </c>
      <c r="C72" s="19" t="s">
        <v>9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44</v>
      </c>
      <c r="L72" s="23"/>
      <c r="M72" s="21" t="s">
        <v>462</v>
      </c>
      <c r="N72" s="23">
        <v>60</v>
      </c>
      <c r="O72" s="23">
        <v>1</v>
      </c>
      <c r="P72" s="23">
        <v>1</v>
      </c>
      <c r="Q72" s="23">
        <v>5</v>
      </c>
      <c r="R72" s="23">
        <v>41</v>
      </c>
      <c r="S72" s="23">
        <v>63</v>
      </c>
      <c r="T72" s="21" t="s">
        <v>462</v>
      </c>
      <c r="U72" s="23">
        <v>63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44</v>
      </c>
      <c r="AC72" s="23">
        <v>68</v>
      </c>
      <c r="AD72" s="21" t="s">
        <v>462</v>
      </c>
      <c r="AE72" s="23">
        <v>68</v>
      </c>
      <c r="AF72" s="20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 x14ac:dyDescent="0.2"/>
  <cols>
    <col min="1" max="1" width="16.5703125" customWidth="1"/>
    <col min="2" max="2" width="12" customWidth="1"/>
  </cols>
  <sheetData>
    <row r="1" spans="1:27" ht="15" customHeight="1" x14ac:dyDescent="0.2">
      <c r="A1" s="25" t="s">
        <v>428</v>
      </c>
      <c r="B1" s="25" t="s">
        <v>534</v>
      </c>
      <c r="C1" s="15" t="s">
        <v>430</v>
      </c>
      <c r="D1" s="25" t="s">
        <v>535</v>
      </c>
      <c r="E1" s="25" t="s">
        <v>536</v>
      </c>
      <c r="F1" s="25" t="s">
        <v>438</v>
      </c>
      <c r="G1" s="25" t="s">
        <v>439</v>
      </c>
      <c r="H1" s="25" t="s">
        <v>440</v>
      </c>
      <c r="I1" s="25" t="s">
        <v>441</v>
      </c>
      <c r="J1" s="25" t="s">
        <v>537</v>
      </c>
      <c r="K1" s="25" t="s">
        <v>538</v>
      </c>
      <c r="L1" s="25" t="s">
        <v>539</v>
      </c>
      <c r="M1" s="25" t="s">
        <v>446</v>
      </c>
      <c r="N1" s="25" t="s">
        <v>447</v>
      </c>
      <c r="O1" s="25" t="s">
        <v>540</v>
      </c>
      <c r="P1" s="25" t="s">
        <v>541</v>
      </c>
      <c r="Q1" s="25" t="s">
        <v>542</v>
      </c>
      <c r="R1" s="25" t="s">
        <v>543</v>
      </c>
      <c r="S1" s="25" t="s">
        <v>544</v>
      </c>
      <c r="T1" s="25" t="s">
        <v>456</v>
      </c>
      <c r="U1" s="25" t="s">
        <v>457</v>
      </c>
      <c r="V1" s="25" t="s">
        <v>458</v>
      </c>
      <c r="W1" s="25" t="s">
        <v>545</v>
      </c>
      <c r="X1" s="25" t="s">
        <v>546</v>
      </c>
      <c r="Y1" s="25" t="s">
        <v>547</v>
      </c>
      <c r="Z1" s="25" t="s">
        <v>548</v>
      </c>
      <c r="AA1" s="25" t="s">
        <v>459</v>
      </c>
    </row>
    <row r="2" spans="1:27" ht="15" customHeight="1" x14ac:dyDescent="0.2">
      <c r="A2" s="26" t="s">
        <v>549</v>
      </c>
      <c r="B2" s="19" t="s">
        <v>464</v>
      </c>
      <c r="C2" s="19" t="s">
        <v>7</v>
      </c>
      <c r="D2" s="20">
        <v>15</v>
      </c>
      <c r="E2" s="20">
        <v>14</v>
      </c>
      <c r="F2" s="20">
        <v>42.5</v>
      </c>
      <c r="G2" s="20">
        <v>85</v>
      </c>
      <c r="H2" s="20" t="s">
        <v>462</v>
      </c>
      <c r="I2" s="20">
        <v>85</v>
      </c>
      <c r="J2" s="20">
        <v>11</v>
      </c>
      <c r="K2" s="20">
        <v>12</v>
      </c>
      <c r="L2" s="20">
        <v>44</v>
      </c>
      <c r="M2" s="20">
        <v>85</v>
      </c>
      <c r="N2" s="20" t="s">
        <v>462</v>
      </c>
      <c r="O2" s="20">
        <v>85</v>
      </c>
      <c r="P2" s="20">
        <v>9.75</v>
      </c>
      <c r="Q2" s="20">
        <v>10</v>
      </c>
      <c r="R2" s="20">
        <v>11</v>
      </c>
      <c r="S2" s="20">
        <v>44</v>
      </c>
      <c r="T2" s="20">
        <v>100</v>
      </c>
      <c r="U2" s="20" t="s">
        <v>462</v>
      </c>
      <c r="V2" s="20">
        <v>100</v>
      </c>
      <c r="W2" s="20">
        <v>22</v>
      </c>
      <c r="X2" s="20">
        <v>9.0500000000000007</v>
      </c>
      <c r="Y2" s="20">
        <v>5.5</v>
      </c>
      <c r="Z2" s="20">
        <v>95</v>
      </c>
      <c r="AA2" s="21">
        <v>92</v>
      </c>
    </row>
    <row r="3" spans="1:27" ht="15" customHeight="1" x14ac:dyDescent="0.2">
      <c r="A3" s="26" t="s">
        <v>550</v>
      </c>
      <c r="B3" s="19" t="s">
        <v>464</v>
      </c>
      <c r="C3" s="19" t="s">
        <v>9</v>
      </c>
      <c r="D3" s="20">
        <v>15</v>
      </c>
      <c r="E3" s="20">
        <v>0</v>
      </c>
      <c r="F3" s="20">
        <v>42.5</v>
      </c>
      <c r="G3" s="20">
        <v>82</v>
      </c>
      <c r="H3" s="20" t="s">
        <v>462</v>
      </c>
      <c r="I3" s="20">
        <v>82</v>
      </c>
      <c r="J3" s="20">
        <v>12</v>
      </c>
      <c r="K3" s="20">
        <v>12</v>
      </c>
      <c r="L3" s="20">
        <v>44</v>
      </c>
      <c r="M3" s="20">
        <v>78</v>
      </c>
      <c r="N3" s="20" t="s">
        <v>462</v>
      </c>
      <c r="O3" s="20">
        <v>78</v>
      </c>
      <c r="P3" s="20">
        <v>9.75</v>
      </c>
      <c r="Q3" s="20">
        <v>9</v>
      </c>
      <c r="R3" s="20">
        <v>9</v>
      </c>
      <c r="S3" s="20">
        <v>39</v>
      </c>
      <c r="T3" s="20">
        <v>75</v>
      </c>
      <c r="U3" s="20" t="s">
        <v>462</v>
      </c>
      <c r="V3" s="20">
        <v>75</v>
      </c>
      <c r="W3" s="20">
        <v>0</v>
      </c>
      <c r="X3" s="20">
        <v>0</v>
      </c>
      <c r="Y3" s="20">
        <v>0</v>
      </c>
      <c r="Z3" s="20">
        <v>0</v>
      </c>
      <c r="AA3" s="21">
        <v>0</v>
      </c>
    </row>
    <row r="4" spans="1:27" ht="15" customHeight="1" x14ac:dyDescent="0.2">
      <c r="A4" s="26" t="s">
        <v>551</v>
      </c>
      <c r="B4" s="19" t="s">
        <v>464</v>
      </c>
      <c r="C4" s="19" t="s">
        <v>8</v>
      </c>
      <c r="D4" s="20">
        <v>14</v>
      </c>
      <c r="E4" s="20">
        <v>13.75</v>
      </c>
      <c r="F4" s="20">
        <v>39</v>
      </c>
      <c r="G4" s="20">
        <v>95</v>
      </c>
      <c r="H4" s="27" t="s">
        <v>462</v>
      </c>
      <c r="I4" s="20">
        <v>95</v>
      </c>
      <c r="J4" s="20">
        <v>15</v>
      </c>
      <c r="K4" s="20">
        <v>10</v>
      </c>
      <c r="L4" s="20">
        <v>47.5</v>
      </c>
      <c r="M4" s="20">
        <v>85</v>
      </c>
      <c r="N4" s="20" t="s">
        <v>462</v>
      </c>
      <c r="O4" s="20">
        <v>85</v>
      </c>
      <c r="P4" s="20">
        <v>9</v>
      </c>
      <c r="Q4" s="20">
        <v>10</v>
      </c>
      <c r="R4" s="20">
        <v>10</v>
      </c>
      <c r="S4" s="20">
        <v>41</v>
      </c>
      <c r="T4" s="20">
        <v>85</v>
      </c>
      <c r="U4" s="20" t="s">
        <v>462</v>
      </c>
      <c r="V4" s="20">
        <v>85</v>
      </c>
      <c r="W4" s="20">
        <v>20</v>
      </c>
      <c r="X4" s="20">
        <v>8.35</v>
      </c>
      <c r="Y4" s="20">
        <v>21</v>
      </c>
      <c r="Z4" s="20">
        <v>95</v>
      </c>
      <c r="AA4" s="21">
        <v>82</v>
      </c>
    </row>
    <row r="5" spans="1:27" ht="15" customHeight="1" x14ac:dyDescent="0.2">
      <c r="A5" s="26" t="s">
        <v>552</v>
      </c>
      <c r="B5" s="19" t="s">
        <v>464</v>
      </c>
      <c r="C5" s="19" t="s">
        <v>8</v>
      </c>
      <c r="D5" s="20">
        <v>14</v>
      </c>
      <c r="E5" s="20">
        <v>14</v>
      </c>
      <c r="F5" s="20">
        <v>46</v>
      </c>
      <c r="G5" s="20">
        <v>82</v>
      </c>
      <c r="H5" s="20" t="s">
        <v>462</v>
      </c>
      <c r="I5" s="20">
        <v>82</v>
      </c>
      <c r="J5" s="20">
        <v>15</v>
      </c>
      <c r="K5" s="20">
        <v>10</v>
      </c>
      <c r="L5" s="20">
        <v>41</v>
      </c>
      <c r="M5" s="20">
        <v>72</v>
      </c>
      <c r="N5" s="20">
        <v>88</v>
      </c>
      <c r="O5" s="20">
        <v>88</v>
      </c>
      <c r="P5" s="20">
        <v>8.5</v>
      </c>
      <c r="Q5" s="20">
        <v>10</v>
      </c>
      <c r="R5" s="20">
        <v>10</v>
      </c>
      <c r="S5" s="20">
        <v>41</v>
      </c>
      <c r="T5" s="20">
        <v>78</v>
      </c>
      <c r="U5" s="20">
        <v>72</v>
      </c>
      <c r="V5" s="20">
        <v>78</v>
      </c>
      <c r="W5" s="20">
        <v>22</v>
      </c>
      <c r="X5" s="20">
        <v>9</v>
      </c>
      <c r="Y5" s="20">
        <v>0</v>
      </c>
      <c r="Z5" s="20">
        <v>85</v>
      </c>
      <c r="AA5" s="21">
        <v>92</v>
      </c>
    </row>
    <row r="6" spans="1:27" ht="15" customHeight="1" x14ac:dyDescent="0.2">
      <c r="A6" s="26" t="s">
        <v>553</v>
      </c>
      <c r="B6" s="19" t="s">
        <v>464</v>
      </c>
      <c r="C6" s="19" t="s">
        <v>8</v>
      </c>
      <c r="D6" s="20" t="s">
        <v>462</v>
      </c>
      <c r="E6" s="20" t="s">
        <v>462</v>
      </c>
      <c r="F6" s="20" t="s">
        <v>462</v>
      </c>
      <c r="G6" s="20">
        <v>92</v>
      </c>
      <c r="H6" s="20" t="s">
        <v>462</v>
      </c>
      <c r="I6" s="20">
        <v>92</v>
      </c>
      <c r="J6" s="20">
        <v>18</v>
      </c>
      <c r="K6" s="20">
        <v>12</v>
      </c>
      <c r="L6" s="20">
        <v>44</v>
      </c>
      <c r="M6" s="20">
        <v>95</v>
      </c>
      <c r="N6" s="20" t="s">
        <v>462</v>
      </c>
      <c r="O6" s="20">
        <v>95</v>
      </c>
      <c r="P6" s="20">
        <v>10</v>
      </c>
      <c r="Q6" s="20">
        <v>10</v>
      </c>
      <c r="R6" s="20">
        <v>11</v>
      </c>
      <c r="S6" s="20">
        <v>46</v>
      </c>
      <c r="T6" s="20">
        <v>100</v>
      </c>
      <c r="U6" s="20" t="s">
        <v>462</v>
      </c>
      <c r="V6" s="20">
        <v>100</v>
      </c>
      <c r="W6" s="20">
        <v>22</v>
      </c>
      <c r="X6" s="20">
        <v>10</v>
      </c>
      <c r="Y6" s="20">
        <v>28</v>
      </c>
      <c r="Z6" s="20">
        <v>95</v>
      </c>
      <c r="AA6" s="21">
        <v>0</v>
      </c>
    </row>
    <row r="7" spans="1:27" ht="15" customHeight="1" x14ac:dyDescent="0.2">
      <c r="A7" s="26" t="s">
        <v>554</v>
      </c>
      <c r="B7" s="19" t="s">
        <v>461</v>
      </c>
      <c r="C7" s="19" t="s">
        <v>8</v>
      </c>
      <c r="D7" s="20">
        <v>8</v>
      </c>
      <c r="E7" s="20">
        <v>12</v>
      </c>
      <c r="F7" s="20">
        <v>39</v>
      </c>
      <c r="G7" s="20">
        <v>85</v>
      </c>
      <c r="H7" s="20" t="s">
        <v>462</v>
      </c>
      <c r="I7" s="20">
        <v>85</v>
      </c>
      <c r="J7" s="20">
        <v>17</v>
      </c>
      <c r="K7" s="20">
        <v>12</v>
      </c>
      <c r="L7" s="20">
        <v>46</v>
      </c>
      <c r="M7" s="20">
        <v>100</v>
      </c>
      <c r="N7" s="20" t="s">
        <v>462</v>
      </c>
      <c r="O7" s="20">
        <v>100</v>
      </c>
      <c r="P7" s="20">
        <v>9</v>
      </c>
      <c r="Q7" s="20">
        <v>10</v>
      </c>
      <c r="R7" s="20">
        <v>9</v>
      </c>
      <c r="S7" s="20">
        <v>42.5</v>
      </c>
      <c r="T7" s="20">
        <v>78</v>
      </c>
      <c r="U7" s="20">
        <v>75</v>
      </c>
      <c r="V7" s="20">
        <v>78</v>
      </c>
      <c r="W7" s="20">
        <v>0</v>
      </c>
      <c r="X7" s="20">
        <v>6</v>
      </c>
      <c r="Y7" s="20">
        <v>0</v>
      </c>
      <c r="Z7" s="20">
        <v>92</v>
      </c>
      <c r="AA7" s="21">
        <v>82</v>
      </c>
    </row>
    <row r="8" spans="1:27" ht="15" customHeight="1" x14ac:dyDescent="0.2">
      <c r="A8" s="26" t="s">
        <v>555</v>
      </c>
      <c r="B8" s="19" t="s">
        <v>461</v>
      </c>
      <c r="C8" s="19" t="s">
        <v>9</v>
      </c>
      <c r="D8" s="20">
        <v>10</v>
      </c>
      <c r="E8" s="20">
        <v>12</v>
      </c>
      <c r="F8" s="20">
        <v>46</v>
      </c>
      <c r="G8" s="20">
        <v>75</v>
      </c>
      <c r="H8" s="20">
        <v>85</v>
      </c>
      <c r="I8" s="20">
        <v>85</v>
      </c>
      <c r="J8" s="20">
        <v>18</v>
      </c>
      <c r="K8" s="20">
        <v>10</v>
      </c>
      <c r="L8" s="20">
        <v>42.5</v>
      </c>
      <c r="M8" s="20">
        <v>68</v>
      </c>
      <c r="N8" s="20">
        <v>80</v>
      </c>
      <c r="O8" s="20">
        <v>80</v>
      </c>
      <c r="P8" s="20">
        <v>8</v>
      </c>
      <c r="Q8" s="20">
        <v>10</v>
      </c>
      <c r="R8" s="20">
        <v>10</v>
      </c>
      <c r="S8" s="20">
        <v>44</v>
      </c>
      <c r="T8" s="20">
        <v>75</v>
      </c>
      <c r="U8" s="20">
        <v>65</v>
      </c>
      <c r="V8" s="20">
        <v>75</v>
      </c>
      <c r="W8" s="20">
        <v>22</v>
      </c>
      <c r="X8" s="20">
        <v>10</v>
      </c>
      <c r="Y8" s="20">
        <v>26</v>
      </c>
      <c r="Z8" s="20">
        <v>92</v>
      </c>
      <c r="AA8" s="21">
        <v>68</v>
      </c>
    </row>
    <row r="9" spans="1:27" ht="15" customHeight="1" x14ac:dyDescent="0.2">
      <c r="A9" s="26" t="s">
        <v>556</v>
      </c>
      <c r="B9" s="19" t="s">
        <v>461</v>
      </c>
      <c r="C9" s="19" t="s">
        <v>8</v>
      </c>
      <c r="D9" s="20">
        <v>7</v>
      </c>
      <c r="E9" s="20">
        <v>7.5</v>
      </c>
      <c r="F9" s="20">
        <v>44</v>
      </c>
      <c r="G9" s="20">
        <v>65</v>
      </c>
      <c r="H9" s="20" t="s">
        <v>462</v>
      </c>
      <c r="I9" s="20">
        <v>65</v>
      </c>
      <c r="J9" s="20">
        <v>16</v>
      </c>
      <c r="K9" s="20">
        <v>1</v>
      </c>
      <c r="L9" s="20">
        <v>44</v>
      </c>
      <c r="M9" s="20">
        <v>65</v>
      </c>
      <c r="N9" s="20" t="s">
        <v>462</v>
      </c>
      <c r="O9" s="20">
        <v>65</v>
      </c>
      <c r="P9" s="20">
        <v>4</v>
      </c>
      <c r="Q9" s="20">
        <v>10</v>
      </c>
      <c r="R9" s="20">
        <v>11</v>
      </c>
      <c r="S9" s="20">
        <v>42.5</v>
      </c>
      <c r="T9" s="20">
        <v>65</v>
      </c>
      <c r="U9" s="20" t="s">
        <v>462</v>
      </c>
      <c r="V9" s="20">
        <v>65</v>
      </c>
      <c r="W9" s="20">
        <v>19.2</v>
      </c>
      <c r="X9" s="20">
        <v>0</v>
      </c>
      <c r="Y9" s="20">
        <v>0</v>
      </c>
      <c r="Z9" s="20">
        <v>30</v>
      </c>
      <c r="AA9" s="21">
        <v>72</v>
      </c>
    </row>
    <row r="10" spans="1:27" ht="15" customHeight="1" x14ac:dyDescent="0.2">
      <c r="A10" s="26" t="s">
        <v>557</v>
      </c>
      <c r="B10" s="19" t="s">
        <v>464</v>
      </c>
      <c r="C10" s="19" t="s">
        <v>8</v>
      </c>
      <c r="D10" s="20">
        <v>8.5</v>
      </c>
      <c r="E10" s="20">
        <v>5.25</v>
      </c>
      <c r="F10" s="20">
        <v>36</v>
      </c>
      <c r="G10" s="20">
        <v>75</v>
      </c>
      <c r="H10" s="27" t="s">
        <v>462</v>
      </c>
      <c r="I10" s="20">
        <v>75</v>
      </c>
      <c r="J10" s="20">
        <v>13</v>
      </c>
      <c r="K10" s="20">
        <v>12</v>
      </c>
      <c r="L10" s="20">
        <v>41</v>
      </c>
      <c r="M10" s="20">
        <v>68</v>
      </c>
      <c r="N10" s="20" t="s">
        <v>462</v>
      </c>
      <c r="O10" s="20">
        <v>68</v>
      </c>
      <c r="P10" s="20">
        <v>10</v>
      </c>
      <c r="Q10" s="20">
        <v>10</v>
      </c>
      <c r="R10" s="20">
        <v>11</v>
      </c>
      <c r="S10" s="20">
        <v>42.5</v>
      </c>
      <c r="T10" s="20">
        <v>68</v>
      </c>
      <c r="U10" s="20" t="s">
        <v>462</v>
      </c>
      <c r="V10" s="20">
        <v>68</v>
      </c>
      <c r="W10" s="20">
        <v>16</v>
      </c>
      <c r="X10" s="20">
        <v>9.25</v>
      </c>
      <c r="Y10" s="20">
        <v>24</v>
      </c>
      <c r="Z10" s="20">
        <v>78</v>
      </c>
      <c r="AA10" s="21">
        <v>73</v>
      </c>
    </row>
    <row r="11" spans="1:27" ht="15" customHeight="1" x14ac:dyDescent="0.2">
      <c r="A11" s="26" t="s">
        <v>558</v>
      </c>
      <c r="B11" s="19" t="s">
        <v>461</v>
      </c>
      <c r="C11" s="19" t="s">
        <v>7</v>
      </c>
      <c r="D11" s="20">
        <v>14.5</v>
      </c>
      <c r="E11" s="20">
        <v>10</v>
      </c>
      <c r="F11" s="20">
        <v>44</v>
      </c>
      <c r="G11" s="20">
        <v>88</v>
      </c>
      <c r="H11" s="20" t="s">
        <v>462</v>
      </c>
      <c r="I11" s="20">
        <v>88</v>
      </c>
      <c r="J11" s="20">
        <v>15</v>
      </c>
      <c r="K11" s="20">
        <v>10</v>
      </c>
      <c r="L11" s="20">
        <v>47.5</v>
      </c>
      <c r="M11" s="20">
        <v>82</v>
      </c>
      <c r="N11" s="20" t="s">
        <v>462</v>
      </c>
      <c r="O11" s="20">
        <v>82</v>
      </c>
      <c r="P11" s="20">
        <v>10</v>
      </c>
      <c r="Q11" s="20">
        <v>10</v>
      </c>
      <c r="R11" s="20">
        <v>0</v>
      </c>
      <c r="S11" s="20">
        <v>44</v>
      </c>
      <c r="T11" s="20">
        <v>84</v>
      </c>
      <c r="U11" s="20" t="s">
        <v>462</v>
      </c>
      <c r="V11" s="20">
        <v>84</v>
      </c>
      <c r="W11" s="20">
        <v>0</v>
      </c>
      <c r="X11" s="20">
        <v>0</v>
      </c>
      <c r="Y11" s="20">
        <v>0</v>
      </c>
      <c r="Z11" s="20">
        <v>100</v>
      </c>
      <c r="AA11" s="21">
        <v>85</v>
      </c>
    </row>
    <row r="12" spans="1:27" ht="15" customHeight="1" x14ac:dyDescent="0.2">
      <c r="A12" s="26" t="s">
        <v>559</v>
      </c>
      <c r="B12" s="19" t="s">
        <v>461</v>
      </c>
      <c r="C12" s="19" t="s">
        <v>8</v>
      </c>
      <c r="D12" s="20">
        <v>2</v>
      </c>
      <c r="E12" s="20">
        <v>0</v>
      </c>
      <c r="F12" s="20">
        <v>34</v>
      </c>
      <c r="G12" s="20">
        <v>30</v>
      </c>
      <c r="H12" s="20" t="s">
        <v>462</v>
      </c>
      <c r="I12" s="20">
        <v>30</v>
      </c>
      <c r="J12" s="20">
        <v>18</v>
      </c>
      <c r="K12" s="20">
        <v>6</v>
      </c>
      <c r="L12" s="20">
        <v>39</v>
      </c>
      <c r="M12" s="20">
        <v>62</v>
      </c>
      <c r="N12" s="20">
        <v>72</v>
      </c>
      <c r="O12" s="20">
        <v>72</v>
      </c>
      <c r="P12" s="20">
        <v>9</v>
      </c>
      <c r="Q12" s="20">
        <v>9</v>
      </c>
      <c r="R12" s="20">
        <v>10</v>
      </c>
      <c r="S12" s="20">
        <v>42.5</v>
      </c>
      <c r="T12" s="20">
        <v>65</v>
      </c>
      <c r="U12" s="20">
        <v>68</v>
      </c>
      <c r="V12" s="20">
        <v>68</v>
      </c>
      <c r="W12" s="20">
        <v>20.2</v>
      </c>
      <c r="X12" s="20">
        <v>1</v>
      </c>
      <c r="Y12" s="20">
        <v>26</v>
      </c>
      <c r="Z12" s="20">
        <v>82</v>
      </c>
      <c r="AA12" s="21">
        <v>65</v>
      </c>
    </row>
    <row r="13" spans="1:27" ht="15" customHeight="1" x14ac:dyDescent="0.2">
      <c r="A13" s="26" t="s">
        <v>560</v>
      </c>
      <c r="B13" s="19" t="s">
        <v>464</v>
      </c>
      <c r="C13" s="19" t="s">
        <v>8</v>
      </c>
      <c r="D13" s="20">
        <v>15</v>
      </c>
      <c r="E13" s="20">
        <v>10.75</v>
      </c>
      <c r="F13" s="20">
        <v>37.5</v>
      </c>
      <c r="G13" s="20">
        <v>82</v>
      </c>
      <c r="H13" s="20" t="s">
        <v>462</v>
      </c>
      <c r="I13" s="20">
        <v>82</v>
      </c>
      <c r="J13" s="20">
        <v>16</v>
      </c>
      <c r="K13" s="20">
        <v>12</v>
      </c>
      <c r="L13" s="20">
        <v>41</v>
      </c>
      <c r="M13" s="20">
        <v>72</v>
      </c>
      <c r="N13" s="20" t="s">
        <v>462</v>
      </c>
      <c r="O13" s="20">
        <v>72</v>
      </c>
      <c r="P13" s="20">
        <v>7</v>
      </c>
      <c r="Q13" s="20">
        <v>10</v>
      </c>
      <c r="R13" s="20">
        <v>11</v>
      </c>
      <c r="S13" s="20">
        <v>42.5</v>
      </c>
      <c r="T13" s="20">
        <v>85</v>
      </c>
      <c r="U13" s="20" t="s">
        <v>462</v>
      </c>
      <c r="V13" s="20">
        <v>85</v>
      </c>
      <c r="W13" s="20">
        <v>0</v>
      </c>
      <c r="X13" s="20">
        <v>0</v>
      </c>
      <c r="Y13" s="20">
        <v>0</v>
      </c>
      <c r="Z13" s="20">
        <v>0</v>
      </c>
      <c r="AA13" s="21">
        <v>85</v>
      </c>
    </row>
    <row r="14" spans="1:27" ht="15" customHeight="1" x14ac:dyDescent="0.2">
      <c r="A14" s="26" t="s">
        <v>561</v>
      </c>
      <c r="B14" s="19" t="s">
        <v>461</v>
      </c>
      <c r="C14" s="19" t="s">
        <v>9</v>
      </c>
      <c r="D14" s="20">
        <v>4</v>
      </c>
      <c r="E14" s="20">
        <v>4</v>
      </c>
      <c r="F14" s="20">
        <v>36</v>
      </c>
      <c r="G14" s="20">
        <v>83</v>
      </c>
      <c r="H14" s="20" t="s">
        <v>462</v>
      </c>
      <c r="I14" s="20">
        <v>83</v>
      </c>
      <c r="J14" s="20">
        <v>7</v>
      </c>
      <c r="K14" s="20">
        <v>0</v>
      </c>
      <c r="L14" s="20">
        <v>42.5</v>
      </c>
      <c r="M14" s="20">
        <v>65</v>
      </c>
      <c r="N14" s="20">
        <v>68</v>
      </c>
      <c r="O14" s="20">
        <v>68</v>
      </c>
      <c r="P14" s="20">
        <v>6</v>
      </c>
      <c r="Q14" s="20">
        <v>10</v>
      </c>
      <c r="R14" s="20">
        <v>8</v>
      </c>
      <c r="S14" s="20">
        <v>39</v>
      </c>
      <c r="T14" s="20">
        <v>78</v>
      </c>
      <c r="U14" s="20" t="s">
        <v>462</v>
      </c>
      <c r="V14" s="20">
        <v>78</v>
      </c>
      <c r="W14" s="20">
        <v>21</v>
      </c>
      <c r="X14" s="20">
        <v>0</v>
      </c>
      <c r="Y14" s="20">
        <v>0</v>
      </c>
      <c r="Z14" s="20">
        <v>88</v>
      </c>
      <c r="AA14" s="21">
        <v>62</v>
      </c>
    </row>
    <row r="15" spans="1:27" ht="15" customHeight="1" x14ac:dyDescent="0.2">
      <c r="A15" s="26" t="s">
        <v>562</v>
      </c>
      <c r="B15" s="19" t="s">
        <v>464</v>
      </c>
      <c r="C15" s="19" t="s">
        <v>7</v>
      </c>
      <c r="D15" s="20">
        <v>15</v>
      </c>
      <c r="E15" s="20">
        <v>14</v>
      </c>
      <c r="F15" s="20">
        <v>46</v>
      </c>
      <c r="G15" s="20">
        <v>92</v>
      </c>
      <c r="H15" s="27" t="s">
        <v>462</v>
      </c>
      <c r="I15" s="20">
        <v>92</v>
      </c>
      <c r="J15" s="20">
        <v>18</v>
      </c>
      <c r="K15" s="20">
        <v>12</v>
      </c>
      <c r="L15" s="20">
        <v>44</v>
      </c>
      <c r="M15" s="20">
        <v>95</v>
      </c>
      <c r="N15" s="20" t="s">
        <v>462</v>
      </c>
      <c r="O15" s="20">
        <v>95</v>
      </c>
      <c r="P15" s="20">
        <v>10</v>
      </c>
      <c r="Q15" s="20">
        <v>9</v>
      </c>
      <c r="R15" s="20">
        <v>11</v>
      </c>
      <c r="S15" s="20">
        <v>44</v>
      </c>
      <c r="T15" s="20">
        <v>100</v>
      </c>
      <c r="U15" s="20" t="s">
        <v>462</v>
      </c>
      <c r="V15" s="20">
        <v>100</v>
      </c>
      <c r="W15" s="20">
        <v>22</v>
      </c>
      <c r="X15" s="20">
        <v>10</v>
      </c>
      <c r="Y15" s="20">
        <v>23</v>
      </c>
      <c r="Z15" s="20">
        <v>95</v>
      </c>
      <c r="AA15" s="21">
        <v>92</v>
      </c>
    </row>
    <row r="16" spans="1:27" ht="15" customHeight="1" x14ac:dyDescent="0.2">
      <c r="A16" s="26" t="s">
        <v>563</v>
      </c>
      <c r="B16" s="19" t="s">
        <v>464</v>
      </c>
      <c r="C16" s="19" t="s">
        <v>9</v>
      </c>
      <c r="D16" s="20">
        <v>13</v>
      </c>
      <c r="E16" s="20">
        <v>14.5</v>
      </c>
      <c r="F16" s="20">
        <v>46</v>
      </c>
      <c r="G16" s="20">
        <v>80</v>
      </c>
      <c r="H16" s="20" t="s">
        <v>462</v>
      </c>
      <c r="I16" s="20">
        <v>80</v>
      </c>
      <c r="J16" s="20">
        <v>9</v>
      </c>
      <c r="K16" s="20">
        <v>0</v>
      </c>
      <c r="L16" s="20">
        <v>44</v>
      </c>
      <c r="M16" s="20">
        <v>68</v>
      </c>
      <c r="N16" s="20">
        <v>65</v>
      </c>
      <c r="O16" s="20">
        <v>68</v>
      </c>
      <c r="P16" s="20">
        <v>9</v>
      </c>
      <c r="Q16" s="20">
        <v>9</v>
      </c>
      <c r="R16" s="20">
        <v>11</v>
      </c>
      <c r="S16" s="20">
        <v>0</v>
      </c>
      <c r="T16" s="20">
        <v>65</v>
      </c>
      <c r="U16" s="20" t="s">
        <v>462</v>
      </c>
      <c r="V16" s="20">
        <v>65</v>
      </c>
      <c r="W16" s="20">
        <v>22</v>
      </c>
      <c r="X16" s="20">
        <v>9</v>
      </c>
      <c r="Y16" s="20">
        <v>0</v>
      </c>
      <c r="Z16" s="20">
        <v>82</v>
      </c>
      <c r="AA16" s="21">
        <v>72</v>
      </c>
    </row>
    <row r="17" spans="1:27" ht="15" customHeight="1" x14ac:dyDescent="0.2">
      <c r="A17" s="26" t="s">
        <v>564</v>
      </c>
      <c r="B17" s="19" t="s">
        <v>464</v>
      </c>
      <c r="C17" s="19" t="s">
        <v>8</v>
      </c>
      <c r="D17" s="20" t="s">
        <v>462</v>
      </c>
      <c r="E17" s="20" t="s">
        <v>462</v>
      </c>
      <c r="F17" s="20" t="s">
        <v>462</v>
      </c>
      <c r="G17" s="20">
        <v>92</v>
      </c>
      <c r="H17" s="20" t="s">
        <v>462</v>
      </c>
      <c r="I17" s="20">
        <v>92</v>
      </c>
      <c r="J17" s="20">
        <v>18</v>
      </c>
      <c r="K17" s="20">
        <v>12</v>
      </c>
      <c r="L17" s="20">
        <v>50</v>
      </c>
      <c r="M17" s="20">
        <v>95</v>
      </c>
      <c r="N17" s="20" t="s">
        <v>462</v>
      </c>
      <c r="O17" s="20">
        <v>95</v>
      </c>
      <c r="P17" s="20">
        <v>10</v>
      </c>
      <c r="Q17" s="20">
        <v>10</v>
      </c>
      <c r="R17" s="20">
        <v>11</v>
      </c>
      <c r="S17" s="20">
        <v>39</v>
      </c>
      <c r="T17" s="20">
        <v>75</v>
      </c>
      <c r="U17" s="20">
        <v>85</v>
      </c>
      <c r="V17" s="20">
        <v>82</v>
      </c>
      <c r="W17" s="20">
        <v>22</v>
      </c>
      <c r="X17" s="20">
        <v>10</v>
      </c>
      <c r="Y17" s="20">
        <v>27</v>
      </c>
      <c r="Z17" s="20">
        <v>100</v>
      </c>
      <c r="AA17" s="21">
        <v>83</v>
      </c>
    </row>
    <row r="18" spans="1:27" ht="15" customHeight="1" x14ac:dyDescent="0.2">
      <c r="A18" s="26" t="s">
        <v>565</v>
      </c>
      <c r="B18" s="19" t="s">
        <v>461</v>
      </c>
      <c r="C18" s="19" t="s">
        <v>8</v>
      </c>
      <c r="D18" s="20" t="s">
        <v>462</v>
      </c>
      <c r="E18" s="20" t="s">
        <v>462</v>
      </c>
      <c r="F18" s="20" t="s">
        <v>462</v>
      </c>
      <c r="G18" s="20">
        <v>62</v>
      </c>
      <c r="H18" s="20" t="s">
        <v>462</v>
      </c>
      <c r="I18" s="20">
        <v>62</v>
      </c>
      <c r="J18" s="20">
        <v>17</v>
      </c>
      <c r="K18" s="20">
        <v>9</v>
      </c>
      <c r="L18" s="20">
        <v>50</v>
      </c>
      <c r="M18" s="20">
        <v>30</v>
      </c>
      <c r="N18" s="20" t="s">
        <v>462</v>
      </c>
      <c r="O18" s="20">
        <v>30</v>
      </c>
      <c r="P18" s="20">
        <v>8</v>
      </c>
      <c r="Q18" s="20">
        <v>10</v>
      </c>
      <c r="R18" s="20">
        <v>8</v>
      </c>
      <c r="S18" s="20">
        <v>41</v>
      </c>
      <c r="T18" s="20">
        <v>72</v>
      </c>
      <c r="U18" s="20" t="s">
        <v>462</v>
      </c>
      <c r="V18" s="20">
        <v>72</v>
      </c>
      <c r="W18" s="20">
        <v>22</v>
      </c>
      <c r="X18" s="20">
        <v>2</v>
      </c>
      <c r="Y18" s="20">
        <v>0</v>
      </c>
      <c r="Z18" s="20">
        <v>78</v>
      </c>
      <c r="AA18" s="21">
        <v>30</v>
      </c>
    </row>
    <row r="19" spans="1:27" ht="15" customHeight="1" x14ac:dyDescent="0.2">
      <c r="A19" s="26" t="s">
        <v>566</v>
      </c>
      <c r="B19" s="19" t="s">
        <v>464</v>
      </c>
      <c r="C19" s="19" t="s">
        <v>8</v>
      </c>
      <c r="D19" s="20">
        <v>14.5</v>
      </c>
      <c r="E19" s="20">
        <v>13.25</v>
      </c>
      <c r="F19" s="20">
        <v>44</v>
      </c>
      <c r="G19" s="20">
        <v>95</v>
      </c>
      <c r="H19" s="20" t="s">
        <v>462</v>
      </c>
      <c r="I19" s="20">
        <v>95</v>
      </c>
      <c r="J19" s="20">
        <v>18</v>
      </c>
      <c r="K19" s="20">
        <v>12</v>
      </c>
      <c r="L19" s="20">
        <v>46</v>
      </c>
      <c r="M19" s="20">
        <v>95</v>
      </c>
      <c r="N19" s="20" t="s">
        <v>462</v>
      </c>
      <c r="O19" s="20">
        <v>95</v>
      </c>
      <c r="P19" s="20">
        <v>9</v>
      </c>
      <c r="Q19" s="20">
        <v>10</v>
      </c>
      <c r="R19" s="20">
        <v>11</v>
      </c>
      <c r="S19" s="20">
        <v>46</v>
      </c>
      <c r="T19" s="20">
        <v>82</v>
      </c>
      <c r="U19" s="20">
        <v>85</v>
      </c>
      <c r="V19" s="20">
        <v>85</v>
      </c>
      <c r="W19" s="20">
        <v>22</v>
      </c>
      <c r="X19" s="20">
        <v>9</v>
      </c>
      <c r="Y19" s="20">
        <v>21</v>
      </c>
      <c r="Z19" s="20">
        <v>95</v>
      </c>
      <c r="AA19" s="21">
        <v>100</v>
      </c>
    </row>
    <row r="20" spans="1:27" ht="15" customHeight="1" x14ac:dyDescent="0.2">
      <c r="A20" s="26" t="s">
        <v>567</v>
      </c>
      <c r="B20" s="19" t="s">
        <v>464</v>
      </c>
      <c r="C20" s="19" t="s">
        <v>8</v>
      </c>
      <c r="D20" s="20">
        <v>13.5</v>
      </c>
      <c r="E20" s="20">
        <v>15</v>
      </c>
      <c r="F20" s="20">
        <v>46</v>
      </c>
      <c r="G20" s="20">
        <v>85</v>
      </c>
      <c r="H20" s="27" t="s">
        <v>462</v>
      </c>
      <c r="I20" s="20">
        <v>85</v>
      </c>
      <c r="J20" s="20">
        <v>17</v>
      </c>
      <c r="K20" s="20">
        <v>12</v>
      </c>
      <c r="L20" s="20">
        <v>42.5</v>
      </c>
      <c r="M20" s="20">
        <v>78</v>
      </c>
      <c r="N20" s="20" t="s">
        <v>462</v>
      </c>
      <c r="O20" s="20">
        <v>78</v>
      </c>
      <c r="P20" s="20">
        <v>10</v>
      </c>
      <c r="Q20" s="20">
        <v>9</v>
      </c>
      <c r="R20" s="20">
        <v>11</v>
      </c>
      <c r="S20" s="20">
        <v>42.5</v>
      </c>
      <c r="T20" s="20">
        <v>82</v>
      </c>
      <c r="U20" s="20" t="s">
        <v>462</v>
      </c>
      <c r="V20" s="20">
        <v>82</v>
      </c>
      <c r="W20" s="20">
        <v>22</v>
      </c>
      <c r="X20" s="20">
        <v>9</v>
      </c>
      <c r="Y20" s="20">
        <v>0</v>
      </c>
      <c r="Z20" s="20">
        <v>95</v>
      </c>
      <c r="AA20" s="21">
        <v>82</v>
      </c>
    </row>
    <row r="21" spans="1:27" ht="15" customHeight="1" x14ac:dyDescent="0.2">
      <c r="A21" s="26" t="s">
        <v>568</v>
      </c>
      <c r="B21" s="19" t="s">
        <v>464</v>
      </c>
      <c r="C21" s="19" t="s">
        <v>8</v>
      </c>
      <c r="D21" s="20">
        <v>15</v>
      </c>
      <c r="E21" s="20">
        <v>13</v>
      </c>
      <c r="F21" s="20">
        <v>46</v>
      </c>
      <c r="G21" s="20">
        <v>92</v>
      </c>
      <c r="H21" s="20" t="s">
        <v>462</v>
      </c>
      <c r="I21" s="20">
        <v>92</v>
      </c>
      <c r="J21" s="20">
        <v>18</v>
      </c>
      <c r="K21" s="20">
        <v>12</v>
      </c>
      <c r="L21" s="20">
        <v>42.5</v>
      </c>
      <c r="M21" s="20">
        <v>82</v>
      </c>
      <c r="N21" s="20" t="s">
        <v>462</v>
      </c>
      <c r="O21" s="20">
        <v>82</v>
      </c>
      <c r="P21" s="20">
        <v>7.75</v>
      </c>
      <c r="Q21" s="20">
        <v>9</v>
      </c>
      <c r="R21" s="20">
        <v>10</v>
      </c>
      <c r="S21" s="20">
        <v>44</v>
      </c>
      <c r="T21" s="20">
        <v>75</v>
      </c>
      <c r="U21" s="20">
        <v>82</v>
      </c>
      <c r="V21" s="20">
        <v>82</v>
      </c>
      <c r="W21" s="20">
        <v>19.8</v>
      </c>
      <c r="X21" s="20">
        <v>9</v>
      </c>
      <c r="Y21" s="20">
        <v>23.5</v>
      </c>
      <c r="Z21" s="20">
        <v>88</v>
      </c>
      <c r="AA21" s="21">
        <v>88</v>
      </c>
    </row>
    <row r="22" spans="1:27" ht="15" customHeight="1" x14ac:dyDescent="0.2">
      <c r="A22" s="26" t="s">
        <v>569</v>
      </c>
      <c r="B22" s="19" t="s">
        <v>461</v>
      </c>
      <c r="C22" s="19" t="s">
        <v>7</v>
      </c>
      <c r="D22" s="20">
        <v>15</v>
      </c>
      <c r="E22" s="20">
        <v>14</v>
      </c>
      <c r="F22" s="20">
        <v>46</v>
      </c>
      <c r="G22" s="20">
        <v>95</v>
      </c>
      <c r="H22" s="27" t="s">
        <v>462</v>
      </c>
      <c r="I22" s="20">
        <v>95</v>
      </c>
      <c r="J22" s="20">
        <v>18</v>
      </c>
      <c r="K22" s="20">
        <v>12</v>
      </c>
      <c r="L22" s="20">
        <v>47.5</v>
      </c>
      <c r="M22" s="20">
        <v>88</v>
      </c>
      <c r="N22" s="20" t="s">
        <v>462</v>
      </c>
      <c r="O22" s="20">
        <v>88</v>
      </c>
      <c r="P22" s="20">
        <v>10</v>
      </c>
      <c r="Q22" s="20">
        <v>10</v>
      </c>
      <c r="R22" s="20">
        <v>11</v>
      </c>
      <c r="S22" s="20">
        <v>42.5</v>
      </c>
      <c r="T22" s="20">
        <v>82</v>
      </c>
      <c r="U22" s="20" t="s">
        <v>462</v>
      </c>
      <c r="V22" s="20">
        <v>82</v>
      </c>
      <c r="W22" s="20">
        <v>22</v>
      </c>
      <c r="X22" s="20">
        <v>10</v>
      </c>
      <c r="Y22" s="20">
        <v>28</v>
      </c>
      <c r="Z22" s="20">
        <v>100</v>
      </c>
      <c r="AA22" s="21">
        <v>92</v>
      </c>
    </row>
    <row r="23" spans="1:27" ht="15" customHeight="1" x14ac:dyDescent="0.2">
      <c r="A23" s="26" t="s">
        <v>570</v>
      </c>
      <c r="B23" s="19" t="s">
        <v>464</v>
      </c>
      <c r="C23" s="19" t="s">
        <v>8</v>
      </c>
      <c r="D23" s="20">
        <v>14.5</v>
      </c>
      <c r="E23" s="20">
        <v>15</v>
      </c>
      <c r="F23" s="20">
        <v>46</v>
      </c>
      <c r="G23" s="20">
        <v>92</v>
      </c>
      <c r="H23" s="20" t="s">
        <v>462</v>
      </c>
      <c r="I23" s="20">
        <v>92</v>
      </c>
      <c r="J23" s="20">
        <v>18</v>
      </c>
      <c r="K23" s="20">
        <v>12</v>
      </c>
      <c r="L23" s="20">
        <v>50</v>
      </c>
      <c r="M23" s="20">
        <v>72</v>
      </c>
      <c r="N23" s="20">
        <v>83</v>
      </c>
      <c r="O23" s="20">
        <v>83</v>
      </c>
      <c r="P23" s="20">
        <v>10</v>
      </c>
      <c r="Q23" s="20">
        <v>10</v>
      </c>
      <c r="R23" s="20">
        <v>9</v>
      </c>
      <c r="S23" s="20">
        <v>46</v>
      </c>
      <c r="T23" s="20">
        <v>80</v>
      </c>
      <c r="U23" s="20">
        <v>85</v>
      </c>
      <c r="V23" s="20">
        <v>80</v>
      </c>
      <c r="W23" s="20">
        <v>22</v>
      </c>
      <c r="X23" s="20">
        <v>10</v>
      </c>
      <c r="Y23" s="20">
        <v>21</v>
      </c>
      <c r="Z23" s="20">
        <v>100</v>
      </c>
      <c r="AA23" s="21">
        <v>88</v>
      </c>
    </row>
    <row r="24" spans="1:27" ht="15" customHeight="1" x14ac:dyDescent="0.2">
      <c r="A24" s="26" t="s">
        <v>571</v>
      </c>
      <c r="B24" s="19" t="s">
        <v>461</v>
      </c>
      <c r="C24" s="19" t="s">
        <v>9</v>
      </c>
      <c r="D24" s="20">
        <v>13</v>
      </c>
      <c r="E24" s="20">
        <v>6</v>
      </c>
      <c r="F24" s="20">
        <v>36</v>
      </c>
      <c r="G24" s="20">
        <v>72</v>
      </c>
      <c r="H24" s="20" t="s">
        <v>462</v>
      </c>
      <c r="I24" s="20">
        <v>72</v>
      </c>
      <c r="J24" s="20">
        <v>1</v>
      </c>
      <c r="K24" s="20">
        <v>0</v>
      </c>
      <c r="L24" s="20">
        <v>37.5</v>
      </c>
      <c r="M24" s="20">
        <v>62</v>
      </c>
      <c r="N24" s="20"/>
      <c r="O24" s="20">
        <v>62</v>
      </c>
      <c r="P24" s="20">
        <v>9</v>
      </c>
      <c r="Q24" s="20">
        <v>10</v>
      </c>
      <c r="R24" s="20">
        <v>11</v>
      </c>
      <c r="S24" s="20">
        <v>42.5</v>
      </c>
      <c r="T24" s="20">
        <v>72</v>
      </c>
      <c r="U24" s="20" t="s">
        <v>462</v>
      </c>
      <c r="V24" s="20">
        <v>72</v>
      </c>
      <c r="W24" s="20">
        <v>22</v>
      </c>
      <c r="X24" s="20">
        <v>10</v>
      </c>
      <c r="Y24" s="20">
        <v>28</v>
      </c>
      <c r="Z24" s="20">
        <v>85</v>
      </c>
      <c r="AA24" s="21">
        <v>62</v>
      </c>
    </row>
    <row r="25" spans="1:27" ht="15" customHeight="1" x14ac:dyDescent="0.2">
      <c r="A25" s="26" t="s">
        <v>572</v>
      </c>
      <c r="B25" s="19" t="s">
        <v>461</v>
      </c>
      <c r="C25" s="19" t="s">
        <v>8</v>
      </c>
      <c r="D25" s="20">
        <v>15</v>
      </c>
      <c r="E25" s="20">
        <v>4</v>
      </c>
      <c r="F25" s="20">
        <v>42.5</v>
      </c>
      <c r="G25" s="20">
        <v>62</v>
      </c>
      <c r="H25" s="20" t="s">
        <v>462</v>
      </c>
      <c r="I25" s="20">
        <v>62</v>
      </c>
      <c r="J25" s="20">
        <v>16</v>
      </c>
      <c r="K25" s="20">
        <v>11</v>
      </c>
      <c r="L25" s="20">
        <v>41</v>
      </c>
      <c r="M25" s="20">
        <v>65</v>
      </c>
      <c r="N25" s="20"/>
      <c r="O25" s="20">
        <v>65</v>
      </c>
      <c r="P25" s="20">
        <v>9</v>
      </c>
      <c r="Q25" s="20">
        <v>10</v>
      </c>
      <c r="R25" s="20">
        <v>9</v>
      </c>
      <c r="S25" s="20">
        <v>15</v>
      </c>
      <c r="T25" s="20">
        <v>65</v>
      </c>
      <c r="U25" s="20" t="s">
        <v>462</v>
      </c>
      <c r="V25" s="20">
        <v>65</v>
      </c>
      <c r="W25" s="20">
        <v>0</v>
      </c>
      <c r="X25" s="20">
        <v>10</v>
      </c>
      <c r="Y25" s="20">
        <v>0</v>
      </c>
      <c r="Z25" s="20">
        <v>100</v>
      </c>
      <c r="AA25" s="21">
        <v>65</v>
      </c>
    </row>
    <row r="26" spans="1:27" ht="15" customHeight="1" x14ac:dyDescent="0.2">
      <c r="A26" s="26" t="s">
        <v>573</v>
      </c>
      <c r="B26" s="19" t="s">
        <v>461</v>
      </c>
      <c r="C26" s="19" t="s">
        <v>8</v>
      </c>
      <c r="D26" s="20">
        <v>15</v>
      </c>
      <c r="E26" s="20">
        <v>7</v>
      </c>
      <c r="F26" s="20">
        <v>44</v>
      </c>
      <c r="G26" s="20">
        <v>75</v>
      </c>
      <c r="H26" s="20">
        <v>78</v>
      </c>
      <c r="I26" s="20">
        <v>78</v>
      </c>
      <c r="J26" s="20">
        <v>9</v>
      </c>
      <c r="K26" s="20">
        <v>0</v>
      </c>
      <c r="L26" s="20">
        <v>0</v>
      </c>
      <c r="M26" s="20">
        <v>62</v>
      </c>
      <c r="N26" s="20">
        <v>78</v>
      </c>
      <c r="O26" s="20">
        <v>78</v>
      </c>
      <c r="P26" s="20">
        <v>7</v>
      </c>
      <c r="Q26" s="20">
        <v>8</v>
      </c>
      <c r="R26" s="20">
        <v>9</v>
      </c>
      <c r="S26" s="20">
        <v>37.5</v>
      </c>
      <c r="T26" s="20">
        <v>68</v>
      </c>
      <c r="U26" s="20">
        <v>72</v>
      </c>
      <c r="V26" s="20">
        <v>68</v>
      </c>
      <c r="W26" s="20">
        <v>22</v>
      </c>
      <c r="X26" s="20">
        <v>5</v>
      </c>
      <c r="Y26" s="20">
        <v>0</v>
      </c>
      <c r="Z26" s="20">
        <v>100</v>
      </c>
      <c r="AA26" s="21">
        <v>72</v>
      </c>
    </row>
    <row r="27" spans="1:27" ht="15" customHeight="1" x14ac:dyDescent="0.2">
      <c r="A27" s="26" t="s">
        <v>574</v>
      </c>
      <c r="B27" s="19" t="s">
        <v>464</v>
      </c>
      <c r="C27" s="19" t="s">
        <v>8</v>
      </c>
      <c r="D27" s="20">
        <v>13.5</v>
      </c>
      <c r="E27" s="20">
        <v>14</v>
      </c>
      <c r="F27" s="20">
        <v>44</v>
      </c>
      <c r="G27" s="20">
        <v>72</v>
      </c>
      <c r="H27" s="20" t="s">
        <v>462</v>
      </c>
      <c r="I27" s="20">
        <v>72</v>
      </c>
      <c r="J27" s="20">
        <v>17</v>
      </c>
      <c r="K27" s="20">
        <v>12</v>
      </c>
      <c r="L27" s="20">
        <v>47.5</v>
      </c>
      <c r="M27" s="20">
        <v>72</v>
      </c>
      <c r="N27" s="20" t="s">
        <v>462</v>
      </c>
      <c r="O27" s="20">
        <v>72</v>
      </c>
      <c r="P27" s="20">
        <v>10</v>
      </c>
      <c r="Q27" s="20">
        <v>9</v>
      </c>
      <c r="R27" s="20">
        <v>11</v>
      </c>
      <c r="S27" s="20">
        <v>32.5</v>
      </c>
      <c r="T27" s="20">
        <v>68</v>
      </c>
      <c r="U27" s="20" t="s">
        <v>462</v>
      </c>
      <c r="V27" s="20">
        <v>68</v>
      </c>
      <c r="W27" s="20">
        <v>21</v>
      </c>
      <c r="X27" s="20">
        <v>9</v>
      </c>
      <c r="Y27" s="20">
        <v>26</v>
      </c>
      <c r="Z27" s="20">
        <v>88</v>
      </c>
      <c r="AA27" s="21">
        <v>65</v>
      </c>
    </row>
    <row r="28" spans="1:27" ht="15" customHeight="1" x14ac:dyDescent="0.2">
      <c r="A28" s="26" t="s">
        <v>575</v>
      </c>
      <c r="B28" s="19" t="s">
        <v>461</v>
      </c>
      <c r="C28" s="28" t="s">
        <v>8</v>
      </c>
      <c r="D28" s="29">
        <v>15</v>
      </c>
      <c r="E28" s="29">
        <v>14</v>
      </c>
      <c r="F28" s="20">
        <v>46</v>
      </c>
      <c r="G28" s="29">
        <v>95</v>
      </c>
      <c r="H28" s="27" t="s">
        <v>462</v>
      </c>
      <c r="I28" s="29">
        <v>95</v>
      </c>
      <c r="J28" s="29">
        <v>18</v>
      </c>
      <c r="K28" s="29">
        <v>12</v>
      </c>
      <c r="L28" s="20">
        <v>44</v>
      </c>
      <c r="M28" s="29">
        <v>82</v>
      </c>
      <c r="N28" s="29">
        <v>95</v>
      </c>
      <c r="O28" s="29">
        <v>95</v>
      </c>
      <c r="P28" s="29">
        <v>10</v>
      </c>
      <c r="Q28" s="29">
        <v>10</v>
      </c>
      <c r="R28" s="29">
        <v>11</v>
      </c>
      <c r="S28" s="20">
        <v>46</v>
      </c>
      <c r="T28" s="29">
        <v>100</v>
      </c>
      <c r="U28" s="29" t="s">
        <v>462</v>
      </c>
      <c r="V28" s="29">
        <v>100</v>
      </c>
      <c r="W28" s="29">
        <v>22</v>
      </c>
      <c r="X28" s="29">
        <v>9.5</v>
      </c>
      <c r="Y28" s="29">
        <v>24</v>
      </c>
      <c r="Z28" s="29">
        <v>92</v>
      </c>
      <c r="AA28" s="30">
        <v>95</v>
      </c>
    </row>
    <row r="29" spans="1:27" ht="15" customHeight="1" x14ac:dyDescent="0.2">
      <c r="A29" s="26" t="s">
        <v>576</v>
      </c>
      <c r="B29" s="19" t="s">
        <v>464</v>
      </c>
      <c r="C29" s="19" t="s">
        <v>8</v>
      </c>
      <c r="D29" s="20">
        <v>13</v>
      </c>
      <c r="E29" s="20">
        <v>6.5</v>
      </c>
      <c r="F29" s="20">
        <v>44</v>
      </c>
      <c r="G29" s="20">
        <v>65</v>
      </c>
      <c r="H29" s="20" t="s">
        <v>462</v>
      </c>
      <c r="I29" s="20">
        <v>65</v>
      </c>
      <c r="J29" s="20">
        <v>16</v>
      </c>
      <c r="K29" s="20">
        <v>0</v>
      </c>
      <c r="L29" s="20">
        <v>0</v>
      </c>
      <c r="M29" s="20">
        <v>62</v>
      </c>
      <c r="N29" s="20" t="s">
        <v>462</v>
      </c>
      <c r="O29" s="20">
        <v>62</v>
      </c>
      <c r="P29" s="20">
        <v>0</v>
      </c>
      <c r="Q29" s="20">
        <v>0</v>
      </c>
      <c r="R29" s="20">
        <v>11</v>
      </c>
      <c r="S29" s="20">
        <v>36</v>
      </c>
      <c r="T29" s="20">
        <v>65</v>
      </c>
      <c r="U29" s="20">
        <v>68</v>
      </c>
      <c r="V29" s="20">
        <v>68</v>
      </c>
      <c r="W29" s="20">
        <v>21</v>
      </c>
      <c r="X29" s="20">
        <v>4</v>
      </c>
      <c r="Y29" s="20">
        <v>0</v>
      </c>
      <c r="Z29" s="20">
        <v>100</v>
      </c>
      <c r="AA29" s="21">
        <v>62</v>
      </c>
    </row>
    <row r="30" spans="1:27" ht="15" customHeight="1" x14ac:dyDescent="0.2">
      <c r="A30" s="26" t="s">
        <v>23</v>
      </c>
      <c r="B30" s="19" t="s">
        <v>464</v>
      </c>
      <c r="C30" s="19" t="s">
        <v>8</v>
      </c>
      <c r="D30" s="20">
        <v>5</v>
      </c>
      <c r="E30" s="20">
        <v>1</v>
      </c>
      <c r="F30" s="20">
        <v>41</v>
      </c>
      <c r="G30" s="20">
        <v>85</v>
      </c>
      <c r="H30" s="20" t="s">
        <v>462</v>
      </c>
      <c r="I30" s="20">
        <v>85</v>
      </c>
      <c r="J30" s="20">
        <v>18</v>
      </c>
      <c r="K30" s="20">
        <v>12</v>
      </c>
      <c r="L30" s="20">
        <v>44</v>
      </c>
      <c r="M30" s="20">
        <v>75</v>
      </c>
      <c r="N30" s="20">
        <v>95</v>
      </c>
      <c r="O30" s="20">
        <v>95</v>
      </c>
      <c r="P30" s="20">
        <v>10</v>
      </c>
      <c r="Q30" s="20">
        <v>10</v>
      </c>
      <c r="R30" s="20">
        <v>10</v>
      </c>
      <c r="S30" s="20">
        <v>37.5</v>
      </c>
      <c r="T30" s="20">
        <v>75</v>
      </c>
      <c r="U30" s="20">
        <v>75</v>
      </c>
      <c r="V30" s="20">
        <v>75</v>
      </c>
      <c r="W30" s="20">
        <v>21</v>
      </c>
      <c r="X30" s="20">
        <v>9</v>
      </c>
      <c r="Y30" s="20">
        <v>14</v>
      </c>
      <c r="Z30" s="20">
        <v>100</v>
      </c>
      <c r="AA30" s="21">
        <v>82</v>
      </c>
    </row>
    <row r="31" spans="1:27" ht="15" customHeight="1" x14ac:dyDescent="0.2">
      <c r="A31" s="26" t="s">
        <v>577</v>
      </c>
      <c r="B31" s="19" t="s">
        <v>464</v>
      </c>
      <c r="C31" s="19" t="s">
        <v>8</v>
      </c>
      <c r="D31" s="20">
        <v>14</v>
      </c>
      <c r="E31" s="20">
        <v>12</v>
      </c>
      <c r="F31" s="20">
        <v>41</v>
      </c>
      <c r="G31" s="20">
        <v>100</v>
      </c>
      <c r="H31" s="20" t="s">
        <v>462</v>
      </c>
      <c r="I31" s="20">
        <v>100</v>
      </c>
      <c r="J31" s="20">
        <v>17</v>
      </c>
      <c r="K31" s="20">
        <v>12</v>
      </c>
      <c r="L31" s="20">
        <v>44</v>
      </c>
      <c r="M31" s="20">
        <v>92</v>
      </c>
      <c r="N31" s="20" t="s">
        <v>462</v>
      </c>
      <c r="O31" s="20">
        <v>92</v>
      </c>
      <c r="P31" s="20">
        <v>9</v>
      </c>
      <c r="Q31" s="20">
        <v>10</v>
      </c>
      <c r="R31" s="20">
        <v>11</v>
      </c>
      <c r="S31" s="20">
        <v>44</v>
      </c>
      <c r="T31" s="20">
        <v>82</v>
      </c>
      <c r="U31" s="20" t="s">
        <v>462</v>
      </c>
      <c r="V31" s="20">
        <v>82</v>
      </c>
      <c r="W31" s="20">
        <v>22</v>
      </c>
      <c r="X31" s="20">
        <v>10</v>
      </c>
      <c r="Y31" s="20">
        <v>0</v>
      </c>
      <c r="Z31" s="20">
        <v>100</v>
      </c>
      <c r="AA31" s="21">
        <v>78</v>
      </c>
    </row>
    <row r="32" spans="1:27" ht="15" customHeight="1" x14ac:dyDescent="0.2">
      <c r="A32" s="26" t="s">
        <v>578</v>
      </c>
      <c r="B32" s="19" t="s">
        <v>461</v>
      </c>
      <c r="C32" s="19" t="s">
        <v>9</v>
      </c>
      <c r="D32" s="20">
        <v>12.5</v>
      </c>
      <c r="E32" s="20">
        <v>7</v>
      </c>
      <c r="F32" s="20">
        <v>42.5</v>
      </c>
      <c r="G32" s="20">
        <v>30</v>
      </c>
      <c r="H32" s="20">
        <v>62</v>
      </c>
      <c r="I32" s="20">
        <v>62</v>
      </c>
      <c r="J32" s="20">
        <v>16</v>
      </c>
      <c r="K32" s="20">
        <v>0</v>
      </c>
      <c r="L32" s="20">
        <v>41</v>
      </c>
      <c r="M32" s="20">
        <v>30</v>
      </c>
      <c r="N32" s="20">
        <v>62</v>
      </c>
      <c r="O32" s="20">
        <v>62</v>
      </c>
      <c r="P32" s="20">
        <v>10</v>
      </c>
      <c r="Q32" s="20">
        <v>9</v>
      </c>
      <c r="R32" s="20">
        <v>6</v>
      </c>
      <c r="S32" s="20">
        <v>36</v>
      </c>
      <c r="T32" s="20">
        <v>68</v>
      </c>
      <c r="U32" s="20" t="s">
        <v>462</v>
      </c>
      <c r="V32" s="20">
        <v>68</v>
      </c>
      <c r="W32" s="20">
        <v>12</v>
      </c>
      <c r="X32" s="20">
        <v>0</v>
      </c>
      <c r="Y32" s="20">
        <v>0</v>
      </c>
      <c r="Z32" s="20">
        <v>88</v>
      </c>
      <c r="AA32" s="21">
        <v>62</v>
      </c>
    </row>
    <row r="33" spans="1:27" ht="15" customHeight="1" x14ac:dyDescent="0.2">
      <c r="A33" s="26" t="s">
        <v>579</v>
      </c>
      <c r="B33" s="19" t="s">
        <v>461</v>
      </c>
      <c r="C33" s="19" t="s">
        <v>8</v>
      </c>
      <c r="D33" s="20">
        <v>15</v>
      </c>
      <c r="E33" s="20">
        <v>14</v>
      </c>
      <c r="F33" s="20">
        <v>46</v>
      </c>
      <c r="G33" s="20">
        <v>100</v>
      </c>
      <c r="H33" s="20" t="s">
        <v>462</v>
      </c>
      <c r="I33" s="20">
        <v>100</v>
      </c>
      <c r="J33" s="20">
        <v>17</v>
      </c>
      <c r="K33" s="20">
        <v>12</v>
      </c>
      <c r="L33" s="20">
        <v>44</v>
      </c>
      <c r="M33" s="20">
        <v>82</v>
      </c>
      <c r="N33" s="20">
        <v>95</v>
      </c>
      <c r="O33" s="20">
        <v>95</v>
      </c>
      <c r="P33" s="20">
        <v>10</v>
      </c>
      <c r="Q33" s="20">
        <v>10</v>
      </c>
      <c r="R33" s="20">
        <v>11</v>
      </c>
      <c r="S33" s="20">
        <v>46</v>
      </c>
      <c r="T33" s="20">
        <v>82</v>
      </c>
      <c r="U33" s="20" t="s">
        <v>462</v>
      </c>
      <c r="V33" s="20">
        <v>82</v>
      </c>
      <c r="W33" s="20">
        <v>22</v>
      </c>
      <c r="X33" s="20">
        <v>10</v>
      </c>
      <c r="Y33" s="20">
        <v>27</v>
      </c>
      <c r="Z33" s="20">
        <v>100</v>
      </c>
      <c r="AA33" s="21">
        <v>82</v>
      </c>
    </row>
    <row r="34" spans="1:27" ht="15" customHeight="1" x14ac:dyDescent="0.2">
      <c r="A34" s="26" t="s">
        <v>580</v>
      </c>
      <c r="B34" s="19" t="s">
        <v>464</v>
      </c>
      <c r="C34" s="19" t="s">
        <v>7</v>
      </c>
      <c r="D34" s="20">
        <v>14.5</v>
      </c>
      <c r="E34" s="20">
        <v>12.25</v>
      </c>
      <c r="F34" s="20">
        <v>42.5</v>
      </c>
      <c r="G34" s="20">
        <v>98</v>
      </c>
      <c r="H34" s="20" t="s">
        <v>462</v>
      </c>
      <c r="I34" s="20">
        <v>98</v>
      </c>
      <c r="J34" s="20">
        <v>18</v>
      </c>
      <c r="K34" s="20">
        <v>12</v>
      </c>
      <c r="L34" s="20">
        <v>41</v>
      </c>
      <c r="M34" s="20">
        <v>85</v>
      </c>
      <c r="N34" s="20" t="s">
        <v>462</v>
      </c>
      <c r="O34" s="20">
        <v>85</v>
      </c>
      <c r="P34" s="20">
        <v>10</v>
      </c>
      <c r="Q34" s="20">
        <v>10</v>
      </c>
      <c r="R34" s="20">
        <v>11</v>
      </c>
      <c r="S34" s="20">
        <v>50</v>
      </c>
      <c r="T34" s="20">
        <v>78</v>
      </c>
      <c r="U34" s="20" t="s">
        <v>462</v>
      </c>
      <c r="V34" s="20">
        <v>78</v>
      </c>
      <c r="W34" s="20">
        <v>21</v>
      </c>
      <c r="X34" s="20">
        <v>9.4</v>
      </c>
      <c r="Y34" s="20">
        <v>22</v>
      </c>
      <c r="Z34" s="20">
        <v>92</v>
      </c>
      <c r="AA34" s="21">
        <v>95</v>
      </c>
    </row>
    <row r="35" spans="1:27" ht="15" customHeight="1" x14ac:dyDescent="0.2">
      <c r="A35" s="26" t="s">
        <v>581</v>
      </c>
      <c r="B35" s="19" t="s">
        <v>464</v>
      </c>
      <c r="C35" s="19" t="s">
        <v>9</v>
      </c>
      <c r="D35" s="20">
        <v>15</v>
      </c>
      <c r="E35" s="20">
        <v>1</v>
      </c>
      <c r="F35" s="20">
        <v>46</v>
      </c>
      <c r="G35" s="20">
        <v>88</v>
      </c>
      <c r="H35" s="20" t="s">
        <v>462</v>
      </c>
      <c r="I35" s="20">
        <v>88</v>
      </c>
      <c r="J35" s="20">
        <v>17</v>
      </c>
      <c r="K35" s="20">
        <v>12</v>
      </c>
      <c r="L35" s="20">
        <v>47.5</v>
      </c>
      <c r="M35" s="20">
        <v>85</v>
      </c>
      <c r="N35" s="20" t="s">
        <v>462</v>
      </c>
      <c r="O35" s="20">
        <v>85</v>
      </c>
      <c r="P35" s="20">
        <v>10</v>
      </c>
      <c r="Q35" s="20">
        <v>10</v>
      </c>
      <c r="R35" s="20">
        <v>11</v>
      </c>
      <c r="S35" s="20">
        <v>0</v>
      </c>
      <c r="T35" s="20">
        <v>78</v>
      </c>
      <c r="U35" s="20" t="s">
        <v>462</v>
      </c>
      <c r="V35" s="20">
        <v>78</v>
      </c>
      <c r="W35" s="20">
        <v>19.600000000000001</v>
      </c>
      <c r="X35" s="20">
        <v>9.8000000000000007</v>
      </c>
      <c r="Y35" s="20">
        <v>0</v>
      </c>
      <c r="Z35" s="20">
        <v>92</v>
      </c>
      <c r="AA35" s="21">
        <v>78</v>
      </c>
    </row>
    <row r="36" spans="1:27" ht="15" customHeight="1" x14ac:dyDescent="0.2">
      <c r="A36" s="26" t="s">
        <v>582</v>
      </c>
      <c r="B36" s="19" t="s">
        <v>461</v>
      </c>
      <c r="C36" s="19" t="s">
        <v>8</v>
      </c>
      <c r="D36" s="20">
        <v>13</v>
      </c>
      <c r="E36" s="20">
        <v>13</v>
      </c>
      <c r="F36" s="20">
        <v>46</v>
      </c>
      <c r="G36" s="20">
        <v>65</v>
      </c>
      <c r="H36" s="20">
        <v>68</v>
      </c>
      <c r="I36" s="20">
        <v>68</v>
      </c>
      <c r="J36" s="20">
        <v>13</v>
      </c>
      <c r="K36" s="20">
        <v>0</v>
      </c>
      <c r="L36" s="20">
        <v>44</v>
      </c>
      <c r="M36" s="20">
        <v>30</v>
      </c>
      <c r="N36" s="20">
        <v>72</v>
      </c>
      <c r="O36" s="20">
        <v>72</v>
      </c>
      <c r="P36" s="20">
        <v>10</v>
      </c>
      <c r="Q36" s="20">
        <v>10</v>
      </c>
      <c r="R36" s="20">
        <v>0</v>
      </c>
      <c r="S36" s="20">
        <v>32.5</v>
      </c>
      <c r="T36" s="20">
        <v>68</v>
      </c>
      <c r="U36" s="20">
        <v>75</v>
      </c>
      <c r="V36" s="20">
        <v>68</v>
      </c>
      <c r="W36" s="20">
        <v>19.8</v>
      </c>
      <c r="X36" s="20">
        <v>8.5</v>
      </c>
      <c r="Y36" s="20">
        <v>0</v>
      </c>
      <c r="Z36" s="20">
        <v>88</v>
      </c>
      <c r="AA36" s="21">
        <v>85</v>
      </c>
    </row>
    <row r="37" spans="1:27" ht="15" customHeight="1" x14ac:dyDescent="0.2">
      <c r="A37" s="26" t="s">
        <v>583</v>
      </c>
      <c r="B37" s="19" t="s">
        <v>461</v>
      </c>
      <c r="C37" s="19" t="s">
        <v>9</v>
      </c>
      <c r="D37" s="20">
        <v>7</v>
      </c>
      <c r="E37" s="20">
        <v>13</v>
      </c>
      <c r="F37" s="20">
        <v>41</v>
      </c>
      <c r="G37" s="20">
        <v>85</v>
      </c>
      <c r="H37" s="20" t="s">
        <v>462</v>
      </c>
      <c r="I37" s="20">
        <v>85</v>
      </c>
      <c r="J37" s="20">
        <v>14</v>
      </c>
      <c r="K37" s="20">
        <v>11</v>
      </c>
      <c r="L37" s="20">
        <v>44</v>
      </c>
      <c r="M37" s="20">
        <v>68</v>
      </c>
      <c r="N37" s="20" t="s">
        <v>462</v>
      </c>
      <c r="O37" s="20">
        <v>68</v>
      </c>
      <c r="P37" s="20">
        <v>7</v>
      </c>
      <c r="Q37" s="20">
        <v>9</v>
      </c>
      <c r="R37" s="20">
        <v>10</v>
      </c>
      <c r="S37" s="20">
        <v>41</v>
      </c>
      <c r="T37" s="20">
        <v>72</v>
      </c>
      <c r="U37" s="20" t="s">
        <v>462</v>
      </c>
      <c r="V37" s="20">
        <v>72</v>
      </c>
      <c r="W37" s="20">
        <v>0</v>
      </c>
      <c r="X37" s="20">
        <v>0</v>
      </c>
      <c r="Y37" s="20">
        <v>0</v>
      </c>
      <c r="Z37" s="20">
        <v>88</v>
      </c>
      <c r="AA37" s="21">
        <v>68</v>
      </c>
    </row>
    <row r="38" spans="1:27" ht="15" customHeight="1" x14ac:dyDescent="0.2">
      <c r="A38" s="26" t="s">
        <v>584</v>
      </c>
      <c r="B38" s="19" t="s">
        <v>461</v>
      </c>
      <c r="C38" s="19" t="s">
        <v>8</v>
      </c>
      <c r="D38" s="20" t="s">
        <v>462</v>
      </c>
      <c r="E38" s="20">
        <v>14</v>
      </c>
      <c r="F38" s="20">
        <v>41</v>
      </c>
      <c r="G38" s="20">
        <v>85</v>
      </c>
      <c r="H38" s="20" t="s">
        <v>462</v>
      </c>
      <c r="I38" s="20">
        <v>85</v>
      </c>
      <c r="J38" s="20">
        <v>18</v>
      </c>
      <c r="K38" s="20">
        <v>8</v>
      </c>
      <c r="L38" s="20">
        <v>47.5</v>
      </c>
      <c r="M38" s="20">
        <v>78</v>
      </c>
      <c r="N38" s="20">
        <v>85</v>
      </c>
      <c r="O38" s="20">
        <v>85</v>
      </c>
      <c r="P38" s="20">
        <v>9</v>
      </c>
      <c r="Q38" s="20">
        <v>10</v>
      </c>
      <c r="R38" s="20">
        <v>11</v>
      </c>
      <c r="S38" s="20">
        <v>41</v>
      </c>
      <c r="T38" s="20">
        <v>75</v>
      </c>
      <c r="U38" s="20" t="s">
        <v>462</v>
      </c>
      <c r="V38" s="20">
        <v>75</v>
      </c>
      <c r="W38" s="20">
        <v>22</v>
      </c>
      <c r="X38" s="20">
        <v>4</v>
      </c>
      <c r="Y38" s="20">
        <v>0</v>
      </c>
      <c r="Z38" s="20">
        <v>92</v>
      </c>
      <c r="AA38" s="21">
        <v>85</v>
      </c>
    </row>
    <row r="39" spans="1:27" ht="15" customHeight="1" x14ac:dyDescent="0.2">
      <c r="A39" s="26" t="s">
        <v>585</v>
      </c>
      <c r="B39" s="19" t="s">
        <v>464</v>
      </c>
      <c r="C39" s="19" t="s">
        <v>8</v>
      </c>
      <c r="D39" s="20">
        <v>13.5</v>
      </c>
      <c r="E39" s="20">
        <v>12.5</v>
      </c>
      <c r="F39" s="20">
        <v>0</v>
      </c>
      <c r="G39" s="20">
        <v>30</v>
      </c>
      <c r="H39" s="20">
        <v>30</v>
      </c>
      <c r="I39" s="20">
        <v>30</v>
      </c>
      <c r="J39" s="20">
        <v>13</v>
      </c>
      <c r="K39" s="20">
        <v>10</v>
      </c>
      <c r="L39" s="20">
        <v>42.5</v>
      </c>
      <c r="M39" s="20">
        <v>30</v>
      </c>
      <c r="N39" s="20">
        <v>65</v>
      </c>
      <c r="O39" s="20">
        <v>65</v>
      </c>
      <c r="P39" s="20">
        <v>0</v>
      </c>
      <c r="Q39" s="20">
        <v>10</v>
      </c>
      <c r="R39" s="20">
        <v>0</v>
      </c>
      <c r="S39" s="20">
        <v>39</v>
      </c>
      <c r="T39" s="20">
        <v>65</v>
      </c>
      <c r="U39" s="20" t="s">
        <v>462</v>
      </c>
      <c r="V39" s="20">
        <v>65</v>
      </c>
      <c r="W39" s="20">
        <v>0</v>
      </c>
      <c r="X39" s="20">
        <v>9</v>
      </c>
      <c r="Y39" s="20">
        <v>0</v>
      </c>
      <c r="Z39" s="20">
        <v>72</v>
      </c>
      <c r="AA39" s="21">
        <v>30</v>
      </c>
    </row>
    <row r="40" spans="1:27" ht="15" customHeight="1" x14ac:dyDescent="0.2">
      <c r="A40" s="26" t="s">
        <v>586</v>
      </c>
      <c r="B40" s="19" t="s">
        <v>464</v>
      </c>
      <c r="C40" s="19" t="s">
        <v>8</v>
      </c>
      <c r="D40" s="20">
        <v>13</v>
      </c>
      <c r="E40" s="20">
        <v>13</v>
      </c>
      <c r="F40" s="20">
        <v>39</v>
      </c>
      <c r="G40" s="20">
        <v>82</v>
      </c>
      <c r="H40" s="20" t="s">
        <v>462</v>
      </c>
      <c r="I40" s="20">
        <v>82</v>
      </c>
      <c r="J40" s="20">
        <v>18</v>
      </c>
      <c r="K40" s="20">
        <v>12</v>
      </c>
      <c r="L40" s="20">
        <v>44</v>
      </c>
      <c r="M40" s="20">
        <v>78</v>
      </c>
      <c r="N40" s="20">
        <v>100</v>
      </c>
      <c r="O40" s="20">
        <v>100</v>
      </c>
      <c r="P40" s="20">
        <v>10</v>
      </c>
      <c r="Q40" s="20">
        <v>10</v>
      </c>
      <c r="R40" s="20">
        <v>9</v>
      </c>
      <c r="S40" s="20">
        <v>46</v>
      </c>
      <c r="T40" s="20">
        <v>85</v>
      </c>
      <c r="U40" s="20" t="s">
        <v>462</v>
      </c>
      <c r="V40" s="20">
        <v>85</v>
      </c>
      <c r="W40" s="20">
        <v>22</v>
      </c>
      <c r="X40" s="20">
        <v>10</v>
      </c>
      <c r="Y40" s="20">
        <v>20</v>
      </c>
      <c r="Z40" s="20">
        <v>100</v>
      </c>
      <c r="AA40" s="21">
        <v>95</v>
      </c>
    </row>
    <row r="41" spans="1:27" ht="15" customHeight="1" x14ac:dyDescent="0.2">
      <c r="A41" s="26" t="s">
        <v>587</v>
      </c>
      <c r="B41" s="19" t="s">
        <v>464</v>
      </c>
      <c r="C41" s="19" t="s">
        <v>8</v>
      </c>
      <c r="D41" s="20">
        <v>15</v>
      </c>
      <c r="E41" s="20">
        <v>15</v>
      </c>
      <c r="F41" s="20">
        <v>44</v>
      </c>
      <c r="G41" s="20">
        <v>95</v>
      </c>
      <c r="H41" s="20" t="s">
        <v>462</v>
      </c>
      <c r="I41" s="20">
        <v>95</v>
      </c>
      <c r="J41" s="20">
        <v>15</v>
      </c>
      <c r="K41" s="20">
        <v>11</v>
      </c>
      <c r="L41" s="20">
        <v>37.5</v>
      </c>
      <c r="M41" s="20">
        <v>100</v>
      </c>
      <c r="N41" s="20" t="s">
        <v>462</v>
      </c>
      <c r="O41" s="20">
        <v>100</v>
      </c>
      <c r="P41" s="20">
        <v>10</v>
      </c>
      <c r="Q41" s="20">
        <v>10</v>
      </c>
      <c r="R41" s="20">
        <v>11</v>
      </c>
      <c r="S41" s="20">
        <v>47.5</v>
      </c>
      <c r="T41" s="20">
        <v>100</v>
      </c>
      <c r="U41" s="20" t="s">
        <v>462</v>
      </c>
      <c r="V41" s="20">
        <v>100</v>
      </c>
      <c r="W41" s="20">
        <v>22</v>
      </c>
      <c r="X41" s="20">
        <v>10</v>
      </c>
      <c r="Y41" s="20">
        <v>0</v>
      </c>
      <c r="Z41" s="20">
        <v>100</v>
      </c>
      <c r="AA41" s="21">
        <v>95</v>
      </c>
    </row>
    <row r="42" spans="1:27" ht="15" customHeight="1" x14ac:dyDescent="0.2">
      <c r="A42" s="26" t="s">
        <v>588</v>
      </c>
      <c r="B42" s="19" t="s">
        <v>464</v>
      </c>
      <c r="C42" s="19" t="s">
        <v>8</v>
      </c>
      <c r="D42" s="20">
        <v>15</v>
      </c>
      <c r="E42" s="20">
        <v>12</v>
      </c>
      <c r="F42" s="20">
        <v>42.5</v>
      </c>
      <c r="G42" s="20">
        <v>85</v>
      </c>
      <c r="H42" s="20" t="s">
        <v>462</v>
      </c>
      <c r="I42" s="20">
        <v>85</v>
      </c>
      <c r="J42" s="20">
        <v>18</v>
      </c>
      <c r="K42" s="20">
        <v>11</v>
      </c>
      <c r="L42" s="20">
        <v>44</v>
      </c>
      <c r="M42" s="20">
        <v>85</v>
      </c>
      <c r="N42" s="20" t="s">
        <v>462</v>
      </c>
      <c r="O42" s="20">
        <v>85</v>
      </c>
      <c r="P42" s="20">
        <v>10</v>
      </c>
      <c r="Q42" s="20">
        <v>0</v>
      </c>
      <c r="R42" s="20">
        <v>0</v>
      </c>
      <c r="S42" s="20">
        <v>0</v>
      </c>
      <c r="T42" s="20">
        <v>82</v>
      </c>
      <c r="U42" s="20" t="s">
        <v>462</v>
      </c>
      <c r="V42" s="20">
        <v>82</v>
      </c>
      <c r="W42" s="20">
        <v>20.8</v>
      </c>
      <c r="X42" s="20">
        <v>8</v>
      </c>
      <c r="Y42" s="20">
        <v>0</v>
      </c>
      <c r="Z42" s="20">
        <v>92</v>
      </c>
      <c r="AA42" s="21">
        <v>82</v>
      </c>
    </row>
    <row r="43" spans="1:27" ht="15" customHeight="1" x14ac:dyDescent="0.2">
      <c r="A43" s="26" t="s">
        <v>589</v>
      </c>
      <c r="B43" s="19" t="s">
        <v>464</v>
      </c>
      <c r="C43" s="19" t="s">
        <v>8</v>
      </c>
      <c r="D43" s="20">
        <v>12.5</v>
      </c>
      <c r="E43" s="20">
        <v>5</v>
      </c>
      <c r="F43" s="20">
        <v>42.5</v>
      </c>
      <c r="G43" s="20">
        <v>65</v>
      </c>
      <c r="H43" s="20" t="s">
        <v>462</v>
      </c>
      <c r="I43" s="20">
        <v>65</v>
      </c>
      <c r="J43" s="20">
        <v>17</v>
      </c>
      <c r="K43" s="20">
        <v>4</v>
      </c>
      <c r="L43" s="20">
        <v>42.5</v>
      </c>
      <c r="M43" s="20">
        <v>65</v>
      </c>
      <c r="N43" s="20">
        <v>72</v>
      </c>
      <c r="O43" s="20">
        <v>72</v>
      </c>
      <c r="P43" s="20">
        <v>9</v>
      </c>
      <c r="Q43" s="20">
        <v>9</v>
      </c>
      <c r="R43" s="20">
        <v>11</v>
      </c>
      <c r="S43" s="20">
        <v>41</v>
      </c>
      <c r="T43" s="20">
        <v>62</v>
      </c>
      <c r="U43" s="20">
        <v>68</v>
      </c>
      <c r="V43" s="20">
        <v>62</v>
      </c>
      <c r="W43" s="20">
        <v>14.4</v>
      </c>
      <c r="X43" s="20">
        <v>6</v>
      </c>
      <c r="Y43" s="20">
        <v>0</v>
      </c>
      <c r="Z43" s="20">
        <v>75</v>
      </c>
      <c r="AA43" s="21">
        <v>72</v>
      </c>
    </row>
    <row r="44" spans="1:27" ht="12.75" x14ac:dyDescent="0.2">
      <c r="A44" s="26" t="s">
        <v>590</v>
      </c>
      <c r="B44" s="19" t="s">
        <v>461</v>
      </c>
      <c r="C44" s="19" t="s">
        <v>8</v>
      </c>
      <c r="D44" s="20">
        <v>13</v>
      </c>
      <c r="E44" s="20">
        <v>0.5</v>
      </c>
      <c r="F44" s="20">
        <v>31</v>
      </c>
      <c r="G44" s="20">
        <v>65</v>
      </c>
      <c r="H44" s="20">
        <v>72</v>
      </c>
      <c r="I44" s="20">
        <v>72</v>
      </c>
      <c r="J44" s="20">
        <v>0</v>
      </c>
      <c r="K44" s="20" t="s">
        <v>150</v>
      </c>
      <c r="L44" s="20">
        <v>44</v>
      </c>
      <c r="M44" s="20" t="s">
        <v>150</v>
      </c>
      <c r="N44" s="20"/>
      <c r="O44" s="20" t="s">
        <v>150</v>
      </c>
      <c r="P44" s="20" t="s">
        <v>150</v>
      </c>
      <c r="Q44" s="20" t="s">
        <v>150</v>
      </c>
      <c r="R44" s="20" t="s">
        <v>150</v>
      </c>
      <c r="S44" s="20" t="s">
        <v>462</v>
      </c>
      <c r="T44" s="20" t="s">
        <v>150</v>
      </c>
      <c r="U44" s="20" t="s">
        <v>462</v>
      </c>
      <c r="V44" s="20" t="s">
        <v>150</v>
      </c>
      <c r="W44" s="20" t="s">
        <v>150</v>
      </c>
      <c r="X44" s="20" t="s">
        <v>150</v>
      </c>
      <c r="Y44" s="20" t="s">
        <v>150</v>
      </c>
      <c r="Z44" s="20" t="s">
        <v>150</v>
      </c>
      <c r="AA44" s="21" t="s">
        <v>150</v>
      </c>
    </row>
    <row r="45" spans="1:27" ht="12.75" x14ac:dyDescent="0.2">
      <c r="A45" s="26" t="s">
        <v>591</v>
      </c>
      <c r="B45" s="19" t="s">
        <v>464</v>
      </c>
      <c r="C45" s="19" t="s">
        <v>8</v>
      </c>
      <c r="D45" s="20">
        <v>15</v>
      </c>
      <c r="E45" s="20">
        <v>14</v>
      </c>
      <c r="F45" s="20">
        <v>41</v>
      </c>
      <c r="G45" s="20">
        <v>85</v>
      </c>
      <c r="H45" s="20" t="s">
        <v>462</v>
      </c>
      <c r="I45" s="20">
        <v>85</v>
      </c>
      <c r="J45" s="20">
        <v>18</v>
      </c>
      <c r="K45" s="20">
        <v>12</v>
      </c>
      <c r="L45" s="20">
        <v>42.5</v>
      </c>
      <c r="M45" s="20">
        <v>85</v>
      </c>
      <c r="N45" s="20" t="s">
        <v>462</v>
      </c>
      <c r="O45" s="20">
        <v>85</v>
      </c>
      <c r="P45" s="20">
        <v>10</v>
      </c>
      <c r="Q45" s="20">
        <v>10</v>
      </c>
      <c r="R45" s="20">
        <v>11</v>
      </c>
      <c r="S45" s="20">
        <v>47.5</v>
      </c>
      <c r="T45" s="20">
        <v>72</v>
      </c>
      <c r="U45" s="20">
        <v>82</v>
      </c>
      <c r="V45" s="20">
        <v>82</v>
      </c>
      <c r="W45" s="20">
        <v>22</v>
      </c>
      <c r="X45" s="20">
        <v>10</v>
      </c>
      <c r="Y45" s="20">
        <v>0</v>
      </c>
      <c r="Z45" s="20">
        <v>92</v>
      </c>
      <c r="AA45" s="21">
        <v>82</v>
      </c>
    </row>
    <row r="46" spans="1:27" ht="12.75" x14ac:dyDescent="0.2">
      <c r="A46" s="26" t="s">
        <v>592</v>
      </c>
      <c r="B46" s="19" t="s">
        <v>461</v>
      </c>
      <c r="C46" s="19" t="s">
        <v>9</v>
      </c>
      <c r="D46" s="20">
        <v>14.5</v>
      </c>
      <c r="E46" s="20">
        <v>0</v>
      </c>
      <c r="F46" s="20">
        <v>36</v>
      </c>
      <c r="G46" s="20">
        <v>78</v>
      </c>
      <c r="H46" s="20" t="s">
        <v>462</v>
      </c>
      <c r="I46" s="20">
        <v>78</v>
      </c>
      <c r="J46" s="20">
        <v>16</v>
      </c>
      <c r="K46" s="20">
        <v>12</v>
      </c>
      <c r="L46" s="20">
        <v>47.5</v>
      </c>
      <c r="M46" s="20">
        <v>92</v>
      </c>
      <c r="N46" s="20" t="s">
        <v>462</v>
      </c>
      <c r="O46" s="20">
        <v>92</v>
      </c>
      <c r="P46" s="20">
        <v>0</v>
      </c>
      <c r="Q46" s="20">
        <v>0</v>
      </c>
      <c r="R46" s="20">
        <v>0</v>
      </c>
      <c r="S46" s="20">
        <v>42.5</v>
      </c>
      <c r="T46" s="20">
        <v>72</v>
      </c>
      <c r="U46" s="20" t="s">
        <v>462</v>
      </c>
      <c r="V46" s="20">
        <v>72</v>
      </c>
      <c r="W46" s="20">
        <v>19.8</v>
      </c>
      <c r="X46" s="20">
        <v>0</v>
      </c>
      <c r="Y46" s="20">
        <v>0</v>
      </c>
      <c r="Z46" s="20">
        <v>92</v>
      </c>
      <c r="AA46" s="21">
        <v>75</v>
      </c>
    </row>
    <row r="47" spans="1:27" ht="12.75" x14ac:dyDescent="0.2">
      <c r="A47" s="26" t="s">
        <v>593</v>
      </c>
      <c r="B47" s="19" t="s">
        <v>464</v>
      </c>
      <c r="C47" s="19" t="s">
        <v>8</v>
      </c>
      <c r="D47" s="20">
        <v>14.5</v>
      </c>
      <c r="E47" s="20">
        <v>11.25</v>
      </c>
      <c r="F47" s="20">
        <v>0</v>
      </c>
      <c r="G47" s="20">
        <v>62</v>
      </c>
      <c r="H47" s="20" t="s">
        <v>462</v>
      </c>
      <c r="I47" s="20">
        <v>62</v>
      </c>
      <c r="J47" s="20">
        <v>18</v>
      </c>
      <c r="K47" s="20">
        <v>0</v>
      </c>
      <c r="L47" s="20">
        <v>44</v>
      </c>
      <c r="M47" s="20">
        <v>30</v>
      </c>
      <c r="N47" s="20">
        <v>75</v>
      </c>
      <c r="O47" s="20">
        <v>75</v>
      </c>
      <c r="P47" s="20">
        <v>9</v>
      </c>
      <c r="Q47" s="20">
        <v>8</v>
      </c>
      <c r="R47" s="20">
        <v>11</v>
      </c>
      <c r="S47" s="20">
        <v>32.5</v>
      </c>
      <c r="T47" s="20">
        <v>72</v>
      </c>
      <c r="U47" s="20" t="s">
        <v>462</v>
      </c>
      <c r="V47" s="20">
        <v>72</v>
      </c>
      <c r="W47" s="20">
        <v>21.4</v>
      </c>
      <c r="X47" s="20">
        <v>9</v>
      </c>
      <c r="Y47" s="20">
        <v>26</v>
      </c>
      <c r="Z47" s="20">
        <v>95</v>
      </c>
      <c r="AA47" s="21">
        <v>68</v>
      </c>
    </row>
    <row r="48" spans="1:27" ht="12.75" x14ac:dyDescent="0.2">
      <c r="A48" s="26" t="s">
        <v>594</v>
      </c>
      <c r="B48" s="19" t="s">
        <v>461</v>
      </c>
      <c r="C48" s="19" t="s">
        <v>8</v>
      </c>
      <c r="D48" s="20">
        <v>0</v>
      </c>
      <c r="E48" s="20">
        <v>1</v>
      </c>
      <c r="F48" s="20">
        <v>46</v>
      </c>
      <c r="G48" s="20">
        <v>78</v>
      </c>
      <c r="H48" s="20" t="s">
        <v>462</v>
      </c>
      <c r="I48" s="20">
        <v>78</v>
      </c>
      <c r="J48" s="20">
        <v>17</v>
      </c>
      <c r="K48" s="20">
        <v>12</v>
      </c>
      <c r="L48" s="20">
        <v>42.5</v>
      </c>
      <c r="M48" s="20">
        <v>68</v>
      </c>
      <c r="N48" s="20">
        <v>65</v>
      </c>
      <c r="O48" s="20">
        <v>68</v>
      </c>
      <c r="P48" s="20">
        <v>0</v>
      </c>
      <c r="Q48" s="20">
        <v>9</v>
      </c>
      <c r="R48" s="20">
        <v>7</v>
      </c>
      <c r="S48" s="20">
        <v>36</v>
      </c>
      <c r="T48" s="20">
        <v>68</v>
      </c>
      <c r="U48" s="20" t="s">
        <v>462</v>
      </c>
      <c r="V48" s="20">
        <v>68</v>
      </c>
      <c r="W48" s="20">
        <v>22</v>
      </c>
      <c r="X48" s="20">
        <v>9.8000000000000007</v>
      </c>
      <c r="Y48" s="20">
        <v>0</v>
      </c>
      <c r="Z48" s="20">
        <v>0</v>
      </c>
      <c r="AA48" s="21">
        <v>72</v>
      </c>
    </row>
    <row r="49" spans="1:27" ht="12.75" x14ac:dyDescent="0.2">
      <c r="A49" s="26" t="s">
        <v>595</v>
      </c>
      <c r="B49" s="19" t="s">
        <v>464</v>
      </c>
      <c r="C49" s="19" t="s">
        <v>8</v>
      </c>
      <c r="D49" s="20"/>
      <c r="E49" s="20">
        <v>1</v>
      </c>
      <c r="F49" s="20">
        <v>37.5</v>
      </c>
      <c r="G49" s="20">
        <v>30</v>
      </c>
      <c r="H49" s="20" t="s">
        <v>462</v>
      </c>
      <c r="I49" s="20">
        <v>30</v>
      </c>
      <c r="J49" s="20">
        <v>18</v>
      </c>
      <c r="K49" s="20">
        <v>0</v>
      </c>
      <c r="L49" s="20">
        <v>0</v>
      </c>
      <c r="M49" s="20">
        <v>30</v>
      </c>
      <c r="N49" s="20">
        <v>62</v>
      </c>
      <c r="O49" s="20">
        <v>62</v>
      </c>
      <c r="P49" s="20">
        <v>10</v>
      </c>
      <c r="Q49" s="20">
        <v>10</v>
      </c>
      <c r="R49" s="20">
        <v>11</v>
      </c>
      <c r="S49" s="20">
        <v>44</v>
      </c>
      <c r="T49" s="20">
        <v>68</v>
      </c>
      <c r="U49" s="20" t="s">
        <v>462</v>
      </c>
      <c r="V49" s="20">
        <v>68</v>
      </c>
      <c r="W49" s="20">
        <v>22</v>
      </c>
      <c r="X49" s="20">
        <v>10</v>
      </c>
      <c r="Y49" s="20">
        <v>0</v>
      </c>
      <c r="Z49" s="20">
        <v>100</v>
      </c>
      <c r="AA49" s="21">
        <v>62</v>
      </c>
    </row>
    <row r="50" spans="1:27" ht="12.75" x14ac:dyDescent="0.2">
      <c r="A50" s="26" t="s">
        <v>596</v>
      </c>
      <c r="B50" s="19" t="s">
        <v>464</v>
      </c>
      <c r="C50" s="19" t="s">
        <v>7</v>
      </c>
      <c r="D50" s="20">
        <v>15</v>
      </c>
      <c r="E50" s="20">
        <v>14</v>
      </c>
      <c r="F50" s="20">
        <v>46</v>
      </c>
      <c r="G50" s="20">
        <v>92</v>
      </c>
      <c r="H50" s="20" t="s">
        <v>462</v>
      </c>
      <c r="I50" s="20">
        <v>92</v>
      </c>
      <c r="J50" s="20">
        <v>18</v>
      </c>
      <c r="K50" s="20">
        <v>12</v>
      </c>
      <c r="L50" s="20">
        <v>44</v>
      </c>
      <c r="M50" s="20">
        <v>88</v>
      </c>
      <c r="N50" s="20" t="s">
        <v>462</v>
      </c>
      <c r="O50" s="20">
        <v>88</v>
      </c>
      <c r="P50" s="20">
        <v>10</v>
      </c>
      <c r="Q50" s="20">
        <v>10</v>
      </c>
      <c r="R50" s="20">
        <v>11</v>
      </c>
      <c r="S50" s="20">
        <v>47.5</v>
      </c>
      <c r="T50" s="20">
        <v>92</v>
      </c>
      <c r="U50" s="20" t="s">
        <v>462</v>
      </c>
      <c r="V50" s="20">
        <v>92</v>
      </c>
      <c r="W50" s="20">
        <v>22</v>
      </c>
      <c r="X50" s="20">
        <v>10</v>
      </c>
      <c r="Y50" s="20">
        <v>27</v>
      </c>
      <c r="Z50" s="20">
        <v>100</v>
      </c>
      <c r="AA50" s="21">
        <v>95</v>
      </c>
    </row>
    <row r="51" spans="1:27" ht="12.75" x14ac:dyDescent="0.2">
      <c r="A51" s="26" t="s">
        <v>597</v>
      </c>
      <c r="B51" s="19" t="s">
        <v>464</v>
      </c>
      <c r="C51" s="19" t="s">
        <v>8</v>
      </c>
      <c r="D51" s="20">
        <v>15</v>
      </c>
      <c r="E51" s="20">
        <v>15</v>
      </c>
      <c r="F51" s="20">
        <v>50</v>
      </c>
      <c r="G51" s="20">
        <v>95</v>
      </c>
      <c r="H51" s="20" t="s">
        <v>462</v>
      </c>
      <c r="I51" s="20">
        <v>95</v>
      </c>
      <c r="J51" s="20">
        <v>18</v>
      </c>
      <c r="K51" s="20">
        <v>12</v>
      </c>
      <c r="L51" s="20">
        <v>47.5</v>
      </c>
      <c r="M51" s="20">
        <v>82</v>
      </c>
      <c r="N51" s="20" t="s">
        <v>462</v>
      </c>
      <c r="O51" s="20">
        <v>82</v>
      </c>
      <c r="P51" s="20">
        <v>10</v>
      </c>
      <c r="Q51" s="20">
        <v>10</v>
      </c>
      <c r="R51" s="20">
        <v>11</v>
      </c>
      <c r="S51" s="20">
        <v>46</v>
      </c>
      <c r="T51" s="20">
        <v>82</v>
      </c>
      <c r="U51" s="20" t="s">
        <v>462</v>
      </c>
      <c r="V51" s="20">
        <v>82</v>
      </c>
      <c r="W51" s="20">
        <v>22</v>
      </c>
      <c r="X51" s="20">
        <v>9.5</v>
      </c>
      <c r="Y51" s="20">
        <v>0</v>
      </c>
      <c r="Z51" s="20">
        <v>100</v>
      </c>
      <c r="AA51" s="21">
        <v>85</v>
      </c>
    </row>
    <row r="52" spans="1:27" ht="12.75" x14ac:dyDescent="0.2">
      <c r="A52" s="26" t="s">
        <v>598</v>
      </c>
      <c r="B52" s="19" t="s">
        <v>464</v>
      </c>
      <c r="C52" s="19" t="s">
        <v>8</v>
      </c>
      <c r="D52" s="20">
        <v>12.5</v>
      </c>
      <c r="E52" s="20">
        <v>2</v>
      </c>
      <c r="F52" s="20">
        <v>37.5</v>
      </c>
      <c r="G52" s="20">
        <v>65</v>
      </c>
      <c r="H52" s="20" t="s">
        <v>462</v>
      </c>
      <c r="I52" s="20">
        <v>65</v>
      </c>
      <c r="J52" s="20">
        <v>18</v>
      </c>
      <c r="K52" s="20">
        <v>8.6999999999999993</v>
      </c>
      <c r="L52" s="20">
        <v>47.5</v>
      </c>
      <c r="M52" s="20">
        <v>66</v>
      </c>
      <c r="N52" s="20">
        <v>75</v>
      </c>
      <c r="O52" s="20">
        <v>75</v>
      </c>
      <c r="P52" s="20">
        <v>10</v>
      </c>
      <c r="Q52" s="20">
        <v>10</v>
      </c>
      <c r="R52" s="20">
        <v>11</v>
      </c>
      <c r="S52" s="20">
        <v>41</v>
      </c>
      <c r="T52" s="20">
        <v>68</v>
      </c>
      <c r="U52" s="20">
        <v>68</v>
      </c>
      <c r="V52" s="20">
        <v>68</v>
      </c>
      <c r="W52" s="20">
        <v>0</v>
      </c>
      <c r="X52" s="20">
        <v>0</v>
      </c>
      <c r="Y52" s="20">
        <v>0</v>
      </c>
      <c r="Z52" s="20">
        <v>92</v>
      </c>
      <c r="AA52" s="21">
        <v>62</v>
      </c>
    </row>
    <row r="53" spans="1:27" ht="12.75" x14ac:dyDescent="0.2">
      <c r="A53" s="26" t="s">
        <v>599</v>
      </c>
      <c r="B53" s="19" t="s">
        <v>464</v>
      </c>
      <c r="C53" s="19" t="s">
        <v>8</v>
      </c>
      <c r="D53" s="20">
        <v>4</v>
      </c>
      <c r="E53" s="20">
        <v>4</v>
      </c>
      <c r="F53" s="20">
        <v>0</v>
      </c>
      <c r="G53" s="20">
        <v>75</v>
      </c>
      <c r="H53" s="20" t="s">
        <v>462</v>
      </c>
      <c r="I53" s="20">
        <v>75</v>
      </c>
      <c r="J53" s="20">
        <v>16</v>
      </c>
      <c r="K53" s="20">
        <v>11</v>
      </c>
      <c r="L53" s="20">
        <v>47.5</v>
      </c>
      <c r="M53" s="20">
        <v>30</v>
      </c>
      <c r="N53" s="20" t="s">
        <v>462</v>
      </c>
      <c r="O53" s="20">
        <v>30</v>
      </c>
      <c r="P53" s="20">
        <v>10</v>
      </c>
      <c r="Q53" s="20">
        <v>0</v>
      </c>
      <c r="R53" s="20">
        <v>0</v>
      </c>
      <c r="S53" s="20">
        <v>0</v>
      </c>
      <c r="T53" s="20">
        <v>0</v>
      </c>
      <c r="U53" s="20" t="s">
        <v>462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1">
        <v>0</v>
      </c>
    </row>
    <row r="54" spans="1:27" ht="12.75" x14ac:dyDescent="0.2">
      <c r="A54" s="26" t="s">
        <v>600</v>
      </c>
      <c r="B54" s="19" t="s">
        <v>464</v>
      </c>
      <c r="C54" s="19" t="s">
        <v>8</v>
      </c>
      <c r="D54" s="20">
        <v>14.5</v>
      </c>
      <c r="E54" s="20">
        <v>14.5</v>
      </c>
      <c r="F54" s="20">
        <v>44</v>
      </c>
      <c r="G54" s="20">
        <v>82</v>
      </c>
      <c r="H54" s="20" t="s">
        <v>462</v>
      </c>
      <c r="I54" s="20">
        <v>82</v>
      </c>
      <c r="J54" s="20">
        <v>18</v>
      </c>
      <c r="K54" s="20">
        <v>10.4</v>
      </c>
      <c r="L54" s="20">
        <v>47.5</v>
      </c>
      <c r="M54" s="20">
        <v>68</v>
      </c>
      <c r="N54" s="20">
        <v>82</v>
      </c>
      <c r="O54" s="20">
        <v>82</v>
      </c>
      <c r="P54" s="20">
        <v>10</v>
      </c>
      <c r="Q54" s="20">
        <v>10</v>
      </c>
      <c r="R54" s="20">
        <v>11</v>
      </c>
      <c r="S54" s="20">
        <v>46</v>
      </c>
      <c r="T54" s="20">
        <v>68</v>
      </c>
      <c r="U54" s="20">
        <v>75</v>
      </c>
      <c r="V54" s="20">
        <v>68</v>
      </c>
      <c r="W54" s="20">
        <v>21.8</v>
      </c>
      <c r="X54" s="20">
        <v>8</v>
      </c>
      <c r="Y54" s="20">
        <v>24.7</v>
      </c>
      <c r="Z54" s="20">
        <v>100</v>
      </c>
      <c r="AA54" s="21">
        <v>62</v>
      </c>
    </row>
    <row r="55" spans="1:27" ht="12.75" x14ac:dyDescent="0.2">
      <c r="A55" s="26" t="s">
        <v>601</v>
      </c>
      <c r="B55" s="19" t="s">
        <v>464</v>
      </c>
      <c r="C55" s="19" t="s">
        <v>9</v>
      </c>
      <c r="D55" s="20">
        <v>10</v>
      </c>
      <c r="E55" s="20">
        <v>10</v>
      </c>
      <c r="F55" s="20">
        <v>15</v>
      </c>
      <c r="G55" s="20">
        <v>65</v>
      </c>
      <c r="H55" s="20" t="s">
        <v>462</v>
      </c>
      <c r="I55" s="20">
        <v>65</v>
      </c>
      <c r="J55" s="20">
        <v>18</v>
      </c>
      <c r="K55" s="20">
        <v>9</v>
      </c>
      <c r="L55" s="20">
        <v>47.5</v>
      </c>
      <c r="M55" s="20">
        <v>30</v>
      </c>
      <c r="N55" s="20" t="s">
        <v>462</v>
      </c>
      <c r="O55" s="20">
        <v>30</v>
      </c>
      <c r="P55" s="20">
        <v>10</v>
      </c>
      <c r="Q55" s="20">
        <v>7</v>
      </c>
      <c r="R55" s="20">
        <v>10.5</v>
      </c>
      <c r="S55" s="20">
        <v>39</v>
      </c>
      <c r="T55" s="20">
        <v>65</v>
      </c>
      <c r="U55" s="20" t="s">
        <v>462</v>
      </c>
      <c r="V55" s="20">
        <v>65</v>
      </c>
      <c r="W55" s="20">
        <v>21</v>
      </c>
      <c r="X55" s="20">
        <v>5.5</v>
      </c>
      <c r="Y55" s="20">
        <v>23</v>
      </c>
      <c r="Z55" s="20">
        <v>82</v>
      </c>
      <c r="AA55" s="21">
        <v>65</v>
      </c>
    </row>
    <row r="56" spans="1:27" ht="12.75" x14ac:dyDescent="0.2">
      <c r="A56" s="26" t="s">
        <v>602</v>
      </c>
      <c r="B56" s="19" t="s">
        <v>464</v>
      </c>
      <c r="C56" s="19" t="s">
        <v>8</v>
      </c>
      <c r="D56" s="20">
        <v>15</v>
      </c>
      <c r="E56" s="20">
        <v>15</v>
      </c>
      <c r="F56" s="20">
        <v>44</v>
      </c>
      <c r="G56" s="20">
        <v>92</v>
      </c>
      <c r="H56" s="20" t="s">
        <v>462</v>
      </c>
      <c r="I56" s="20">
        <v>92</v>
      </c>
      <c r="J56" s="20">
        <v>18</v>
      </c>
      <c r="K56" s="20">
        <v>11</v>
      </c>
      <c r="L56" s="20">
        <v>47.5</v>
      </c>
      <c r="M56" s="20">
        <v>85</v>
      </c>
      <c r="N56" s="20" t="s">
        <v>462</v>
      </c>
      <c r="O56" s="20">
        <v>85</v>
      </c>
      <c r="P56" s="20">
        <v>10</v>
      </c>
      <c r="Q56" s="20">
        <v>10</v>
      </c>
      <c r="R56" s="20">
        <v>11</v>
      </c>
      <c r="S56" s="20">
        <v>46</v>
      </c>
      <c r="T56" s="20">
        <v>85</v>
      </c>
      <c r="U56" s="20" t="s">
        <v>462</v>
      </c>
      <c r="V56" s="20">
        <v>85</v>
      </c>
      <c r="W56" s="20">
        <v>22</v>
      </c>
      <c r="X56" s="20">
        <v>10</v>
      </c>
      <c r="Y56" s="20">
        <v>28</v>
      </c>
      <c r="Z56" s="20">
        <v>100</v>
      </c>
      <c r="AA56" s="21">
        <v>95</v>
      </c>
    </row>
    <row r="57" spans="1:27" ht="12.75" x14ac:dyDescent="0.2">
      <c r="A57" s="26" t="s">
        <v>603</v>
      </c>
      <c r="B57" s="19" t="s">
        <v>461</v>
      </c>
      <c r="C57" s="19" t="s">
        <v>8</v>
      </c>
      <c r="D57" s="20">
        <v>15</v>
      </c>
      <c r="E57" s="20">
        <v>15</v>
      </c>
      <c r="F57" s="20">
        <v>41</v>
      </c>
      <c r="G57" s="20">
        <v>82</v>
      </c>
      <c r="H57" s="20" t="s">
        <v>462</v>
      </c>
      <c r="I57" s="20">
        <v>82</v>
      </c>
      <c r="J57" s="20">
        <v>17</v>
      </c>
      <c r="K57" s="20">
        <v>11</v>
      </c>
      <c r="L57" s="20">
        <v>47.5</v>
      </c>
      <c r="M57" s="20">
        <v>72</v>
      </c>
      <c r="N57" s="20" t="s">
        <v>462</v>
      </c>
      <c r="O57" s="20">
        <v>72</v>
      </c>
      <c r="P57" s="20">
        <v>10</v>
      </c>
      <c r="Q57" s="20">
        <v>9</v>
      </c>
      <c r="R57" s="20">
        <v>11</v>
      </c>
      <c r="S57" s="20">
        <v>44</v>
      </c>
      <c r="T57" s="20">
        <v>68</v>
      </c>
      <c r="U57" s="20" t="s">
        <v>462</v>
      </c>
      <c r="V57" s="20">
        <v>68</v>
      </c>
      <c r="W57" s="20">
        <v>21</v>
      </c>
      <c r="X57" s="20">
        <v>6.5</v>
      </c>
      <c r="Y57" s="20">
        <v>19</v>
      </c>
      <c r="Z57" s="20">
        <v>100</v>
      </c>
      <c r="AA57" s="21">
        <v>75</v>
      </c>
    </row>
    <row r="58" spans="1:27" ht="12.75" x14ac:dyDescent="0.2">
      <c r="A58" s="26" t="s">
        <v>604</v>
      </c>
      <c r="B58" s="19" t="s">
        <v>461</v>
      </c>
      <c r="C58" s="19" t="s">
        <v>7</v>
      </c>
      <c r="D58" s="20" t="s">
        <v>462</v>
      </c>
      <c r="E58" s="20" t="s">
        <v>462</v>
      </c>
      <c r="F58" s="20" t="s">
        <v>462</v>
      </c>
      <c r="G58" s="20">
        <v>92</v>
      </c>
      <c r="H58" s="20" t="s">
        <v>462</v>
      </c>
      <c r="I58" s="20">
        <v>92</v>
      </c>
      <c r="J58" s="20">
        <v>15</v>
      </c>
      <c r="K58" s="20">
        <v>4.7</v>
      </c>
      <c r="L58" s="20">
        <v>47.5</v>
      </c>
      <c r="M58" s="20">
        <v>92</v>
      </c>
      <c r="N58" s="20" t="s">
        <v>462</v>
      </c>
      <c r="O58" s="20">
        <v>92</v>
      </c>
      <c r="P58" s="20">
        <v>10</v>
      </c>
      <c r="Q58" s="20">
        <v>10</v>
      </c>
      <c r="R58" s="20">
        <v>11</v>
      </c>
      <c r="S58" s="20">
        <v>47.5</v>
      </c>
      <c r="T58" s="20">
        <v>95</v>
      </c>
      <c r="U58" s="20" t="s">
        <v>462</v>
      </c>
      <c r="V58" s="20">
        <v>95</v>
      </c>
      <c r="W58" s="20">
        <v>22</v>
      </c>
      <c r="X58" s="20">
        <v>10</v>
      </c>
      <c r="Y58" s="20">
        <v>27</v>
      </c>
      <c r="Z58" s="20">
        <v>100</v>
      </c>
      <c r="AA58" s="21">
        <v>92</v>
      </c>
    </row>
    <row r="59" spans="1:27" ht="12.75" x14ac:dyDescent="0.2">
      <c r="A59" s="26" t="s">
        <v>605</v>
      </c>
      <c r="B59" s="19" t="s">
        <v>461</v>
      </c>
      <c r="C59" s="19" t="s">
        <v>8</v>
      </c>
      <c r="D59" s="20">
        <v>14.5</v>
      </c>
      <c r="E59" s="20">
        <v>14.5</v>
      </c>
      <c r="F59" s="20">
        <v>46</v>
      </c>
      <c r="G59" s="20">
        <v>78</v>
      </c>
      <c r="H59" s="20" t="s">
        <v>462</v>
      </c>
      <c r="I59" s="20">
        <v>78</v>
      </c>
      <c r="J59" s="20">
        <v>18</v>
      </c>
      <c r="K59" s="20">
        <v>10</v>
      </c>
      <c r="L59" s="20">
        <v>47.5</v>
      </c>
      <c r="M59" s="20">
        <v>82</v>
      </c>
      <c r="N59" s="20" t="s">
        <v>462</v>
      </c>
      <c r="O59" s="20">
        <v>82</v>
      </c>
      <c r="P59" s="20">
        <v>10</v>
      </c>
      <c r="Q59" s="20">
        <v>10</v>
      </c>
      <c r="R59" s="20">
        <v>11</v>
      </c>
      <c r="S59" s="20">
        <v>46</v>
      </c>
      <c r="T59" s="20">
        <v>78</v>
      </c>
      <c r="U59" s="20" t="s">
        <v>462</v>
      </c>
      <c r="V59" s="20">
        <v>78</v>
      </c>
      <c r="W59" s="20">
        <v>22</v>
      </c>
      <c r="X59" s="20">
        <v>10</v>
      </c>
      <c r="Y59" s="20">
        <v>27</v>
      </c>
      <c r="Z59" s="20">
        <v>100</v>
      </c>
      <c r="AA59" s="21">
        <v>92</v>
      </c>
    </row>
    <row r="60" spans="1:27" ht="12.75" x14ac:dyDescent="0.2">
      <c r="A60" s="26" t="s">
        <v>606</v>
      </c>
      <c r="B60" s="19" t="s">
        <v>464</v>
      </c>
      <c r="C60" s="19" t="s">
        <v>8</v>
      </c>
      <c r="D60" s="20">
        <v>12.5</v>
      </c>
      <c r="E60" s="20">
        <v>12.5</v>
      </c>
      <c r="F60" s="20">
        <v>41</v>
      </c>
      <c r="G60" s="20">
        <v>78</v>
      </c>
      <c r="H60" s="20" t="s">
        <v>462</v>
      </c>
      <c r="I60" s="20">
        <v>78</v>
      </c>
      <c r="J60" s="20">
        <v>9</v>
      </c>
      <c r="K60" s="20">
        <v>10</v>
      </c>
      <c r="L60" s="20">
        <v>47.5</v>
      </c>
      <c r="M60" s="20">
        <v>68</v>
      </c>
      <c r="N60" s="20">
        <v>72</v>
      </c>
      <c r="O60" s="20">
        <v>72</v>
      </c>
      <c r="P60" s="20">
        <v>10</v>
      </c>
      <c r="Q60" s="20">
        <v>10</v>
      </c>
      <c r="R60" s="20">
        <v>11</v>
      </c>
      <c r="S60" s="20">
        <v>37.5</v>
      </c>
      <c r="T60" s="20">
        <v>72</v>
      </c>
      <c r="U60" s="20">
        <v>72</v>
      </c>
      <c r="V60" s="20">
        <v>72</v>
      </c>
      <c r="W60" s="20">
        <v>16</v>
      </c>
      <c r="X60" s="20">
        <v>6.5</v>
      </c>
      <c r="Y60" s="20">
        <v>0</v>
      </c>
      <c r="Z60" s="20">
        <v>0</v>
      </c>
      <c r="AA60" s="21">
        <v>78</v>
      </c>
    </row>
    <row r="61" spans="1:27" ht="12.75" x14ac:dyDescent="0.2">
      <c r="A61" s="26" t="s">
        <v>607</v>
      </c>
      <c r="B61" s="19" t="s">
        <v>464</v>
      </c>
      <c r="C61" s="19" t="s">
        <v>8</v>
      </c>
      <c r="D61" s="20">
        <v>14.5</v>
      </c>
      <c r="E61" s="20">
        <v>14.5</v>
      </c>
      <c r="F61" s="20">
        <v>47.5</v>
      </c>
      <c r="G61" s="20">
        <v>92</v>
      </c>
      <c r="H61" s="20" t="s">
        <v>462</v>
      </c>
      <c r="I61" s="20">
        <v>92</v>
      </c>
      <c r="J61" s="20">
        <v>18</v>
      </c>
      <c r="K61" s="20">
        <v>12</v>
      </c>
      <c r="L61" s="20">
        <v>47.5</v>
      </c>
      <c r="M61" s="20">
        <v>92</v>
      </c>
      <c r="N61" s="20">
        <v>100</v>
      </c>
      <c r="O61" s="20">
        <v>100</v>
      </c>
      <c r="P61" s="20">
        <v>10</v>
      </c>
      <c r="Q61" s="20">
        <v>10</v>
      </c>
      <c r="R61" s="20">
        <v>11</v>
      </c>
      <c r="S61" s="20">
        <v>46</v>
      </c>
      <c r="T61" s="20">
        <v>95</v>
      </c>
      <c r="U61" s="20" t="s">
        <v>462</v>
      </c>
      <c r="V61" s="20">
        <v>95</v>
      </c>
      <c r="W61" s="20">
        <v>22</v>
      </c>
      <c r="X61" s="20">
        <v>9.5</v>
      </c>
      <c r="Y61" s="20">
        <v>28</v>
      </c>
      <c r="Z61" s="20">
        <v>95</v>
      </c>
      <c r="AA61" s="21">
        <v>100</v>
      </c>
    </row>
    <row r="62" spans="1:27" ht="12.75" x14ac:dyDescent="0.2">
      <c r="A62" s="26" t="s">
        <v>608</v>
      </c>
      <c r="B62" s="19" t="s">
        <v>464</v>
      </c>
      <c r="C62" s="19" t="s">
        <v>8</v>
      </c>
      <c r="D62" s="20">
        <v>14</v>
      </c>
      <c r="E62" s="20">
        <v>14</v>
      </c>
      <c r="F62" s="20">
        <v>46</v>
      </c>
      <c r="G62" s="20">
        <v>78</v>
      </c>
      <c r="H62" s="20" t="s">
        <v>462</v>
      </c>
      <c r="I62" s="20">
        <v>78</v>
      </c>
      <c r="J62" s="20">
        <v>0</v>
      </c>
      <c r="K62" s="20">
        <v>9</v>
      </c>
      <c r="L62" s="20">
        <v>0</v>
      </c>
      <c r="M62" s="20">
        <v>78</v>
      </c>
      <c r="N62" s="20" t="s">
        <v>462</v>
      </c>
      <c r="O62" s="20">
        <v>78</v>
      </c>
      <c r="P62" s="20">
        <v>10</v>
      </c>
      <c r="Q62" s="20">
        <v>10</v>
      </c>
      <c r="R62" s="20">
        <v>11</v>
      </c>
      <c r="S62" s="20">
        <v>42.5</v>
      </c>
      <c r="T62" s="20">
        <v>75</v>
      </c>
      <c r="U62" s="20" t="s">
        <v>462</v>
      </c>
      <c r="V62" s="20">
        <v>75</v>
      </c>
      <c r="W62" s="20">
        <v>21</v>
      </c>
      <c r="X62" s="20">
        <v>0</v>
      </c>
      <c r="Y62" s="20">
        <v>0</v>
      </c>
      <c r="Z62" s="20">
        <v>95</v>
      </c>
      <c r="AA62" s="21">
        <v>65</v>
      </c>
    </row>
    <row r="63" spans="1:27" ht="12.75" x14ac:dyDescent="0.2">
      <c r="A63" s="26" t="s">
        <v>609</v>
      </c>
      <c r="B63" s="19" t="s">
        <v>461</v>
      </c>
      <c r="C63" s="19" t="s">
        <v>8</v>
      </c>
      <c r="D63" s="20"/>
      <c r="E63" s="20"/>
      <c r="F63" s="20">
        <v>44</v>
      </c>
      <c r="G63" s="20">
        <v>88</v>
      </c>
      <c r="H63" s="20" t="s">
        <v>462</v>
      </c>
      <c r="I63" s="20">
        <v>88</v>
      </c>
      <c r="J63" s="20">
        <v>18</v>
      </c>
      <c r="K63" s="20">
        <v>10</v>
      </c>
      <c r="L63" s="20">
        <v>47.5</v>
      </c>
      <c r="M63" s="20">
        <v>85</v>
      </c>
      <c r="N63" s="20" t="s">
        <v>462</v>
      </c>
      <c r="O63" s="20">
        <v>85</v>
      </c>
      <c r="P63" s="20">
        <v>10</v>
      </c>
      <c r="Q63" s="20">
        <v>10</v>
      </c>
      <c r="R63" s="20">
        <v>11</v>
      </c>
      <c r="S63" s="20">
        <v>46</v>
      </c>
      <c r="T63" s="20">
        <v>95</v>
      </c>
      <c r="U63" s="20" t="s">
        <v>462</v>
      </c>
      <c r="V63" s="20">
        <v>95</v>
      </c>
      <c r="W63" s="20">
        <v>21</v>
      </c>
      <c r="X63" s="20">
        <v>9</v>
      </c>
      <c r="Y63" s="20">
        <v>27.5</v>
      </c>
      <c r="Z63" s="20">
        <v>95</v>
      </c>
      <c r="AA63" s="21">
        <v>92</v>
      </c>
    </row>
    <row r="64" spans="1:27" ht="12.75" x14ac:dyDescent="0.2">
      <c r="A64" s="26" t="s">
        <v>610</v>
      </c>
      <c r="B64" s="19" t="s">
        <v>464</v>
      </c>
      <c r="C64" s="19" t="s">
        <v>8</v>
      </c>
      <c r="D64" s="20">
        <v>13</v>
      </c>
      <c r="E64" s="20">
        <v>13</v>
      </c>
      <c r="F64" s="20">
        <v>0</v>
      </c>
      <c r="G64" s="20">
        <v>92</v>
      </c>
      <c r="H64" s="20" t="s">
        <v>462</v>
      </c>
      <c r="I64" s="20">
        <v>92</v>
      </c>
      <c r="J64" s="20">
        <v>17</v>
      </c>
      <c r="K64" s="20">
        <v>9.9499999999999993</v>
      </c>
      <c r="L64" s="20">
        <v>44</v>
      </c>
      <c r="M64" s="20">
        <v>78</v>
      </c>
      <c r="N64" s="20" t="s">
        <v>462</v>
      </c>
      <c r="O64" s="20">
        <v>78</v>
      </c>
      <c r="P64" s="20">
        <v>10</v>
      </c>
      <c r="Q64" s="20">
        <v>10</v>
      </c>
      <c r="R64" s="20">
        <v>8</v>
      </c>
      <c r="S64" s="20">
        <v>34</v>
      </c>
      <c r="T64" s="20">
        <v>68</v>
      </c>
      <c r="U64" s="20">
        <v>72</v>
      </c>
      <c r="V64" s="20">
        <v>72</v>
      </c>
      <c r="W64" s="20">
        <v>22</v>
      </c>
      <c r="X64" s="20">
        <v>8</v>
      </c>
      <c r="Y64" s="20">
        <v>27.5</v>
      </c>
      <c r="Z64" s="20">
        <v>95</v>
      </c>
      <c r="AA64" s="21">
        <v>85</v>
      </c>
    </row>
    <row r="65" spans="1:27" ht="12.75" x14ac:dyDescent="0.2">
      <c r="A65" s="26" t="s">
        <v>611</v>
      </c>
      <c r="B65" s="19" t="s">
        <v>461</v>
      </c>
      <c r="C65" s="19" t="s">
        <v>7</v>
      </c>
      <c r="D65" s="20">
        <v>15</v>
      </c>
      <c r="E65" s="20">
        <v>15</v>
      </c>
      <c r="F65" s="20">
        <v>46</v>
      </c>
      <c r="G65" s="20">
        <v>92</v>
      </c>
      <c r="H65" s="20" t="s">
        <v>462</v>
      </c>
      <c r="I65" s="20">
        <v>92</v>
      </c>
      <c r="J65" s="20">
        <v>18</v>
      </c>
      <c r="K65" s="20">
        <v>13</v>
      </c>
      <c r="L65" s="20">
        <v>47.5</v>
      </c>
      <c r="M65" s="20">
        <v>92</v>
      </c>
      <c r="N65" s="20" t="s">
        <v>462</v>
      </c>
      <c r="O65" s="20">
        <v>92</v>
      </c>
      <c r="P65" s="20">
        <v>10</v>
      </c>
      <c r="Q65" s="20">
        <v>10</v>
      </c>
      <c r="R65" s="20">
        <v>11</v>
      </c>
      <c r="S65" s="20">
        <v>46</v>
      </c>
      <c r="T65" s="20">
        <v>100</v>
      </c>
      <c r="U65" s="20" t="s">
        <v>462</v>
      </c>
      <c r="V65" s="20">
        <v>100</v>
      </c>
      <c r="W65" s="20">
        <v>22</v>
      </c>
      <c r="X65" s="20">
        <v>10</v>
      </c>
      <c r="Y65" s="20">
        <v>28</v>
      </c>
      <c r="Z65" s="20">
        <v>95</v>
      </c>
      <c r="AA65" s="21">
        <v>100</v>
      </c>
    </row>
    <row r="66" spans="1:27" ht="12.75" x14ac:dyDescent="0.2">
      <c r="A66" s="26" t="s">
        <v>612</v>
      </c>
      <c r="B66" s="19" t="s">
        <v>461</v>
      </c>
      <c r="C66" s="19" t="s">
        <v>8</v>
      </c>
      <c r="D66" s="20">
        <v>6.5</v>
      </c>
      <c r="E66" s="20">
        <v>6.5</v>
      </c>
      <c r="F66" s="20">
        <v>41</v>
      </c>
      <c r="G66" s="20">
        <v>85</v>
      </c>
      <c r="H66" s="20" t="s">
        <v>462</v>
      </c>
      <c r="I66" s="20">
        <v>85</v>
      </c>
      <c r="J66" s="20">
        <v>18</v>
      </c>
      <c r="K66" s="20">
        <v>9.6999999999999993</v>
      </c>
      <c r="L66" s="20">
        <v>47.5</v>
      </c>
      <c r="M66" s="20">
        <v>75</v>
      </c>
      <c r="N66" s="20">
        <v>92</v>
      </c>
      <c r="O66" s="20">
        <v>92</v>
      </c>
      <c r="P66" s="20">
        <v>10</v>
      </c>
      <c r="Q66" s="20">
        <v>10</v>
      </c>
      <c r="R66" s="20">
        <v>11</v>
      </c>
      <c r="S66" s="20">
        <v>46</v>
      </c>
      <c r="T66" s="20">
        <v>75</v>
      </c>
      <c r="U66" s="20">
        <v>75</v>
      </c>
      <c r="V66" s="20">
        <v>75</v>
      </c>
      <c r="W66" s="20">
        <v>21.8</v>
      </c>
      <c r="X66" s="20">
        <v>9.25</v>
      </c>
      <c r="Y66" s="20">
        <v>17</v>
      </c>
      <c r="Z66" s="20">
        <v>100</v>
      </c>
      <c r="AA66" s="21">
        <v>82</v>
      </c>
    </row>
    <row r="67" spans="1:27" ht="12.75" x14ac:dyDescent="0.2">
      <c r="A67" s="26" t="s">
        <v>613</v>
      </c>
      <c r="B67" s="19" t="s">
        <v>464</v>
      </c>
      <c r="C67" s="19" t="s">
        <v>8</v>
      </c>
      <c r="D67" s="20">
        <v>10.5</v>
      </c>
      <c r="E67" s="20">
        <v>10.5</v>
      </c>
      <c r="F67" s="20">
        <v>42.5</v>
      </c>
      <c r="G67" s="20">
        <v>75</v>
      </c>
      <c r="H67" s="20" t="s">
        <v>462</v>
      </c>
      <c r="I67" s="20">
        <v>75</v>
      </c>
      <c r="J67" s="20">
        <v>16</v>
      </c>
      <c r="K67" s="20">
        <v>8.1</v>
      </c>
      <c r="L67" s="20">
        <v>47.5</v>
      </c>
      <c r="M67" s="20">
        <v>72</v>
      </c>
      <c r="N67" s="20">
        <v>85</v>
      </c>
      <c r="O67" s="20">
        <v>85</v>
      </c>
      <c r="P67" s="20">
        <v>10</v>
      </c>
      <c r="Q67" s="20">
        <v>8</v>
      </c>
      <c r="R67" s="20">
        <v>10</v>
      </c>
      <c r="S67" s="20">
        <v>44</v>
      </c>
      <c r="T67" s="20">
        <v>75</v>
      </c>
      <c r="U67" s="20" t="s">
        <v>462</v>
      </c>
      <c r="V67" s="20">
        <v>75</v>
      </c>
      <c r="W67" s="20">
        <v>21</v>
      </c>
      <c r="X67" s="20">
        <v>8</v>
      </c>
      <c r="Y67" s="20">
        <v>27</v>
      </c>
      <c r="Z67" s="20">
        <v>95</v>
      </c>
      <c r="AA67" s="21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6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13.140625" customWidth="1"/>
    <col min="3" max="3" width="13.42578125" customWidth="1"/>
    <col min="4" max="4" width="17.42578125" customWidth="1"/>
    <col min="5" max="5" width="27" customWidth="1"/>
  </cols>
  <sheetData>
    <row r="1" spans="1:6" x14ac:dyDescent="0.25">
      <c r="A1" s="31" t="s">
        <v>428</v>
      </c>
      <c r="B1" s="31" t="s">
        <v>614</v>
      </c>
      <c r="C1" s="31" t="s">
        <v>615</v>
      </c>
      <c r="D1" s="31" t="s">
        <v>616</v>
      </c>
      <c r="E1" s="31" t="s">
        <v>617</v>
      </c>
      <c r="F1" s="31" t="s">
        <v>618</v>
      </c>
    </row>
    <row r="2" spans="1:6" x14ac:dyDescent="0.25">
      <c r="A2" s="32" t="s">
        <v>113</v>
      </c>
      <c r="B2" s="33" t="s">
        <v>619</v>
      </c>
      <c r="C2" s="33" t="s">
        <v>620</v>
      </c>
      <c r="D2" s="33" t="s">
        <v>621</v>
      </c>
      <c r="E2" s="33" t="s">
        <v>622</v>
      </c>
      <c r="F2" s="34">
        <v>0.5</v>
      </c>
    </row>
    <row r="3" spans="1:6" x14ac:dyDescent="0.25">
      <c r="A3" s="32" t="s">
        <v>113</v>
      </c>
      <c r="B3" s="33" t="s">
        <v>619</v>
      </c>
      <c r="C3" s="33" t="s">
        <v>620</v>
      </c>
      <c r="D3" s="33" t="s">
        <v>621</v>
      </c>
      <c r="E3" s="33" t="s">
        <v>623</v>
      </c>
      <c r="F3" s="34">
        <v>1</v>
      </c>
    </row>
    <row r="4" spans="1:6" x14ac:dyDescent="0.25">
      <c r="A4" s="32" t="s">
        <v>113</v>
      </c>
      <c r="B4" s="33" t="s">
        <v>619</v>
      </c>
      <c r="C4" s="33" t="s">
        <v>620</v>
      </c>
      <c r="D4" s="33" t="s">
        <v>621</v>
      </c>
      <c r="E4" s="33" t="s">
        <v>624</v>
      </c>
      <c r="F4" s="34">
        <v>0.5</v>
      </c>
    </row>
    <row r="5" spans="1:6" x14ac:dyDescent="0.25">
      <c r="A5" s="32" t="s">
        <v>113</v>
      </c>
      <c r="B5" s="33" t="s">
        <v>619</v>
      </c>
      <c r="C5" s="33" t="s">
        <v>620</v>
      </c>
      <c r="D5" s="33" t="s">
        <v>621</v>
      </c>
      <c r="E5" s="33" t="s">
        <v>625</v>
      </c>
      <c r="F5" s="34">
        <v>1</v>
      </c>
    </row>
    <row r="6" spans="1:6" x14ac:dyDescent="0.25">
      <c r="A6" s="32" t="s">
        <v>113</v>
      </c>
      <c r="B6" s="33" t="s">
        <v>619</v>
      </c>
      <c r="C6" s="33" t="s">
        <v>620</v>
      </c>
      <c r="D6" s="33" t="s">
        <v>621</v>
      </c>
      <c r="E6" s="33" t="s">
        <v>626</v>
      </c>
      <c r="F6" s="34">
        <v>0</v>
      </c>
    </row>
    <row r="7" spans="1:6" x14ac:dyDescent="0.25">
      <c r="A7" s="32" t="s">
        <v>113</v>
      </c>
      <c r="B7" s="33" t="s">
        <v>619</v>
      </c>
      <c r="C7" s="33" t="s">
        <v>620</v>
      </c>
      <c r="D7" s="33" t="s">
        <v>621</v>
      </c>
      <c r="E7" s="33" t="s">
        <v>627</v>
      </c>
      <c r="F7" s="34">
        <v>0</v>
      </c>
    </row>
    <row r="8" spans="1:6" x14ac:dyDescent="0.25">
      <c r="A8" s="32" t="s">
        <v>113</v>
      </c>
      <c r="B8" s="33" t="s">
        <v>619</v>
      </c>
      <c r="C8" s="33" t="s">
        <v>620</v>
      </c>
      <c r="D8" s="33" t="s">
        <v>621</v>
      </c>
      <c r="E8" s="33" t="s">
        <v>628</v>
      </c>
      <c r="F8" s="34">
        <v>5</v>
      </c>
    </row>
    <row r="9" spans="1:6" x14ac:dyDescent="0.25">
      <c r="A9" s="32" t="s">
        <v>113</v>
      </c>
      <c r="B9" s="33" t="s">
        <v>619</v>
      </c>
      <c r="C9" s="33" t="s">
        <v>620</v>
      </c>
      <c r="D9" s="33" t="s">
        <v>621</v>
      </c>
      <c r="E9" s="33" t="s">
        <v>629</v>
      </c>
      <c r="F9" s="34">
        <v>44</v>
      </c>
    </row>
    <row r="10" spans="1:6" x14ac:dyDescent="0.25">
      <c r="A10" s="32" t="s">
        <v>113</v>
      </c>
      <c r="B10" s="33" t="s">
        <v>619</v>
      </c>
      <c r="C10" s="33" t="s">
        <v>620</v>
      </c>
      <c r="D10" s="33" t="s">
        <v>630</v>
      </c>
      <c r="E10" s="33" t="s">
        <v>631</v>
      </c>
      <c r="F10" s="34">
        <v>70</v>
      </c>
    </row>
    <row r="11" spans="1:6" x14ac:dyDescent="0.25">
      <c r="A11" s="32" t="s">
        <v>113</v>
      </c>
      <c r="B11" s="33" t="s">
        <v>619</v>
      </c>
      <c r="C11" s="33" t="s">
        <v>620</v>
      </c>
      <c r="D11" s="33" t="s">
        <v>630</v>
      </c>
      <c r="E11" s="33" t="s">
        <v>632</v>
      </c>
      <c r="F11" s="33" t="s">
        <v>462</v>
      </c>
    </row>
    <row r="12" spans="1:6" x14ac:dyDescent="0.25">
      <c r="A12" s="32" t="s">
        <v>113</v>
      </c>
      <c r="B12" s="33" t="s">
        <v>619</v>
      </c>
      <c r="C12" s="33" t="s">
        <v>620</v>
      </c>
      <c r="D12" s="33" t="s">
        <v>630</v>
      </c>
      <c r="E12" s="33" t="s">
        <v>633</v>
      </c>
      <c r="F12" s="34">
        <v>70</v>
      </c>
    </row>
    <row r="13" spans="1:6" x14ac:dyDescent="0.25">
      <c r="A13" s="32" t="s">
        <v>113</v>
      </c>
      <c r="B13" s="33" t="s">
        <v>619</v>
      </c>
      <c r="C13" s="33" t="s">
        <v>634</v>
      </c>
      <c r="D13" s="33" t="s">
        <v>621</v>
      </c>
      <c r="E13" s="33" t="s">
        <v>635</v>
      </c>
      <c r="F13" s="34">
        <v>0</v>
      </c>
    </row>
    <row r="14" spans="1:6" x14ac:dyDescent="0.25">
      <c r="A14" s="32" t="s">
        <v>113</v>
      </c>
      <c r="B14" s="33" t="s">
        <v>619</v>
      </c>
      <c r="C14" s="33" t="s">
        <v>634</v>
      </c>
      <c r="D14" s="33" t="s">
        <v>621</v>
      </c>
      <c r="E14" s="33" t="s">
        <v>636</v>
      </c>
      <c r="F14" s="34">
        <v>0</v>
      </c>
    </row>
    <row r="15" spans="1:6" x14ac:dyDescent="0.25">
      <c r="A15" s="32" t="s">
        <v>113</v>
      </c>
      <c r="B15" s="33" t="s">
        <v>619</v>
      </c>
      <c r="C15" s="33" t="s">
        <v>634</v>
      </c>
      <c r="D15" s="33" t="s">
        <v>621</v>
      </c>
      <c r="E15" s="33" t="s">
        <v>637</v>
      </c>
      <c r="F15" s="34">
        <v>5</v>
      </c>
    </row>
    <row r="16" spans="1:6" x14ac:dyDescent="0.25">
      <c r="A16" s="32" t="s">
        <v>113</v>
      </c>
      <c r="B16" s="33" t="s">
        <v>619</v>
      </c>
      <c r="C16" s="33" t="s">
        <v>634</v>
      </c>
      <c r="D16" s="33" t="s">
        <v>621</v>
      </c>
      <c r="E16" s="33" t="s">
        <v>638</v>
      </c>
      <c r="F16" s="34">
        <v>44</v>
      </c>
    </row>
    <row r="17" spans="1:6" x14ac:dyDescent="0.25">
      <c r="A17" s="32" t="s">
        <v>113</v>
      </c>
      <c r="B17" s="33" t="s">
        <v>619</v>
      </c>
      <c r="C17" s="33" t="s">
        <v>634</v>
      </c>
      <c r="D17" s="33" t="s">
        <v>630</v>
      </c>
      <c r="E17" s="33" t="s">
        <v>639</v>
      </c>
      <c r="F17" s="34">
        <v>66</v>
      </c>
    </row>
    <row r="18" spans="1:6" x14ac:dyDescent="0.25">
      <c r="A18" s="32" t="s">
        <v>113</v>
      </c>
      <c r="B18" s="33" t="s">
        <v>619</v>
      </c>
      <c r="C18" s="33" t="s">
        <v>634</v>
      </c>
      <c r="D18" s="33" t="s">
        <v>630</v>
      </c>
      <c r="E18" s="33" t="s">
        <v>640</v>
      </c>
      <c r="F18" s="33" t="s">
        <v>462</v>
      </c>
    </row>
    <row r="19" spans="1:6" x14ac:dyDescent="0.25">
      <c r="A19" s="32" t="s">
        <v>113</v>
      </c>
      <c r="B19" s="33" t="s">
        <v>619</v>
      </c>
      <c r="C19" s="33" t="s">
        <v>634</v>
      </c>
      <c r="D19" s="33" t="s">
        <v>630</v>
      </c>
      <c r="E19" s="33" t="s">
        <v>641</v>
      </c>
      <c r="F19" s="34">
        <v>66</v>
      </c>
    </row>
    <row r="20" spans="1:6" x14ac:dyDescent="0.25">
      <c r="A20" s="32" t="s">
        <v>113</v>
      </c>
      <c r="B20" s="33" t="s">
        <v>619</v>
      </c>
      <c r="C20" s="33" t="s">
        <v>642</v>
      </c>
      <c r="D20" s="33" t="s">
        <v>621</v>
      </c>
      <c r="E20" s="33" t="s">
        <v>643</v>
      </c>
      <c r="F20" s="34">
        <v>0</v>
      </c>
    </row>
    <row r="21" spans="1:6" x14ac:dyDescent="0.25">
      <c r="A21" s="32" t="s">
        <v>113</v>
      </c>
      <c r="B21" s="33" t="s">
        <v>619</v>
      </c>
      <c r="C21" s="33" t="s">
        <v>642</v>
      </c>
      <c r="D21" s="33" t="s">
        <v>621</v>
      </c>
      <c r="E21" s="33" t="s">
        <v>644</v>
      </c>
      <c r="F21" s="34">
        <v>0</v>
      </c>
    </row>
    <row r="22" spans="1:6" x14ac:dyDescent="0.25">
      <c r="A22" s="32" t="s">
        <v>113</v>
      </c>
      <c r="B22" s="33" t="s">
        <v>619</v>
      </c>
      <c r="C22" s="33" t="s">
        <v>642</v>
      </c>
      <c r="D22" s="33" t="s">
        <v>621</v>
      </c>
      <c r="E22" s="33" t="s">
        <v>645</v>
      </c>
      <c r="F22" s="34">
        <v>0</v>
      </c>
    </row>
    <row r="23" spans="1:6" x14ac:dyDescent="0.25">
      <c r="A23" s="32" t="s">
        <v>113</v>
      </c>
      <c r="B23" s="33" t="s">
        <v>619</v>
      </c>
      <c r="C23" s="33" t="s">
        <v>642</v>
      </c>
      <c r="D23" s="33" t="s">
        <v>621</v>
      </c>
      <c r="E23" s="33" t="s">
        <v>646</v>
      </c>
      <c r="F23" s="34">
        <v>0</v>
      </c>
    </row>
    <row r="24" spans="1:6" x14ac:dyDescent="0.25">
      <c r="A24" s="32" t="s">
        <v>113</v>
      </c>
      <c r="B24" s="33" t="s">
        <v>619</v>
      </c>
      <c r="C24" s="33" t="s">
        <v>642</v>
      </c>
      <c r="D24" s="33" t="s">
        <v>621</v>
      </c>
      <c r="E24" s="33" t="s">
        <v>647</v>
      </c>
      <c r="F24" s="34">
        <v>0</v>
      </c>
    </row>
    <row r="25" spans="1:6" x14ac:dyDescent="0.25">
      <c r="A25" s="32" t="s">
        <v>113</v>
      </c>
      <c r="B25" s="33" t="s">
        <v>619</v>
      </c>
      <c r="C25" s="33" t="s">
        <v>642</v>
      </c>
      <c r="D25" s="33" t="s">
        <v>621</v>
      </c>
      <c r="E25" s="33" t="s">
        <v>648</v>
      </c>
      <c r="F25" s="34">
        <v>0</v>
      </c>
    </row>
    <row r="26" spans="1:6" x14ac:dyDescent="0.25">
      <c r="A26" s="32" t="s">
        <v>113</v>
      </c>
      <c r="B26" s="33" t="s">
        <v>619</v>
      </c>
      <c r="C26" s="33" t="s">
        <v>642</v>
      </c>
      <c r="D26" s="33" t="s">
        <v>621</v>
      </c>
      <c r="E26" s="33" t="s">
        <v>649</v>
      </c>
      <c r="F26" s="34">
        <v>50</v>
      </c>
    </row>
    <row r="27" spans="1:6" x14ac:dyDescent="0.25">
      <c r="A27" s="32" t="s">
        <v>113</v>
      </c>
      <c r="B27" s="33" t="s">
        <v>619</v>
      </c>
      <c r="C27" s="33" t="s">
        <v>642</v>
      </c>
      <c r="D27" s="33" t="s">
        <v>630</v>
      </c>
      <c r="E27" s="33" t="s">
        <v>650</v>
      </c>
      <c r="F27" s="34">
        <v>68</v>
      </c>
    </row>
    <row r="28" spans="1:6" x14ac:dyDescent="0.25">
      <c r="A28" s="32" t="s">
        <v>113</v>
      </c>
      <c r="B28" s="33" t="s">
        <v>619</v>
      </c>
      <c r="C28" s="33" t="s">
        <v>642</v>
      </c>
      <c r="D28" s="33" t="s">
        <v>630</v>
      </c>
      <c r="E28" s="33" t="s">
        <v>651</v>
      </c>
      <c r="F28" s="33" t="s">
        <v>462</v>
      </c>
    </row>
    <row r="29" spans="1:6" x14ac:dyDescent="0.25">
      <c r="A29" s="32" t="s">
        <v>113</v>
      </c>
      <c r="B29" s="33" t="s">
        <v>619</v>
      </c>
      <c r="C29" s="33" t="s">
        <v>642</v>
      </c>
      <c r="D29" s="33" t="s">
        <v>630</v>
      </c>
      <c r="E29" s="33" t="s">
        <v>652</v>
      </c>
      <c r="F29" s="34">
        <v>68</v>
      </c>
    </row>
    <row r="30" spans="1:6" x14ac:dyDescent="0.25">
      <c r="A30" s="32" t="s">
        <v>113</v>
      </c>
      <c r="B30" s="33" t="s">
        <v>619</v>
      </c>
      <c r="C30" s="33" t="s">
        <v>653</v>
      </c>
      <c r="D30" s="33" t="s">
        <v>653</v>
      </c>
      <c r="E30" s="33" t="s">
        <v>654</v>
      </c>
      <c r="F30" s="34">
        <v>62</v>
      </c>
    </row>
    <row r="31" spans="1:6" x14ac:dyDescent="0.25">
      <c r="A31" s="32" t="s">
        <v>114</v>
      </c>
      <c r="B31" s="33" t="s">
        <v>619</v>
      </c>
      <c r="C31" s="33" t="s">
        <v>620</v>
      </c>
      <c r="D31" s="33" t="s">
        <v>621</v>
      </c>
      <c r="E31" s="33" t="s">
        <v>622</v>
      </c>
      <c r="F31" s="34">
        <v>0</v>
      </c>
    </row>
    <row r="32" spans="1:6" x14ac:dyDescent="0.25">
      <c r="A32" s="32" t="s">
        <v>114</v>
      </c>
      <c r="B32" s="33" t="s">
        <v>619</v>
      </c>
      <c r="C32" s="33" t="s">
        <v>620</v>
      </c>
      <c r="D32" s="33" t="s">
        <v>621</v>
      </c>
      <c r="E32" s="33" t="s">
        <v>623</v>
      </c>
      <c r="F32" s="34">
        <v>1</v>
      </c>
    </row>
    <row r="33" spans="1:6" x14ac:dyDescent="0.25">
      <c r="A33" s="32" t="s">
        <v>114</v>
      </c>
      <c r="B33" s="33" t="s">
        <v>619</v>
      </c>
      <c r="C33" s="33" t="s">
        <v>620</v>
      </c>
      <c r="D33" s="33" t="s">
        <v>621</v>
      </c>
      <c r="E33" s="33" t="s">
        <v>624</v>
      </c>
      <c r="F33" s="34">
        <v>1</v>
      </c>
    </row>
    <row r="34" spans="1:6" x14ac:dyDescent="0.25">
      <c r="A34" s="32" t="s">
        <v>114</v>
      </c>
      <c r="B34" s="33" t="s">
        <v>619</v>
      </c>
      <c r="C34" s="33" t="s">
        <v>620</v>
      </c>
      <c r="D34" s="33" t="s">
        <v>621</v>
      </c>
      <c r="E34" s="33" t="s">
        <v>625</v>
      </c>
      <c r="F34" s="34">
        <v>0</v>
      </c>
    </row>
    <row r="35" spans="1:6" x14ac:dyDescent="0.25">
      <c r="A35" s="32" t="s">
        <v>114</v>
      </c>
      <c r="B35" s="33" t="s">
        <v>619</v>
      </c>
      <c r="C35" s="33" t="s">
        <v>620</v>
      </c>
      <c r="D35" s="33" t="s">
        <v>621</v>
      </c>
      <c r="E35" s="33" t="s">
        <v>626</v>
      </c>
      <c r="F35" s="34">
        <v>0</v>
      </c>
    </row>
    <row r="36" spans="1:6" x14ac:dyDescent="0.25">
      <c r="A36" s="32" t="s">
        <v>114</v>
      </c>
      <c r="B36" s="33" t="s">
        <v>619</v>
      </c>
      <c r="C36" s="33" t="s">
        <v>620</v>
      </c>
      <c r="D36" s="33" t="s">
        <v>621</v>
      </c>
      <c r="E36" s="33" t="s">
        <v>627</v>
      </c>
      <c r="F36" s="34">
        <v>0</v>
      </c>
    </row>
    <row r="37" spans="1:6" x14ac:dyDescent="0.25">
      <c r="A37" s="32" t="s">
        <v>114</v>
      </c>
      <c r="B37" s="33" t="s">
        <v>619</v>
      </c>
      <c r="C37" s="33" t="s">
        <v>620</v>
      </c>
      <c r="D37" s="33" t="s">
        <v>621</v>
      </c>
      <c r="E37" s="33" t="s">
        <v>628</v>
      </c>
      <c r="F37" s="34">
        <v>5</v>
      </c>
    </row>
    <row r="38" spans="1:6" x14ac:dyDescent="0.25">
      <c r="A38" s="32" t="s">
        <v>114</v>
      </c>
      <c r="B38" s="33" t="s">
        <v>619</v>
      </c>
      <c r="C38" s="33" t="s">
        <v>620</v>
      </c>
      <c r="D38" s="33" t="s">
        <v>621</v>
      </c>
      <c r="E38" s="33" t="s">
        <v>629</v>
      </c>
      <c r="F38" s="34">
        <v>35</v>
      </c>
    </row>
    <row r="39" spans="1:6" x14ac:dyDescent="0.25">
      <c r="A39" s="32" t="s">
        <v>114</v>
      </c>
      <c r="B39" s="33" t="s">
        <v>619</v>
      </c>
      <c r="C39" s="33" t="s">
        <v>620</v>
      </c>
      <c r="D39" s="33" t="s">
        <v>630</v>
      </c>
      <c r="E39" s="33" t="s">
        <v>631</v>
      </c>
      <c r="F39" s="34">
        <v>78</v>
      </c>
    </row>
    <row r="40" spans="1:6" x14ac:dyDescent="0.25">
      <c r="A40" s="32" t="s">
        <v>114</v>
      </c>
      <c r="B40" s="33" t="s">
        <v>619</v>
      </c>
      <c r="C40" s="33" t="s">
        <v>620</v>
      </c>
      <c r="D40" s="33" t="s">
        <v>630</v>
      </c>
      <c r="E40" s="33" t="s">
        <v>632</v>
      </c>
      <c r="F40" s="33" t="s">
        <v>462</v>
      </c>
    </row>
    <row r="41" spans="1:6" x14ac:dyDescent="0.25">
      <c r="A41" s="32" t="s">
        <v>114</v>
      </c>
      <c r="B41" s="33" t="s">
        <v>619</v>
      </c>
      <c r="C41" s="33" t="s">
        <v>620</v>
      </c>
      <c r="D41" s="33" t="s">
        <v>630</v>
      </c>
      <c r="E41" s="33" t="s">
        <v>633</v>
      </c>
      <c r="F41" s="34">
        <v>78</v>
      </c>
    </row>
    <row r="42" spans="1:6" x14ac:dyDescent="0.25">
      <c r="A42" s="32" t="s">
        <v>114</v>
      </c>
      <c r="B42" s="33" t="s">
        <v>619</v>
      </c>
      <c r="C42" s="33" t="s">
        <v>634</v>
      </c>
      <c r="D42" s="33" t="s">
        <v>621</v>
      </c>
      <c r="E42" s="33" t="s">
        <v>635</v>
      </c>
      <c r="F42" s="34">
        <v>0</v>
      </c>
    </row>
    <row r="43" spans="1:6" x14ac:dyDescent="0.25">
      <c r="A43" s="32" t="s">
        <v>114</v>
      </c>
      <c r="B43" s="33" t="s">
        <v>619</v>
      </c>
      <c r="C43" s="33" t="s">
        <v>634</v>
      </c>
      <c r="D43" s="33" t="s">
        <v>621</v>
      </c>
      <c r="E43" s="33" t="s">
        <v>636</v>
      </c>
      <c r="F43" s="34">
        <v>1</v>
      </c>
    </row>
    <row r="44" spans="1:6" x14ac:dyDescent="0.25">
      <c r="A44" s="32" t="s">
        <v>114</v>
      </c>
      <c r="B44" s="33" t="s">
        <v>619</v>
      </c>
      <c r="C44" s="33" t="s">
        <v>634</v>
      </c>
      <c r="D44" s="33" t="s">
        <v>621</v>
      </c>
      <c r="E44" s="33" t="s">
        <v>637</v>
      </c>
      <c r="F44" s="34">
        <v>5</v>
      </c>
    </row>
    <row r="45" spans="1:6" x14ac:dyDescent="0.25">
      <c r="A45" s="32" t="s">
        <v>114</v>
      </c>
      <c r="B45" s="33" t="s">
        <v>619</v>
      </c>
      <c r="C45" s="33" t="s">
        <v>634</v>
      </c>
      <c r="D45" s="33" t="s">
        <v>621</v>
      </c>
      <c r="E45" s="33" t="s">
        <v>638</v>
      </c>
      <c r="F45" s="34">
        <v>49.5</v>
      </c>
    </row>
    <row r="46" spans="1:6" x14ac:dyDescent="0.25">
      <c r="A46" s="32" t="s">
        <v>114</v>
      </c>
      <c r="B46" s="33" t="s">
        <v>619</v>
      </c>
      <c r="C46" s="33" t="s">
        <v>634</v>
      </c>
      <c r="D46" s="33" t="s">
        <v>630</v>
      </c>
      <c r="E46" s="33" t="s">
        <v>639</v>
      </c>
      <c r="F46" s="34">
        <v>73</v>
      </c>
    </row>
    <row r="47" spans="1:6" x14ac:dyDescent="0.25">
      <c r="A47" s="32" t="s">
        <v>114</v>
      </c>
      <c r="B47" s="33" t="s">
        <v>619</v>
      </c>
      <c r="C47" s="33" t="s">
        <v>634</v>
      </c>
      <c r="D47" s="33" t="s">
        <v>630</v>
      </c>
      <c r="E47" s="33" t="s">
        <v>640</v>
      </c>
      <c r="F47" s="33" t="s">
        <v>462</v>
      </c>
    </row>
    <row r="48" spans="1:6" x14ac:dyDescent="0.25">
      <c r="A48" s="32" t="s">
        <v>114</v>
      </c>
      <c r="B48" s="33" t="s">
        <v>619</v>
      </c>
      <c r="C48" s="33" t="s">
        <v>634</v>
      </c>
      <c r="D48" s="33" t="s">
        <v>630</v>
      </c>
      <c r="E48" s="33" t="s">
        <v>641</v>
      </c>
      <c r="F48" s="34">
        <v>73</v>
      </c>
    </row>
    <row r="49" spans="1:6" x14ac:dyDescent="0.25">
      <c r="A49" s="32" t="s">
        <v>114</v>
      </c>
      <c r="B49" s="33" t="s">
        <v>619</v>
      </c>
      <c r="C49" s="33" t="s">
        <v>642</v>
      </c>
      <c r="D49" s="33" t="s">
        <v>621</v>
      </c>
      <c r="E49" s="33" t="s">
        <v>643</v>
      </c>
      <c r="F49" s="34">
        <v>5</v>
      </c>
    </row>
    <row r="50" spans="1:6" x14ac:dyDescent="0.25">
      <c r="A50" s="32" t="s">
        <v>114</v>
      </c>
      <c r="B50" s="33" t="s">
        <v>619</v>
      </c>
      <c r="C50" s="33" t="s">
        <v>642</v>
      </c>
      <c r="D50" s="33" t="s">
        <v>621</v>
      </c>
      <c r="E50" s="33" t="s">
        <v>644</v>
      </c>
      <c r="F50" s="34">
        <v>5</v>
      </c>
    </row>
    <row r="51" spans="1:6" x14ac:dyDescent="0.25">
      <c r="A51" s="32" t="s">
        <v>114</v>
      </c>
      <c r="B51" s="33" t="s">
        <v>619</v>
      </c>
      <c r="C51" s="33" t="s">
        <v>642</v>
      </c>
      <c r="D51" s="33" t="s">
        <v>621</v>
      </c>
      <c r="E51" s="33" t="s">
        <v>645</v>
      </c>
      <c r="F51" s="34">
        <v>5</v>
      </c>
    </row>
    <row r="52" spans="1:6" x14ac:dyDescent="0.25">
      <c r="A52" s="32" t="s">
        <v>114</v>
      </c>
      <c r="B52" s="33" t="s">
        <v>619</v>
      </c>
      <c r="C52" s="33" t="s">
        <v>642</v>
      </c>
      <c r="D52" s="33" t="s">
        <v>621</v>
      </c>
      <c r="E52" s="33" t="s">
        <v>646</v>
      </c>
      <c r="F52" s="34">
        <v>5</v>
      </c>
    </row>
    <row r="53" spans="1:6" x14ac:dyDescent="0.25">
      <c r="A53" s="32" t="s">
        <v>114</v>
      </c>
      <c r="B53" s="33" t="s">
        <v>619</v>
      </c>
      <c r="C53" s="33" t="s">
        <v>642</v>
      </c>
      <c r="D53" s="33" t="s">
        <v>621</v>
      </c>
      <c r="E53" s="33" t="s">
        <v>647</v>
      </c>
      <c r="F53" s="34">
        <v>0</v>
      </c>
    </row>
    <row r="54" spans="1:6" x14ac:dyDescent="0.25">
      <c r="A54" s="32" t="s">
        <v>114</v>
      </c>
      <c r="B54" s="33" t="s">
        <v>619</v>
      </c>
      <c r="C54" s="33" t="s">
        <v>642</v>
      </c>
      <c r="D54" s="33" t="s">
        <v>621</v>
      </c>
      <c r="E54" s="33" t="s">
        <v>648</v>
      </c>
      <c r="F54" s="34">
        <v>0</v>
      </c>
    </row>
    <row r="55" spans="1:6" x14ac:dyDescent="0.25">
      <c r="A55" s="32" t="s">
        <v>114</v>
      </c>
      <c r="B55" s="33" t="s">
        <v>619</v>
      </c>
      <c r="C55" s="33" t="s">
        <v>642</v>
      </c>
      <c r="D55" s="33" t="s">
        <v>621</v>
      </c>
      <c r="E55" s="33" t="s">
        <v>649</v>
      </c>
      <c r="F55" s="34">
        <v>44</v>
      </c>
    </row>
    <row r="56" spans="1:6" x14ac:dyDescent="0.25">
      <c r="A56" s="32" t="s">
        <v>114</v>
      </c>
      <c r="B56" s="33" t="s">
        <v>619</v>
      </c>
      <c r="C56" s="33" t="s">
        <v>642</v>
      </c>
      <c r="D56" s="33" t="s">
        <v>630</v>
      </c>
      <c r="E56" s="33" t="s">
        <v>650</v>
      </c>
      <c r="F56" s="34">
        <v>65</v>
      </c>
    </row>
    <row r="57" spans="1:6" x14ac:dyDescent="0.25">
      <c r="A57" s="32" t="s">
        <v>114</v>
      </c>
      <c r="B57" s="33" t="s">
        <v>619</v>
      </c>
      <c r="C57" s="33" t="s">
        <v>642</v>
      </c>
      <c r="D57" s="33" t="s">
        <v>630</v>
      </c>
      <c r="E57" s="33" t="s">
        <v>651</v>
      </c>
      <c r="F57" s="34">
        <v>78</v>
      </c>
    </row>
    <row r="58" spans="1:6" x14ac:dyDescent="0.25">
      <c r="A58" s="32" t="s">
        <v>114</v>
      </c>
      <c r="B58" s="33" t="s">
        <v>619</v>
      </c>
      <c r="C58" s="33" t="s">
        <v>642</v>
      </c>
      <c r="D58" s="33" t="s">
        <v>630</v>
      </c>
      <c r="E58" s="33" t="s">
        <v>652</v>
      </c>
      <c r="F58" s="34">
        <v>78</v>
      </c>
    </row>
    <row r="59" spans="1:6" x14ac:dyDescent="0.25">
      <c r="A59" s="32" t="s">
        <v>114</v>
      </c>
      <c r="B59" s="33" t="s">
        <v>619</v>
      </c>
      <c r="C59" s="33" t="s">
        <v>653</v>
      </c>
      <c r="D59" s="33" t="s">
        <v>653</v>
      </c>
      <c r="E59" s="33" t="s">
        <v>654</v>
      </c>
      <c r="F59" s="34">
        <v>72</v>
      </c>
    </row>
    <row r="60" spans="1:6" x14ac:dyDescent="0.25">
      <c r="A60" s="32" t="s">
        <v>115</v>
      </c>
      <c r="B60" s="33" t="s">
        <v>619</v>
      </c>
      <c r="C60" s="33" t="s">
        <v>620</v>
      </c>
      <c r="D60" s="33" t="s">
        <v>621</v>
      </c>
      <c r="E60" s="33" t="s">
        <v>622</v>
      </c>
      <c r="F60" s="34">
        <v>1</v>
      </c>
    </row>
    <row r="61" spans="1:6" x14ac:dyDescent="0.25">
      <c r="A61" s="32" t="s">
        <v>115</v>
      </c>
      <c r="B61" s="33" t="s">
        <v>619</v>
      </c>
      <c r="C61" s="33" t="s">
        <v>620</v>
      </c>
      <c r="D61" s="33" t="s">
        <v>621</v>
      </c>
      <c r="E61" s="33" t="s">
        <v>623</v>
      </c>
      <c r="F61" s="34">
        <v>1</v>
      </c>
    </row>
    <row r="62" spans="1:6" x14ac:dyDescent="0.25">
      <c r="A62" s="32" t="s">
        <v>115</v>
      </c>
      <c r="B62" s="33" t="s">
        <v>619</v>
      </c>
      <c r="C62" s="33" t="s">
        <v>620</v>
      </c>
      <c r="D62" s="33" t="s">
        <v>621</v>
      </c>
      <c r="E62" s="33" t="s">
        <v>624</v>
      </c>
      <c r="F62" s="34">
        <v>1</v>
      </c>
    </row>
    <row r="63" spans="1:6" x14ac:dyDescent="0.25">
      <c r="A63" s="32" t="s">
        <v>115</v>
      </c>
      <c r="B63" s="33" t="s">
        <v>619</v>
      </c>
      <c r="C63" s="33" t="s">
        <v>620</v>
      </c>
      <c r="D63" s="33" t="s">
        <v>621</v>
      </c>
      <c r="E63" s="33" t="s">
        <v>625</v>
      </c>
      <c r="F63" s="34">
        <v>1</v>
      </c>
    </row>
    <row r="64" spans="1:6" x14ac:dyDescent="0.25">
      <c r="A64" s="32" t="s">
        <v>115</v>
      </c>
      <c r="B64" s="33" t="s">
        <v>619</v>
      </c>
      <c r="C64" s="33" t="s">
        <v>620</v>
      </c>
      <c r="D64" s="33" t="s">
        <v>621</v>
      </c>
      <c r="E64" s="33" t="s">
        <v>626</v>
      </c>
      <c r="F64" s="34">
        <v>1</v>
      </c>
    </row>
    <row r="65" spans="1:6" x14ac:dyDescent="0.25">
      <c r="A65" s="32" t="s">
        <v>115</v>
      </c>
      <c r="B65" s="33" t="s">
        <v>619</v>
      </c>
      <c r="C65" s="33" t="s">
        <v>620</v>
      </c>
      <c r="D65" s="33" t="s">
        <v>621</v>
      </c>
      <c r="E65" s="33" t="s">
        <v>627</v>
      </c>
      <c r="F65" s="34">
        <v>1</v>
      </c>
    </row>
    <row r="66" spans="1:6" x14ac:dyDescent="0.25">
      <c r="A66" s="32" t="s">
        <v>115</v>
      </c>
      <c r="B66" s="33" t="s">
        <v>619</v>
      </c>
      <c r="C66" s="33" t="s">
        <v>620</v>
      </c>
      <c r="D66" s="33" t="s">
        <v>621</v>
      </c>
      <c r="E66" s="33" t="s">
        <v>628</v>
      </c>
      <c r="F66" s="34">
        <v>5</v>
      </c>
    </row>
    <row r="67" spans="1:6" x14ac:dyDescent="0.25">
      <c r="A67" s="32" t="s">
        <v>115</v>
      </c>
      <c r="B67" s="33" t="s">
        <v>619</v>
      </c>
      <c r="C67" s="33" t="s">
        <v>620</v>
      </c>
      <c r="D67" s="33" t="s">
        <v>621</v>
      </c>
      <c r="E67" s="33" t="s">
        <v>629</v>
      </c>
      <c r="F67" s="34">
        <v>45</v>
      </c>
    </row>
    <row r="68" spans="1:6" x14ac:dyDescent="0.25">
      <c r="A68" s="32" t="s">
        <v>115</v>
      </c>
      <c r="B68" s="33" t="s">
        <v>619</v>
      </c>
      <c r="C68" s="33" t="s">
        <v>620</v>
      </c>
      <c r="D68" s="33" t="s">
        <v>630</v>
      </c>
      <c r="E68" s="33" t="s">
        <v>631</v>
      </c>
      <c r="F68" s="34">
        <v>68</v>
      </c>
    </row>
    <row r="69" spans="1:6" x14ac:dyDescent="0.25">
      <c r="A69" s="32" t="s">
        <v>115</v>
      </c>
      <c r="B69" s="33" t="s">
        <v>619</v>
      </c>
      <c r="C69" s="33" t="s">
        <v>620</v>
      </c>
      <c r="D69" s="33" t="s">
        <v>630</v>
      </c>
      <c r="E69" s="33" t="s">
        <v>632</v>
      </c>
      <c r="F69" s="33" t="s">
        <v>462</v>
      </c>
    </row>
    <row r="70" spans="1:6" x14ac:dyDescent="0.25">
      <c r="A70" s="32" t="s">
        <v>115</v>
      </c>
      <c r="B70" s="33" t="s">
        <v>619</v>
      </c>
      <c r="C70" s="33" t="s">
        <v>620</v>
      </c>
      <c r="D70" s="33" t="s">
        <v>630</v>
      </c>
      <c r="E70" s="33" t="s">
        <v>633</v>
      </c>
      <c r="F70" s="34">
        <v>68</v>
      </c>
    </row>
    <row r="71" spans="1:6" x14ac:dyDescent="0.25">
      <c r="A71" s="32" t="s">
        <v>115</v>
      </c>
      <c r="B71" s="33" t="s">
        <v>619</v>
      </c>
      <c r="C71" s="33" t="s">
        <v>634</v>
      </c>
      <c r="D71" s="33" t="s">
        <v>621</v>
      </c>
      <c r="E71" s="33" t="s">
        <v>635</v>
      </c>
      <c r="F71" s="34">
        <v>1</v>
      </c>
    </row>
    <row r="72" spans="1:6" x14ac:dyDescent="0.25">
      <c r="A72" s="32" t="s">
        <v>115</v>
      </c>
      <c r="B72" s="33" t="s">
        <v>619</v>
      </c>
      <c r="C72" s="33" t="s">
        <v>634</v>
      </c>
      <c r="D72" s="33" t="s">
        <v>621</v>
      </c>
      <c r="E72" s="33" t="s">
        <v>636</v>
      </c>
      <c r="F72" s="34">
        <v>1</v>
      </c>
    </row>
    <row r="73" spans="1:6" x14ac:dyDescent="0.25">
      <c r="A73" s="34">
        <v>3</v>
      </c>
      <c r="B73" s="33" t="s">
        <v>619</v>
      </c>
      <c r="C73" s="33" t="s">
        <v>634</v>
      </c>
      <c r="D73" s="33" t="s">
        <v>621</v>
      </c>
      <c r="E73" s="33" t="s">
        <v>637</v>
      </c>
      <c r="F73" s="34">
        <v>5</v>
      </c>
    </row>
    <row r="74" spans="1:6" x14ac:dyDescent="0.25">
      <c r="A74" s="34">
        <v>3</v>
      </c>
      <c r="B74" s="33" t="s">
        <v>619</v>
      </c>
      <c r="C74" s="33" t="s">
        <v>634</v>
      </c>
      <c r="D74" s="33" t="s">
        <v>621</v>
      </c>
      <c r="E74" s="33" t="s">
        <v>638</v>
      </c>
      <c r="F74" s="34">
        <v>49.5</v>
      </c>
    </row>
    <row r="75" spans="1:6" x14ac:dyDescent="0.25">
      <c r="A75" s="34">
        <v>3</v>
      </c>
      <c r="B75" s="33" t="s">
        <v>619</v>
      </c>
      <c r="C75" s="33" t="s">
        <v>634</v>
      </c>
      <c r="D75" s="33" t="s">
        <v>630</v>
      </c>
      <c r="E75" s="33" t="s">
        <v>639</v>
      </c>
      <c r="F75" s="34">
        <v>65</v>
      </c>
    </row>
    <row r="76" spans="1:6" x14ac:dyDescent="0.25">
      <c r="A76" s="34">
        <v>3</v>
      </c>
      <c r="B76" s="33" t="s">
        <v>619</v>
      </c>
      <c r="C76" s="33" t="s">
        <v>634</v>
      </c>
      <c r="D76" s="33" t="s">
        <v>630</v>
      </c>
      <c r="E76" s="33" t="s">
        <v>640</v>
      </c>
      <c r="F76" s="34">
        <v>70</v>
      </c>
    </row>
    <row r="77" spans="1:6" x14ac:dyDescent="0.25">
      <c r="A77" s="34">
        <v>3</v>
      </c>
      <c r="B77" s="33" t="s">
        <v>619</v>
      </c>
      <c r="C77" s="33" t="s">
        <v>634</v>
      </c>
      <c r="D77" s="33" t="s">
        <v>630</v>
      </c>
      <c r="E77" s="33" t="s">
        <v>641</v>
      </c>
      <c r="F77" s="34">
        <v>70</v>
      </c>
    </row>
    <row r="78" spans="1:6" x14ac:dyDescent="0.25">
      <c r="A78" s="34">
        <v>3</v>
      </c>
      <c r="B78" s="33" t="s">
        <v>619</v>
      </c>
      <c r="C78" s="33" t="s">
        <v>642</v>
      </c>
      <c r="D78" s="33" t="s">
        <v>621</v>
      </c>
      <c r="E78" s="33" t="s">
        <v>643</v>
      </c>
      <c r="F78" s="34">
        <v>5</v>
      </c>
    </row>
    <row r="79" spans="1:6" x14ac:dyDescent="0.25">
      <c r="A79" s="34">
        <v>3</v>
      </c>
      <c r="B79" s="33" t="s">
        <v>619</v>
      </c>
      <c r="C79" s="33" t="s">
        <v>642</v>
      </c>
      <c r="D79" s="33" t="s">
        <v>621</v>
      </c>
      <c r="E79" s="33" t="s">
        <v>644</v>
      </c>
      <c r="F79" s="34">
        <v>5</v>
      </c>
    </row>
    <row r="80" spans="1:6" x14ac:dyDescent="0.25">
      <c r="A80" s="34">
        <v>3</v>
      </c>
      <c r="B80" s="33" t="s">
        <v>619</v>
      </c>
      <c r="C80" s="33" t="s">
        <v>642</v>
      </c>
      <c r="D80" s="33" t="s">
        <v>621</v>
      </c>
      <c r="E80" s="33" t="s">
        <v>645</v>
      </c>
      <c r="F80" s="34">
        <v>5</v>
      </c>
    </row>
    <row r="81" spans="1:6" x14ac:dyDescent="0.25">
      <c r="A81" s="34">
        <v>3</v>
      </c>
      <c r="B81" s="33" t="s">
        <v>619</v>
      </c>
      <c r="C81" s="33" t="s">
        <v>642</v>
      </c>
      <c r="D81" s="33" t="s">
        <v>621</v>
      </c>
      <c r="E81" s="33" t="s">
        <v>646</v>
      </c>
      <c r="F81" s="34">
        <v>5</v>
      </c>
    </row>
    <row r="82" spans="1:6" x14ac:dyDescent="0.25">
      <c r="A82" s="34">
        <v>3</v>
      </c>
      <c r="B82" s="33" t="s">
        <v>619</v>
      </c>
      <c r="C82" s="33" t="s">
        <v>642</v>
      </c>
      <c r="D82" s="33" t="s">
        <v>621</v>
      </c>
      <c r="E82" s="33" t="s">
        <v>647</v>
      </c>
      <c r="F82" s="34">
        <v>5</v>
      </c>
    </row>
    <row r="83" spans="1:6" x14ac:dyDescent="0.25">
      <c r="A83" s="34">
        <v>3</v>
      </c>
      <c r="B83" s="33" t="s">
        <v>619</v>
      </c>
      <c r="C83" s="33" t="s">
        <v>642</v>
      </c>
      <c r="D83" s="33" t="s">
        <v>621</v>
      </c>
      <c r="E83" s="33" t="s">
        <v>648</v>
      </c>
      <c r="F83" s="34">
        <v>5</v>
      </c>
    </row>
    <row r="84" spans="1:6" x14ac:dyDescent="0.25">
      <c r="A84" s="34">
        <v>3</v>
      </c>
      <c r="B84" s="33" t="s">
        <v>619</v>
      </c>
      <c r="C84" s="33" t="s">
        <v>642</v>
      </c>
      <c r="D84" s="33" t="s">
        <v>621</v>
      </c>
      <c r="E84" s="33" t="s">
        <v>649</v>
      </c>
      <c r="F84" s="34">
        <v>46</v>
      </c>
    </row>
    <row r="85" spans="1:6" x14ac:dyDescent="0.25">
      <c r="A85" s="34">
        <v>3</v>
      </c>
      <c r="B85" s="33" t="s">
        <v>619</v>
      </c>
      <c r="C85" s="33" t="s">
        <v>642</v>
      </c>
      <c r="D85" s="33" t="s">
        <v>630</v>
      </c>
      <c r="E85" s="33" t="s">
        <v>650</v>
      </c>
      <c r="F85" s="34">
        <v>65</v>
      </c>
    </row>
    <row r="86" spans="1:6" x14ac:dyDescent="0.25">
      <c r="A86" s="34">
        <v>3</v>
      </c>
      <c r="B86" s="33" t="s">
        <v>619</v>
      </c>
      <c r="C86" s="33" t="s">
        <v>642</v>
      </c>
      <c r="D86" s="33" t="s">
        <v>630</v>
      </c>
      <c r="E86" s="33" t="s">
        <v>651</v>
      </c>
      <c r="F86" s="34">
        <v>62</v>
      </c>
    </row>
    <row r="87" spans="1:6" x14ac:dyDescent="0.25">
      <c r="A87" s="34">
        <v>3</v>
      </c>
      <c r="B87" s="33" t="s">
        <v>619</v>
      </c>
      <c r="C87" s="33" t="s">
        <v>642</v>
      </c>
      <c r="D87" s="33" t="s">
        <v>630</v>
      </c>
      <c r="E87" s="33" t="s">
        <v>652</v>
      </c>
      <c r="F87" s="34">
        <v>65</v>
      </c>
    </row>
    <row r="88" spans="1:6" x14ac:dyDescent="0.25">
      <c r="A88" s="34">
        <v>3</v>
      </c>
      <c r="B88" s="33" t="s">
        <v>619</v>
      </c>
      <c r="C88" s="33" t="s">
        <v>653</v>
      </c>
      <c r="D88" s="33" t="s">
        <v>653</v>
      </c>
      <c r="E88" s="33" t="s">
        <v>654</v>
      </c>
      <c r="F88" s="34">
        <v>68</v>
      </c>
    </row>
    <row r="89" spans="1:6" x14ac:dyDescent="0.25">
      <c r="A89" s="34">
        <v>4</v>
      </c>
      <c r="B89" s="33" t="s">
        <v>619</v>
      </c>
      <c r="C89" s="33" t="s">
        <v>620</v>
      </c>
      <c r="D89" s="33" t="s">
        <v>621</v>
      </c>
      <c r="E89" s="33" t="s">
        <v>622</v>
      </c>
      <c r="F89" s="33" t="s">
        <v>462</v>
      </c>
    </row>
    <row r="90" spans="1:6" x14ac:dyDescent="0.25">
      <c r="A90" s="34">
        <v>4</v>
      </c>
      <c r="B90" s="33" t="s">
        <v>619</v>
      </c>
      <c r="C90" s="33" t="s">
        <v>620</v>
      </c>
      <c r="D90" s="33" t="s">
        <v>621</v>
      </c>
      <c r="E90" s="33" t="s">
        <v>623</v>
      </c>
      <c r="F90" s="33" t="s">
        <v>462</v>
      </c>
    </row>
    <row r="91" spans="1:6" x14ac:dyDescent="0.25">
      <c r="A91" s="34">
        <v>4</v>
      </c>
      <c r="B91" s="33" t="s">
        <v>619</v>
      </c>
      <c r="C91" s="33" t="s">
        <v>620</v>
      </c>
      <c r="D91" s="33" t="s">
        <v>621</v>
      </c>
      <c r="E91" s="33" t="s">
        <v>624</v>
      </c>
      <c r="F91" s="33" t="s">
        <v>462</v>
      </c>
    </row>
    <row r="92" spans="1:6" x14ac:dyDescent="0.25">
      <c r="A92" s="34">
        <v>4</v>
      </c>
      <c r="B92" s="33" t="s">
        <v>619</v>
      </c>
      <c r="C92" s="33" t="s">
        <v>620</v>
      </c>
      <c r="D92" s="33" t="s">
        <v>621</v>
      </c>
      <c r="E92" s="33" t="s">
        <v>625</v>
      </c>
      <c r="F92" s="33" t="s">
        <v>462</v>
      </c>
    </row>
    <row r="93" spans="1:6" x14ac:dyDescent="0.25">
      <c r="A93" s="34">
        <v>4</v>
      </c>
      <c r="B93" s="33" t="s">
        <v>619</v>
      </c>
      <c r="C93" s="33" t="s">
        <v>620</v>
      </c>
      <c r="D93" s="33" t="s">
        <v>621</v>
      </c>
      <c r="E93" s="33" t="s">
        <v>626</v>
      </c>
      <c r="F93" s="33" t="s">
        <v>462</v>
      </c>
    </row>
    <row r="94" spans="1:6" x14ac:dyDescent="0.25">
      <c r="A94" s="34">
        <v>4</v>
      </c>
      <c r="B94" s="33" t="s">
        <v>619</v>
      </c>
      <c r="C94" s="33" t="s">
        <v>620</v>
      </c>
      <c r="D94" s="33" t="s">
        <v>621</v>
      </c>
      <c r="E94" s="33" t="s">
        <v>627</v>
      </c>
      <c r="F94" s="33" t="s">
        <v>462</v>
      </c>
    </row>
    <row r="95" spans="1:6" x14ac:dyDescent="0.25">
      <c r="A95" s="34">
        <v>4</v>
      </c>
      <c r="B95" s="33" t="s">
        <v>619</v>
      </c>
      <c r="C95" s="33" t="s">
        <v>620</v>
      </c>
      <c r="D95" s="33" t="s">
        <v>621</v>
      </c>
      <c r="E95" s="33" t="s">
        <v>628</v>
      </c>
      <c r="F95" s="33" t="s">
        <v>462</v>
      </c>
    </row>
    <row r="96" spans="1:6" x14ac:dyDescent="0.25">
      <c r="A96" s="34">
        <v>4</v>
      </c>
      <c r="B96" s="33" t="s">
        <v>619</v>
      </c>
      <c r="C96" s="33" t="s">
        <v>620</v>
      </c>
      <c r="D96" s="33" t="s">
        <v>621</v>
      </c>
      <c r="E96" s="33" t="s">
        <v>629</v>
      </c>
      <c r="F96" s="33" t="s">
        <v>462</v>
      </c>
    </row>
    <row r="97" spans="1:6" x14ac:dyDescent="0.25">
      <c r="A97" s="34">
        <v>4</v>
      </c>
      <c r="B97" s="33" t="s">
        <v>619</v>
      </c>
      <c r="C97" s="33" t="s">
        <v>620</v>
      </c>
      <c r="D97" s="33" t="s">
        <v>630</v>
      </c>
      <c r="E97" s="33" t="s">
        <v>631</v>
      </c>
      <c r="F97" s="34">
        <v>85</v>
      </c>
    </row>
    <row r="98" spans="1:6" x14ac:dyDescent="0.25">
      <c r="A98" s="34">
        <v>4</v>
      </c>
      <c r="B98" s="33" t="s">
        <v>619</v>
      </c>
      <c r="C98" s="33" t="s">
        <v>620</v>
      </c>
      <c r="D98" s="33" t="s">
        <v>630</v>
      </c>
      <c r="E98" s="33" t="s">
        <v>632</v>
      </c>
      <c r="F98" s="33" t="s">
        <v>462</v>
      </c>
    </row>
    <row r="99" spans="1:6" x14ac:dyDescent="0.25">
      <c r="A99" s="34">
        <v>4</v>
      </c>
      <c r="B99" s="33" t="s">
        <v>619</v>
      </c>
      <c r="C99" s="33" t="s">
        <v>620</v>
      </c>
      <c r="D99" s="33" t="s">
        <v>630</v>
      </c>
      <c r="E99" s="33" t="s">
        <v>633</v>
      </c>
      <c r="F99" s="34">
        <v>85</v>
      </c>
    </row>
    <row r="100" spans="1:6" x14ac:dyDescent="0.25">
      <c r="A100" s="34">
        <v>4</v>
      </c>
      <c r="B100" s="33" t="s">
        <v>619</v>
      </c>
      <c r="C100" s="33" t="s">
        <v>634</v>
      </c>
      <c r="D100" s="33" t="s">
        <v>621</v>
      </c>
      <c r="E100" s="33" t="s">
        <v>635</v>
      </c>
      <c r="F100" s="34">
        <v>0</v>
      </c>
    </row>
    <row r="101" spans="1:6" x14ac:dyDescent="0.25">
      <c r="A101" s="34">
        <v>4</v>
      </c>
      <c r="B101" s="33" t="s">
        <v>619</v>
      </c>
      <c r="C101" s="33" t="s">
        <v>634</v>
      </c>
      <c r="D101" s="33" t="s">
        <v>621</v>
      </c>
      <c r="E101" s="33" t="s">
        <v>636</v>
      </c>
      <c r="F101" s="34">
        <v>0</v>
      </c>
    </row>
    <row r="102" spans="1:6" x14ac:dyDescent="0.25">
      <c r="A102" s="34">
        <v>4</v>
      </c>
      <c r="B102" s="33" t="s">
        <v>619</v>
      </c>
      <c r="C102" s="33" t="s">
        <v>634</v>
      </c>
      <c r="D102" s="33" t="s">
        <v>621</v>
      </c>
      <c r="E102" s="33" t="s">
        <v>637</v>
      </c>
      <c r="F102" s="34">
        <v>5</v>
      </c>
    </row>
    <row r="103" spans="1:6" x14ac:dyDescent="0.25">
      <c r="A103" s="34">
        <v>4</v>
      </c>
      <c r="B103" s="33" t="s">
        <v>619</v>
      </c>
      <c r="C103" s="33" t="s">
        <v>634</v>
      </c>
      <c r="D103" s="33" t="s">
        <v>621</v>
      </c>
      <c r="E103" s="33" t="s">
        <v>638</v>
      </c>
      <c r="F103" s="34">
        <v>45.5</v>
      </c>
    </row>
    <row r="104" spans="1:6" x14ac:dyDescent="0.25">
      <c r="A104" s="34">
        <v>4</v>
      </c>
      <c r="B104" s="33" t="s">
        <v>619</v>
      </c>
      <c r="C104" s="33" t="s">
        <v>634</v>
      </c>
      <c r="D104" s="33" t="s">
        <v>630</v>
      </c>
      <c r="E104" s="33" t="s">
        <v>639</v>
      </c>
      <c r="F104" s="34">
        <v>78</v>
      </c>
    </row>
    <row r="105" spans="1:6" x14ac:dyDescent="0.25">
      <c r="A105" s="34">
        <v>4</v>
      </c>
      <c r="B105" s="33" t="s">
        <v>619</v>
      </c>
      <c r="C105" s="33" t="s">
        <v>634</v>
      </c>
      <c r="D105" s="33" t="s">
        <v>630</v>
      </c>
      <c r="E105" s="33" t="s">
        <v>640</v>
      </c>
      <c r="F105" s="33" t="s">
        <v>462</v>
      </c>
    </row>
    <row r="106" spans="1:6" x14ac:dyDescent="0.25">
      <c r="A106" s="34">
        <v>4</v>
      </c>
      <c r="B106" s="33" t="s">
        <v>619</v>
      </c>
      <c r="C106" s="33" t="s">
        <v>634</v>
      </c>
      <c r="D106" s="33" t="s">
        <v>630</v>
      </c>
      <c r="E106" s="33" t="s">
        <v>641</v>
      </c>
      <c r="F106" s="34">
        <v>78</v>
      </c>
    </row>
    <row r="107" spans="1:6" x14ac:dyDescent="0.25">
      <c r="A107" s="34">
        <v>4</v>
      </c>
      <c r="B107" s="33" t="s">
        <v>619</v>
      </c>
      <c r="C107" s="33" t="s">
        <v>642</v>
      </c>
      <c r="D107" s="33" t="s">
        <v>621</v>
      </c>
      <c r="E107" s="33" t="s">
        <v>643</v>
      </c>
      <c r="F107" s="34">
        <v>5</v>
      </c>
    </row>
    <row r="108" spans="1:6" x14ac:dyDescent="0.25">
      <c r="A108" s="34">
        <v>4</v>
      </c>
      <c r="B108" s="33" t="s">
        <v>619</v>
      </c>
      <c r="C108" s="33" t="s">
        <v>642</v>
      </c>
      <c r="D108" s="33" t="s">
        <v>621</v>
      </c>
      <c r="E108" s="33" t="s">
        <v>644</v>
      </c>
      <c r="F108" s="34">
        <v>5</v>
      </c>
    </row>
    <row r="109" spans="1:6" x14ac:dyDescent="0.25">
      <c r="A109" s="34">
        <v>4</v>
      </c>
      <c r="B109" s="33" t="s">
        <v>619</v>
      </c>
      <c r="C109" s="33" t="s">
        <v>642</v>
      </c>
      <c r="D109" s="33" t="s">
        <v>621</v>
      </c>
      <c r="E109" s="33" t="s">
        <v>645</v>
      </c>
      <c r="F109" s="34">
        <v>5</v>
      </c>
    </row>
    <row r="110" spans="1:6" x14ac:dyDescent="0.25">
      <c r="A110" s="34">
        <v>4</v>
      </c>
      <c r="B110" s="33" t="s">
        <v>619</v>
      </c>
      <c r="C110" s="33" t="s">
        <v>642</v>
      </c>
      <c r="D110" s="33" t="s">
        <v>621</v>
      </c>
      <c r="E110" s="33" t="s">
        <v>646</v>
      </c>
      <c r="F110" s="34">
        <v>0</v>
      </c>
    </row>
    <row r="111" spans="1:6" x14ac:dyDescent="0.25">
      <c r="A111" s="34">
        <v>4</v>
      </c>
      <c r="B111" s="33" t="s">
        <v>619</v>
      </c>
      <c r="C111" s="33" t="s">
        <v>642</v>
      </c>
      <c r="D111" s="33" t="s">
        <v>621</v>
      </c>
      <c r="E111" s="33" t="s">
        <v>647</v>
      </c>
      <c r="F111" s="34">
        <v>0</v>
      </c>
    </row>
    <row r="112" spans="1:6" x14ac:dyDescent="0.25">
      <c r="A112" s="34">
        <v>4</v>
      </c>
      <c r="B112" s="33" t="s">
        <v>619</v>
      </c>
      <c r="C112" s="33" t="s">
        <v>642</v>
      </c>
      <c r="D112" s="33" t="s">
        <v>621</v>
      </c>
      <c r="E112" s="33" t="s">
        <v>648</v>
      </c>
      <c r="F112" s="34">
        <v>0</v>
      </c>
    </row>
    <row r="113" spans="1:6" x14ac:dyDescent="0.25">
      <c r="A113" s="34">
        <v>4</v>
      </c>
      <c r="B113" s="33" t="s">
        <v>619</v>
      </c>
      <c r="C113" s="33" t="s">
        <v>642</v>
      </c>
      <c r="D113" s="33" t="s">
        <v>621</v>
      </c>
      <c r="E113" s="33" t="s">
        <v>649</v>
      </c>
      <c r="F113" s="34">
        <v>50</v>
      </c>
    </row>
    <row r="114" spans="1:6" x14ac:dyDescent="0.25">
      <c r="A114" s="34">
        <v>4</v>
      </c>
      <c r="B114" s="33" t="s">
        <v>619</v>
      </c>
      <c r="C114" s="33" t="s">
        <v>642</v>
      </c>
      <c r="D114" s="33" t="s">
        <v>630</v>
      </c>
      <c r="E114" s="33" t="s">
        <v>650</v>
      </c>
      <c r="F114" s="34">
        <v>68</v>
      </c>
    </row>
    <row r="115" spans="1:6" x14ac:dyDescent="0.25">
      <c r="A115" s="34">
        <v>4</v>
      </c>
      <c r="B115" s="33" t="s">
        <v>619</v>
      </c>
      <c r="C115" s="33" t="s">
        <v>642</v>
      </c>
      <c r="D115" s="33" t="s">
        <v>630</v>
      </c>
      <c r="E115" s="33" t="s">
        <v>651</v>
      </c>
      <c r="F115" s="34">
        <v>75</v>
      </c>
    </row>
    <row r="116" spans="1:6" x14ac:dyDescent="0.25">
      <c r="A116" s="34">
        <v>4</v>
      </c>
      <c r="B116" s="33" t="s">
        <v>619</v>
      </c>
      <c r="C116" s="33" t="s">
        <v>642</v>
      </c>
      <c r="D116" s="33" t="s">
        <v>630</v>
      </c>
      <c r="E116" s="33" t="s">
        <v>652</v>
      </c>
      <c r="F116" s="34">
        <v>75</v>
      </c>
    </row>
    <row r="117" spans="1:6" x14ac:dyDescent="0.25">
      <c r="A117" s="34">
        <v>4</v>
      </c>
      <c r="B117" s="33" t="s">
        <v>619</v>
      </c>
      <c r="C117" s="33" t="s">
        <v>653</v>
      </c>
      <c r="D117" s="33" t="s">
        <v>653</v>
      </c>
      <c r="E117" s="33" t="s">
        <v>654</v>
      </c>
      <c r="F117" s="34">
        <v>80</v>
      </c>
    </row>
    <row r="118" spans="1:6" x14ac:dyDescent="0.25">
      <c r="A118" s="34">
        <v>5</v>
      </c>
      <c r="B118" s="33" t="s">
        <v>619</v>
      </c>
      <c r="C118" s="33" t="s">
        <v>620</v>
      </c>
      <c r="D118" s="33" t="s">
        <v>621</v>
      </c>
      <c r="E118" s="33" t="s">
        <v>622</v>
      </c>
      <c r="F118" s="33" t="s">
        <v>462</v>
      </c>
    </row>
    <row r="119" spans="1:6" x14ac:dyDescent="0.25">
      <c r="A119" s="34">
        <v>5</v>
      </c>
      <c r="B119" s="33" t="s">
        <v>619</v>
      </c>
      <c r="C119" s="33" t="s">
        <v>620</v>
      </c>
      <c r="D119" s="33" t="s">
        <v>621</v>
      </c>
      <c r="E119" s="33" t="s">
        <v>623</v>
      </c>
      <c r="F119" s="33" t="s">
        <v>462</v>
      </c>
    </row>
    <row r="120" spans="1:6" x14ac:dyDescent="0.25">
      <c r="A120" s="34">
        <v>5</v>
      </c>
      <c r="B120" s="33" t="s">
        <v>619</v>
      </c>
      <c r="C120" s="33" t="s">
        <v>620</v>
      </c>
      <c r="D120" s="33" t="s">
        <v>621</v>
      </c>
      <c r="E120" s="33" t="s">
        <v>624</v>
      </c>
      <c r="F120" s="33" t="s">
        <v>462</v>
      </c>
    </row>
    <row r="121" spans="1:6" x14ac:dyDescent="0.25">
      <c r="A121" s="34">
        <v>5</v>
      </c>
      <c r="B121" s="33" t="s">
        <v>619</v>
      </c>
      <c r="C121" s="33" t="s">
        <v>620</v>
      </c>
      <c r="D121" s="33" t="s">
        <v>621</v>
      </c>
      <c r="E121" s="33" t="s">
        <v>625</v>
      </c>
      <c r="F121" s="33" t="s">
        <v>462</v>
      </c>
    </row>
    <row r="122" spans="1:6" x14ac:dyDescent="0.25">
      <c r="A122" s="34">
        <v>5</v>
      </c>
      <c r="B122" s="33" t="s">
        <v>619</v>
      </c>
      <c r="C122" s="33" t="s">
        <v>620</v>
      </c>
      <c r="D122" s="33" t="s">
        <v>621</v>
      </c>
      <c r="E122" s="33" t="s">
        <v>626</v>
      </c>
      <c r="F122" s="33" t="s">
        <v>462</v>
      </c>
    </row>
    <row r="123" spans="1:6" x14ac:dyDescent="0.25">
      <c r="A123" s="34">
        <v>5</v>
      </c>
      <c r="B123" s="33" t="s">
        <v>619</v>
      </c>
      <c r="C123" s="33" t="s">
        <v>620</v>
      </c>
      <c r="D123" s="33" t="s">
        <v>621</v>
      </c>
      <c r="E123" s="33" t="s">
        <v>627</v>
      </c>
      <c r="F123" s="33" t="s">
        <v>462</v>
      </c>
    </row>
    <row r="124" spans="1:6" x14ac:dyDescent="0.25">
      <c r="A124" s="34">
        <v>5</v>
      </c>
      <c r="B124" s="33" t="s">
        <v>619</v>
      </c>
      <c r="C124" s="33" t="s">
        <v>620</v>
      </c>
      <c r="D124" s="33" t="s">
        <v>621</v>
      </c>
      <c r="E124" s="33" t="s">
        <v>628</v>
      </c>
      <c r="F124" s="33" t="s">
        <v>462</v>
      </c>
    </row>
    <row r="125" spans="1:6" x14ac:dyDescent="0.25">
      <c r="A125" s="34">
        <v>5</v>
      </c>
      <c r="B125" s="33" t="s">
        <v>619</v>
      </c>
      <c r="C125" s="33" t="s">
        <v>620</v>
      </c>
      <c r="D125" s="33" t="s">
        <v>621</v>
      </c>
      <c r="E125" s="33" t="s">
        <v>629</v>
      </c>
      <c r="F125" s="33" t="s">
        <v>462</v>
      </c>
    </row>
    <row r="126" spans="1:6" x14ac:dyDescent="0.25">
      <c r="A126" s="34">
        <v>5</v>
      </c>
      <c r="B126" s="33" t="s">
        <v>619</v>
      </c>
      <c r="C126" s="33" t="s">
        <v>620</v>
      </c>
      <c r="D126" s="33" t="s">
        <v>630</v>
      </c>
      <c r="E126" s="33" t="s">
        <v>631</v>
      </c>
      <c r="F126" s="34">
        <v>78</v>
      </c>
    </row>
    <row r="127" spans="1:6" x14ac:dyDescent="0.25">
      <c r="A127" s="34">
        <v>5</v>
      </c>
      <c r="B127" s="33" t="s">
        <v>619</v>
      </c>
      <c r="C127" s="33" t="s">
        <v>620</v>
      </c>
      <c r="D127" s="33" t="s">
        <v>630</v>
      </c>
      <c r="E127" s="33" t="s">
        <v>632</v>
      </c>
      <c r="F127" s="34">
        <v>76</v>
      </c>
    </row>
    <row r="128" spans="1:6" x14ac:dyDescent="0.25">
      <c r="A128" s="34">
        <v>5</v>
      </c>
      <c r="B128" s="33" t="s">
        <v>619</v>
      </c>
      <c r="C128" s="33" t="s">
        <v>620</v>
      </c>
      <c r="D128" s="33" t="s">
        <v>630</v>
      </c>
      <c r="E128" s="33" t="s">
        <v>633</v>
      </c>
      <c r="F128" s="34">
        <v>78</v>
      </c>
    </row>
    <row r="129" spans="1:6" x14ac:dyDescent="0.25">
      <c r="A129" s="34">
        <v>5</v>
      </c>
      <c r="B129" s="33" t="s">
        <v>619</v>
      </c>
      <c r="C129" s="33" t="s">
        <v>634</v>
      </c>
      <c r="D129" s="33" t="s">
        <v>621</v>
      </c>
      <c r="E129" s="33" t="s">
        <v>635</v>
      </c>
      <c r="F129" s="34">
        <v>1</v>
      </c>
    </row>
    <row r="130" spans="1:6" x14ac:dyDescent="0.25">
      <c r="A130" s="34">
        <v>5</v>
      </c>
      <c r="B130" s="33" t="s">
        <v>619</v>
      </c>
      <c r="C130" s="33" t="s">
        <v>634</v>
      </c>
      <c r="D130" s="33" t="s">
        <v>621</v>
      </c>
      <c r="E130" s="33" t="s">
        <v>636</v>
      </c>
      <c r="F130" s="34">
        <v>1</v>
      </c>
    </row>
    <row r="131" spans="1:6" x14ac:dyDescent="0.25">
      <c r="A131" s="34">
        <v>5</v>
      </c>
      <c r="B131" s="33" t="s">
        <v>619</v>
      </c>
      <c r="C131" s="33" t="s">
        <v>634</v>
      </c>
      <c r="D131" s="33" t="s">
        <v>621</v>
      </c>
      <c r="E131" s="33" t="s">
        <v>637</v>
      </c>
      <c r="F131" s="34">
        <v>5</v>
      </c>
    </row>
    <row r="132" spans="1:6" x14ac:dyDescent="0.25">
      <c r="A132" s="34">
        <v>5</v>
      </c>
      <c r="B132" s="33" t="s">
        <v>619</v>
      </c>
      <c r="C132" s="33" t="s">
        <v>634</v>
      </c>
      <c r="D132" s="33" t="s">
        <v>621</v>
      </c>
      <c r="E132" s="33" t="s">
        <v>638</v>
      </c>
      <c r="F132" s="34">
        <v>45</v>
      </c>
    </row>
    <row r="133" spans="1:6" x14ac:dyDescent="0.25">
      <c r="A133" s="34">
        <v>5</v>
      </c>
      <c r="B133" s="33" t="s">
        <v>619</v>
      </c>
      <c r="C133" s="33" t="s">
        <v>634</v>
      </c>
      <c r="D133" s="33" t="s">
        <v>630</v>
      </c>
      <c r="E133" s="33" t="s">
        <v>639</v>
      </c>
      <c r="F133" s="34">
        <v>83</v>
      </c>
    </row>
    <row r="134" spans="1:6" x14ac:dyDescent="0.25">
      <c r="A134" s="34">
        <v>5</v>
      </c>
      <c r="B134" s="33" t="s">
        <v>619</v>
      </c>
      <c r="C134" s="33" t="s">
        <v>634</v>
      </c>
      <c r="D134" s="33" t="s">
        <v>630</v>
      </c>
      <c r="E134" s="33" t="s">
        <v>640</v>
      </c>
      <c r="F134" s="33" t="s">
        <v>462</v>
      </c>
    </row>
    <row r="135" spans="1:6" x14ac:dyDescent="0.25">
      <c r="A135" s="34">
        <v>5</v>
      </c>
      <c r="B135" s="33" t="s">
        <v>619</v>
      </c>
      <c r="C135" s="33" t="s">
        <v>634</v>
      </c>
      <c r="D135" s="33" t="s">
        <v>630</v>
      </c>
      <c r="E135" s="33" t="s">
        <v>641</v>
      </c>
      <c r="F135" s="34">
        <v>83</v>
      </c>
    </row>
    <row r="136" spans="1:6" x14ac:dyDescent="0.25">
      <c r="A136" s="34">
        <v>5</v>
      </c>
      <c r="B136" s="33" t="s">
        <v>619</v>
      </c>
      <c r="C136" s="33" t="s">
        <v>642</v>
      </c>
      <c r="D136" s="33" t="s">
        <v>621</v>
      </c>
      <c r="E136" s="33" t="s">
        <v>643</v>
      </c>
      <c r="F136" s="34">
        <v>0</v>
      </c>
    </row>
    <row r="137" spans="1:6" x14ac:dyDescent="0.25">
      <c r="A137" s="34">
        <v>5</v>
      </c>
      <c r="B137" s="33" t="s">
        <v>619</v>
      </c>
      <c r="C137" s="33" t="s">
        <v>642</v>
      </c>
      <c r="D137" s="33" t="s">
        <v>621</v>
      </c>
      <c r="E137" s="33" t="s">
        <v>644</v>
      </c>
      <c r="F137" s="34">
        <v>5</v>
      </c>
    </row>
    <row r="138" spans="1:6" x14ac:dyDescent="0.25">
      <c r="A138" s="34">
        <v>5</v>
      </c>
      <c r="B138" s="33" t="s">
        <v>619</v>
      </c>
      <c r="C138" s="33" t="s">
        <v>642</v>
      </c>
      <c r="D138" s="33" t="s">
        <v>621</v>
      </c>
      <c r="E138" s="33" t="s">
        <v>645</v>
      </c>
      <c r="F138" s="34">
        <v>5</v>
      </c>
    </row>
    <row r="139" spans="1:6" x14ac:dyDescent="0.25">
      <c r="A139" s="34">
        <v>5</v>
      </c>
      <c r="B139" s="33" t="s">
        <v>619</v>
      </c>
      <c r="C139" s="33" t="s">
        <v>642</v>
      </c>
      <c r="D139" s="33" t="s">
        <v>621</v>
      </c>
      <c r="E139" s="33" t="s">
        <v>646</v>
      </c>
      <c r="F139" s="34">
        <v>5</v>
      </c>
    </row>
    <row r="140" spans="1:6" x14ac:dyDescent="0.25">
      <c r="A140" s="34">
        <v>5</v>
      </c>
      <c r="B140" s="33" t="s">
        <v>619</v>
      </c>
      <c r="C140" s="33" t="s">
        <v>642</v>
      </c>
      <c r="D140" s="33" t="s">
        <v>621</v>
      </c>
      <c r="E140" s="33" t="s">
        <v>647</v>
      </c>
      <c r="F140" s="34">
        <v>0</v>
      </c>
    </row>
    <row r="141" spans="1:6" x14ac:dyDescent="0.25">
      <c r="A141" s="34">
        <v>5</v>
      </c>
      <c r="B141" s="33" t="s">
        <v>619</v>
      </c>
      <c r="C141" s="33" t="s">
        <v>642</v>
      </c>
      <c r="D141" s="33" t="s">
        <v>621</v>
      </c>
      <c r="E141" s="33" t="s">
        <v>648</v>
      </c>
      <c r="F141" s="34">
        <v>0</v>
      </c>
    </row>
    <row r="142" spans="1:6" x14ac:dyDescent="0.25">
      <c r="A142" s="34">
        <v>5</v>
      </c>
      <c r="B142" s="33" t="s">
        <v>619</v>
      </c>
      <c r="C142" s="33" t="s">
        <v>642</v>
      </c>
      <c r="D142" s="33" t="s">
        <v>621</v>
      </c>
      <c r="E142" s="33" t="s">
        <v>649</v>
      </c>
      <c r="F142" s="34">
        <v>50</v>
      </c>
    </row>
    <row r="143" spans="1:6" x14ac:dyDescent="0.25">
      <c r="A143" s="34">
        <v>5</v>
      </c>
      <c r="B143" s="33" t="s">
        <v>619</v>
      </c>
      <c r="C143" s="33" t="s">
        <v>642</v>
      </c>
      <c r="D143" s="33" t="s">
        <v>630</v>
      </c>
      <c r="E143" s="33" t="s">
        <v>650</v>
      </c>
      <c r="F143" s="34">
        <v>75</v>
      </c>
    </row>
    <row r="144" spans="1:6" x14ac:dyDescent="0.25">
      <c r="A144" s="34">
        <v>5</v>
      </c>
      <c r="B144" s="33" t="s">
        <v>619</v>
      </c>
      <c r="C144" s="33" t="s">
        <v>642</v>
      </c>
      <c r="D144" s="33" t="s">
        <v>630</v>
      </c>
      <c r="E144" s="33" t="s">
        <v>651</v>
      </c>
      <c r="F144" s="34">
        <v>78</v>
      </c>
    </row>
    <row r="145" spans="1:6" x14ac:dyDescent="0.25">
      <c r="A145" s="34">
        <v>5</v>
      </c>
      <c r="B145" s="33" t="s">
        <v>619</v>
      </c>
      <c r="C145" s="33" t="s">
        <v>642</v>
      </c>
      <c r="D145" s="33" t="s">
        <v>630</v>
      </c>
      <c r="E145" s="33" t="s">
        <v>652</v>
      </c>
      <c r="F145" s="34">
        <v>78</v>
      </c>
    </row>
    <row r="146" spans="1:6" x14ac:dyDescent="0.25">
      <c r="A146" s="34">
        <v>5</v>
      </c>
      <c r="B146" s="33" t="s">
        <v>619</v>
      </c>
      <c r="C146" s="33" t="s">
        <v>653</v>
      </c>
      <c r="D146" s="33" t="s">
        <v>653</v>
      </c>
      <c r="E146" s="33" t="s">
        <v>654</v>
      </c>
      <c r="F146" s="34">
        <v>75</v>
      </c>
    </row>
    <row r="147" spans="1:6" x14ac:dyDescent="0.25">
      <c r="A147" s="34">
        <v>6</v>
      </c>
      <c r="B147" s="33" t="s">
        <v>619</v>
      </c>
      <c r="C147" s="33" t="s">
        <v>620</v>
      </c>
      <c r="D147" s="33" t="s">
        <v>621</v>
      </c>
      <c r="E147" s="33" t="s">
        <v>622</v>
      </c>
      <c r="F147" s="34">
        <v>1</v>
      </c>
    </row>
    <row r="148" spans="1:6" x14ac:dyDescent="0.25">
      <c r="A148" s="34">
        <v>6</v>
      </c>
      <c r="B148" s="33" t="s">
        <v>619</v>
      </c>
      <c r="C148" s="33" t="s">
        <v>620</v>
      </c>
      <c r="D148" s="33" t="s">
        <v>621</v>
      </c>
      <c r="E148" s="33" t="s">
        <v>623</v>
      </c>
      <c r="F148" s="34">
        <v>1</v>
      </c>
    </row>
    <row r="149" spans="1:6" x14ac:dyDescent="0.25">
      <c r="A149" s="34">
        <v>6</v>
      </c>
      <c r="B149" s="33" t="s">
        <v>619</v>
      </c>
      <c r="C149" s="33" t="s">
        <v>620</v>
      </c>
      <c r="D149" s="33" t="s">
        <v>621</v>
      </c>
      <c r="E149" s="33" t="s">
        <v>624</v>
      </c>
      <c r="F149" s="34">
        <v>1</v>
      </c>
    </row>
    <row r="150" spans="1:6" x14ac:dyDescent="0.25">
      <c r="A150" s="34">
        <v>6</v>
      </c>
      <c r="B150" s="33" t="s">
        <v>619</v>
      </c>
      <c r="C150" s="33" t="s">
        <v>620</v>
      </c>
      <c r="D150" s="33" t="s">
        <v>621</v>
      </c>
      <c r="E150" s="33" t="s">
        <v>625</v>
      </c>
      <c r="F150" s="34">
        <v>1</v>
      </c>
    </row>
    <row r="151" spans="1:6" x14ac:dyDescent="0.25">
      <c r="A151" s="34">
        <v>6</v>
      </c>
      <c r="B151" s="33" t="s">
        <v>619</v>
      </c>
      <c r="C151" s="33" t="s">
        <v>620</v>
      </c>
      <c r="D151" s="33" t="s">
        <v>621</v>
      </c>
      <c r="E151" s="33" t="s">
        <v>626</v>
      </c>
      <c r="F151" s="34">
        <v>0</v>
      </c>
    </row>
    <row r="152" spans="1:6" x14ac:dyDescent="0.25">
      <c r="A152" s="34">
        <v>6</v>
      </c>
      <c r="B152" s="33" t="s">
        <v>619</v>
      </c>
      <c r="C152" s="33" t="s">
        <v>620</v>
      </c>
      <c r="D152" s="33" t="s">
        <v>621</v>
      </c>
      <c r="E152" s="33" t="s">
        <v>627</v>
      </c>
      <c r="F152" s="34">
        <v>0</v>
      </c>
    </row>
    <row r="153" spans="1:6" x14ac:dyDescent="0.25">
      <c r="A153" s="34">
        <v>6</v>
      </c>
      <c r="B153" s="33" t="s">
        <v>619</v>
      </c>
      <c r="C153" s="33" t="s">
        <v>620</v>
      </c>
      <c r="D153" s="33" t="s">
        <v>621</v>
      </c>
      <c r="E153" s="33" t="s">
        <v>628</v>
      </c>
      <c r="F153" s="34">
        <v>5</v>
      </c>
    </row>
    <row r="154" spans="1:6" x14ac:dyDescent="0.25">
      <c r="A154" s="34">
        <v>6</v>
      </c>
      <c r="B154" s="33" t="s">
        <v>619</v>
      </c>
      <c r="C154" s="33" t="s">
        <v>620</v>
      </c>
      <c r="D154" s="33" t="s">
        <v>621</v>
      </c>
      <c r="E154" s="33" t="s">
        <v>629</v>
      </c>
      <c r="F154" s="34">
        <v>43</v>
      </c>
    </row>
    <row r="155" spans="1:6" x14ac:dyDescent="0.25">
      <c r="A155" s="34">
        <v>6</v>
      </c>
      <c r="B155" s="33" t="s">
        <v>619</v>
      </c>
      <c r="C155" s="33" t="s">
        <v>620</v>
      </c>
      <c r="D155" s="33" t="s">
        <v>630</v>
      </c>
      <c r="E155" s="33" t="s">
        <v>631</v>
      </c>
      <c r="F155" s="34">
        <v>60</v>
      </c>
    </row>
    <row r="156" spans="1:6" x14ac:dyDescent="0.25">
      <c r="A156" s="34">
        <v>6</v>
      </c>
      <c r="B156" s="33" t="s">
        <v>619</v>
      </c>
      <c r="C156" s="33" t="s">
        <v>620</v>
      </c>
      <c r="D156" s="33" t="s">
        <v>630</v>
      </c>
      <c r="E156" s="33" t="s">
        <v>632</v>
      </c>
      <c r="F156" s="33" t="s">
        <v>462</v>
      </c>
    </row>
    <row r="157" spans="1:6" x14ac:dyDescent="0.25">
      <c r="A157" s="34">
        <v>6</v>
      </c>
      <c r="B157" s="33" t="s">
        <v>619</v>
      </c>
      <c r="C157" s="33" t="s">
        <v>620</v>
      </c>
      <c r="D157" s="33" t="s">
        <v>630</v>
      </c>
      <c r="E157" s="33" t="s">
        <v>633</v>
      </c>
      <c r="F157" s="34">
        <v>60</v>
      </c>
    </row>
    <row r="158" spans="1:6" x14ac:dyDescent="0.25">
      <c r="A158" s="34">
        <v>6</v>
      </c>
      <c r="B158" s="33" t="s">
        <v>619</v>
      </c>
      <c r="C158" s="33" t="s">
        <v>634</v>
      </c>
      <c r="D158" s="33" t="s">
        <v>621</v>
      </c>
      <c r="E158" s="33" t="s">
        <v>635</v>
      </c>
      <c r="F158" s="34">
        <v>1</v>
      </c>
    </row>
    <row r="159" spans="1:6" x14ac:dyDescent="0.25">
      <c r="A159" s="34">
        <v>6</v>
      </c>
      <c r="B159" s="33" t="s">
        <v>619</v>
      </c>
      <c r="C159" s="33" t="s">
        <v>634</v>
      </c>
      <c r="D159" s="33" t="s">
        <v>621</v>
      </c>
      <c r="E159" s="33" t="s">
        <v>636</v>
      </c>
      <c r="F159" s="34">
        <v>0</v>
      </c>
    </row>
    <row r="160" spans="1:6" x14ac:dyDescent="0.25">
      <c r="A160" s="34">
        <v>6</v>
      </c>
      <c r="B160" s="33" t="s">
        <v>619</v>
      </c>
      <c r="C160" s="33" t="s">
        <v>634</v>
      </c>
      <c r="D160" s="33" t="s">
        <v>621</v>
      </c>
      <c r="E160" s="33" t="s">
        <v>637</v>
      </c>
      <c r="F160" s="34">
        <v>5</v>
      </c>
    </row>
    <row r="161" spans="1:6" x14ac:dyDescent="0.25">
      <c r="A161" s="34">
        <v>6</v>
      </c>
      <c r="B161" s="33" t="s">
        <v>619</v>
      </c>
      <c r="C161" s="33" t="s">
        <v>634</v>
      </c>
      <c r="D161" s="33" t="s">
        <v>621</v>
      </c>
      <c r="E161" s="33" t="s">
        <v>638</v>
      </c>
      <c r="F161" s="34">
        <v>39.5</v>
      </c>
    </row>
    <row r="162" spans="1:6" x14ac:dyDescent="0.25">
      <c r="A162" s="34">
        <v>6</v>
      </c>
      <c r="B162" s="33" t="s">
        <v>619</v>
      </c>
      <c r="C162" s="33" t="s">
        <v>634</v>
      </c>
      <c r="D162" s="33" t="s">
        <v>630</v>
      </c>
      <c r="E162" s="33" t="s">
        <v>639</v>
      </c>
      <c r="F162" s="34">
        <v>86</v>
      </c>
    </row>
    <row r="163" spans="1:6" x14ac:dyDescent="0.25">
      <c r="A163" s="34">
        <v>6</v>
      </c>
      <c r="B163" s="33" t="s">
        <v>619</v>
      </c>
      <c r="C163" s="33" t="s">
        <v>634</v>
      </c>
      <c r="D163" s="33" t="s">
        <v>630</v>
      </c>
      <c r="E163" s="33" t="s">
        <v>640</v>
      </c>
      <c r="F163" s="33" t="s">
        <v>462</v>
      </c>
    </row>
    <row r="164" spans="1:6" x14ac:dyDescent="0.25">
      <c r="A164" s="34">
        <v>6</v>
      </c>
      <c r="B164" s="33" t="s">
        <v>619</v>
      </c>
      <c r="C164" s="33" t="s">
        <v>634</v>
      </c>
      <c r="D164" s="33" t="s">
        <v>630</v>
      </c>
      <c r="E164" s="33" t="s">
        <v>641</v>
      </c>
      <c r="F164" s="34">
        <v>86</v>
      </c>
    </row>
    <row r="165" spans="1:6" x14ac:dyDescent="0.25">
      <c r="A165" s="34">
        <v>6</v>
      </c>
      <c r="B165" s="33" t="s">
        <v>619</v>
      </c>
      <c r="C165" s="33" t="s">
        <v>642</v>
      </c>
      <c r="D165" s="33" t="s">
        <v>621</v>
      </c>
      <c r="E165" s="33" t="s">
        <v>643</v>
      </c>
      <c r="F165" s="34">
        <v>0</v>
      </c>
    </row>
    <row r="166" spans="1:6" x14ac:dyDescent="0.25">
      <c r="A166" s="34">
        <v>6</v>
      </c>
      <c r="B166" s="33" t="s">
        <v>619</v>
      </c>
      <c r="C166" s="33" t="s">
        <v>642</v>
      </c>
      <c r="D166" s="33" t="s">
        <v>621</v>
      </c>
      <c r="E166" s="33" t="s">
        <v>644</v>
      </c>
      <c r="F166" s="34">
        <v>5</v>
      </c>
    </row>
    <row r="167" spans="1:6" x14ac:dyDescent="0.25">
      <c r="A167" s="34">
        <v>6</v>
      </c>
      <c r="B167" s="33" t="s">
        <v>619</v>
      </c>
      <c r="C167" s="33" t="s">
        <v>642</v>
      </c>
      <c r="D167" s="33" t="s">
        <v>621</v>
      </c>
      <c r="E167" s="33" t="s">
        <v>645</v>
      </c>
      <c r="F167" s="34">
        <v>5</v>
      </c>
    </row>
    <row r="168" spans="1:6" x14ac:dyDescent="0.25">
      <c r="A168" s="34">
        <v>6</v>
      </c>
      <c r="B168" s="33" t="s">
        <v>619</v>
      </c>
      <c r="C168" s="33" t="s">
        <v>642</v>
      </c>
      <c r="D168" s="33" t="s">
        <v>621</v>
      </c>
      <c r="E168" s="33" t="s">
        <v>646</v>
      </c>
      <c r="F168" s="34">
        <v>5</v>
      </c>
    </row>
    <row r="169" spans="1:6" x14ac:dyDescent="0.25">
      <c r="A169" s="34">
        <v>6</v>
      </c>
      <c r="B169" s="33" t="s">
        <v>619</v>
      </c>
      <c r="C169" s="33" t="s">
        <v>642</v>
      </c>
      <c r="D169" s="33" t="s">
        <v>621</v>
      </c>
      <c r="E169" s="33" t="s">
        <v>647</v>
      </c>
      <c r="F169" s="34">
        <v>5</v>
      </c>
    </row>
    <row r="170" spans="1:6" x14ac:dyDescent="0.25">
      <c r="A170" s="34">
        <v>6</v>
      </c>
      <c r="B170" s="33" t="s">
        <v>619</v>
      </c>
      <c r="C170" s="33" t="s">
        <v>642</v>
      </c>
      <c r="D170" s="33" t="s">
        <v>621</v>
      </c>
      <c r="E170" s="33" t="s">
        <v>648</v>
      </c>
      <c r="F170" s="34">
        <v>5</v>
      </c>
    </row>
    <row r="171" spans="1:6" x14ac:dyDescent="0.25">
      <c r="A171" s="34">
        <v>6</v>
      </c>
      <c r="B171" s="33" t="s">
        <v>619</v>
      </c>
      <c r="C171" s="33" t="s">
        <v>642</v>
      </c>
      <c r="D171" s="33" t="s">
        <v>621</v>
      </c>
      <c r="E171" s="33" t="s">
        <v>649</v>
      </c>
      <c r="F171" s="34">
        <v>50</v>
      </c>
    </row>
    <row r="172" spans="1:6" x14ac:dyDescent="0.25">
      <c r="A172" s="34">
        <v>6</v>
      </c>
      <c r="B172" s="33" t="s">
        <v>619</v>
      </c>
      <c r="C172" s="33" t="s">
        <v>642</v>
      </c>
      <c r="D172" s="33" t="s">
        <v>630</v>
      </c>
      <c r="E172" s="33" t="s">
        <v>650</v>
      </c>
      <c r="F172" s="34">
        <v>72</v>
      </c>
    </row>
    <row r="173" spans="1:6" x14ac:dyDescent="0.25">
      <c r="A173" s="34">
        <v>6</v>
      </c>
      <c r="B173" s="33" t="s">
        <v>619</v>
      </c>
      <c r="C173" s="33" t="s">
        <v>642</v>
      </c>
      <c r="D173" s="33" t="s">
        <v>630</v>
      </c>
      <c r="E173" s="33" t="s">
        <v>651</v>
      </c>
      <c r="F173" s="34">
        <v>65</v>
      </c>
    </row>
    <row r="174" spans="1:6" x14ac:dyDescent="0.25">
      <c r="A174" s="34">
        <v>6</v>
      </c>
      <c r="B174" s="33" t="s">
        <v>619</v>
      </c>
      <c r="C174" s="33" t="s">
        <v>642</v>
      </c>
      <c r="D174" s="33" t="s">
        <v>630</v>
      </c>
      <c r="E174" s="33" t="s">
        <v>652</v>
      </c>
      <c r="F174" s="34">
        <v>72</v>
      </c>
    </row>
    <row r="175" spans="1:6" x14ac:dyDescent="0.25">
      <c r="A175" s="34">
        <v>6</v>
      </c>
      <c r="B175" s="33" t="s">
        <v>619</v>
      </c>
      <c r="C175" s="33" t="s">
        <v>653</v>
      </c>
      <c r="D175" s="33" t="s">
        <v>653</v>
      </c>
      <c r="E175" s="33" t="s">
        <v>654</v>
      </c>
      <c r="F175" s="34">
        <v>68</v>
      </c>
    </row>
    <row r="176" spans="1:6" x14ac:dyDescent="0.25">
      <c r="A176" s="34">
        <v>7</v>
      </c>
      <c r="B176" s="33" t="s">
        <v>619</v>
      </c>
      <c r="C176" s="33" t="s">
        <v>620</v>
      </c>
      <c r="D176" s="33" t="s">
        <v>621</v>
      </c>
      <c r="E176" s="33" t="s">
        <v>622</v>
      </c>
      <c r="F176" s="34">
        <v>1</v>
      </c>
    </row>
    <row r="177" spans="1:6" x14ac:dyDescent="0.25">
      <c r="A177" s="34">
        <v>7</v>
      </c>
      <c r="B177" s="33" t="s">
        <v>619</v>
      </c>
      <c r="C177" s="33" t="s">
        <v>620</v>
      </c>
      <c r="D177" s="33" t="s">
        <v>621</v>
      </c>
      <c r="E177" s="33" t="s">
        <v>623</v>
      </c>
      <c r="F177" s="34">
        <v>1</v>
      </c>
    </row>
    <row r="178" spans="1:6" x14ac:dyDescent="0.25">
      <c r="A178" s="34">
        <v>7</v>
      </c>
      <c r="B178" s="33" t="s">
        <v>619</v>
      </c>
      <c r="C178" s="33" t="s">
        <v>620</v>
      </c>
      <c r="D178" s="33" t="s">
        <v>621</v>
      </c>
      <c r="E178" s="33" t="s">
        <v>624</v>
      </c>
      <c r="F178" s="34">
        <v>0.5</v>
      </c>
    </row>
    <row r="179" spans="1:6" x14ac:dyDescent="0.25">
      <c r="A179" s="34">
        <v>7</v>
      </c>
      <c r="B179" s="33" t="s">
        <v>619</v>
      </c>
      <c r="C179" s="33" t="s">
        <v>620</v>
      </c>
      <c r="D179" s="33" t="s">
        <v>621</v>
      </c>
      <c r="E179" s="33" t="s">
        <v>625</v>
      </c>
      <c r="F179" s="34">
        <v>1</v>
      </c>
    </row>
    <row r="180" spans="1:6" x14ac:dyDescent="0.25">
      <c r="A180" s="34">
        <v>7</v>
      </c>
      <c r="B180" s="33" t="s">
        <v>619</v>
      </c>
      <c r="C180" s="33" t="s">
        <v>620</v>
      </c>
      <c r="D180" s="33" t="s">
        <v>621</v>
      </c>
      <c r="E180" s="33" t="s">
        <v>626</v>
      </c>
      <c r="F180" s="34">
        <v>1</v>
      </c>
    </row>
    <row r="181" spans="1:6" x14ac:dyDescent="0.25">
      <c r="A181" s="34">
        <v>7</v>
      </c>
      <c r="B181" s="33" t="s">
        <v>619</v>
      </c>
      <c r="C181" s="33" t="s">
        <v>620</v>
      </c>
      <c r="D181" s="33" t="s">
        <v>621</v>
      </c>
      <c r="E181" s="33" t="s">
        <v>627</v>
      </c>
      <c r="F181" s="34">
        <v>0</v>
      </c>
    </row>
    <row r="182" spans="1:6" x14ac:dyDescent="0.25">
      <c r="A182" s="34">
        <v>7</v>
      </c>
      <c r="B182" s="33" t="s">
        <v>619</v>
      </c>
      <c r="C182" s="33" t="s">
        <v>620</v>
      </c>
      <c r="D182" s="33" t="s">
        <v>621</v>
      </c>
      <c r="E182" s="33" t="s">
        <v>628</v>
      </c>
      <c r="F182" s="34">
        <v>5</v>
      </c>
    </row>
    <row r="183" spans="1:6" x14ac:dyDescent="0.25">
      <c r="A183" s="34">
        <v>7</v>
      </c>
      <c r="B183" s="33" t="s">
        <v>619</v>
      </c>
      <c r="C183" s="33" t="s">
        <v>620</v>
      </c>
      <c r="D183" s="33" t="s">
        <v>621</v>
      </c>
      <c r="E183" s="33" t="s">
        <v>629</v>
      </c>
      <c r="F183" s="34">
        <v>35</v>
      </c>
    </row>
    <row r="184" spans="1:6" x14ac:dyDescent="0.25">
      <c r="A184" s="34">
        <v>7</v>
      </c>
      <c r="B184" s="33" t="s">
        <v>619</v>
      </c>
      <c r="C184" s="33" t="s">
        <v>620</v>
      </c>
      <c r="D184" s="33" t="s">
        <v>630</v>
      </c>
      <c r="E184" s="33" t="s">
        <v>631</v>
      </c>
      <c r="F184" s="34">
        <v>85</v>
      </c>
    </row>
    <row r="185" spans="1:6" x14ac:dyDescent="0.25">
      <c r="A185" s="34">
        <v>7</v>
      </c>
      <c r="B185" s="33" t="s">
        <v>619</v>
      </c>
      <c r="C185" s="33" t="s">
        <v>620</v>
      </c>
      <c r="D185" s="33" t="s">
        <v>630</v>
      </c>
      <c r="E185" s="33" t="s">
        <v>632</v>
      </c>
      <c r="F185" s="33" t="s">
        <v>462</v>
      </c>
    </row>
    <row r="186" spans="1:6" x14ac:dyDescent="0.25">
      <c r="A186" s="34">
        <v>7</v>
      </c>
      <c r="B186" s="33" t="s">
        <v>619</v>
      </c>
      <c r="C186" s="33" t="s">
        <v>620</v>
      </c>
      <c r="D186" s="33" t="s">
        <v>630</v>
      </c>
      <c r="E186" s="33" t="s">
        <v>633</v>
      </c>
      <c r="F186" s="34">
        <v>85</v>
      </c>
    </row>
    <row r="187" spans="1:6" x14ac:dyDescent="0.25">
      <c r="A187" s="34">
        <v>7</v>
      </c>
      <c r="B187" s="33" t="s">
        <v>619</v>
      </c>
      <c r="C187" s="33" t="s">
        <v>634</v>
      </c>
      <c r="D187" s="33" t="s">
        <v>621</v>
      </c>
      <c r="E187" s="33" t="s">
        <v>635</v>
      </c>
      <c r="F187" s="34">
        <v>1</v>
      </c>
    </row>
    <row r="188" spans="1:6" x14ac:dyDescent="0.25">
      <c r="A188" s="34">
        <v>7</v>
      </c>
      <c r="B188" s="33" t="s">
        <v>619</v>
      </c>
      <c r="C188" s="33" t="s">
        <v>634</v>
      </c>
      <c r="D188" s="33" t="s">
        <v>621</v>
      </c>
      <c r="E188" s="33" t="s">
        <v>636</v>
      </c>
      <c r="F188" s="34">
        <v>1</v>
      </c>
    </row>
    <row r="189" spans="1:6" x14ac:dyDescent="0.25">
      <c r="A189" s="34">
        <v>7</v>
      </c>
      <c r="B189" s="33" t="s">
        <v>619</v>
      </c>
      <c r="C189" s="33" t="s">
        <v>634</v>
      </c>
      <c r="D189" s="33" t="s">
        <v>621</v>
      </c>
      <c r="E189" s="33" t="s">
        <v>637</v>
      </c>
      <c r="F189" s="34">
        <v>5</v>
      </c>
    </row>
    <row r="190" spans="1:6" x14ac:dyDescent="0.25">
      <c r="A190" s="34">
        <v>7</v>
      </c>
      <c r="B190" s="33" t="s">
        <v>619</v>
      </c>
      <c r="C190" s="33" t="s">
        <v>634</v>
      </c>
      <c r="D190" s="33" t="s">
        <v>621</v>
      </c>
      <c r="E190" s="33" t="s">
        <v>638</v>
      </c>
      <c r="F190" s="34">
        <v>38.5</v>
      </c>
    </row>
    <row r="191" spans="1:6" x14ac:dyDescent="0.25">
      <c r="A191" s="34">
        <v>7</v>
      </c>
      <c r="B191" s="33" t="s">
        <v>619</v>
      </c>
      <c r="C191" s="33" t="s">
        <v>634</v>
      </c>
      <c r="D191" s="33" t="s">
        <v>630</v>
      </c>
      <c r="E191" s="33" t="s">
        <v>639</v>
      </c>
      <c r="F191" s="34">
        <v>69</v>
      </c>
    </row>
    <row r="192" spans="1:6" x14ac:dyDescent="0.25">
      <c r="A192" s="34">
        <v>7</v>
      </c>
      <c r="B192" s="33" t="s">
        <v>619</v>
      </c>
      <c r="C192" s="33" t="s">
        <v>634</v>
      </c>
      <c r="D192" s="33" t="s">
        <v>630</v>
      </c>
      <c r="E192" s="33" t="s">
        <v>640</v>
      </c>
      <c r="F192" s="34">
        <v>73</v>
      </c>
    </row>
    <row r="193" spans="1:6" x14ac:dyDescent="0.25">
      <c r="A193" s="34">
        <v>7</v>
      </c>
      <c r="B193" s="33" t="s">
        <v>619</v>
      </c>
      <c r="C193" s="33" t="s">
        <v>634</v>
      </c>
      <c r="D193" s="33" t="s">
        <v>630</v>
      </c>
      <c r="E193" s="33" t="s">
        <v>641</v>
      </c>
      <c r="F193" s="34">
        <v>73</v>
      </c>
    </row>
    <row r="194" spans="1:6" x14ac:dyDescent="0.25">
      <c r="A194" s="34">
        <v>7</v>
      </c>
      <c r="B194" s="33" t="s">
        <v>619</v>
      </c>
      <c r="C194" s="33" t="s">
        <v>642</v>
      </c>
      <c r="D194" s="33" t="s">
        <v>621</v>
      </c>
      <c r="E194" s="33" t="s">
        <v>643</v>
      </c>
      <c r="F194" s="34">
        <v>5</v>
      </c>
    </row>
    <row r="195" spans="1:6" x14ac:dyDescent="0.25">
      <c r="A195" s="34">
        <v>7</v>
      </c>
      <c r="B195" s="33" t="s">
        <v>619</v>
      </c>
      <c r="C195" s="33" t="s">
        <v>642</v>
      </c>
      <c r="D195" s="33" t="s">
        <v>621</v>
      </c>
      <c r="E195" s="33" t="s">
        <v>644</v>
      </c>
      <c r="F195" s="34">
        <v>5</v>
      </c>
    </row>
    <row r="196" spans="1:6" x14ac:dyDescent="0.25">
      <c r="A196" s="34">
        <v>7</v>
      </c>
      <c r="B196" s="33" t="s">
        <v>619</v>
      </c>
      <c r="C196" s="33" t="s">
        <v>642</v>
      </c>
      <c r="D196" s="33" t="s">
        <v>621</v>
      </c>
      <c r="E196" s="33" t="s">
        <v>645</v>
      </c>
      <c r="F196" s="34">
        <v>0</v>
      </c>
    </row>
    <row r="197" spans="1:6" x14ac:dyDescent="0.25">
      <c r="A197" s="34">
        <v>7</v>
      </c>
      <c r="B197" s="33" t="s">
        <v>619</v>
      </c>
      <c r="C197" s="33" t="s">
        <v>642</v>
      </c>
      <c r="D197" s="33" t="s">
        <v>621</v>
      </c>
      <c r="E197" s="33" t="s">
        <v>646</v>
      </c>
      <c r="F197" s="34">
        <v>5</v>
      </c>
    </row>
    <row r="198" spans="1:6" x14ac:dyDescent="0.25">
      <c r="A198" s="34">
        <v>7</v>
      </c>
      <c r="B198" s="33" t="s">
        <v>619</v>
      </c>
      <c r="C198" s="33" t="s">
        <v>642</v>
      </c>
      <c r="D198" s="33" t="s">
        <v>621</v>
      </c>
      <c r="E198" s="33" t="s">
        <v>647</v>
      </c>
      <c r="F198" s="34">
        <v>0</v>
      </c>
    </row>
    <row r="199" spans="1:6" x14ac:dyDescent="0.25">
      <c r="A199" s="34">
        <v>7</v>
      </c>
      <c r="B199" s="33" t="s">
        <v>619</v>
      </c>
      <c r="C199" s="33" t="s">
        <v>642</v>
      </c>
      <c r="D199" s="33" t="s">
        <v>621</v>
      </c>
      <c r="E199" s="33" t="s">
        <v>648</v>
      </c>
      <c r="F199" s="34">
        <v>0</v>
      </c>
    </row>
    <row r="200" spans="1:6" x14ac:dyDescent="0.25">
      <c r="A200" s="34">
        <v>7</v>
      </c>
      <c r="B200" s="33" t="s">
        <v>619</v>
      </c>
      <c r="C200" s="33" t="s">
        <v>642</v>
      </c>
      <c r="D200" s="33" t="s">
        <v>621</v>
      </c>
      <c r="E200" s="33" t="s">
        <v>649</v>
      </c>
      <c r="F200" s="34">
        <v>41</v>
      </c>
    </row>
    <row r="201" spans="1:6" x14ac:dyDescent="0.25">
      <c r="A201" s="34">
        <v>7</v>
      </c>
      <c r="B201" s="33" t="s">
        <v>619</v>
      </c>
      <c r="C201" s="33" t="s">
        <v>642</v>
      </c>
      <c r="D201" s="33" t="s">
        <v>630</v>
      </c>
      <c r="E201" s="33" t="s">
        <v>650</v>
      </c>
      <c r="F201" s="34">
        <v>72</v>
      </c>
    </row>
    <row r="202" spans="1:6" x14ac:dyDescent="0.25">
      <c r="A202" s="34">
        <v>7</v>
      </c>
      <c r="B202" s="33" t="s">
        <v>619</v>
      </c>
      <c r="C202" s="33" t="s">
        <v>642</v>
      </c>
      <c r="D202" s="33" t="s">
        <v>630</v>
      </c>
      <c r="E202" s="33" t="s">
        <v>651</v>
      </c>
      <c r="F202" s="34">
        <v>85</v>
      </c>
    </row>
    <row r="203" spans="1:6" x14ac:dyDescent="0.25">
      <c r="A203" s="34">
        <v>7</v>
      </c>
      <c r="B203" s="33" t="s">
        <v>619</v>
      </c>
      <c r="C203" s="33" t="s">
        <v>642</v>
      </c>
      <c r="D203" s="33" t="s">
        <v>630</v>
      </c>
      <c r="E203" s="33" t="s">
        <v>652</v>
      </c>
      <c r="F203" s="34">
        <v>85</v>
      </c>
    </row>
    <row r="204" spans="1:6" x14ac:dyDescent="0.25">
      <c r="A204" s="34">
        <v>7</v>
      </c>
      <c r="B204" s="33" t="s">
        <v>619</v>
      </c>
      <c r="C204" s="33" t="s">
        <v>653</v>
      </c>
      <c r="D204" s="33" t="s">
        <v>653</v>
      </c>
      <c r="E204" s="33" t="s">
        <v>654</v>
      </c>
      <c r="F204" s="34">
        <v>75</v>
      </c>
    </row>
    <row r="205" spans="1:6" x14ac:dyDescent="0.25">
      <c r="A205" s="34">
        <v>8</v>
      </c>
      <c r="B205" s="33" t="s">
        <v>619</v>
      </c>
      <c r="C205" s="33" t="s">
        <v>620</v>
      </c>
      <c r="D205" s="33" t="s">
        <v>621</v>
      </c>
      <c r="E205" s="33" t="s">
        <v>622</v>
      </c>
      <c r="F205" s="34">
        <v>1</v>
      </c>
    </row>
    <row r="206" spans="1:6" x14ac:dyDescent="0.25">
      <c r="A206" s="34">
        <v>8</v>
      </c>
      <c r="B206" s="33" t="s">
        <v>619</v>
      </c>
      <c r="C206" s="33" t="s">
        <v>620</v>
      </c>
      <c r="D206" s="33" t="s">
        <v>621</v>
      </c>
      <c r="E206" s="33" t="s">
        <v>623</v>
      </c>
      <c r="F206" s="34">
        <v>1</v>
      </c>
    </row>
    <row r="207" spans="1:6" x14ac:dyDescent="0.25">
      <c r="A207" s="34">
        <v>8</v>
      </c>
      <c r="B207" s="33" t="s">
        <v>619</v>
      </c>
      <c r="C207" s="33" t="s">
        <v>620</v>
      </c>
      <c r="D207" s="33" t="s">
        <v>621</v>
      </c>
      <c r="E207" s="33" t="s">
        <v>624</v>
      </c>
      <c r="F207" s="34">
        <v>1</v>
      </c>
    </row>
    <row r="208" spans="1:6" x14ac:dyDescent="0.25">
      <c r="A208" s="34">
        <v>8</v>
      </c>
      <c r="B208" s="33" t="s">
        <v>619</v>
      </c>
      <c r="C208" s="33" t="s">
        <v>620</v>
      </c>
      <c r="D208" s="33" t="s">
        <v>621</v>
      </c>
      <c r="E208" s="33" t="s">
        <v>625</v>
      </c>
      <c r="F208" s="34">
        <v>1</v>
      </c>
    </row>
    <row r="209" spans="1:6" x14ac:dyDescent="0.25">
      <c r="A209" s="34">
        <v>8</v>
      </c>
      <c r="B209" s="33" t="s">
        <v>619</v>
      </c>
      <c r="C209" s="33" t="s">
        <v>620</v>
      </c>
      <c r="D209" s="33" t="s">
        <v>621</v>
      </c>
      <c r="E209" s="33" t="s">
        <v>626</v>
      </c>
      <c r="F209" s="34">
        <v>1</v>
      </c>
    </row>
    <row r="210" spans="1:6" x14ac:dyDescent="0.25">
      <c r="A210" s="34">
        <v>8</v>
      </c>
      <c r="B210" s="33" t="s">
        <v>619</v>
      </c>
      <c r="C210" s="33" t="s">
        <v>620</v>
      </c>
      <c r="D210" s="33" t="s">
        <v>621</v>
      </c>
      <c r="E210" s="33" t="s">
        <v>627</v>
      </c>
      <c r="F210" s="34">
        <v>1</v>
      </c>
    </row>
    <row r="211" spans="1:6" x14ac:dyDescent="0.25">
      <c r="A211" s="34">
        <v>8</v>
      </c>
      <c r="B211" s="33" t="s">
        <v>619</v>
      </c>
      <c r="C211" s="33" t="s">
        <v>620</v>
      </c>
      <c r="D211" s="33" t="s">
        <v>621</v>
      </c>
      <c r="E211" s="33" t="s">
        <v>628</v>
      </c>
      <c r="F211" s="34">
        <v>5</v>
      </c>
    </row>
    <row r="212" spans="1:6" x14ac:dyDescent="0.25">
      <c r="A212" s="34">
        <v>8</v>
      </c>
      <c r="B212" s="33" t="s">
        <v>619</v>
      </c>
      <c r="C212" s="33" t="s">
        <v>620</v>
      </c>
      <c r="D212" s="33" t="s">
        <v>621</v>
      </c>
      <c r="E212" s="33" t="s">
        <v>629</v>
      </c>
      <c r="F212" s="34">
        <v>48</v>
      </c>
    </row>
    <row r="213" spans="1:6" x14ac:dyDescent="0.25">
      <c r="A213" s="34">
        <v>8</v>
      </c>
      <c r="B213" s="33" t="s">
        <v>619</v>
      </c>
      <c r="C213" s="33" t="s">
        <v>620</v>
      </c>
      <c r="D213" s="33" t="s">
        <v>630</v>
      </c>
      <c r="E213" s="33" t="s">
        <v>631</v>
      </c>
      <c r="F213" s="34">
        <v>95</v>
      </c>
    </row>
    <row r="214" spans="1:6" x14ac:dyDescent="0.25">
      <c r="A214" s="34">
        <v>8</v>
      </c>
      <c r="B214" s="33" t="s">
        <v>619</v>
      </c>
      <c r="C214" s="33" t="s">
        <v>620</v>
      </c>
      <c r="D214" s="33" t="s">
        <v>630</v>
      </c>
      <c r="E214" s="33" t="s">
        <v>632</v>
      </c>
      <c r="F214" s="33" t="s">
        <v>462</v>
      </c>
    </row>
    <row r="215" spans="1:6" x14ac:dyDescent="0.25">
      <c r="A215" s="34">
        <v>8</v>
      </c>
      <c r="B215" s="33" t="s">
        <v>619</v>
      </c>
      <c r="C215" s="33" t="s">
        <v>620</v>
      </c>
      <c r="D215" s="33" t="s">
        <v>630</v>
      </c>
      <c r="E215" s="33" t="s">
        <v>633</v>
      </c>
      <c r="F215" s="34">
        <v>95</v>
      </c>
    </row>
    <row r="216" spans="1:6" x14ac:dyDescent="0.25">
      <c r="A216" s="34">
        <v>8</v>
      </c>
      <c r="B216" s="33" t="s">
        <v>619</v>
      </c>
      <c r="C216" s="33" t="s">
        <v>634</v>
      </c>
      <c r="D216" s="33" t="s">
        <v>621</v>
      </c>
      <c r="E216" s="33" t="s">
        <v>635</v>
      </c>
      <c r="F216" s="34">
        <v>1</v>
      </c>
    </row>
    <row r="217" spans="1:6" x14ac:dyDescent="0.25">
      <c r="A217" s="34">
        <v>8</v>
      </c>
      <c r="B217" s="33" t="s">
        <v>619</v>
      </c>
      <c r="C217" s="33" t="s">
        <v>634</v>
      </c>
      <c r="D217" s="33" t="s">
        <v>621</v>
      </c>
      <c r="E217" s="33" t="s">
        <v>636</v>
      </c>
      <c r="F217" s="34">
        <v>1</v>
      </c>
    </row>
    <row r="218" spans="1:6" x14ac:dyDescent="0.25">
      <c r="A218" s="34">
        <v>8</v>
      </c>
      <c r="B218" s="33" t="s">
        <v>619</v>
      </c>
      <c r="C218" s="33" t="s">
        <v>634</v>
      </c>
      <c r="D218" s="33" t="s">
        <v>621</v>
      </c>
      <c r="E218" s="33" t="s">
        <v>637</v>
      </c>
      <c r="F218" s="34">
        <v>5</v>
      </c>
    </row>
    <row r="219" spans="1:6" x14ac:dyDescent="0.25">
      <c r="A219" s="34">
        <v>8</v>
      </c>
      <c r="B219" s="33" t="s">
        <v>619</v>
      </c>
      <c r="C219" s="33" t="s">
        <v>634</v>
      </c>
      <c r="D219" s="33" t="s">
        <v>621</v>
      </c>
      <c r="E219" s="33" t="s">
        <v>638</v>
      </c>
      <c r="F219" s="34">
        <v>50</v>
      </c>
    </row>
    <row r="220" spans="1:6" x14ac:dyDescent="0.25">
      <c r="A220" s="34">
        <v>8</v>
      </c>
      <c r="B220" s="33" t="s">
        <v>619</v>
      </c>
      <c r="C220" s="33" t="s">
        <v>634</v>
      </c>
      <c r="D220" s="33" t="s">
        <v>630</v>
      </c>
      <c r="E220" s="33" t="s">
        <v>639</v>
      </c>
      <c r="F220" s="34">
        <v>92</v>
      </c>
    </row>
    <row r="221" spans="1:6" x14ac:dyDescent="0.25">
      <c r="A221" s="34">
        <v>8</v>
      </c>
      <c r="B221" s="33" t="s">
        <v>619</v>
      </c>
      <c r="C221" s="33" t="s">
        <v>634</v>
      </c>
      <c r="D221" s="33" t="s">
        <v>630</v>
      </c>
      <c r="E221" s="33" t="s">
        <v>640</v>
      </c>
      <c r="F221" s="33" t="s">
        <v>462</v>
      </c>
    </row>
    <row r="222" spans="1:6" x14ac:dyDescent="0.25">
      <c r="A222" s="34">
        <v>8</v>
      </c>
      <c r="B222" s="33" t="s">
        <v>619</v>
      </c>
      <c r="C222" s="33" t="s">
        <v>634</v>
      </c>
      <c r="D222" s="33" t="s">
        <v>630</v>
      </c>
      <c r="E222" s="33" t="s">
        <v>641</v>
      </c>
      <c r="F222" s="34">
        <v>92</v>
      </c>
    </row>
    <row r="223" spans="1:6" x14ac:dyDescent="0.25">
      <c r="A223" s="34">
        <v>8</v>
      </c>
      <c r="B223" s="33" t="s">
        <v>619</v>
      </c>
      <c r="C223" s="33" t="s">
        <v>642</v>
      </c>
      <c r="D223" s="33" t="s">
        <v>621</v>
      </c>
      <c r="E223" s="33" t="s">
        <v>643</v>
      </c>
      <c r="F223" s="34">
        <v>5</v>
      </c>
    </row>
    <row r="224" spans="1:6" x14ac:dyDescent="0.25">
      <c r="A224" s="34">
        <v>8</v>
      </c>
      <c r="B224" s="33" t="s">
        <v>619</v>
      </c>
      <c r="C224" s="33" t="s">
        <v>642</v>
      </c>
      <c r="D224" s="33" t="s">
        <v>621</v>
      </c>
      <c r="E224" s="33" t="s">
        <v>644</v>
      </c>
      <c r="F224" s="34">
        <v>5</v>
      </c>
    </row>
    <row r="225" spans="1:6" x14ac:dyDescent="0.25">
      <c r="A225" s="34">
        <v>8</v>
      </c>
      <c r="B225" s="33" t="s">
        <v>619</v>
      </c>
      <c r="C225" s="33" t="s">
        <v>642</v>
      </c>
      <c r="D225" s="33" t="s">
        <v>621</v>
      </c>
      <c r="E225" s="33" t="s">
        <v>645</v>
      </c>
      <c r="F225" s="34">
        <v>5</v>
      </c>
    </row>
    <row r="226" spans="1:6" x14ac:dyDescent="0.25">
      <c r="A226" s="34">
        <v>8</v>
      </c>
      <c r="B226" s="33" t="s">
        <v>619</v>
      </c>
      <c r="C226" s="33" t="s">
        <v>642</v>
      </c>
      <c r="D226" s="33" t="s">
        <v>621</v>
      </c>
      <c r="E226" s="33" t="s">
        <v>646</v>
      </c>
      <c r="F226" s="34">
        <v>5</v>
      </c>
    </row>
    <row r="227" spans="1:6" x14ac:dyDescent="0.25">
      <c r="A227" s="34">
        <v>8</v>
      </c>
      <c r="B227" s="33" t="s">
        <v>619</v>
      </c>
      <c r="C227" s="33" t="s">
        <v>642</v>
      </c>
      <c r="D227" s="33" t="s">
        <v>621</v>
      </c>
      <c r="E227" s="33" t="s">
        <v>647</v>
      </c>
      <c r="F227" s="34">
        <v>5</v>
      </c>
    </row>
    <row r="228" spans="1:6" x14ac:dyDescent="0.25">
      <c r="A228" s="34">
        <v>8</v>
      </c>
      <c r="B228" s="33" t="s">
        <v>619</v>
      </c>
      <c r="C228" s="33" t="s">
        <v>642</v>
      </c>
      <c r="D228" s="33" t="s">
        <v>621</v>
      </c>
      <c r="E228" s="33" t="s">
        <v>648</v>
      </c>
      <c r="F228" s="34">
        <v>5</v>
      </c>
    </row>
    <row r="229" spans="1:6" x14ac:dyDescent="0.25">
      <c r="A229" s="34">
        <v>8</v>
      </c>
      <c r="B229" s="33" t="s">
        <v>619</v>
      </c>
      <c r="C229" s="33" t="s">
        <v>642</v>
      </c>
      <c r="D229" s="33" t="s">
        <v>621</v>
      </c>
      <c r="E229" s="33" t="s">
        <v>649</v>
      </c>
      <c r="F229" s="34">
        <v>50</v>
      </c>
    </row>
    <row r="230" spans="1:6" x14ac:dyDescent="0.25">
      <c r="A230" s="34">
        <v>8</v>
      </c>
      <c r="B230" s="33" t="s">
        <v>619</v>
      </c>
      <c r="C230" s="33" t="s">
        <v>642</v>
      </c>
      <c r="D230" s="33" t="s">
        <v>630</v>
      </c>
      <c r="E230" s="33" t="s">
        <v>650</v>
      </c>
      <c r="F230" s="34">
        <v>82</v>
      </c>
    </row>
    <row r="231" spans="1:6" x14ac:dyDescent="0.25">
      <c r="A231" s="34">
        <v>8</v>
      </c>
      <c r="B231" s="33" t="s">
        <v>619</v>
      </c>
      <c r="C231" s="33" t="s">
        <v>642</v>
      </c>
      <c r="D231" s="33" t="s">
        <v>630</v>
      </c>
      <c r="E231" s="33" t="s">
        <v>651</v>
      </c>
      <c r="F231" s="34">
        <v>88</v>
      </c>
    </row>
    <row r="232" spans="1:6" x14ac:dyDescent="0.25">
      <c r="A232" s="34">
        <v>8</v>
      </c>
      <c r="B232" s="33" t="s">
        <v>619</v>
      </c>
      <c r="C232" s="33" t="s">
        <v>642</v>
      </c>
      <c r="D232" s="33" t="s">
        <v>630</v>
      </c>
      <c r="E232" s="33" t="s">
        <v>652</v>
      </c>
      <c r="F232" s="34">
        <v>88</v>
      </c>
    </row>
    <row r="233" spans="1:6" x14ac:dyDescent="0.25">
      <c r="A233" s="34">
        <v>8</v>
      </c>
      <c r="B233" s="33" t="s">
        <v>619</v>
      </c>
      <c r="C233" s="33" t="s">
        <v>653</v>
      </c>
      <c r="D233" s="33" t="s">
        <v>653</v>
      </c>
      <c r="E233" s="33" t="s">
        <v>654</v>
      </c>
      <c r="F233" s="34">
        <v>92</v>
      </c>
    </row>
    <row r="234" spans="1:6" x14ac:dyDescent="0.25">
      <c r="A234" s="34">
        <v>9</v>
      </c>
      <c r="B234" s="33" t="s">
        <v>619</v>
      </c>
      <c r="C234" s="33" t="s">
        <v>620</v>
      </c>
      <c r="D234" s="33" t="s">
        <v>621</v>
      </c>
      <c r="E234" s="33" t="s">
        <v>622</v>
      </c>
      <c r="F234" s="34">
        <v>1</v>
      </c>
    </row>
    <row r="235" spans="1:6" x14ac:dyDescent="0.25">
      <c r="A235" s="34">
        <v>9</v>
      </c>
      <c r="B235" s="33" t="s">
        <v>619</v>
      </c>
      <c r="C235" s="33" t="s">
        <v>620</v>
      </c>
      <c r="D235" s="33" t="s">
        <v>621</v>
      </c>
      <c r="E235" s="33" t="s">
        <v>623</v>
      </c>
      <c r="F235" s="34">
        <v>1</v>
      </c>
    </row>
    <row r="236" spans="1:6" x14ac:dyDescent="0.25">
      <c r="A236" s="34">
        <v>9</v>
      </c>
      <c r="B236" s="33" t="s">
        <v>619</v>
      </c>
      <c r="C236" s="33" t="s">
        <v>620</v>
      </c>
      <c r="D236" s="33" t="s">
        <v>621</v>
      </c>
      <c r="E236" s="33" t="s">
        <v>624</v>
      </c>
      <c r="F236" s="34">
        <v>1</v>
      </c>
    </row>
    <row r="237" spans="1:6" x14ac:dyDescent="0.25">
      <c r="A237" s="34">
        <v>9</v>
      </c>
      <c r="B237" s="33" t="s">
        <v>619</v>
      </c>
      <c r="C237" s="33" t="s">
        <v>620</v>
      </c>
      <c r="D237" s="33" t="s">
        <v>621</v>
      </c>
      <c r="E237" s="33" t="s">
        <v>625</v>
      </c>
      <c r="F237" s="34">
        <v>1</v>
      </c>
    </row>
    <row r="238" spans="1:6" x14ac:dyDescent="0.25">
      <c r="A238" s="34">
        <v>9</v>
      </c>
      <c r="B238" s="33" t="s">
        <v>619</v>
      </c>
      <c r="C238" s="33" t="s">
        <v>620</v>
      </c>
      <c r="D238" s="33" t="s">
        <v>621</v>
      </c>
      <c r="E238" s="33" t="s">
        <v>626</v>
      </c>
      <c r="F238" s="34">
        <v>1</v>
      </c>
    </row>
    <row r="239" spans="1:6" x14ac:dyDescent="0.25">
      <c r="A239" s="34">
        <v>9</v>
      </c>
      <c r="B239" s="33" t="s">
        <v>619</v>
      </c>
      <c r="C239" s="33" t="s">
        <v>620</v>
      </c>
      <c r="D239" s="33" t="s">
        <v>621</v>
      </c>
      <c r="E239" s="33" t="s">
        <v>627</v>
      </c>
      <c r="F239" s="34">
        <v>1</v>
      </c>
    </row>
    <row r="240" spans="1:6" x14ac:dyDescent="0.25">
      <c r="A240" s="34">
        <v>9</v>
      </c>
      <c r="B240" s="33" t="s">
        <v>619</v>
      </c>
      <c r="C240" s="33" t="s">
        <v>620</v>
      </c>
      <c r="D240" s="33" t="s">
        <v>621</v>
      </c>
      <c r="E240" s="33" t="s">
        <v>628</v>
      </c>
      <c r="F240" s="34">
        <v>5</v>
      </c>
    </row>
    <row r="241" spans="1:6" x14ac:dyDescent="0.25">
      <c r="A241" s="34">
        <v>9</v>
      </c>
      <c r="B241" s="33" t="s">
        <v>619</v>
      </c>
      <c r="C241" s="33" t="s">
        <v>620</v>
      </c>
      <c r="D241" s="33" t="s">
        <v>621</v>
      </c>
      <c r="E241" s="33" t="s">
        <v>629</v>
      </c>
      <c r="F241" s="34">
        <v>48</v>
      </c>
    </row>
    <row r="242" spans="1:6" x14ac:dyDescent="0.25">
      <c r="A242" s="34">
        <v>9</v>
      </c>
      <c r="B242" s="33" t="s">
        <v>619</v>
      </c>
      <c r="C242" s="33" t="s">
        <v>620</v>
      </c>
      <c r="D242" s="33" t="s">
        <v>630</v>
      </c>
      <c r="E242" s="33" t="s">
        <v>631</v>
      </c>
      <c r="F242" s="34">
        <v>92</v>
      </c>
    </row>
    <row r="243" spans="1:6" x14ac:dyDescent="0.25">
      <c r="A243" s="34">
        <v>9</v>
      </c>
      <c r="B243" s="33" t="s">
        <v>619</v>
      </c>
      <c r="C243" s="33" t="s">
        <v>620</v>
      </c>
      <c r="D243" s="33" t="s">
        <v>630</v>
      </c>
      <c r="E243" s="33" t="s">
        <v>632</v>
      </c>
      <c r="F243" s="33" t="s">
        <v>462</v>
      </c>
    </row>
    <row r="244" spans="1:6" x14ac:dyDescent="0.25">
      <c r="A244" s="34">
        <v>9</v>
      </c>
      <c r="B244" s="33" t="s">
        <v>619</v>
      </c>
      <c r="C244" s="33" t="s">
        <v>620</v>
      </c>
      <c r="D244" s="33" t="s">
        <v>630</v>
      </c>
      <c r="E244" s="33" t="s">
        <v>633</v>
      </c>
      <c r="F244" s="34">
        <v>92</v>
      </c>
    </row>
    <row r="245" spans="1:6" x14ac:dyDescent="0.25">
      <c r="A245" s="34">
        <v>9</v>
      </c>
      <c r="B245" s="33" t="s">
        <v>619</v>
      </c>
      <c r="C245" s="33" t="s">
        <v>634</v>
      </c>
      <c r="D245" s="33" t="s">
        <v>621</v>
      </c>
      <c r="E245" s="33" t="s">
        <v>635</v>
      </c>
      <c r="F245" s="34">
        <v>1</v>
      </c>
    </row>
    <row r="246" spans="1:6" x14ac:dyDescent="0.25">
      <c r="A246" s="34">
        <v>9</v>
      </c>
      <c r="B246" s="33" t="s">
        <v>619</v>
      </c>
      <c r="C246" s="33" t="s">
        <v>634</v>
      </c>
      <c r="D246" s="33" t="s">
        <v>621</v>
      </c>
      <c r="E246" s="33" t="s">
        <v>636</v>
      </c>
      <c r="F246" s="34">
        <v>1</v>
      </c>
    </row>
    <row r="247" spans="1:6" x14ac:dyDescent="0.25">
      <c r="A247" s="34">
        <v>9</v>
      </c>
      <c r="B247" s="33" t="s">
        <v>619</v>
      </c>
      <c r="C247" s="33" t="s">
        <v>634</v>
      </c>
      <c r="D247" s="33" t="s">
        <v>621</v>
      </c>
      <c r="E247" s="33" t="s">
        <v>637</v>
      </c>
      <c r="F247" s="34">
        <v>5</v>
      </c>
    </row>
    <row r="248" spans="1:6" x14ac:dyDescent="0.25">
      <c r="A248" s="34">
        <v>9</v>
      </c>
      <c r="B248" s="33" t="s">
        <v>619</v>
      </c>
      <c r="C248" s="33" t="s">
        <v>634</v>
      </c>
      <c r="D248" s="33" t="s">
        <v>621</v>
      </c>
      <c r="E248" s="33" t="s">
        <v>638</v>
      </c>
      <c r="F248" s="34">
        <v>50</v>
      </c>
    </row>
    <row r="249" spans="1:6" x14ac:dyDescent="0.25">
      <c r="A249" s="34">
        <v>9</v>
      </c>
      <c r="B249" s="33" t="s">
        <v>619</v>
      </c>
      <c r="C249" s="33" t="s">
        <v>634</v>
      </c>
      <c r="D249" s="33" t="s">
        <v>630</v>
      </c>
      <c r="E249" s="33" t="s">
        <v>639</v>
      </c>
      <c r="F249" s="34">
        <v>93</v>
      </c>
    </row>
    <row r="250" spans="1:6" x14ac:dyDescent="0.25">
      <c r="A250" s="34">
        <v>9</v>
      </c>
      <c r="B250" s="33" t="s">
        <v>619</v>
      </c>
      <c r="C250" s="33" t="s">
        <v>634</v>
      </c>
      <c r="D250" s="33" t="s">
        <v>630</v>
      </c>
      <c r="E250" s="33" t="s">
        <v>640</v>
      </c>
      <c r="F250" s="34">
        <v>86</v>
      </c>
    </row>
    <row r="251" spans="1:6" x14ac:dyDescent="0.25">
      <c r="A251" s="34">
        <v>9</v>
      </c>
      <c r="B251" s="33" t="s">
        <v>619</v>
      </c>
      <c r="C251" s="33" t="s">
        <v>634</v>
      </c>
      <c r="D251" s="33" t="s">
        <v>630</v>
      </c>
      <c r="E251" s="33" t="s">
        <v>641</v>
      </c>
      <c r="F251" s="34">
        <v>93</v>
      </c>
    </row>
    <row r="252" spans="1:6" x14ac:dyDescent="0.25">
      <c r="A252" s="34">
        <v>9</v>
      </c>
      <c r="B252" s="33" t="s">
        <v>619</v>
      </c>
      <c r="C252" s="33" t="s">
        <v>642</v>
      </c>
      <c r="D252" s="33" t="s">
        <v>621</v>
      </c>
      <c r="E252" s="33" t="s">
        <v>643</v>
      </c>
      <c r="F252" s="34">
        <v>5</v>
      </c>
    </row>
    <row r="253" spans="1:6" x14ac:dyDescent="0.25">
      <c r="A253" s="34">
        <v>9</v>
      </c>
      <c r="B253" s="33" t="s">
        <v>619</v>
      </c>
      <c r="C253" s="33" t="s">
        <v>642</v>
      </c>
      <c r="D253" s="33" t="s">
        <v>621</v>
      </c>
      <c r="E253" s="33" t="s">
        <v>644</v>
      </c>
      <c r="F253" s="34">
        <v>5</v>
      </c>
    </row>
    <row r="254" spans="1:6" x14ac:dyDescent="0.25">
      <c r="A254" s="34">
        <v>9</v>
      </c>
      <c r="B254" s="33" t="s">
        <v>619</v>
      </c>
      <c r="C254" s="33" t="s">
        <v>642</v>
      </c>
      <c r="D254" s="33" t="s">
        <v>621</v>
      </c>
      <c r="E254" s="33" t="s">
        <v>645</v>
      </c>
      <c r="F254" s="34">
        <v>5</v>
      </c>
    </row>
    <row r="255" spans="1:6" x14ac:dyDescent="0.25">
      <c r="A255" s="34">
        <v>9</v>
      </c>
      <c r="B255" s="33" t="s">
        <v>619</v>
      </c>
      <c r="C255" s="33" t="s">
        <v>642</v>
      </c>
      <c r="D255" s="33" t="s">
        <v>621</v>
      </c>
      <c r="E255" s="33" t="s">
        <v>646</v>
      </c>
      <c r="F255" s="34">
        <v>5</v>
      </c>
    </row>
    <row r="256" spans="1:6" x14ac:dyDescent="0.25">
      <c r="A256" s="34">
        <v>9</v>
      </c>
      <c r="B256" s="33" t="s">
        <v>619</v>
      </c>
      <c r="C256" s="33" t="s">
        <v>642</v>
      </c>
      <c r="D256" s="33" t="s">
        <v>621</v>
      </c>
      <c r="E256" s="33" t="s">
        <v>647</v>
      </c>
      <c r="F256" s="34">
        <v>5</v>
      </c>
    </row>
    <row r="257" spans="1:6" x14ac:dyDescent="0.25">
      <c r="A257" s="34">
        <v>9</v>
      </c>
      <c r="B257" s="33" t="s">
        <v>619</v>
      </c>
      <c r="C257" s="33" t="s">
        <v>642</v>
      </c>
      <c r="D257" s="33" t="s">
        <v>621</v>
      </c>
      <c r="E257" s="33" t="s">
        <v>648</v>
      </c>
      <c r="F257" s="34">
        <v>5</v>
      </c>
    </row>
    <row r="258" spans="1:6" x14ac:dyDescent="0.25">
      <c r="A258" s="34">
        <v>9</v>
      </c>
      <c r="B258" s="33" t="s">
        <v>619</v>
      </c>
      <c r="C258" s="33" t="s">
        <v>642</v>
      </c>
      <c r="D258" s="33" t="s">
        <v>621</v>
      </c>
      <c r="E258" s="33" t="s">
        <v>649</v>
      </c>
      <c r="F258" s="34">
        <v>50</v>
      </c>
    </row>
    <row r="259" spans="1:6" x14ac:dyDescent="0.25">
      <c r="A259" s="34">
        <v>9</v>
      </c>
      <c r="B259" s="33" t="s">
        <v>619</v>
      </c>
      <c r="C259" s="33" t="s">
        <v>642</v>
      </c>
      <c r="D259" s="33" t="s">
        <v>630</v>
      </c>
      <c r="E259" s="33" t="s">
        <v>650</v>
      </c>
      <c r="F259" s="34">
        <v>92</v>
      </c>
    </row>
    <row r="260" spans="1:6" x14ac:dyDescent="0.25">
      <c r="A260" s="34">
        <v>9</v>
      </c>
      <c r="B260" s="33" t="s">
        <v>619</v>
      </c>
      <c r="C260" s="33" t="s">
        <v>642</v>
      </c>
      <c r="D260" s="33" t="s">
        <v>630</v>
      </c>
      <c r="E260" s="33" t="s">
        <v>651</v>
      </c>
      <c r="F260" s="34">
        <v>92</v>
      </c>
    </row>
    <row r="261" spans="1:6" x14ac:dyDescent="0.25">
      <c r="A261" s="34">
        <v>9</v>
      </c>
      <c r="B261" s="33" t="s">
        <v>619</v>
      </c>
      <c r="C261" s="33" t="s">
        <v>642</v>
      </c>
      <c r="D261" s="33" t="s">
        <v>630</v>
      </c>
      <c r="E261" s="33" t="s">
        <v>652</v>
      </c>
      <c r="F261" s="34">
        <v>92</v>
      </c>
    </row>
    <row r="262" spans="1:6" x14ac:dyDescent="0.25">
      <c r="A262" s="34">
        <v>9</v>
      </c>
      <c r="B262" s="33" t="s">
        <v>619</v>
      </c>
      <c r="C262" s="33" t="s">
        <v>653</v>
      </c>
      <c r="D262" s="33" t="s">
        <v>653</v>
      </c>
      <c r="E262" s="33" t="s">
        <v>654</v>
      </c>
      <c r="F262" s="34">
        <v>92</v>
      </c>
    </row>
    <row r="263" spans="1:6" x14ac:dyDescent="0.25">
      <c r="A263" s="34">
        <v>10</v>
      </c>
      <c r="B263" s="33" t="s">
        <v>619</v>
      </c>
      <c r="C263" s="33" t="s">
        <v>620</v>
      </c>
      <c r="D263" s="33" t="s">
        <v>621</v>
      </c>
      <c r="E263" s="33" t="s">
        <v>622</v>
      </c>
      <c r="F263" s="34">
        <v>1</v>
      </c>
    </row>
    <row r="264" spans="1:6" x14ac:dyDescent="0.25">
      <c r="A264" s="34">
        <v>10</v>
      </c>
      <c r="B264" s="33" t="s">
        <v>619</v>
      </c>
      <c r="C264" s="33" t="s">
        <v>620</v>
      </c>
      <c r="D264" s="33" t="s">
        <v>621</v>
      </c>
      <c r="E264" s="33" t="s">
        <v>623</v>
      </c>
      <c r="F264" s="34">
        <v>1</v>
      </c>
    </row>
    <row r="265" spans="1:6" x14ac:dyDescent="0.25">
      <c r="A265" s="34">
        <v>10</v>
      </c>
      <c r="B265" s="33" t="s">
        <v>619</v>
      </c>
      <c r="C265" s="33" t="s">
        <v>620</v>
      </c>
      <c r="D265" s="33" t="s">
        <v>621</v>
      </c>
      <c r="E265" s="33" t="s">
        <v>624</v>
      </c>
      <c r="F265" s="34">
        <v>1</v>
      </c>
    </row>
    <row r="266" spans="1:6" x14ac:dyDescent="0.25">
      <c r="A266" s="34">
        <v>10</v>
      </c>
      <c r="B266" s="33" t="s">
        <v>619</v>
      </c>
      <c r="C266" s="33" t="s">
        <v>620</v>
      </c>
      <c r="D266" s="33" t="s">
        <v>621</v>
      </c>
      <c r="E266" s="33" t="s">
        <v>625</v>
      </c>
      <c r="F266" s="34">
        <v>1</v>
      </c>
    </row>
    <row r="267" spans="1:6" x14ac:dyDescent="0.25">
      <c r="A267" s="34">
        <v>10</v>
      </c>
      <c r="B267" s="33" t="s">
        <v>619</v>
      </c>
      <c r="C267" s="33" t="s">
        <v>620</v>
      </c>
      <c r="D267" s="33" t="s">
        <v>621</v>
      </c>
      <c r="E267" s="33" t="s">
        <v>626</v>
      </c>
      <c r="F267" s="34">
        <v>1</v>
      </c>
    </row>
    <row r="268" spans="1:6" x14ac:dyDescent="0.25">
      <c r="A268" s="34">
        <v>10</v>
      </c>
      <c r="B268" s="33" t="s">
        <v>619</v>
      </c>
      <c r="C268" s="33" t="s">
        <v>620</v>
      </c>
      <c r="D268" s="33" t="s">
        <v>621</v>
      </c>
      <c r="E268" s="33" t="s">
        <v>627</v>
      </c>
      <c r="F268" s="34">
        <v>1</v>
      </c>
    </row>
    <row r="269" spans="1:6" x14ac:dyDescent="0.25">
      <c r="A269" s="34">
        <v>10</v>
      </c>
      <c r="B269" s="33" t="s">
        <v>619</v>
      </c>
      <c r="C269" s="33" t="s">
        <v>620</v>
      </c>
      <c r="D269" s="33" t="s">
        <v>621</v>
      </c>
      <c r="E269" s="33" t="s">
        <v>628</v>
      </c>
      <c r="F269" s="34">
        <v>5</v>
      </c>
    </row>
    <row r="270" spans="1:6" x14ac:dyDescent="0.25">
      <c r="A270" s="34">
        <v>10</v>
      </c>
      <c r="B270" s="33" t="s">
        <v>619</v>
      </c>
      <c r="C270" s="33" t="s">
        <v>620</v>
      </c>
      <c r="D270" s="33" t="s">
        <v>621</v>
      </c>
      <c r="E270" s="33" t="s">
        <v>629</v>
      </c>
      <c r="F270" s="34">
        <v>47</v>
      </c>
    </row>
    <row r="271" spans="1:6" x14ac:dyDescent="0.25">
      <c r="A271" s="34">
        <v>10</v>
      </c>
      <c r="B271" s="33" t="s">
        <v>619</v>
      </c>
      <c r="C271" s="33" t="s">
        <v>620</v>
      </c>
      <c r="D271" s="33" t="s">
        <v>630</v>
      </c>
      <c r="E271" s="33" t="s">
        <v>631</v>
      </c>
      <c r="F271" s="34">
        <v>100</v>
      </c>
    </row>
    <row r="272" spans="1:6" x14ac:dyDescent="0.25">
      <c r="A272" s="34">
        <v>10</v>
      </c>
      <c r="B272" s="33" t="s">
        <v>619</v>
      </c>
      <c r="C272" s="33" t="s">
        <v>620</v>
      </c>
      <c r="D272" s="33" t="s">
        <v>630</v>
      </c>
      <c r="E272" s="33" t="s">
        <v>632</v>
      </c>
      <c r="F272" s="33" t="s">
        <v>462</v>
      </c>
    </row>
    <row r="273" spans="1:6" x14ac:dyDescent="0.25">
      <c r="A273" s="34">
        <v>10</v>
      </c>
      <c r="B273" s="33" t="s">
        <v>619</v>
      </c>
      <c r="C273" s="33" t="s">
        <v>620</v>
      </c>
      <c r="D273" s="33" t="s">
        <v>630</v>
      </c>
      <c r="E273" s="33" t="s">
        <v>633</v>
      </c>
      <c r="F273" s="34">
        <v>100</v>
      </c>
    </row>
    <row r="274" spans="1:6" x14ac:dyDescent="0.25">
      <c r="A274" s="34">
        <v>10</v>
      </c>
      <c r="B274" s="33" t="s">
        <v>619</v>
      </c>
      <c r="C274" s="33" t="s">
        <v>634</v>
      </c>
      <c r="D274" s="33" t="s">
        <v>621</v>
      </c>
      <c r="E274" s="33" t="s">
        <v>635</v>
      </c>
      <c r="F274" s="34">
        <v>1</v>
      </c>
    </row>
    <row r="275" spans="1:6" x14ac:dyDescent="0.25">
      <c r="A275" s="34">
        <v>10</v>
      </c>
      <c r="B275" s="33" t="s">
        <v>619</v>
      </c>
      <c r="C275" s="33" t="s">
        <v>634</v>
      </c>
      <c r="D275" s="33" t="s">
        <v>621</v>
      </c>
      <c r="E275" s="33" t="s">
        <v>636</v>
      </c>
      <c r="F275" s="34">
        <v>1</v>
      </c>
    </row>
    <row r="276" spans="1:6" x14ac:dyDescent="0.25">
      <c r="A276" s="34">
        <v>10</v>
      </c>
      <c r="B276" s="33" t="s">
        <v>619</v>
      </c>
      <c r="C276" s="33" t="s">
        <v>634</v>
      </c>
      <c r="D276" s="33" t="s">
        <v>621</v>
      </c>
      <c r="E276" s="33" t="s">
        <v>637</v>
      </c>
      <c r="F276" s="34">
        <v>5</v>
      </c>
    </row>
    <row r="277" spans="1:6" x14ac:dyDescent="0.25">
      <c r="A277" s="34">
        <v>10</v>
      </c>
      <c r="B277" s="33" t="s">
        <v>619</v>
      </c>
      <c r="C277" s="33" t="s">
        <v>634</v>
      </c>
      <c r="D277" s="33" t="s">
        <v>621</v>
      </c>
      <c r="E277" s="33" t="s">
        <v>638</v>
      </c>
      <c r="F277" s="34">
        <v>50</v>
      </c>
    </row>
    <row r="278" spans="1:6" x14ac:dyDescent="0.25">
      <c r="A278" s="34">
        <v>10</v>
      </c>
      <c r="B278" s="33" t="s">
        <v>619</v>
      </c>
      <c r="C278" s="33" t="s">
        <v>634</v>
      </c>
      <c r="D278" s="33" t="s">
        <v>630</v>
      </c>
      <c r="E278" s="33" t="s">
        <v>639</v>
      </c>
      <c r="F278" s="34">
        <v>86</v>
      </c>
    </row>
    <row r="279" spans="1:6" x14ac:dyDescent="0.25">
      <c r="A279" s="34">
        <v>10</v>
      </c>
      <c r="B279" s="33" t="s">
        <v>619</v>
      </c>
      <c r="C279" s="33" t="s">
        <v>634</v>
      </c>
      <c r="D279" s="33" t="s">
        <v>630</v>
      </c>
      <c r="E279" s="33" t="s">
        <v>640</v>
      </c>
      <c r="F279" s="33" t="s">
        <v>462</v>
      </c>
    </row>
    <row r="280" spans="1:6" x14ac:dyDescent="0.25">
      <c r="A280" s="34">
        <v>10</v>
      </c>
      <c r="B280" s="33" t="s">
        <v>619</v>
      </c>
      <c r="C280" s="33" t="s">
        <v>634</v>
      </c>
      <c r="D280" s="33" t="s">
        <v>630</v>
      </c>
      <c r="E280" s="33" t="s">
        <v>641</v>
      </c>
      <c r="F280" s="34">
        <v>86</v>
      </c>
    </row>
    <row r="281" spans="1:6" x14ac:dyDescent="0.25">
      <c r="A281" s="34">
        <v>10</v>
      </c>
      <c r="B281" s="33" t="s">
        <v>619</v>
      </c>
      <c r="C281" s="33" t="s">
        <v>642</v>
      </c>
      <c r="D281" s="33" t="s">
        <v>621</v>
      </c>
      <c r="E281" s="33" t="s">
        <v>643</v>
      </c>
      <c r="F281" s="34">
        <v>5</v>
      </c>
    </row>
    <row r="282" spans="1:6" x14ac:dyDescent="0.25">
      <c r="A282" s="34">
        <v>10</v>
      </c>
      <c r="B282" s="33" t="s">
        <v>619</v>
      </c>
      <c r="C282" s="33" t="s">
        <v>642</v>
      </c>
      <c r="D282" s="33" t="s">
        <v>621</v>
      </c>
      <c r="E282" s="33" t="s">
        <v>644</v>
      </c>
      <c r="F282" s="34">
        <v>5</v>
      </c>
    </row>
    <row r="283" spans="1:6" x14ac:dyDescent="0.25">
      <c r="A283" s="34">
        <v>10</v>
      </c>
      <c r="B283" s="33" t="s">
        <v>619</v>
      </c>
      <c r="C283" s="33" t="s">
        <v>642</v>
      </c>
      <c r="D283" s="33" t="s">
        <v>621</v>
      </c>
      <c r="E283" s="33" t="s">
        <v>645</v>
      </c>
      <c r="F283" s="34">
        <v>5</v>
      </c>
    </row>
    <row r="284" spans="1:6" x14ac:dyDescent="0.25">
      <c r="A284" s="34">
        <v>10</v>
      </c>
      <c r="B284" s="33" t="s">
        <v>619</v>
      </c>
      <c r="C284" s="33" t="s">
        <v>642</v>
      </c>
      <c r="D284" s="33" t="s">
        <v>621</v>
      </c>
      <c r="E284" s="33" t="s">
        <v>646</v>
      </c>
      <c r="F284" s="34">
        <v>5</v>
      </c>
    </row>
    <row r="285" spans="1:6" x14ac:dyDescent="0.25">
      <c r="A285" s="34">
        <v>10</v>
      </c>
      <c r="B285" s="33" t="s">
        <v>619</v>
      </c>
      <c r="C285" s="33" t="s">
        <v>642</v>
      </c>
      <c r="D285" s="33" t="s">
        <v>621</v>
      </c>
      <c r="E285" s="33" t="s">
        <v>647</v>
      </c>
      <c r="F285" s="34">
        <v>5</v>
      </c>
    </row>
    <row r="286" spans="1:6" x14ac:dyDescent="0.25">
      <c r="A286" s="34">
        <v>10</v>
      </c>
      <c r="B286" s="33" t="s">
        <v>619</v>
      </c>
      <c r="C286" s="33" t="s">
        <v>642</v>
      </c>
      <c r="D286" s="33" t="s">
        <v>621</v>
      </c>
      <c r="E286" s="33" t="s">
        <v>648</v>
      </c>
      <c r="F286" s="34">
        <v>5</v>
      </c>
    </row>
    <row r="287" spans="1:6" x14ac:dyDescent="0.25">
      <c r="A287" s="34">
        <v>10</v>
      </c>
      <c r="B287" s="33" t="s">
        <v>619</v>
      </c>
      <c r="C287" s="33" t="s">
        <v>642</v>
      </c>
      <c r="D287" s="33" t="s">
        <v>621</v>
      </c>
      <c r="E287" s="33" t="s">
        <v>649</v>
      </c>
      <c r="F287" s="34">
        <v>50</v>
      </c>
    </row>
    <row r="288" spans="1:6" x14ac:dyDescent="0.25">
      <c r="A288" s="34">
        <v>10</v>
      </c>
      <c r="B288" s="33" t="s">
        <v>619</v>
      </c>
      <c r="C288" s="33" t="s">
        <v>642</v>
      </c>
      <c r="D288" s="33" t="s">
        <v>630</v>
      </c>
      <c r="E288" s="33" t="s">
        <v>650</v>
      </c>
      <c r="F288" s="34">
        <v>95</v>
      </c>
    </row>
    <row r="289" spans="1:6" x14ac:dyDescent="0.25">
      <c r="A289" s="34">
        <v>10</v>
      </c>
      <c r="B289" s="33" t="s">
        <v>619</v>
      </c>
      <c r="C289" s="33" t="s">
        <v>642</v>
      </c>
      <c r="D289" s="33" t="s">
        <v>630</v>
      </c>
      <c r="E289" s="33" t="s">
        <v>651</v>
      </c>
      <c r="F289" s="33" t="s">
        <v>462</v>
      </c>
    </row>
    <row r="290" spans="1:6" x14ac:dyDescent="0.25">
      <c r="A290" s="34">
        <v>10</v>
      </c>
      <c r="B290" s="33" t="s">
        <v>619</v>
      </c>
      <c r="C290" s="33" t="s">
        <v>642</v>
      </c>
      <c r="D290" s="33" t="s">
        <v>630</v>
      </c>
      <c r="E290" s="33" t="s">
        <v>652</v>
      </c>
      <c r="F290" s="34">
        <v>95</v>
      </c>
    </row>
    <row r="291" spans="1:6" x14ac:dyDescent="0.25">
      <c r="A291" s="34">
        <v>10</v>
      </c>
      <c r="B291" s="33" t="s">
        <v>619</v>
      </c>
      <c r="C291" s="33" t="s">
        <v>653</v>
      </c>
      <c r="D291" s="33" t="s">
        <v>653</v>
      </c>
      <c r="E291" s="33" t="s">
        <v>654</v>
      </c>
      <c r="F291" s="34">
        <v>92</v>
      </c>
    </row>
    <row r="292" spans="1:6" x14ac:dyDescent="0.25">
      <c r="A292" s="34">
        <v>11</v>
      </c>
      <c r="B292" s="33" t="s">
        <v>619</v>
      </c>
      <c r="C292" s="33" t="s">
        <v>620</v>
      </c>
      <c r="D292" s="33" t="s">
        <v>621</v>
      </c>
      <c r="E292" s="33" t="s">
        <v>622</v>
      </c>
      <c r="F292" s="34">
        <v>0</v>
      </c>
    </row>
    <row r="293" spans="1:6" x14ac:dyDescent="0.25">
      <c r="A293" s="34">
        <v>11</v>
      </c>
      <c r="B293" s="33" t="s">
        <v>619</v>
      </c>
      <c r="C293" s="33" t="s">
        <v>620</v>
      </c>
      <c r="D293" s="33" t="s">
        <v>621</v>
      </c>
      <c r="E293" s="33" t="s">
        <v>623</v>
      </c>
      <c r="F293" s="34">
        <v>0</v>
      </c>
    </row>
    <row r="294" spans="1:6" x14ac:dyDescent="0.25">
      <c r="A294" s="34">
        <v>11</v>
      </c>
      <c r="B294" s="33" t="s">
        <v>619</v>
      </c>
      <c r="C294" s="33" t="s">
        <v>620</v>
      </c>
      <c r="D294" s="33" t="s">
        <v>621</v>
      </c>
      <c r="E294" s="33" t="s">
        <v>624</v>
      </c>
      <c r="F294" s="34">
        <v>0</v>
      </c>
    </row>
    <row r="295" spans="1:6" x14ac:dyDescent="0.25">
      <c r="A295" s="34">
        <v>11</v>
      </c>
      <c r="B295" s="33" t="s">
        <v>619</v>
      </c>
      <c r="C295" s="33" t="s">
        <v>620</v>
      </c>
      <c r="D295" s="33" t="s">
        <v>621</v>
      </c>
      <c r="E295" s="33" t="s">
        <v>625</v>
      </c>
      <c r="F295" s="34">
        <v>0</v>
      </c>
    </row>
    <row r="296" spans="1:6" x14ac:dyDescent="0.25">
      <c r="A296" s="34">
        <v>11</v>
      </c>
      <c r="B296" s="33" t="s">
        <v>619</v>
      </c>
      <c r="C296" s="33" t="s">
        <v>620</v>
      </c>
      <c r="D296" s="33" t="s">
        <v>621</v>
      </c>
      <c r="E296" s="33" t="s">
        <v>626</v>
      </c>
      <c r="F296" s="34">
        <v>0</v>
      </c>
    </row>
    <row r="297" spans="1:6" x14ac:dyDescent="0.25">
      <c r="A297" s="34">
        <v>11</v>
      </c>
      <c r="B297" s="33" t="s">
        <v>619</v>
      </c>
      <c r="C297" s="33" t="s">
        <v>620</v>
      </c>
      <c r="D297" s="33" t="s">
        <v>621</v>
      </c>
      <c r="E297" s="33" t="s">
        <v>627</v>
      </c>
      <c r="F297" s="34">
        <v>0</v>
      </c>
    </row>
    <row r="298" spans="1:6" x14ac:dyDescent="0.25">
      <c r="A298" s="34">
        <v>11</v>
      </c>
      <c r="B298" s="33" t="s">
        <v>619</v>
      </c>
      <c r="C298" s="33" t="s">
        <v>620</v>
      </c>
      <c r="D298" s="33" t="s">
        <v>621</v>
      </c>
      <c r="E298" s="33" t="s">
        <v>628</v>
      </c>
      <c r="F298" s="34">
        <v>0</v>
      </c>
    </row>
    <row r="299" spans="1:6" x14ac:dyDescent="0.25">
      <c r="A299" s="34">
        <v>11</v>
      </c>
      <c r="B299" s="33" t="s">
        <v>619</v>
      </c>
      <c r="C299" s="33" t="s">
        <v>620</v>
      </c>
      <c r="D299" s="33" t="s">
        <v>621</v>
      </c>
      <c r="E299" s="33" t="s">
        <v>629</v>
      </c>
      <c r="F299" s="34">
        <v>44</v>
      </c>
    </row>
    <row r="300" spans="1:6" x14ac:dyDescent="0.25">
      <c r="A300" s="34">
        <v>11</v>
      </c>
      <c r="B300" s="33" t="s">
        <v>619</v>
      </c>
      <c r="C300" s="33" t="s">
        <v>620</v>
      </c>
      <c r="D300" s="33" t="s">
        <v>630</v>
      </c>
      <c r="E300" s="33" t="s">
        <v>631</v>
      </c>
      <c r="F300" s="34">
        <v>60</v>
      </c>
    </row>
    <row r="301" spans="1:6" x14ac:dyDescent="0.25">
      <c r="A301" s="34">
        <v>11</v>
      </c>
      <c r="B301" s="33" t="s">
        <v>619</v>
      </c>
      <c r="C301" s="33" t="s">
        <v>620</v>
      </c>
      <c r="D301" s="33" t="s">
        <v>630</v>
      </c>
      <c r="E301" s="33" t="s">
        <v>632</v>
      </c>
      <c r="F301" s="33" t="s">
        <v>462</v>
      </c>
    </row>
    <row r="302" spans="1:6" x14ac:dyDescent="0.25">
      <c r="A302" s="34">
        <v>11</v>
      </c>
      <c r="B302" s="33" t="s">
        <v>619</v>
      </c>
      <c r="C302" s="33" t="s">
        <v>620</v>
      </c>
      <c r="D302" s="33" t="s">
        <v>630</v>
      </c>
      <c r="E302" s="33" t="s">
        <v>633</v>
      </c>
      <c r="F302" s="34">
        <v>60</v>
      </c>
    </row>
    <row r="303" spans="1:6" x14ac:dyDescent="0.25">
      <c r="A303" s="34">
        <v>11</v>
      </c>
      <c r="B303" s="33" t="s">
        <v>619</v>
      </c>
      <c r="C303" s="33" t="s">
        <v>634</v>
      </c>
      <c r="D303" s="33" t="s">
        <v>621</v>
      </c>
      <c r="E303" s="33" t="s">
        <v>635</v>
      </c>
      <c r="F303" s="34">
        <v>0</v>
      </c>
    </row>
    <row r="304" spans="1:6" x14ac:dyDescent="0.25">
      <c r="A304" s="34">
        <v>11</v>
      </c>
      <c r="B304" s="33" t="s">
        <v>619</v>
      </c>
      <c r="C304" s="33" t="s">
        <v>634</v>
      </c>
      <c r="D304" s="33" t="s">
        <v>621</v>
      </c>
      <c r="E304" s="33" t="s">
        <v>636</v>
      </c>
      <c r="F304" s="34">
        <v>0</v>
      </c>
    </row>
    <row r="305" spans="1:6" x14ac:dyDescent="0.25">
      <c r="A305" s="34">
        <v>11</v>
      </c>
      <c r="B305" s="33" t="s">
        <v>619</v>
      </c>
      <c r="C305" s="33" t="s">
        <v>634</v>
      </c>
      <c r="D305" s="33" t="s">
        <v>621</v>
      </c>
      <c r="E305" s="33" t="s">
        <v>637</v>
      </c>
      <c r="F305" s="34">
        <v>4</v>
      </c>
    </row>
    <row r="306" spans="1:6" x14ac:dyDescent="0.25">
      <c r="A306" s="34">
        <v>11</v>
      </c>
      <c r="B306" s="33" t="s">
        <v>619</v>
      </c>
      <c r="C306" s="33" t="s">
        <v>634</v>
      </c>
      <c r="D306" s="33" t="s">
        <v>621</v>
      </c>
      <c r="E306" s="33" t="s">
        <v>638</v>
      </c>
      <c r="F306" s="34">
        <v>31.5</v>
      </c>
    </row>
    <row r="307" spans="1:6" x14ac:dyDescent="0.25">
      <c r="A307" s="34">
        <v>11</v>
      </c>
      <c r="B307" s="33" t="s">
        <v>619</v>
      </c>
      <c r="C307" s="33" t="s">
        <v>634</v>
      </c>
      <c r="D307" s="33" t="s">
        <v>630</v>
      </c>
      <c r="E307" s="33" t="s">
        <v>639</v>
      </c>
      <c r="F307" s="34">
        <v>78</v>
      </c>
    </row>
    <row r="308" spans="1:6" x14ac:dyDescent="0.25">
      <c r="A308" s="34">
        <v>11</v>
      </c>
      <c r="B308" s="33" t="s">
        <v>619</v>
      </c>
      <c r="C308" s="33" t="s">
        <v>634</v>
      </c>
      <c r="D308" s="33" t="s">
        <v>630</v>
      </c>
      <c r="E308" s="33" t="s">
        <v>640</v>
      </c>
      <c r="F308" s="33" t="s">
        <v>462</v>
      </c>
    </row>
    <row r="309" spans="1:6" x14ac:dyDescent="0.25">
      <c r="A309" s="34">
        <v>11</v>
      </c>
      <c r="B309" s="33" t="s">
        <v>619</v>
      </c>
      <c r="C309" s="33" t="s">
        <v>634</v>
      </c>
      <c r="D309" s="33" t="s">
        <v>630</v>
      </c>
      <c r="E309" s="33" t="s">
        <v>641</v>
      </c>
      <c r="F309" s="34">
        <v>78</v>
      </c>
    </row>
    <row r="310" spans="1:6" x14ac:dyDescent="0.25">
      <c r="A310" s="34">
        <v>11</v>
      </c>
      <c r="B310" s="33" t="s">
        <v>619</v>
      </c>
      <c r="C310" s="33" t="s">
        <v>642</v>
      </c>
      <c r="D310" s="33" t="s">
        <v>621</v>
      </c>
      <c r="E310" s="33" t="s">
        <v>643</v>
      </c>
      <c r="F310" s="34">
        <v>0</v>
      </c>
    </row>
    <row r="311" spans="1:6" x14ac:dyDescent="0.25">
      <c r="A311" s="34">
        <v>11</v>
      </c>
      <c r="B311" s="33" t="s">
        <v>619</v>
      </c>
      <c r="C311" s="33" t="s">
        <v>642</v>
      </c>
      <c r="D311" s="33" t="s">
        <v>621</v>
      </c>
      <c r="E311" s="33" t="s">
        <v>644</v>
      </c>
      <c r="F311" s="34">
        <v>0</v>
      </c>
    </row>
    <row r="312" spans="1:6" x14ac:dyDescent="0.25">
      <c r="A312" s="34">
        <v>11</v>
      </c>
      <c r="B312" s="33" t="s">
        <v>619</v>
      </c>
      <c r="C312" s="33" t="s">
        <v>642</v>
      </c>
      <c r="D312" s="33" t="s">
        <v>621</v>
      </c>
      <c r="E312" s="33" t="s">
        <v>645</v>
      </c>
      <c r="F312" s="34">
        <v>0</v>
      </c>
    </row>
    <row r="313" spans="1:6" x14ac:dyDescent="0.25">
      <c r="A313" s="34">
        <v>11</v>
      </c>
      <c r="B313" s="33" t="s">
        <v>619</v>
      </c>
      <c r="C313" s="33" t="s">
        <v>642</v>
      </c>
      <c r="D313" s="33" t="s">
        <v>621</v>
      </c>
      <c r="E313" s="33" t="s">
        <v>646</v>
      </c>
      <c r="F313" s="34">
        <v>0</v>
      </c>
    </row>
    <row r="314" spans="1:6" x14ac:dyDescent="0.25">
      <c r="A314" s="34">
        <v>11</v>
      </c>
      <c r="B314" s="33" t="s">
        <v>619</v>
      </c>
      <c r="C314" s="33" t="s">
        <v>642</v>
      </c>
      <c r="D314" s="33" t="s">
        <v>621</v>
      </c>
      <c r="E314" s="33" t="s">
        <v>647</v>
      </c>
      <c r="F314" s="34">
        <v>0</v>
      </c>
    </row>
    <row r="315" spans="1:6" x14ac:dyDescent="0.25">
      <c r="A315" s="34">
        <v>11</v>
      </c>
      <c r="B315" s="33" t="s">
        <v>619</v>
      </c>
      <c r="C315" s="33" t="s">
        <v>642</v>
      </c>
      <c r="D315" s="33" t="s">
        <v>621</v>
      </c>
      <c r="E315" s="33" t="s">
        <v>648</v>
      </c>
      <c r="F315" s="34">
        <v>0</v>
      </c>
    </row>
    <row r="316" spans="1:6" x14ac:dyDescent="0.25">
      <c r="A316" s="34">
        <v>11</v>
      </c>
      <c r="B316" s="33" t="s">
        <v>619</v>
      </c>
      <c r="C316" s="33" t="s">
        <v>642</v>
      </c>
      <c r="D316" s="33" t="s">
        <v>621</v>
      </c>
      <c r="E316" s="33" t="s">
        <v>649</v>
      </c>
      <c r="F316" s="34">
        <v>12</v>
      </c>
    </row>
    <row r="317" spans="1:6" x14ac:dyDescent="0.25">
      <c r="A317" s="34">
        <v>11</v>
      </c>
      <c r="B317" s="33" t="s">
        <v>619</v>
      </c>
      <c r="C317" s="33" t="s">
        <v>642</v>
      </c>
      <c r="D317" s="33" t="s">
        <v>630</v>
      </c>
      <c r="E317" s="33" t="s">
        <v>650</v>
      </c>
      <c r="F317" s="34">
        <v>30</v>
      </c>
    </row>
    <row r="318" spans="1:6" x14ac:dyDescent="0.25">
      <c r="A318" s="34">
        <v>11</v>
      </c>
      <c r="B318" s="33" t="s">
        <v>619</v>
      </c>
      <c r="C318" s="33" t="s">
        <v>642</v>
      </c>
      <c r="D318" s="33" t="s">
        <v>630</v>
      </c>
      <c r="E318" s="33" t="s">
        <v>651</v>
      </c>
      <c r="F318" s="33" t="s">
        <v>462</v>
      </c>
    </row>
    <row r="319" spans="1:6" x14ac:dyDescent="0.25">
      <c r="A319" s="34">
        <v>11</v>
      </c>
      <c r="B319" s="33" t="s">
        <v>619</v>
      </c>
      <c r="C319" s="33" t="s">
        <v>642</v>
      </c>
      <c r="D319" s="33" t="s">
        <v>630</v>
      </c>
      <c r="E319" s="33" t="s">
        <v>652</v>
      </c>
      <c r="F319" s="34">
        <v>30</v>
      </c>
    </row>
    <row r="320" spans="1:6" x14ac:dyDescent="0.25">
      <c r="A320" s="34">
        <v>11</v>
      </c>
      <c r="B320" s="33" t="s">
        <v>619</v>
      </c>
      <c r="C320" s="33" t="s">
        <v>653</v>
      </c>
      <c r="D320" s="33" t="s">
        <v>653</v>
      </c>
      <c r="E320" s="33" t="s">
        <v>654</v>
      </c>
      <c r="F320" s="33" t="s">
        <v>150</v>
      </c>
    </row>
    <row r="321" spans="1:6" x14ac:dyDescent="0.25">
      <c r="A321" s="34">
        <v>12</v>
      </c>
      <c r="B321" s="33" t="s">
        <v>619</v>
      </c>
      <c r="C321" s="33" t="s">
        <v>620</v>
      </c>
      <c r="D321" s="33" t="s">
        <v>621</v>
      </c>
      <c r="E321" s="33" t="s">
        <v>622</v>
      </c>
      <c r="F321" s="34">
        <v>1</v>
      </c>
    </row>
    <row r="322" spans="1:6" x14ac:dyDescent="0.25">
      <c r="A322" s="34">
        <v>12</v>
      </c>
      <c r="B322" s="33" t="s">
        <v>619</v>
      </c>
      <c r="C322" s="33" t="s">
        <v>620</v>
      </c>
      <c r="D322" s="33" t="s">
        <v>621</v>
      </c>
      <c r="E322" s="33" t="s">
        <v>623</v>
      </c>
      <c r="F322" s="34">
        <v>1</v>
      </c>
    </row>
    <row r="323" spans="1:6" x14ac:dyDescent="0.25">
      <c r="A323" s="34">
        <v>12</v>
      </c>
      <c r="B323" s="33" t="s">
        <v>619</v>
      </c>
      <c r="C323" s="33" t="s">
        <v>620</v>
      </c>
      <c r="D323" s="33" t="s">
        <v>621</v>
      </c>
      <c r="E323" s="33" t="s">
        <v>624</v>
      </c>
      <c r="F323" s="34">
        <v>1</v>
      </c>
    </row>
    <row r="324" spans="1:6" x14ac:dyDescent="0.25">
      <c r="A324" s="34">
        <v>12</v>
      </c>
      <c r="B324" s="33" t="s">
        <v>619</v>
      </c>
      <c r="C324" s="33" t="s">
        <v>620</v>
      </c>
      <c r="D324" s="33" t="s">
        <v>621</v>
      </c>
      <c r="E324" s="33" t="s">
        <v>625</v>
      </c>
      <c r="F324" s="34">
        <v>1</v>
      </c>
    </row>
    <row r="325" spans="1:6" x14ac:dyDescent="0.25">
      <c r="A325" s="34">
        <v>12</v>
      </c>
      <c r="B325" s="33" t="s">
        <v>619</v>
      </c>
      <c r="C325" s="33" t="s">
        <v>620</v>
      </c>
      <c r="D325" s="33" t="s">
        <v>621</v>
      </c>
      <c r="E325" s="33" t="s">
        <v>626</v>
      </c>
      <c r="F325" s="34">
        <v>0</v>
      </c>
    </row>
    <row r="326" spans="1:6" x14ac:dyDescent="0.25">
      <c r="A326" s="34">
        <v>12</v>
      </c>
      <c r="B326" s="33" t="s">
        <v>619</v>
      </c>
      <c r="C326" s="33" t="s">
        <v>620</v>
      </c>
      <c r="D326" s="33" t="s">
        <v>621</v>
      </c>
      <c r="E326" s="33" t="s">
        <v>627</v>
      </c>
      <c r="F326" s="34">
        <v>0</v>
      </c>
    </row>
    <row r="327" spans="1:6" x14ac:dyDescent="0.25">
      <c r="A327" s="34">
        <v>12</v>
      </c>
      <c r="B327" s="33" t="s">
        <v>619</v>
      </c>
      <c r="C327" s="33" t="s">
        <v>620</v>
      </c>
      <c r="D327" s="33" t="s">
        <v>621</v>
      </c>
      <c r="E327" s="33" t="s">
        <v>628</v>
      </c>
      <c r="F327" s="34">
        <v>5</v>
      </c>
    </row>
    <row r="328" spans="1:6" x14ac:dyDescent="0.25">
      <c r="A328" s="34">
        <v>12</v>
      </c>
      <c r="B328" s="33" t="s">
        <v>619</v>
      </c>
      <c r="C328" s="33" t="s">
        <v>620</v>
      </c>
      <c r="D328" s="33" t="s">
        <v>621</v>
      </c>
      <c r="E328" s="33" t="s">
        <v>629</v>
      </c>
      <c r="F328" s="34">
        <v>48</v>
      </c>
    </row>
    <row r="329" spans="1:6" x14ac:dyDescent="0.25">
      <c r="A329" s="34">
        <v>12</v>
      </c>
      <c r="B329" s="33" t="s">
        <v>619</v>
      </c>
      <c r="C329" s="33" t="s">
        <v>620</v>
      </c>
      <c r="D329" s="33" t="s">
        <v>630</v>
      </c>
      <c r="E329" s="33" t="s">
        <v>631</v>
      </c>
      <c r="F329" s="34">
        <v>68</v>
      </c>
    </row>
    <row r="330" spans="1:6" x14ac:dyDescent="0.25">
      <c r="A330" s="34">
        <v>12</v>
      </c>
      <c r="B330" s="33" t="s">
        <v>619</v>
      </c>
      <c r="C330" s="33" t="s">
        <v>620</v>
      </c>
      <c r="D330" s="33" t="s">
        <v>630</v>
      </c>
      <c r="E330" s="33" t="s">
        <v>632</v>
      </c>
      <c r="F330" s="34">
        <v>78</v>
      </c>
    </row>
    <row r="331" spans="1:6" x14ac:dyDescent="0.25">
      <c r="A331" s="34">
        <v>12</v>
      </c>
      <c r="B331" s="33" t="s">
        <v>619</v>
      </c>
      <c r="C331" s="33" t="s">
        <v>620</v>
      </c>
      <c r="D331" s="33" t="s">
        <v>630</v>
      </c>
      <c r="E331" s="33" t="s">
        <v>633</v>
      </c>
      <c r="F331" s="34">
        <v>78</v>
      </c>
    </row>
    <row r="332" spans="1:6" x14ac:dyDescent="0.25">
      <c r="A332" s="34">
        <v>12</v>
      </c>
      <c r="B332" s="33" t="s">
        <v>619</v>
      </c>
      <c r="C332" s="33" t="s">
        <v>634</v>
      </c>
      <c r="D332" s="33" t="s">
        <v>621</v>
      </c>
      <c r="E332" s="33" t="s">
        <v>635</v>
      </c>
      <c r="F332" s="34">
        <v>0</v>
      </c>
    </row>
    <row r="333" spans="1:6" x14ac:dyDescent="0.25">
      <c r="A333" s="34">
        <v>12</v>
      </c>
      <c r="B333" s="33" t="s">
        <v>619</v>
      </c>
      <c r="C333" s="33" t="s">
        <v>634</v>
      </c>
      <c r="D333" s="33" t="s">
        <v>621</v>
      </c>
      <c r="E333" s="33" t="s">
        <v>636</v>
      </c>
      <c r="F333" s="34">
        <v>0</v>
      </c>
    </row>
    <row r="334" spans="1:6" x14ac:dyDescent="0.25">
      <c r="A334" s="34">
        <v>12</v>
      </c>
      <c r="B334" s="33" t="s">
        <v>619</v>
      </c>
      <c r="C334" s="33" t="s">
        <v>634</v>
      </c>
      <c r="D334" s="33" t="s">
        <v>621</v>
      </c>
      <c r="E334" s="33" t="s">
        <v>637</v>
      </c>
      <c r="F334" s="34">
        <v>5</v>
      </c>
    </row>
    <row r="335" spans="1:6" x14ac:dyDescent="0.25">
      <c r="A335" s="34">
        <v>12</v>
      </c>
      <c r="B335" s="33" t="s">
        <v>619</v>
      </c>
      <c r="C335" s="33" t="s">
        <v>634</v>
      </c>
      <c r="D335" s="33" t="s">
        <v>621</v>
      </c>
      <c r="E335" s="33" t="s">
        <v>638</v>
      </c>
      <c r="F335" s="34">
        <v>40</v>
      </c>
    </row>
    <row r="336" spans="1:6" x14ac:dyDescent="0.25">
      <c r="A336" s="34">
        <v>12</v>
      </c>
      <c r="B336" s="33" t="s">
        <v>619</v>
      </c>
      <c r="C336" s="33" t="s">
        <v>634</v>
      </c>
      <c r="D336" s="33" t="s">
        <v>630</v>
      </c>
      <c r="E336" s="33" t="s">
        <v>639</v>
      </c>
      <c r="F336" s="34">
        <v>80</v>
      </c>
    </row>
    <row r="337" spans="1:6" x14ac:dyDescent="0.25">
      <c r="A337" s="34">
        <v>12</v>
      </c>
      <c r="B337" s="33" t="s">
        <v>619</v>
      </c>
      <c r="C337" s="33" t="s">
        <v>634</v>
      </c>
      <c r="D337" s="33" t="s">
        <v>630</v>
      </c>
      <c r="E337" s="33" t="s">
        <v>640</v>
      </c>
      <c r="F337" s="33" t="s">
        <v>462</v>
      </c>
    </row>
    <row r="338" spans="1:6" x14ac:dyDescent="0.25">
      <c r="A338" s="34">
        <v>12</v>
      </c>
      <c r="B338" s="33" t="s">
        <v>619</v>
      </c>
      <c r="C338" s="33" t="s">
        <v>634</v>
      </c>
      <c r="D338" s="33" t="s">
        <v>630</v>
      </c>
      <c r="E338" s="33" t="s">
        <v>641</v>
      </c>
      <c r="F338" s="34">
        <v>80</v>
      </c>
    </row>
    <row r="339" spans="1:6" x14ac:dyDescent="0.25">
      <c r="A339" s="34">
        <v>12</v>
      </c>
      <c r="B339" s="33" t="s">
        <v>619</v>
      </c>
      <c r="C339" s="33" t="s">
        <v>642</v>
      </c>
      <c r="D339" s="33" t="s">
        <v>621</v>
      </c>
      <c r="E339" s="33" t="s">
        <v>643</v>
      </c>
      <c r="F339" s="34">
        <v>0</v>
      </c>
    </row>
    <row r="340" spans="1:6" x14ac:dyDescent="0.25">
      <c r="A340" s="34">
        <v>12</v>
      </c>
      <c r="B340" s="33" t="s">
        <v>619</v>
      </c>
      <c r="C340" s="33" t="s">
        <v>642</v>
      </c>
      <c r="D340" s="33" t="s">
        <v>621</v>
      </c>
      <c r="E340" s="33" t="s">
        <v>644</v>
      </c>
      <c r="F340" s="34">
        <v>0</v>
      </c>
    </row>
    <row r="341" spans="1:6" x14ac:dyDescent="0.25">
      <c r="A341" s="34">
        <v>12</v>
      </c>
      <c r="B341" s="33" t="s">
        <v>619</v>
      </c>
      <c r="C341" s="33" t="s">
        <v>642</v>
      </c>
      <c r="D341" s="33" t="s">
        <v>621</v>
      </c>
      <c r="E341" s="33" t="s">
        <v>645</v>
      </c>
      <c r="F341" s="34">
        <v>0</v>
      </c>
    </row>
    <row r="342" spans="1:6" x14ac:dyDescent="0.25">
      <c r="A342" s="34">
        <v>12</v>
      </c>
      <c r="B342" s="33" t="s">
        <v>619</v>
      </c>
      <c r="C342" s="33" t="s">
        <v>642</v>
      </c>
      <c r="D342" s="33" t="s">
        <v>621</v>
      </c>
      <c r="E342" s="33" t="s">
        <v>646</v>
      </c>
      <c r="F342" s="34">
        <v>0</v>
      </c>
    </row>
    <row r="343" spans="1:6" x14ac:dyDescent="0.25">
      <c r="A343" s="34">
        <v>12</v>
      </c>
      <c r="B343" s="33" t="s">
        <v>619</v>
      </c>
      <c r="C343" s="33" t="s">
        <v>642</v>
      </c>
      <c r="D343" s="33" t="s">
        <v>621</v>
      </c>
      <c r="E343" s="33" t="s">
        <v>647</v>
      </c>
      <c r="F343" s="34">
        <v>0</v>
      </c>
    </row>
    <row r="344" spans="1:6" x14ac:dyDescent="0.25">
      <c r="A344" s="34">
        <v>12</v>
      </c>
      <c r="B344" s="33" t="s">
        <v>619</v>
      </c>
      <c r="C344" s="33" t="s">
        <v>642</v>
      </c>
      <c r="D344" s="33" t="s">
        <v>621</v>
      </c>
      <c r="E344" s="33" t="s">
        <v>648</v>
      </c>
      <c r="F344" s="34">
        <v>0</v>
      </c>
    </row>
    <row r="345" spans="1:6" x14ac:dyDescent="0.25">
      <c r="A345" s="34">
        <v>12</v>
      </c>
      <c r="B345" s="33" t="s">
        <v>619</v>
      </c>
      <c r="C345" s="33" t="s">
        <v>642</v>
      </c>
      <c r="D345" s="33" t="s">
        <v>621</v>
      </c>
      <c r="E345" s="33" t="s">
        <v>649</v>
      </c>
      <c r="F345" s="34">
        <v>50</v>
      </c>
    </row>
    <row r="346" spans="1:6" x14ac:dyDescent="0.25">
      <c r="A346" s="34">
        <v>12</v>
      </c>
      <c r="B346" s="33" t="s">
        <v>619</v>
      </c>
      <c r="C346" s="33" t="s">
        <v>642</v>
      </c>
      <c r="D346" s="33" t="s">
        <v>630</v>
      </c>
      <c r="E346" s="33" t="s">
        <v>650</v>
      </c>
      <c r="F346" s="34">
        <v>65</v>
      </c>
    </row>
    <row r="347" spans="1:6" x14ac:dyDescent="0.25">
      <c r="A347" s="34">
        <v>12</v>
      </c>
      <c r="B347" s="33" t="s">
        <v>619</v>
      </c>
      <c r="C347" s="33" t="s">
        <v>642</v>
      </c>
      <c r="D347" s="33" t="s">
        <v>630</v>
      </c>
      <c r="E347" s="33" t="s">
        <v>651</v>
      </c>
      <c r="F347" s="34">
        <v>68</v>
      </c>
    </row>
    <row r="348" spans="1:6" x14ac:dyDescent="0.25">
      <c r="A348" s="34">
        <v>12</v>
      </c>
      <c r="B348" s="33" t="s">
        <v>619</v>
      </c>
      <c r="C348" s="33" t="s">
        <v>642</v>
      </c>
      <c r="D348" s="33" t="s">
        <v>630</v>
      </c>
      <c r="E348" s="33" t="s">
        <v>652</v>
      </c>
      <c r="F348" s="34">
        <v>68</v>
      </c>
    </row>
    <row r="349" spans="1:6" x14ac:dyDescent="0.25">
      <c r="A349" s="34">
        <v>12</v>
      </c>
      <c r="B349" s="33" t="s">
        <v>619</v>
      </c>
      <c r="C349" s="33" t="s">
        <v>653</v>
      </c>
      <c r="D349" s="33" t="s">
        <v>653</v>
      </c>
      <c r="E349" s="33" t="s">
        <v>654</v>
      </c>
      <c r="F349" s="34">
        <v>72</v>
      </c>
    </row>
    <row r="350" spans="1:6" x14ac:dyDescent="0.25">
      <c r="A350" s="34">
        <v>13</v>
      </c>
      <c r="B350" s="33" t="s">
        <v>619</v>
      </c>
      <c r="C350" s="33" t="s">
        <v>620</v>
      </c>
      <c r="D350" s="33" t="s">
        <v>621</v>
      </c>
      <c r="E350" s="33" t="s">
        <v>622</v>
      </c>
      <c r="F350" s="34">
        <v>1</v>
      </c>
    </row>
    <row r="351" spans="1:6" x14ac:dyDescent="0.25">
      <c r="A351" s="34">
        <v>13</v>
      </c>
      <c r="B351" s="33" t="s">
        <v>619</v>
      </c>
      <c r="C351" s="33" t="s">
        <v>620</v>
      </c>
      <c r="D351" s="33" t="s">
        <v>621</v>
      </c>
      <c r="E351" s="33" t="s">
        <v>623</v>
      </c>
      <c r="F351" s="34">
        <v>1</v>
      </c>
    </row>
    <row r="352" spans="1:6" x14ac:dyDescent="0.25">
      <c r="A352" s="34">
        <v>13</v>
      </c>
      <c r="B352" s="33" t="s">
        <v>619</v>
      </c>
      <c r="C352" s="33" t="s">
        <v>620</v>
      </c>
      <c r="D352" s="33" t="s">
        <v>621</v>
      </c>
      <c r="E352" s="33" t="s">
        <v>624</v>
      </c>
      <c r="F352" s="34">
        <v>1</v>
      </c>
    </row>
    <row r="353" spans="1:6" x14ac:dyDescent="0.25">
      <c r="A353" s="34">
        <v>13</v>
      </c>
      <c r="B353" s="33" t="s">
        <v>619</v>
      </c>
      <c r="C353" s="33" t="s">
        <v>620</v>
      </c>
      <c r="D353" s="33" t="s">
        <v>621</v>
      </c>
      <c r="E353" s="33" t="s">
        <v>625</v>
      </c>
      <c r="F353" s="34">
        <v>1</v>
      </c>
    </row>
    <row r="354" spans="1:6" x14ac:dyDescent="0.25">
      <c r="A354" s="34">
        <v>13</v>
      </c>
      <c r="B354" s="33" t="s">
        <v>619</v>
      </c>
      <c r="C354" s="33" t="s">
        <v>620</v>
      </c>
      <c r="D354" s="33" t="s">
        <v>621</v>
      </c>
      <c r="E354" s="33" t="s">
        <v>626</v>
      </c>
      <c r="F354" s="34">
        <v>1</v>
      </c>
    </row>
    <row r="355" spans="1:6" x14ac:dyDescent="0.25">
      <c r="A355" s="34">
        <v>13</v>
      </c>
      <c r="B355" s="33" t="s">
        <v>619</v>
      </c>
      <c r="C355" s="33" t="s">
        <v>620</v>
      </c>
      <c r="D355" s="33" t="s">
        <v>621</v>
      </c>
      <c r="E355" s="33" t="s">
        <v>627</v>
      </c>
      <c r="F355" s="34">
        <v>0</v>
      </c>
    </row>
    <row r="356" spans="1:6" x14ac:dyDescent="0.25">
      <c r="A356" s="34">
        <v>13</v>
      </c>
      <c r="B356" s="33" t="s">
        <v>619</v>
      </c>
      <c r="C356" s="33" t="s">
        <v>620</v>
      </c>
      <c r="D356" s="33" t="s">
        <v>621</v>
      </c>
      <c r="E356" s="33" t="s">
        <v>628</v>
      </c>
      <c r="F356" s="34">
        <v>5</v>
      </c>
    </row>
    <row r="357" spans="1:6" x14ac:dyDescent="0.25">
      <c r="A357" s="34">
        <v>13</v>
      </c>
      <c r="B357" s="33" t="s">
        <v>619</v>
      </c>
      <c r="C357" s="33" t="s">
        <v>620</v>
      </c>
      <c r="D357" s="33" t="s">
        <v>621</v>
      </c>
      <c r="E357" s="33" t="s">
        <v>629</v>
      </c>
      <c r="F357" s="34">
        <v>48</v>
      </c>
    </row>
    <row r="358" spans="1:6" x14ac:dyDescent="0.25">
      <c r="A358" s="34">
        <v>13</v>
      </c>
      <c r="B358" s="33" t="s">
        <v>619</v>
      </c>
      <c r="C358" s="33" t="s">
        <v>620</v>
      </c>
      <c r="D358" s="33" t="s">
        <v>630</v>
      </c>
      <c r="E358" s="33" t="s">
        <v>631</v>
      </c>
      <c r="F358" s="34">
        <v>72</v>
      </c>
    </row>
    <row r="359" spans="1:6" x14ac:dyDescent="0.25">
      <c r="A359" s="34">
        <v>13</v>
      </c>
      <c r="B359" s="33" t="s">
        <v>619</v>
      </c>
      <c r="C359" s="33" t="s">
        <v>620</v>
      </c>
      <c r="D359" s="33" t="s">
        <v>630</v>
      </c>
      <c r="E359" s="33" t="s">
        <v>632</v>
      </c>
      <c r="F359" s="34">
        <v>78</v>
      </c>
    </row>
    <row r="360" spans="1:6" x14ac:dyDescent="0.25">
      <c r="A360" s="34">
        <v>13</v>
      </c>
      <c r="B360" s="33" t="s">
        <v>619</v>
      </c>
      <c r="C360" s="33" t="s">
        <v>620</v>
      </c>
      <c r="D360" s="33" t="s">
        <v>630</v>
      </c>
      <c r="E360" s="33" t="s">
        <v>633</v>
      </c>
      <c r="F360" s="34">
        <v>78</v>
      </c>
    </row>
    <row r="361" spans="1:6" x14ac:dyDescent="0.25">
      <c r="A361" s="34">
        <v>13</v>
      </c>
      <c r="B361" s="33" t="s">
        <v>619</v>
      </c>
      <c r="C361" s="33" t="s">
        <v>634</v>
      </c>
      <c r="D361" s="33" t="s">
        <v>621</v>
      </c>
      <c r="E361" s="33" t="s">
        <v>635</v>
      </c>
      <c r="F361" s="34">
        <v>1</v>
      </c>
    </row>
    <row r="362" spans="1:6" x14ac:dyDescent="0.25">
      <c r="A362" s="34">
        <v>13</v>
      </c>
      <c r="B362" s="33" t="s">
        <v>619</v>
      </c>
      <c r="C362" s="33" t="s">
        <v>634</v>
      </c>
      <c r="D362" s="33" t="s">
        <v>621</v>
      </c>
      <c r="E362" s="33" t="s">
        <v>636</v>
      </c>
      <c r="F362" s="34">
        <v>0</v>
      </c>
    </row>
    <row r="363" spans="1:6" x14ac:dyDescent="0.25">
      <c r="A363" s="34">
        <v>13</v>
      </c>
      <c r="B363" s="33" t="s">
        <v>619</v>
      </c>
      <c r="C363" s="33" t="s">
        <v>634</v>
      </c>
      <c r="D363" s="33" t="s">
        <v>621</v>
      </c>
      <c r="E363" s="33" t="s">
        <v>637</v>
      </c>
      <c r="F363" s="34">
        <v>5</v>
      </c>
    </row>
    <row r="364" spans="1:6" x14ac:dyDescent="0.25">
      <c r="A364" s="34">
        <v>13</v>
      </c>
      <c r="B364" s="33" t="s">
        <v>619</v>
      </c>
      <c r="C364" s="33" t="s">
        <v>634</v>
      </c>
      <c r="D364" s="33" t="s">
        <v>621</v>
      </c>
      <c r="E364" s="33" t="s">
        <v>638</v>
      </c>
      <c r="F364" s="34">
        <v>50</v>
      </c>
    </row>
    <row r="365" spans="1:6" x14ac:dyDescent="0.25">
      <c r="A365" s="34">
        <v>13</v>
      </c>
      <c r="B365" s="33" t="s">
        <v>619</v>
      </c>
      <c r="C365" s="33" t="s">
        <v>634</v>
      </c>
      <c r="D365" s="33" t="s">
        <v>630</v>
      </c>
      <c r="E365" s="33" t="s">
        <v>639</v>
      </c>
      <c r="F365" s="34">
        <v>88</v>
      </c>
    </row>
    <row r="366" spans="1:6" x14ac:dyDescent="0.25">
      <c r="A366" s="34">
        <v>13</v>
      </c>
      <c r="B366" s="33" t="s">
        <v>619</v>
      </c>
      <c r="C366" s="33" t="s">
        <v>634</v>
      </c>
      <c r="D366" s="33" t="s">
        <v>630</v>
      </c>
      <c r="E366" s="33" t="s">
        <v>640</v>
      </c>
      <c r="F366" s="33" t="s">
        <v>462</v>
      </c>
    </row>
    <row r="367" spans="1:6" x14ac:dyDescent="0.25">
      <c r="A367" s="34">
        <v>13</v>
      </c>
      <c r="B367" s="33" t="s">
        <v>619</v>
      </c>
      <c r="C367" s="33" t="s">
        <v>634</v>
      </c>
      <c r="D367" s="33" t="s">
        <v>630</v>
      </c>
      <c r="E367" s="33" t="s">
        <v>641</v>
      </c>
      <c r="F367" s="34">
        <v>88</v>
      </c>
    </row>
    <row r="368" spans="1:6" x14ac:dyDescent="0.25">
      <c r="A368" s="34">
        <v>13</v>
      </c>
      <c r="B368" s="33" t="s">
        <v>619</v>
      </c>
      <c r="C368" s="33" t="s">
        <v>642</v>
      </c>
      <c r="D368" s="33" t="s">
        <v>621</v>
      </c>
      <c r="E368" s="33" t="s">
        <v>643</v>
      </c>
      <c r="F368" s="34">
        <v>0</v>
      </c>
    </row>
    <row r="369" spans="1:6" x14ac:dyDescent="0.25">
      <c r="A369" s="34">
        <v>13</v>
      </c>
      <c r="B369" s="33" t="s">
        <v>619</v>
      </c>
      <c r="C369" s="33" t="s">
        <v>642</v>
      </c>
      <c r="D369" s="33" t="s">
        <v>621</v>
      </c>
      <c r="E369" s="33" t="s">
        <v>644</v>
      </c>
      <c r="F369" s="34">
        <v>0</v>
      </c>
    </row>
    <row r="370" spans="1:6" x14ac:dyDescent="0.25">
      <c r="A370" s="34">
        <v>13</v>
      </c>
      <c r="B370" s="33" t="s">
        <v>619</v>
      </c>
      <c r="C370" s="33" t="s">
        <v>642</v>
      </c>
      <c r="D370" s="33" t="s">
        <v>621</v>
      </c>
      <c r="E370" s="33" t="s">
        <v>645</v>
      </c>
      <c r="F370" s="34">
        <v>0</v>
      </c>
    </row>
    <row r="371" spans="1:6" x14ac:dyDescent="0.25">
      <c r="A371" s="34">
        <v>13</v>
      </c>
      <c r="B371" s="33" t="s">
        <v>619</v>
      </c>
      <c r="C371" s="33" t="s">
        <v>642</v>
      </c>
      <c r="D371" s="33" t="s">
        <v>621</v>
      </c>
      <c r="E371" s="33" t="s">
        <v>646</v>
      </c>
      <c r="F371" s="34">
        <v>0</v>
      </c>
    </row>
    <row r="372" spans="1:6" x14ac:dyDescent="0.25">
      <c r="A372" s="34">
        <v>13</v>
      </c>
      <c r="B372" s="33" t="s">
        <v>619</v>
      </c>
      <c r="C372" s="33" t="s">
        <v>642</v>
      </c>
      <c r="D372" s="33" t="s">
        <v>621</v>
      </c>
      <c r="E372" s="33" t="s">
        <v>647</v>
      </c>
      <c r="F372" s="34">
        <v>0</v>
      </c>
    </row>
    <row r="373" spans="1:6" x14ac:dyDescent="0.25">
      <c r="A373" s="34">
        <v>13</v>
      </c>
      <c r="B373" s="33" t="s">
        <v>619</v>
      </c>
      <c r="C373" s="33" t="s">
        <v>642</v>
      </c>
      <c r="D373" s="33" t="s">
        <v>621</v>
      </c>
      <c r="E373" s="33" t="s">
        <v>648</v>
      </c>
      <c r="F373" s="34">
        <v>0</v>
      </c>
    </row>
    <row r="374" spans="1:6" x14ac:dyDescent="0.25">
      <c r="A374" s="34">
        <v>13</v>
      </c>
      <c r="B374" s="33" t="s">
        <v>619</v>
      </c>
      <c r="C374" s="33" t="s">
        <v>642</v>
      </c>
      <c r="D374" s="33" t="s">
        <v>621</v>
      </c>
      <c r="E374" s="33" t="s">
        <v>649</v>
      </c>
      <c r="F374" s="34">
        <v>47</v>
      </c>
    </row>
    <row r="375" spans="1:6" x14ac:dyDescent="0.25">
      <c r="A375" s="34">
        <v>13</v>
      </c>
      <c r="B375" s="33" t="s">
        <v>619</v>
      </c>
      <c r="C375" s="33" t="s">
        <v>642</v>
      </c>
      <c r="D375" s="33" t="s">
        <v>630</v>
      </c>
      <c r="E375" s="33" t="s">
        <v>650</v>
      </c>
      <c r="F375" s="34">
        <v>65</v>
      </c>
    </row>
    <row r="376" spans="1:6" x14ac:dyDescent="0.25">
      <c r="A376" s="34">
        <v>13</v>
      </c>
      <c r="B376" s="33" t="s">
        <v>619</v>
      </c>
      <c r="C376" s="33" t="s">
        <v>642</v>
      </c>
      <c r="D376" s="33" t="s">
        <v>630</v>
      </c>
      <c r="E376" s="33" t="s">
        <v>651</v>
      </c>
      <c r="F376" s="34">
        <v>65</v>
      </c>
    </row>
    <row r="377" spans="1:6" x14ac:dyDescent="0.25">
      <c r="A377" s="34">
        <v>13</v>
      </c>
      <c r="B377" s="33" t="s">
        <v>619</v>
      </c>
      <c r="C377" s="33" t="s">
        <v>642</v>
      </c>
      <c r="D377" s="33" t="s">
        <v>630</v>
      </c>
      <c r="E377" s="33" t="s">
        <v>652</v>
      </c>
      <c r="F377" s="34">
        <v>65</v>
      </c>
    </row>
    <row r="378" spans="1:6" x14ac:dyDescent="0.25">
      <c r="A378" s="34">
        <v>13</v>
      </c>
      <c r="B378" s="33" t="s">
        <v>619</v>
      </c>
      <c r="C378" s="33" t="s">
        <v>653</v>
      </c>
      <c r="D378" s="33" t="s">
        <v>653</v>
      </c>
      <c r="E378" s="33" t="s">
        <v>654</v>
      </c>
      <c r="F378" s="34">
        <v>82</v>
      </c>
    </row>
    <row r="379" spans="1:6" x14ac:dyDescent="0.25">
      <c r="A379" s="34">
        <v>14</v>
      </c>
      <c r="B379" s="33" t="s">
        <v>619</v>
      </c>
      <c r="C379" s="33" t="s">
        <v>620</v>
      </c>
      <c r="D379" s="33" t="s">
        <v>621</v>
      </c>
      <c r="E379" s="33" t="s">
        <v>622</v>
      </c>
      <c r="F379" s="34">
        <v>1</v>
      </c>
    </row>
    <row r="380" spans="1:6" x14ac:dyDescent="0.25">
      <c r="A380" s="34">
        <v>14</v>
      </c>
      <c r="B380" s="33" t="s">
        <v>619</v>
      </c>
      <c r="C380" s="33" t="s">
        <v>620</v>
      </c>
      <c r="D380" s="33" t="s">
        <v>621</v>
      </c>
      <c r="E380" s="33" t="s">
        <v>623</v>
      </c>
      <c r="F380" s="34">
        <v>1</v>
      </c>
    </row>
    <row r="381" spans="1:6" x14ac:dyDescent="0.25">
      <c r="A381" s="34">
        <v>14</v>
      </c>
      <c r="B381" s="33" t="s">
        <v>619</v>
      </c>
      <c r="C381" s="33" t="s">
        <v>620</v>
      </c>
      <c r="D381" s="33" t="s">
        <v>621</v>
      </c>
      <c r="E381" s="33" t="s">
        <v>624</v>
      </c>
      <c r="F381" s="34">
        <v>1</v>
      </c>
    </row>
    <row r="382" spans="1:6" x14ac:dyDescent="0.25">
      <c r="A382" s="34">
        <v>14</v>
      </c>
      <c r="B382" s="33" t="s">
        <v>619</v>
      </c>
      <c r="C382" s="33" t="s">
        <v>620</v>
      </c>
      <c r="D382" s="33" t="s">
        <v>621</v>
      </c>
      <c r="E382" s="33" t="s">
        <v>625</v>
      </c>
      <c r="F382" s="34">
        <v>1</v>
      </c>
    </row>
    <row r="383" spans="1:6" x14ac:dyDescent="0.25">
      <c r="A383" s="34">
        <v>14</v>
      </c>
      <c r="B383" s="33" t="s">
        <v>619</v>
      </c>
      <c r="C383" s="33" t="s">
        <v>620</v>
      </c>
      <c r="D383" s="33" t="s">
        <v>621</v>
      </c>
      <c r="E383" s="33" t="s">
        <v>626</v>
      </c>
      <c r="F383" s="34">
        <v>0</v>
      </c>
    </row>
    <row r="384" spans="1:6" x14ac:dyDescent="0.25">
      <c r="A384" s="34">
        <v>14</v>
      </c>
      <c r="B384" s="33" t="s">
        <v>619</v>
      </c>
      <c r="C384" s="33" t="s">
        <v>620</v>
      </c>
      <c r="D384" s="33" t="s">
        <v>621</v>
      </c>
      <c r="E384" s="33" t="s">
        <v>627</v>
      </c>
      <c r="F384" s="34">
        <v>0</v>
      </c>
    </row>
    <row r="385" spans="1:6" x14ac:dyDescent="0.25">
      <c r="A385" s="34">
        <v>14</v>
      </c>
      <c r="B385" s="33" t="s">
        <v>619</v>
      </c>
      <c r="C385" s="33" t="s">
        <v>620</v>
      </c>
      <c r="D385" s="33" t="s">
        <v>621</v>
      </c>
      <c r="E385" s="33" t="s">
        <v>628</v>
      </c>
      <c r="F385" s="34">
        <v>5</v>
      </c>
    </row>
    <row r="386" spans="1:6" x14ac:dyDescent="0.25">
      <c r="A386" s="34">
        <v>14</v>
      </c>
      <c r="B386" s="33" t="s">
        <v>619</v>
      </c>
      <c r="C386" s="33" t="s">
        <v>620</v>
      </c>
      <c r="D386" s="33" t="s">
        <v>621</v>
      </c>
      <c r="E386" s="33" t="s">
        <v>629</v>
      </c>
      <c r="F386" s="34">
        <v>48</v>
      </c>
    </row>
    <row r="387" spans="1:6" x14ac:dyDescent="0.25">
      <c r="A387" s="34">
        <v>14</v>
      </c>
      <c r="B387" s="33" t="s">
        <v>619</v>
      </c>
      <c r="C387" s="33" t="s">
        <v>620</v>
      </c>
      <c r="D387" s="33" t="s">
        <v>630</v>
      </c>
      <c r="E387" s="33" t="s">
        <v>631</v>
      </c>
      <c r="F387" s="34">
        <v>72</v>
      </c>
    </row>
    <row r="388" spans="1:6" x14ac:dyDescent="0.25">
      <c r="A388" s="34">
        <v>14</v>
      </c>
      <c r="B388" s="33" t="s">
        <v>619</v>
      </c>
      <c r="C388" s="33" t="s">
        <v>620</v>
      </c>
      <c r="D388" s="33" t="s">
        <v>630</v>
      </c>
      <c r="E388" s="33" t="s">
        <v>632</v>
      </c>
      <c r="F388" s="33" t="s">
        <v>462</v>
      </c>
    </row>
    <row r="389" spans="1:6" x14ac:dyDescent="0.25">
      <c r="A389" s="34">
        <v>14</v>
      </c>
      <c r="B389" s="33" t="s">
        <v>619</v>
      </c>
      <c r="C389" s="33" t="s">
        <v>620</v>
      </c>
      <c r="D389" s="33" t="s">
        <v>630</v>
      </c>
      <c r="E389" s="33" t="s">
        <v>633</v>
      </c>
      <c r="F389" s="34">
        <v>72</v>
      </c>
    </row>
    <row r="390" spans="1:6" x14ac:dyDescent="0.25">
      <c r="A390" s="34">
        <v>14</v>
      </c>
      <c r="B390" s="33" t="s">
        <v>619</v>
      </c>
      <c r="C390" s="33" t="s">
        <v>634</v>
      </c>
      <c r="D390" s="33" t="s">
        <v>621</v>
      </c>
      <c r="E390" s="33" t="s">
        <v>635</v>
      </c>
      <c r="F390" s="34">
        <v>0</v>
      </c>
    </row>
    <row r="391" spans="1:6" x14ac:dyDescent="0.25">
      <c r="A391" s="34">
        <v>14</v>
      </c>
      <c r="B391" s="33" t="s">
        <v>619</v>
      </c>
      <c r="C391" s="33" t="s">
        <v>634</v>
      </c>
      <c r="D391" s="33" t="s">
        <v>621</v>
      </c>
      <c r="E391" s="33" t="s">
        <v>636</v>
      </c>
      <c r="F391" s="34">
        <v>0</v>
      </c>
    </row>
    <row r="392" spans="1:6" x14ac:dyDescent="0.25">
      <c r="A392" s="34">
        <v>14</v>
      </c>
      <c r="B392" s="33" t="s">
        <v>619</v>
      </c>
      <c r="C392" s="33" t="s">
        <v>634</v>
      </c>
      <c r="D392" s="33" t="s">
        <v>621</v>
      </c>
      <c r="E392" s="33" t="s">
        <v>637</v>
      </c>
      <c r="F392" s="34">
        <v>5</v>
      </c>
    </row>
    <row r="393" spans="1:6" x14ac:dyDescent="0.25">
      <c r="A393" s="34">
        <v>14</v>
      </c>
      <c r="B393" s="33" t="s">
        <v>619</v>
      </c>
      <c r="C393" s="33" t="s">
        <v>634</v>
      </c>
      <c r="D393" s="33" t="s">
        <v>621</v>
      </c>
      <c r="E393" s="33" t="s">
        <v>638</v>
      </c>
      <c r="F393" s="34">
        <v>29</v>
      </c>
    </row>
    <row r="394" spans="1:6" x14ac:dyDescent="0.25">
      <c r="A394" s="34">
        <v>14</v>
      </c>
      <c r="B394" s="33" t="s">
        <v>619</v>
      </c>
      <c r="C394" s="33" t="s">
        <v>634</v>
      </c>
      <c r="D394" s="33" t="s">
        <v>630</v>
      </c>
      <c r="E394" s="33" t="s">
        <v>639</v>
      </c>
      <c r="F394" s="34">
        <v>67</v>
      </c>
    </row>
    <row r="395" spans="1:6" x14ac:dyDescent="0.25">
      <c r="A395" s="34">
        <v>14</v>
      </c>
      <c r="B395" s="33" t="s">
        <v>619</v>
      </c>
      <c r="C395" s="33" t="s">
        <v>634</v>
      </c>
      <c r="D395" s="33" t="s">
        <v>630</v>
      </c>
      <c r="E395" s="33" t="s">
        <v>640</v>
      </c>
      <c r="F395" s="33" t="s">
        <v>462</v>
      </c>
    </row>
    <row r="396" spans="1:6" x14ac:dyDescent="0.25">
      <c r="A396" s="34">
        <v>14</v>
      </c>
      <c r="B396" s="33" t="s">
        <v>619</v>
      </c>
      <c r="C396" s="33" t="s">
        <v>634</v>
      </c>
      <c r="D396" s="33" t="s">
        <v>630</v>
      </c>
      <c r="E396" s="33" t="s">
        <v>641</v>
      </c>
      <c r="F396" s="34">
        <v>67</v>
      </c>
    </row>
    <row r="397" spans="1:6" x14ac:dyDescent="0.25">
      <c r="A397" s="34">
        <v>14</v>
      </c>
      <c r="B397" s="33" t="s">
        <v>619</v>
      </c>
      <c r="C397" s="33" t="s">
        <v>642</v>
      </c>
      <c r="D397" s="33" t="s">
        <v>621</v>
      </c>
      <c r="E397" s="33" t="s">
        <v>643</v>
      </c>
      <c r="F397" s="34">
        <v>0</v>
      </c>
    </row>
    <row r="398" spans="1:6" x14ac:dyDescent="0.25">
      <c r="A398" s="34">
        <v>14</v>
      </c>
      <c r="B398" s="33" t="s">
        <v>619</v>
      </c>
      <c r="C398" s="33" t="s">
        <v>642</v>
      </c>
      <c r="D398" s="33" t="s">
        <v>621</v>
      </c>
      <c r="E398" s="33" t="s">
        <v>644</v>
      </c>
      <c r="F398" s="34">
        <v>0</v>
      </c>
    </row>
    <row r="399" spans="1:6" x14ac:dyDescent="0.25">
      <c r="A399" s="34">
        <v>14</v>
      </c>
      <c r="B399" s="33" t="s">
        <v>619</v>
      </c>
      <c r="C399" s="33" t="s">
        <v>642</v>
      </c>
      <c r="D399" s="33" t="s">
        <v>621</v>
      </c>
      <c r="E399" s="33" t="s">
        <v>645</v>
      </c>
      <c r="F399" s="34">
        <v>0</v>
      </c>
    </row>
    <row r="400" spans="1:6" x14ac:dyDescent="0.25">
      <c r="A400" s="34">
        <v>14</v>
      </c>
      <c r="B400" s="33" t="s">
        <v>619</v>
      </c>
      <c r="C400" s="33" t="s">
        <v>642</v>
      </c>
      <c r="D400" s="33" t="s">
        <v>621</v>
      </c>
      <c r="E400" s="33" t="s">
        <v>646</v>
      </c>
      <c r="F400" s="34">
        <v>0</v>
      </c>
    </row>
    <row r="401" spans="1:6" x14ac:dyDescent="0.25">
      <c r="A401" s="34">
        <v>14</v>
      </c>
      <c r="B401" s="33" t="s">
        <v>619</v>
      </c>
      <c r="C401" s="33" t="s">
        <v>642</v>
      </c>
      <c r="D401" s="33" t="s">
        <v>621</v>
      </c>
      <c r="E401" s="33" t="s">
        <v>647</v>
      </c>
      <c r="F401" s="34">
        <v>0</v>
      </c>
    </row>
    <row r="402" spans="1:6" x14ac:dyDescent="0.25">
      <c r="A402" s="34">
        <v>14</v>
      </c>
      <c r="B402" s="33" t="s">
        <v>619</v>
      </c>
      <c r="C402" s="33" t="s">
        <v>642</v>
      </c>
      <c r="D402" s="33" t="s">
        <v>621</v>
      </c>
      <c r="E402" s="33" t="s">
        <v>648</v>
      </c>
      <c r="F402" s="34">
        <v>0</v>
      </c>
    </row>
    <row r="403" spans="1:6" x14ac:dyDescent="0.25">
      <c r="A403" s="34">
        <v>14</v>
      </c>
      <c r="B403" s="33" t="s">
        <v>619</v>
      </c>
      <c r="C403" s="33" t="s">
        <v>642</v>
      </c>
      <c r="D403" s="33" t="s">
        <v>621</v>
      </c>
      <c r="E403" s="33" t="s">
        <v>649</v>
      </c>
      <c r="F403" s="34">
        <v>47</v>
      </c>
    </row>
    <row r="404" spans="1:6" x14ac:dyDescent="0.25">
      <c r="A404" s="34">
        <v>14</v>
      </c>
      <c r="B404" s="33" t="s">
        <v>619</v>
      </c>
      <c r="C404" s="33" t="s">
        <v>642</v>
      </c>
      <c r="D404" s="33" t="s">
        <v>630</v>
      </c>
      <c r="E404" s="33" t="s">
        <v>650</v>
      </c>
      <c r="F404" s="34">
        <v>65</v>
      </c>
    </row>
    <row r="405" spans="1:6" x14ac:dyDescent="0.25">
      <c r="A405" s="34">
        <v>14</v>
      </c>
      <c r="B405" s="33" t="s">
        <v>619</v>
      </c>
      <c r="C405" s="33" t="s">
        <v>642</v>
      </c>
      <c r="D405" s="33" t="s">
        <v>630</v>
      </c>
      <c r="E405" s="33" t="s">
        <v>651</v>
      </c>
      <c r="F405" s="34">
        <v>76</v>
      </c>
    </row>
    <row r="406" spans="1:6" x14ac:dyDescent="0.25">
      <c r="A406" s="34">
        <v>14</v>
      </c>
      <c r="B406" s="33" t="s">
        <v>619</v>
      </c>
      <c r="C406" s="33" t="s">
        <v>642</v>
      </c>
      <c r="D406" s="33" t="s">
        <v>630</v>
      </c>
      <c r="E406" s="33" t="s">
        <v>652</v>
      </c>
      <c r="F406" s="34">
        <v>76</v>
      </c>
    </row>
    <row r="407" spans="1:6" x14ac:dyDescent="0.25">
      <c r="A407" s="34">
        <v>14</v>
      </c>
      <c r="B407" s="33" t="s">
        <v>619</v>
      </c>
      <c r="C407" s="33" t="s">
        <v>653</v>
      </c>
      <c r="D407" s="33" t="s">
        <v>653</v>
      </c>
      <c r="E407" s="33" t="s">
        <v>654</v>
      </c>
      <c r="F407" s="34">
        <v>62</v>
      </c>
    </row>
    <row r="408" spans="1:6" x14ac:dyDescent="0.25">
      <c r="A408" s="34">
        <v>15</v>
      </c>
      <c r="B408" s="33" t="s">
        <v>619</v>
      </c>
      <c r="C408" s="33" t="s">
        <v>620</v>
      </c>
      <c r="D408" s="33" t="s">
        <v>621</v>
      </c>
      <c r="E408" s="33" t="s">
        <v>622</v>
      </c>
      <c r="F408" s="33" t="s">
        <v>150</v>
      </c>
    </row>
    <row r="409" spans="1:6" x14ac:dyDescent="0.25">
      <c r="A409" s="34">
        <v>15</v>
      </c>
      <c r="B409" s="33" t="s">
        <v>619</v>
      </c>
      <c r="C409" s="33" t="s">
        <v>620</v>
      </c>
      <c r="D409" s="33" t="s">
        <v>621</v>
      </c>
      <c r="E409" s="33" t="s">
        <v>623</v>
      </c>
      <c r="F409" s="33" t="s">
        <v>150</v>
      </c>
    </row>
    <row r="410" spans="1:6" x14ac:dyDescent="0.25">
      <c r="A410" s="34">
        <v>15</v>
      </c>
      <c r="B410" s="33" t="s">
        <v>619</v>
      </c>
      <c r="C410" s="33" t="s">
        <v>620</v>
      </c>
      <c r="D410" s="33" t="s">
        <v>621</v>
      </c>
      <c r="E410" s="33" t="s">
        <v>624</v>
      </c>
      <c r="F410" s="33" t="s">
        <v>150</v>
      </c>
    </row>
    <row r="411" spans="1:6" x14ac:dyDescent="0.25">
      <c r="A411" s="34">
        <v>15</v>
      </c>
      <c r="B411" s="33" t="s">
        <v>619</v>
      </c>
      <c r="C411" s="33" t="s">
        <v>620</v>
      </c>
      <c r="D411" s="33" t="s">
        <v>621</v>
      </c>
      <c r="E411" s="33" t="s">
        <v>625</v>
      </c>
      <c r="F411" s="33" t="s">
        <v>150</v>
      </c>
    </row>
    <row r="412" spans="1:6" x14ac:dyDescent="0.25">
      <c r="A412" s="34">
        <v>15</v>
      </c>
      <c r="B412" s="33" t="s">
        <v>619</v>
      </c>
      <c r="C412" s="33" t="s">
        <v>620</v>
      </c>
      <c r="D412" s="33" t="s">
        <v>621</v>
      </c>
      <c r="E412" s="33" t="s">
        <v>626</v>
      </c>
      <c r="F412" s="33" t="s">
        <v>150</v>
      </c>
    </row>
    <row r="413" spans="1:6" x14ac:dyDescent="0.25">
      <c r="A413" s="34">
        <v>15</v>
      </c>
      <c r="B413" s="33" t="s">
        <v>619</v>
      </c>
      <c r="C413" s="33" t="s">
        <v>620</v>
      </c>
      <c r="D413" s="33" t="s">
        <v>621</v>
      </c>
      <c r="E413" s="33" t="s">
        <v>627</v>
      </c>
      <c r="F413" s="33" t="s">
        <v>150</v>
      </c>
    </row>
    <row r="414" spans="1:6" x14ac:dyDescent="0.25">
      <c r="A414" s="34">
        <v>15</v>
      </c>
      <c r="B414" s="33" t="s">
        <v>619</v>
      </c>
      <c r="C414" s="33" t="s">
        <v>620</v>
      </c>
      <c r="D414" s="33" t="s">
        <v>621</v>
      </c>
      <c r="E414" s="33" t="s">
        <v>628</v>
      </c>
      <c r="F414" s="33" t="s">
        <v>150</v>
      </c>
    </row>
    <row r="415" spans="1:6" x14ac:dyDescent="0.25">
      <c r="A415" s="34">
        <v>15</v>
      </c>
      <c r="B415" s="33" t="s">
        <v>619</v>
      </c>
      <c r="C415" s="33" t="s">
        <v>620</v>
      </c>
      <c r="D415" s="33" t="s">
        <v>621</v>
      </c>
      <c r="E415" s="33" t="s">
        <v>629</v>
      </c>
      <c r="F415" s="33" t="s">
        <v>150</v>
      </c>
    </row>
    <row r="416" spans="1:6" x14ac:dyDescent="0.25">
      <c r="A416" s="34">
        <v>15</v>
      </c>
      <c r="B416" s="33" t="s">
        <v>619</v>
      </c>
      <c r="C416" s="33" t="s">
        <v>620</v>
      </c>
      <c r="D416" s="33" t="s">
        <v>630</v>
      </c>
      <c r="E416" s="33" t="s">
        <v>631</v>
      </c>
      <c r="F416" s="34">
        <v>85</v>
      </c>
    </row>
    <row r="417" spans="1:6" x14ac:dyDescent="0.25">
      <c r="A417" s="34">
        <v>15</v>
      </c>
      <c r="B417" s="33" t="s">
        <v>619</v>
      </c>
      <c r="C417" s="33" t="s">
        <v>620</v>
      </c>
      <c r="D417" s="33" t="s">
        <v>630</v>
      </c>
      <c r="E417" s="33" t="s">
        <v>632</v>
      </c>
      <c r="F417" s="34">
        <v>92</v>
      </c>
    </row>
    <row r="418" spans="1:6" x14ac:dyDescent="0.25">
      <c r="A418" s="34">
        <v>15</v>
      </c>
      <c r="B418" s="33" t="s">
        <v>619</v>
      </c>
      <c r="C418" s="33" t="s">
        <v>620</v>
      </c>
      <c r="D418" s="33" t="s">
        <v>630</v>
      </c>
      <c r="E418" s="33" t="s">
        <v>633</v>
      </c>
      <c r="F418" s="34">
        <v>92</v>
      </c>
    </row>
    <row r="419" spans="1:6" x14ac:dyDescent="0.25">
      <c r="A419" s="34">
        <v>15</v>
      </c>
      <c r="B419" s="33" t="s">
        <v>619</v>
      </c>
      <c r="C419" s="33" t="s">
        <v>634</v>
      </c>
      <c r="D419" s="33" t="s">
        <v>621</v>
      </c>
      <c r="E419" s="33" t="s">
        <v>635</v>
      </c>
      <c r="F419" s="34">
        <v>1</v>
      </c>
    </row>
    <row r="420" spans="1:6" x14ac:dyDescent="0.25">
      <c r="A420" s="34">
        <v>15</v>
      </c>
      <c r="B420" s="33" t="s">
        <v>619</v>
      </c>
      <c r="C420" s="33" t="s">
        <v>634</v>
      </c>
      <c r="D420" s="33" t="s">
        <v>621</v>
      </c>
      <c r="E420" s="33" t="s">
        <v>636</v>
      </c>
      <c r="F420" s="34">
        <v>1</v>
      </c>
    </row>
    <row r="421" spans="1:6" x14ac:dyDescent="0.25">
      <c r="A421" s="34">
        <v>15</v>
      </c>
      <c r="B421" s="33" t="s">
        <v>619</v>
      </c>
      <c r="C421" s="33" t="s">
        <v>634</v>
      </c>
      <c r="D421" s="33" t="s">
        <v>621</v>
      </c>
      <c r="E421" s="33" t="s">
        <v>637</v>
      </c>
      <c r="F421" s="34">
        <v>5</v>
      </c>
    </row>
    <row r="422" spans="1:6" x14ac:dyDescent="0.25">
      <c r="A422" s="34">
        <v>15</v>
      </c>
      <c r="B422" s="33" t="s">
        <v>619</v>
      </c>
      <c r="C422" s="33" t="s">
        <v>634</v>
      </c>
      <c r="D422" s="33" t="s">
        <v>621</v>
      </c>
      <c r="E422" s="33" t="s">
        <v>638</v>
      </c>
      <c r="F422" s="34">
        <v>44</v>
      </c>
    </row>
    <row r="423" spans="1:6" x14ac:dyDescent="0.25">
      <c r="A423" s="34">
        <v>15</v>
      </c>
      <c r="B423" s="33" t="s">
        <v>619</v>
      </c>
      <c r="C423" s="33" t="s">
        <v>634</v>
      </c>
      <c r="D423" s="33" t="s">
        <v>630</v>
      </c>
      <c r="E423" s="33" t="s">
        <v>639</v>
      </c>
      <c r="F423" s="34">
        <v>93</v>
      </c>
    </row>
    <row r="424" spans="1:6" x14ac:dyDescent="0.25">
      <c r="A424" s="34">
        <v>15</v>
      </c>
      <c r="B424" s="33" t="s">
        <v>619</v>
      </c>
      <c r="C424" s="33" t="s">
        <v>634</v>
      </c>
      <c r="D424" s="33" t="s">
        <v>630</v>
      </c>
      <c r="E424" s="33" t="s">
        <v>640</v>
      </c>
      <c r="F424" s="33" t="s">
        <v>462</v>
      </c>
    </row>
    <row r="425" spans="1:6" x14ac:dyDescent="0.25">
      <c r="A425" s="34">
        <v>15</v>
      </c>
      <c r="B425" s="33" t="s">
        <v>619</v>
      </c>
      <c r="C425" s="33" t="s">
        <v>634</v>
      </c>
      <c r="D425" s="33" t="s">
        <v>630</v>
      </c>
      <c r="E425" s="33" t="s">
        <v>641</v>
      </c>
      <c r="F425" s="34">
        <v>93</v>
      </c>
    </row>
    <row r="426" spans="1:6" x14ac:dyDescent="0.25">
      <c r="A426" s="34">
        <v>15</v>
      </c>
      <c r="B426" s="33" t="s">
        <v>619</v>
      </c>
      <c r="C426" s="33" t="s">
        <v>642</v>
      </c>
      <c r="D426" s="33" t="s">
        <v>621</v>
      </c>
      <c r="E426" s="33" t="s">
        <v>643</v>
      </c>
      <c r="F426" s="34">
        <v>5</v>
      </c>
    </row>
    <row r="427" spans="1:6" x14ac:dyDescent="0.25">
      <c r="A427" s="34">
        <v>15</v>
      </c>
      <c r="B427" s="33" t="s">
        <v>619</v>
      </c>
      <c r="C427" s="33" t="s">
        <v>642</v>
      </c>
      <c r="D427" s="33" t="s">
        <v>621</v>
      </c>
      <c r="E427" s="33" t="s">
        <v>644</v>
      </c>
      <c r="F427" s="34">
        <v>5</v>
      </c>
    </row>
    <row r="428" spans="1:6" x14ac:dyDescent="0.25">
      <c r="A428" s="34">
        <v>15</v>
      </c>
      <c r="B428" s="33" t="s">
        <v>619</v>
      </c>
      <c r="C428" s="33" t="s">
        <v>642</v>
      </c>
      <c r="D428" s="33" t="s">
        <v>621</v>
      </c>
      <c r="E428" s="33" t="s">
        <v>645</v>
      </c>
      <c r="F428" s="34">
        <v>5</v>
      </c>
    </row>
    <row r="429" spans="1:6" x14ac:dyDescent="0.25">
      <c r="A429" s="34">
        <v>15</v>
      </c>
      <c r="B429" s="33" t="s">
        <v>619</v>
      </c>
      <c r="C429" s="33" t="s">
        <v>642</v>
      </c>
      <c r="D429" s="33" t="s">
        <v>621</v>
      </c>
      <c r="E429" s="33" t="s">
        <v>646</v>
      </c>
      <c r="F429" s="34">
        <v>5</v>
      </c>
    </row>
    <row r="430" spans="1:6" x14ac:dyDescent="0.25">
      <c r="A430" s="34">
        <v>15</v>
      </c>
      <c r="B430" s="33" t="s">
        <v>619</v>
      </c>
      <c r="C430" s="33" t="s">
        <v>642</v>
      </c>
      <c r="D430" s="33" t="s">
        <v>621</v>
      </c>
      <c r="E430" s="33" t="s">
        <v>647</v>
      </c>
      <c r="F430" s="34">
        <v>0</v>
      </c>
    </row>
    <row r="431" spans="1:6" x14ac:dyDescent="0.25">
      <c r="A431" s="34">
        <v>15</v>
      </c>
      <c r="B431" s="33" t="s">
        <v>619</v>
      </c>
      <c r="C431" s="33" t="s">
        <v>642</v>
      </c>
      <c r="D431" s="33" t="s">
        <v>621</v>
      </c>
      <c r="E431" s="33" t="s">
        <v>648</v>
      </c>
      <c r="F431" s="34">
        <v>5</v>
      </c>
    </row>
    <row r="432" spans="1:6" x14ac:dyDescent="0.25">
      <c r="A432" s="34">
        <v>15</v>
      </c>
      <c r="B432" s="33" t="s">
        <v>619</v>
      </c>
      <c r="C432" s="33" t="s">
        <v>642</v>
      </c>
      <c r="D432" s="33" t="s">
        <v>621</v>
      </c>
      <c r="E432" s="33" t="s">
        <v>649</v>
      </c>
      <c r="F432" s="34">
        <v>47</v>
      </c>
    </row>
    <row r="433" spans="1:6" x14ac:dyDescent="0.25">
      <c r="A433" s="34">
        <v>15</v>
      </c>
      <c r="B433" s="33" t="s">
        <v>619</v>
      </c>
      <c r="C433" s="33" t="s">
        <v>642</v>
      </c>
      <c r="D433" s="33" t="s">
        <v>630</v>
      </c>
      <c r="E433" s="33" t="s">
        <v>650</v>
      </c>
      <c r="F433" s="34">
        <v>92</v>
      </c>
    </row>
    <row r="434" spans="1:6" x14ac:dyDescent="0.25">
      <c r="A434" s="34">
        <v>15</v>
      </c>
      <c r="B434" s="33" t="s">
        <v>619</v>
      </c>
      <c r="C434" s="33" t="s">
        <v>642</v>
      </c>
      <c r="D434" s="33" t="s">
        <v>630</v>
      </c>
      <c r="E434" s="33" t="s">
        <v>651</v>
      </c>
      <c r="F434" s="34">
        <v>85</v>
      </c>
    </row>
    <row r="435" spans="1:6" x14ac:dyDescent="0.25">
      <c r="A435" s="34">
        <v>15</v>
      </c>
      <c r="B435" s="33" t="s">
        <v>619</v>
      </c>
      <c r="C435" s="33" t="s">
        <v>642</v>
      </c>
      <c r="D435" s="33" t="s">
        <v>630</v>
      </c>
      <c r="E435" s="33" t="s">
        <v>652</v>
      </c>
      <c r="F435" s="34">
        <v>92</v>
      </c>
    </row>
    <row r="436" spans="1:6" x14ac:dyDescent="0.25">
      <c r="A436" s="34">
        <v>15</v>
      </c>
      <c r="B436" s="33" t="s">
        <v>619</v>
      </c>
      <c r="C436" s="33" t="s">
        <v>653</v>
      </c>
      <c r="D436" s="33" t="s">
        <v>653</v>
      </c>
      <c r="E436" s="33" t="s">
        <v>654</v>
      </c>
      <c r="F436" s="34">
        <v>85</v>
      </c>
    </row>
    <row r="437" spans="1:6" x14ac:dyDescent="0.25">
      <c r="A437" s="34">
        <v>16</v>
      </c>
      <c r="B437" s="33" t="s">
        <v>619</v>
      </c>
      <c r="C437" s="33" t="s">
        <v>620</v>
      </c>
      <c r="D437" s="33" t="s">
        <v>621</v>
      </c>
      <c r="E437" s="33" t="s">
        <v>622</v>
      </c>
      <c r="F437" s="33" t="s">
        <v>150</v>
      </c>
    </row>
    <row r="438" spans="1:6" x14ac:dyDescent="0.25">
      <c r="A438" s="34">
        <v>16</v>
      </c>
      <c r="B438" s="33" t="s">
        <v>619</v>
      </c>
      <c r="C438" s="33" t="s">
        <v>620</v>
      </c>
      <c r="D438" s="33" t="s">
        <v>621</v>
      </c>
      <c r="E438" s="33" t="s">
        <v>623</v>
      </c>
      <c r="F438" s="33" t="s">
        <v>150</v>
      </c>
    </row>
    <row r="439" spans="1:6" x14ac:dyDescent="0.25">
      <c r="A439" s="34">
        <v>16</v>
      </c>
      <c r="B439" s="33" t="s">
        <v>619</v>
      </c>
      <c r="C439" s="33" t="s">
        <v>620</v>
      </c>
      <c r="D439" s="33" t="s">
        <v>621</v>
      </c>
      <c r="E439" s="33" t="s">
        <v>624</v>
      </c>
      <c r="F439" s="34">
        <v>0</v>
      </c>
    </row>
    <row r="440" spans="1:6" x14ac:dyDescent="0.25">
      <c r="A440" s="34">
        <v>16</v>
      </c>
      <c r="B440" s="33" t="s">
        <v>619</v>
      </c>
      <c r="C440" s="33" t="s">
        <v>620</v>
      </c>
      <c r="D440" s="33" t="s">
        <v>621</v>
      </c>
      <c r="E440" s="33" t="s">
        <v>625</v>
      </c>
      <c r="F440" s="34">
        <v>0</v>
      </c>
    </row>
    <row r="441" spans="1:6" x14ac:dyDescent="0.25">
      <c r="A441" s="34">
        <v>16</v>
      </c>
      <c r="B441" s="33" t="s">
        <v>619</v>
      </c>
      <c r="C441" s="33" t="s">
        <v>620</v>
      </c>
      <c r="D441" s="33" t="s">
        <v>621</v>
      </c>
      <c r="E441" s="33" t="s">
        <v>626</v>
      </c>
      <c r="F441" s="34">
        <v>0</v>
      </c>
    </row>
    <row r="442" spans="1:6" x14ac:dyDescent="0.25">
      <c r="A442" s="34">
        <v>16</v>
      </c>
      <c r="B442" s="33" t="s">
        <v>619</v>
      </c>
      <c r="C442" s="33" t="s">
        <v>620</v>
      </c>
      <c r="D442" s="33" t="s">
        <v>621</v>
      </c>
      <c r="E442" s="33" t="s">
        <v>627</v>
      </c>
      <c r="F442" s="34">
        <v>0</v>
      </c>
    </row>
    <row r="443" spans="1:6" x14ac:dyDescent="0.25">
      <c r="A443" s="34">
        <v>16</v>
      </c>
      <c r="B443" s="33" t="s">
        <v>619</v>
      </c>
      <c r="C443" s="33" t="s">
        <v>620</v>
      </c>
      <c r="D443" s="33" t="s">
        <v>621</v>
      </c>
      <c r="E443" s="33" t="s">
        <v>628</v>
      </c>
      <c r="F443" s="34">
        <v>0</v>
      </c>
    </row>
    <row r="444" spans="1:6" x14ac:dyDescent="0.25">
      <c r="A444" s="34">
        <v>16</v>
      </c>
      <c r="B444" s="33" t="s">
        <v>619</v>
      </c>
      <c r="C444" s="33" t="s">
        <v>620</v>
      </c>
      <c r="D444" s="33" t="s">
        <v>621</v>
      </c>
      <c r="E444" s="33" t="s">
        <v>629</v>
      </c>
      <c r="F444" s="34">
        <v>44</v>
      </c>
    </row>
    <row r="445" spans="1:6" x14ac:dyDescent="0.25">
      <c r="A445" s="34">
        <v>16</v>
      </c>
      <c r="B445" s="33" t="s">
        <v>619</v>
      </c>
      <c r="C445" s="33" t="s">
        <v>620</v>
      </c>
      <c r="D445" s="33" t="s">
        <v>630</v>
      </c>
      <c r="E445" s="33" t="s">
        <v>631</v>
      </c>
      <c r="F445" s="34">
        <v>60</v>
      </c>
    </row>
    <row r="446" spans="1:6" x14ac:dyDescent="0.25">
      <c r="A446" s="34">
        <v>16</v>
      </c>
      <c r="B446" s="33" t="s">
        <v>619</v>
      </c>
      <c r="C446" s="33" t="s">
        <v>620</v>
      </c>
      <c r="D446" s="33" t="s">
        <v>630</v>
      </c>
      <c r="E446" s="33" t="s">
        <v>632</v>
      </c>
      <c r="F446" s="33" t="s">
        <v>462</v>
      </c>
    </row>
    <row r="447" spans="1:6" x14ac:dyDescent="0.25">
      <c r="A447" s="34">
        <v>16</v>
      </c>
      <c r="B447" s="33" t="s">
        <v>619</v>
      </c>
      <c r="C447" s="33" t="s">
        <v>620</v>
      </c>
      <c r="D447" s="33" t="s">
        <v>630</v>
      </c>
      <c r="E447" s="33" t="s">
        <v>633</v>
      </c>
      <c r="F447" s="34">
        <v>60</v>
      </c>
    </row>
    <row r="448" spans="1:6" x14ac:dyDescent="0.25">
      <c r="A448" s="34">
        <v>16</v>
      </c>
      <c r="B448" s="33" t="s">
        <v>619</v>
      </c>
      <c r="C448" s="33" t="s">
        <v>634</v>
      </c>
      <c r="D448" s="33" t="s">
        <v>621</v>
      </c>
      <c r="E448" s="33" t="s">
        <v>635</v>
      </c>
      <c r="F448" s="34">
        <v>0</v>
      </c>
    </row>
    <row r="449" spans="1:6" x14ac:dyDescent="0.25">
      <c r="A449" s="34">
        <v>16</v>
      </c>
      <c r="B449" s="33" t="s">
        <v>619</v>
      </c>
      <c r="C449" s="33" t="s">
        <v>634</v>
      </c>
      <c r="D449" s="33" t="s">
        <v>621</v>
      </c>
      <c r="E449" s="33" t="s">
        <v>636</v>
      </c>
      <c r="F449" s="34">
        <v>0</v>
      </c>
    </row>
    <row r="450" spans="1:6" x14ac:dyDescent="0.25">
      <c r="A450" s="34">
        <v>16</v>
      </c>
      <c r="B450" s="33" t="s">
        <v>619</v>
      </c>
      <c r="C450" s="33" t="s">
        <v>634</v>
      </c>
      <c r="D450" s="33" t="s">
        <v>621</v>
      </c>
      <c r="E450" s="33" t="s">
        <v>637</v>
      </c>
      <c r="F450" s="34">
        <v>2.5</v>
      </c>
    </row>
    <row r="451" spans="1:6" x14ac:dyDescent="0.25">
      <c r="A451" s="34">
        <v>16</v>
      </c>
      <c r="B451" s="33" t="s">
        <v>619</v>
      </c>
      <c r="C451" s="33" t="s">
        <v>634</v>
      </c>
      <c r="D451" s="33" t="s">
        <v>621</v>
      </c>
      <c r="E451" s="33" t="s">
        <v>638</v>
      </c>
      <c r="F451" s="34">
        <v>49.5</v>
      </c>
    </row>
    <row r="452" spans="1:6" x14ac:dyDescent="0.25">
      <c r="A452" s="34">
        <v>16</v>
      </c>
      <c r="B452" s="33" t="s">
        <v>619</v>
      </c>
      <c r="C452" s="33" t="s">
        <v>634</v>
      </c>
      <c r="D452" s="33" t="s">
        <v>630</v>
      </c>
      <c r="E452" s="33" t="s">
        <v>639</v>
      </c>
      <c r="F452" s="34">
        <v>63</v>
      </c>
    </row>
    <row r="453" spans="1:6" x14ac:dyDescent="0.25">
      <c r="A453" s="34">
        <v>16</v>
      </c>
      <c r="B453" s="33" t="s">
        <v>619</v>
      </c>
      <c r="C453" s="33" t="s">
        <v>634</v>
      </c>
      <c r="D453" s="33" t="s">
        <v>630</v>
      </c>
      <c r="E453" s="33" t="s">
        <v>640</v>
      </c>
      <c r="F453" s="33" t="s">
        <v>462</v>
      </c>
    </row>
    <row r="454" spans="1:6" x14ac:dyDescent="0.25">
      <c r="A454" s="34">
        <v>16</v>
      </c>
      <c r="B454" s="33" t="s">
        <v>619</v>
      </c>
      <c r="C454" s="33" t="s">
        <v>634</v>
      </c>
      <c r="D454" s="33" t="s">
        <v>630</v>
      </c>
      <c r="E454" s="33" t="s">
        <v>641</v>
      </c>
      <c r="F454" s="34">
        <v>63</v>
      </c>
    </row>
    <row r="455" spans="1:6" x14ac:dyDescent="0.25">
      <c r="A455" s="34">
        <v>16</v>
      </c>
      <c r="B455" s="33" t="s">
        <v>619</v>
      </c>
      <c r="C455" s="33" t="s">
        <v>642</v>
      </c>
      <c r="D455" s="33" t="s">
        <v>621</v>
      </c>
      <c r="E455" s="33" t="s">
        <v>643</v>
      </c>
      <c r="F455" s="34">
        <v>0</v>
      </c>
    </row>
    <row r="456" spans="1:6" x14ac:dyDescent="0.25">
      <c r="A456" s="34">
        <v>16</v>
      </c>
      <c r="B456" s="33" t="s">
        <v>619</v>
      </c>
      <c r="C456" s="33" t="s">
        <v>642</v>
      </c>
      <c r="D456" s="33" t="s">
        <v>621</v>
      </c>
      <c r="E456" s="33" t="s">
        <v>644</v>
      </c>
      <c r="F456" s="34">
        <v>0</v>
      </c>
    </row>
    <row r="457" spans="1:6" x14ac:dyDescent="0.25">
      <c r="A457" s="34">
        <v>16</v>
      </c>
      <c r="B457" s="33" t="s">
        <v>619</v>
      </c>
      <c r="C457" s="33" t="s">
        <v>642</v>
      </c>
      <c r="D457" s="33" t="s">
        <v>621</v>
      </c>
      <c r="E457" s="33" t="s">
        <v>645</v>
      </c>
      <c r="F457" s="34">
        <v>0</v>
      </c>
    </row>
    <row r="458" spans="1:6" x14ac:dyDescent="0.25">
      <c r="A458" s="34">
        <v>16</v>
      </c>
      <c r="B458" s="33" t="s">
        <v>619</v>
      </c>
      <c r="C458" s="33" t="s">
        <v>642</v>
      </c>
      <c r="D458" s="33" t="s">
        <v>621</v>
      </c>
      <c r="E458" s="33" t="s">
        <v>646</v>
      </c>
      <c r="F458" s="34">
        <v>0</v>
      </c>
    </row>
    <row r="459" spans="1:6" x14ac:dyDescent="0.25">
      <c r="A459" s="34">
        <v>16</v>
      </c>
      <c r="B459" s="33" t="s">
        <v>619</v>
      </c>
      <c r="C459" s="33" t="s">
        <v>642</v>
      </c>
      <c r="D459" s="33" t="s">
        <v>621</v>
      </c>
      <c r="E459" s="33" t="s">
        <v>647</v>
      </c>
      <c r="F459" s="34">
        <v>0</v>
      </c>
    </row>
    <row r="460" spans="1:6" x14ac:dyDescent="0.25">
      <c r="A460" s="34">
        <v>16</v>
      </c>
      <c r="B460" s="33" t="s">
        <v>619</v>
      </c>
      <c r="C460" s="33" t="s">
        <v>642</v>
      </c>
      <c r="D460" s="33" t="s">
        <v>621</v>
      </c>
      <c r="E460" s="33" t="s">
        <v>648</v>
      </c>
      <c r="F460" s="34">
        <v>0</v>
      </c>
    </row>
    <row r="461" spans="1:6" x14ac:dyDescent="0.25">
      <c r="A461" s="34">
        <v>16</v>
      </c>
      <c r="B461" s="33" t="s">
        <v>619</v>
      </c>
      <c r="C461" s="33" t="s">
        <v>642</v>
      </c>
      <c r="D461" s="33" t="s">
        <v>621</v>
      </c>
      <c r="E461" s="33" t="s">
        <v>649</v>
      </c>
      <c r="F461" s="34">
        <v>50</v>
      </c>
    </row>
    <row r="462" spans="1:6" x14ac:dyDescent="0.25">
      <c r="A462" s="34">
        <v>16</v>
      </c>
      <c r="B462" s="33" t="s">
        <v>619</v>
      </c>
      <c r="C462" s="33" t="s">
        <v>642</v>
      </c>
      <c r="D462" s="33" t="s">
        <v>630</v>
      </c>
      <c r="E462" s="33" t="s">
        <v>650</v>
      </c>
      <c r="F462" s="34">
        <v>62</v>
      </c>
    </row>
    <row r="463" spans="1:6" x14ac:dyDescent="0.25">
      <c r="A463" s="34">
        <v>16</v>
      </c>
      <c r="B463" s="33" t="s">
        <v>619</v>
      </c>
      <c r="C463" s="33" t="s">
        <v>642</v>
      </c>
      <c r="D463" s="33" t="s">
        <v>630</v>
      </c>
      <c r="E463" s="33" t="s">
        <v>651</v>
      </c>
      <c r="F463" s="33" t="s">
        <v>462</v>
      </c>
    </row>
    <row r="464" spans="1:6" x14ac:dyDescent="0.25">
      <c r="A464" s="34">
        <v>16</v>
      </c>
      <c r="B464" s="33" t="s">
        <v>619</v>
      </c>
      <c r="C464" s="33" t="s">
        <v>642</v>
      </c>
      <c r="D464" s="33" t="s">
        <v>630</v>
      </c>
      <c r="E464" s="33" t="s">
        <v>652</v>
      </c>
      <c r="F464" s="34">
        <v>62</v>
      </c>
    </row>
    <row r="465" spans="1:6" x14ac:dyDescent="0.25">
      <c r="A465" s="34">
        <v>16</v>
      </c>
      <c r="B465" s="33" t="s">
        <v>619</v>
      </c>
      <c r="C465" s="33" t="s">
        <v>653</v>
      </c>
      <c r="D465" s="33" t="s">
        <v>653</v>
      </c>
      <c r="E465" s="33" t="s">
        <v>654</v>
      </c>
      <c r="F465" s="34">
        <v>30</v>
      </c>
    </row>
    <row r="466" spans="1:6" x14ac:dyDescent="0.25">
      <c r="A466" s="34">
        <v>17</v>
      </c>
      <c r="B466" s="33" t="s">
        <v>619</v>
      </c>
      <c r="C466" s="33" t="s">
        <v>620</v>
      </c>
      <c r="D466" s="33" t="s">
        <v>621</v>
      </c>
      <c r="E466" s="33" t="s">
        <v>622</v>
      </c>
      <c r="F466" s="34">
        <v>1</v>
      </c>
    </row>
    <row r="467" spans="1:6" x14ac:dyDescent="0.25">
      <c r="A467" s="34">
        <v>17</v>
      </c>
      <c r="B467" s="33" t="s">
        <v>619</v>
      </c>
      <c r="C467" s="33" t="s">
        <v>620</v>
      </c>
      <c r="D467" s="33" t="s">
        <v>621</v>
      </c>
      <c r="E467" s="33" t="s">
        <v>623</v>
      </c>
      <c r="F467" s="34">
        <v>1</v>
      </c>
    </row>
    <row r="468" spans="1:6" x14ac:dyDescent="0.25">
      <c r="A468" s="34">
        <v>17</v>
      </c>
      <c r="B468" s="33" t="s">
        <v>619</v>
      </c>
      <c r="C468" s="33" t="s">
        <v>620</v>
      </c>
      <c r="D468" s="33" t="s">
        <v>621</v>
      </c>
      <c r="E468" s="33" t="s">
        <v>624</v>
      </c>
      <c r="F468" s="34">
        <v>1</v>
      </c>
    </row>
    <row r="469" spans="1:6" x14ac:dyDescent="0.25">
      <c r="A469" s="34">
        <v>17</v>
      </c>
      <c r="B469" s="33" t="s">
        <v>619</v>
      </c>
      <c r="C469" s="33" t="s">
        <v>620</v>
      </c>
      <c r="D469" s="33" t="s">
        <v>621</v>
      </c>
      <c r="E469" s="33" t="s">
        <v>625</v>
      </c>
      <c r="F469" s="34">
        <v>1</v>
      </c>
    </row>
    <row r="470" spans="1:6" x14ac:dyDescent="0.25">
      <c r="A470" s="34">
        <v>17</v>
      </c>
      <c r="B470" s="33" t="s">
        <v>619</v>
      </c>
      <c r="C470" s="33" t="s">
        <v>620</v>
      </c>
      <c r="D470" s="33" t="s">
        <v>621</v>
      </c>
      <c r="E470" s="33" t="s">
        <v>626</v>
      </c>
      <c r="F470" s="34">
        <v>1</v>
      </c>
    </row>
    <row r="471" spans="1:6" x14ac:dyDescent="0.25">
      <c r="A471" s="34">
        <v>17</v>
      </c>
      <c r="B471" s="33" t="s">
        <v>619</v>
      </c>
      <c r="C471" s="33" t="s">
        <v>620</v>
      </c>
      <c r="D471" s="33" t="s">
        <v>621</v>
      </c>
      <c r="E471" s="33" t="s">
        <v>627</v>
      </c>
      <c r="F471" s="34">
        <v>0</v>
      </c>
    </row>
    <row r="472" spans="1:6" x14ac:dyDescent="0.25">
      <c r="A472" s="34">
        <v>17</v>
      </c>
      <c r="B472" s="33" t="s">
        <v>619</v>
      </c>
      <c r="C472" s="33" t="s">
        <v>620</v>
      </c>
      <c r="D472" s="33" t="s">
        <v>621</v>
      </c>
      <c r="E472" s="33" t="s">
        <v>628</v>
      </c>
      <c r="F472" s="34">
        <v>5</v>
      </c>
    </row>
    <row r="473" spans="1:6" x14ac:dyDescent="0.25">
      <c r="A473" s="34">
        <v>17</v>
      </c>
      <c r="B473" s="33" t="s">
        <v>619</v>
      </c>
      <c r="C473" s="33" t="s">
        <v>620</v>
      </c>
      <c r="D473" s="33" t="s">
        <v>621</v>
      </c>
      <c r="E473" s="33" t="s">
        <v>629</v>
      </c>
      <c r="F473" s="34">
        <v>48</v>
      </c>
    </row>
    <row r="474" spans="1:6" x14ac:dyDescent="0.25">
      <c r="A474" s="34">
        <v>17</v>
      </c>
      <c r="B474" s="33" t="s">
        <v>619</v>
      </c>
      <c r="C474" s="33" t="s">
        <v>620</v>
      </c>
      <c r="D474" s="33" t="s">
        <v>630</v>
      </c>
      <c r="E474" s="33" t="s">
        <v>631</v>
      </c>
      <c r="F474" s="34">
        <v>88</v>
      </c>
    </row>
    <row r="475" spans="1:6" x14ac:dyDescent="0.25">
      <c r="A475" s="34">
        <v>17</v>
      </c>
      <c r="B475" s="33" t="s">
        <v>619</v>
      </c>
      <c r="C475" s="33" t="s">
        <v>620</v>
      </c>
      <c r="D475" s="33" t="s">
        <v>630</v>
      </c>
      <c r="E475" s="33" t="s">
        <v>632</v>
      </c>
      <c r="F475" s="34">
        <v>95</v>
      </c>
    </row>
    <row r="476" spans="1:6" x14ac:dyDescent="0.25">
      <c r="A476" s="34">
        <v>17</v>
      </c>
      <c r="B476" s="33" t="s">
        <v>619</v>
      </c>
      <c r="C476" s="33" t="s">
        <v>620</v>
      </c>
      <c r="D476" s="33" t="s">
        <v>630</v>
      </c>
      <c r="E476" s="33" t="s">
        <v>633</v>
      </c>
      <c r="F476" s="34">
        <v>88</v>
      </c>
    </row>
    <row r="477" spans="1:6" x14ac:dyDescent="0.25">
      <c r="A477" s="34">
        <v>17</v>
      </c>
      <c r="B477" s="33" t="s">
        <v>619</v>
      </c>
      <c r="C477" s="33" t="s">
        <v>634</v>
      </c>
      <c r="D477" s="33" t="s">
        <v>621</v>
      </c>
      <c r="E477" s="33" t="s">
        <v>635</v>
      </c>
      <c r="F477" s="34">
        <v>1</v>
      </c>
    </row>
    <row r="478" spans="1:6" x14ac:dyDescent="0.25">
      <c r="A478" s="34">
        <v>17</v>
      </c>
      <c r="B478" s="33" t="s">
        <v>619</v>
      </c>
      <c r="C478" s="33" t="s">
        <v>634</v>
      </c>
      <c r="D478" s="33" t="s">
        <v>621</v>
      </c>
      <c r="E478" s="33" t="s">
        <v>636</v>
      </c>
      <c r="F478" s="34">
        <v>1</v>
      </c>
    </row>
    <row r="479" spans="1:6" x14ac:dyDescent="0.25">
      <c r="A479" s="34">
        <v>17</v>
      </c>
      <c r="B479" s="33" t="s">
        <v>619</v>
      </c>
      <c r="C479" s="33" t="s">
        <v>634</v>
      </c>
      <c r="D479" s="33" t="s">
        <v>621</v>
      </c>
      <c r="E479" s="33" t="s">
        <v>637</v>
      </c>
      <c r="F479" s="34">
        <v>5</v>
      </c>
    </row>
    <row r="480" spans="1:6" x14ac:dyDescent="0.25">
      <c r="A480" s="34">
        <v>17</v>
      </c>
      <c r="B480" s="33" t="s">
        <v>619</v>
      </c>
      <c r="C480" s="33" t="s">
        <v>634</v>
      </c>
      <c r="D480" s="33" t="s">
        <v>621</v>
      </c>
      <c r="E480" s="33" t="s">
        <v>638</v>
      </c>
      <c r="F480" s="34">
        <v>50</v>
      </c>
    </row>
    <row r="481" spans="1:6" x14ac:dyDescent="0.25">
      <c r="A481" s="34">
        <v>17</v>
      </c>
      <c r="B481" s="33" t="s">
        <v>619</v>
      </c>
      <c r="C481" s="33" t="s">
        <v>634</v>
      </c>
      <c r="D481" s="33" t="s">
        <v>630</v>
      </c>
      <c r="E481" s="33" t="s">
        <v>639</v>
      </c>
      <c r="F481" s="34">
        <v>86</v>
      </c>
    </row>
    <row r="482" spans="1:6" x14ac:dyDescent="0.25">
      <c r="A482" s="34">
        <v>17</v>
      </c>
      <c r="B482" s="33" t="s">
        <v>619</v>
      </c>
      <c r="C482" s="33" t="s">
        <v>634</v>
      </c>
      <c r="D482" s="33" t="s">
        <v>630</v>
      </c>
      <c r="E482" s="33" t="s">
        <v>640</v>
      </c>
      <c r="F482" s="34">
        <v>85</v>
      </c>
    </row>
    <row r="483" spans="1:6" x14ac:dyDescent="0.25">
      <c r="A483" s="34">
        <v>17</v>
      </c>
      <c r="B483" s="33" t="s">
        <v>619</v>
      </c>
      <c r="C483" s="33" t="s">
        <v>634</v>
      </c>
      <c r="D483" s="33" t="s">
        <v>630</v>
      </c>
      <c r="E483" s="33" t="s">
        <v>641</v>
      </c>
      <c r="F483" s="34">
        <v>86</v>
      </c>
    </row>
    <row r="484" spans="1:6" x14ac:dyDescent="0.25">
      <c r="A484" s="34">
        <v>17</v>
      </c>
      <c r="B484" s="33" t="s">
        <v>619</v>
      </c>
      <c r="C484" s="33" t="s">
        <v>642</v>
      </c>
      <c r="D484" s="33" t="s">
        <v>621</v>
      </c>
      <c r="E484" s="33" t="s">
        <v>643</v>
      </c>
      <c r="F484" s="34">
        <v>5</v>
      </c>
    </row>
    <row r="485" spans="1:6" x14ac:dyDescent="0.25">
      <c r="A485" s="34">
        <v>17</v>
      </c>
      <c r="B485" s="33" t="s">
        <v>619</v>
      </c>
      <c r="C485" s="33" t="s">
        <v>642</v>
      </c>
      <c r="D485" s="33" t="s">
        <v>621</v>
      </c>
      <c r="E485" s="33" t="s">
        <v>644</v>
      </c>
      <c r="F485" s="34">
        <v>5</v>
      </c>
    </row>
    <row r="486" spans="1:6" x14ac:dyDescent="0.25">
      <c r="A486" s="34">
        <v>17</v>
      </c>
      <c r="B486" s="33" t="s">
        <v>619</v>
      </c>
      <c r="C486" s="33" t="s">
        <v>642</v>
      </c>
      <c r="D486" s="33" t="s">
        <v>621</v>
      </c>
      <c r="E486" s="33" t="s">
        <v>645</v>
      </c>
      <c r="F486" s="34">
        <v>5</v>
      </c>
    </row>
    <row r="487" spans="1:6" x14ac:dyDescent="0.25">
      <c r="A487" s="34">
        <v>17</v>
      </c>
      <c r="B487" s="33" t="s">
        <v>619</v>
      </c>
      <c r="C487" s="33" t="s">
        <v>642</v>
      </c>
      <c r="D487" s="33" t="s">
        <v>621</v>
      </c>
      <c r="E487" s="33" t="s">
        <v>646</v>
      </c>
      <c r="F487" s="34">
        <v>5</v>
      </c>
    </row>
    <row r="488" spans="1:6" x14ac:dyDescent="0.25">
      <c r="A488" s="34">
        <v>17</v>
      </c>
      <c r="B488" s="33" t="s">
        <v>619</v>
      </c>
      <c r="C488" s="33" t="s">
        <v>642</v>
      </c>
      <c r="D488" s="33" t="s">
        <v>621</v>
      </c>
      <c r="E488" s="33" t="s">
        <v>647</v>
      </c>
      <c r="F488" s="34">
        <v>5</v>
      </c>
    </row>
    <row r="489" spans="1:6" x14ac:dyDescent="0.25">
      <c r="A489" s="34">
        <v>17</v>
      </c>
      <c r="B489" s="33" t="s">
        <v>619</v>
      </c>
      <c r="C489" s="33" t="s">
        <v>642</v>
      </c>
      <c r="D489" s="33" t="s">
        <v>621</v>
      </c>
      <c r="E489" s="33" t="s">
        <v>648</v>
      </c>
      <c r="F489" s="34">
        <v>5</v>
      </c>
    </row>
    <row r="490" spans="1:6" x14ac:dyDescent="0.25">
      <c r="A490" s="34">
        <v>17</v>
      </c>
      <c r="B490" s="33" t="s">
        <v>619</v>
      </c>
      <c r="C490" s="33" t="s">
        <v>642</v>
      </c>
      <c r="D490" s="33" t="s">
        <v>621</v>
      </c>
      <c r="E490" s="33" t="s">
        <v>649</v>
      </c>
      <c r="F490" s="34">
        <v>50</v>
      </c>
    </row>
    <row r="491" spans="1:6" x14ac:dyDescent="0.25">
      <c r="A491" s="34">
        <v>17</v>
      </c>
      <c r="B491" s="33" t="s">
        <v>619</v>
      </c>
      <c r="C491" s="33" t="s">
        <v>642</v>
      </c>
      <c r="D491" s="33" t="s">
        <v>630</v>
      </c>
      <c r="E491" s="33" t="s">
        <v>650</v>
      </c>
      <c r="F491" s="34">
        <v>88</v>
      </c>
    </row>
    <row r="492" spans="1:6" x14ac:dyDescent="0.25">
      <c r="A492" s="34">
        <v>17</v>
      </c>
      <c r="B492" s="33" t="s">
        <v>619</v>
      </c>
      <c r="C492" s="33" t="s">
        <v>642</v>
      </c>
      <c r="D492" s="33" t="s">
        <v>630</v>
      </c>
      <c r="E492" s="33" t="s">
        <v>651</v>
      </c>
      <c r="F492" s="34">
        <v>88</v>
      </c>
    </row>
    <row r="493" spans="1:6" x14ac:dyDescent="0.25">
      <c r="A493" s="34">
        <v>17</v>
      </c>
      <c r="B493" s="33" t="s">
        <v>619</v>
      </c>
      <c r="C493" s="33" t="s">
        <v>642</v>
      </c>
      <c r="D493" s="33" t="s">
        <v>630</v>
      </c>
      <c r="E493" s="33" t="s">
        <v>652</v>
      </c>
      <c r="F493" s="34">
        <v>88</v>
      </c>
    </row>
    <row r="494" spans="1:6" x14ac:dyDescent="0.25">
      <c r="A494" s="34">
        <v>17</v>
      </c>
      <c r="B494" s="33" t="s">
        <v>619</v>
      </c>
      <c r="C494" s="33" t="s">
        <v>653</v>
      </c>
      <c r="D494" s="33" t="s">
        <v>653</v>
      </c>
      <c r="E494" s="33" t="s">
        <v>654</v>
      </c>
      <c r="F494" s="34">
        <v>78</v>
      </c>
    </row>
    <row r="495" spans="1:6" x14ac:dyDescent="0.25">
      <c r="A495" s="34">
        <v>18</v>
      </c>
      <c r="B495" s="33" t="s">
        <v>619</v>
      </c>
      <c r="C495" s="33" t="s">
        <v>620</v>
      </c>
      <c r="D495" s="33" t="s">
        <v>621</v>
      </c>
      <c r="E495" s="33" t="s">
        <v>622</v>
      </c>
      <c r="F495" s="33" t="s">
        <v>462</v>
      </c>
    </row>
    <row r="496" spans="1:6" x14ac:dyDescent="0.25">
      <c r="A496" s="34">
        <v>18</v>
      </c>
      <c r="B496" s="33" t="s">
        <v>619</v>
      </c>
      <c r="C496" s="33" t="s">
        <v>620</v>
      </c>
      <c r="D496" s="33" t="s">
        <v>621</v>
      </c>
      <c r="E496" s="33" t="s">
        <v>623</v>
      </c>
      <c r="F496" s="33" t="s">
        <v>462</v>
      </c>
    </row>
    <row r="497" spans="1:6" x14ac:dyDescent="0.25">
      <c r="A497" s="34">
        <v>18</v>
      </c>
      <c r="B497" s="33" t="s">
        <v>619</v>
      </c>
      <c r="C497" s="33" t="s">
        <v>620</v>
      </c>
      <c r="D497" s="33" t="s">
        <v>621</v>
      </c>
      <c r="E497" s="33" t="s">
        <v>624</v>
      </c>
      <c r="F497" s="33" t="s">
        <v>462</v>
      </c>
    </row>
    <row r="498" spans="1:6" x14ac:dyDescent="0.25">
      <c r="A498" s="34">
        <v>18</v>
      </c>
      <c r="B498" s="33" t="s">
        <v>619</v>
      </c>
      <c r="C498" s="33" t="s">
        <v>620</v>
      </c>
      <c r="D498" s="33" t="s">
        <v>621</v>
      </c>
      <c r="E498" s="33" t="s">
        <v>625</v>
      </c>
      <c r="F498" s="33" t="s">
        <v>462</v>
      </c>
    </row>
    <row r="499" spans="1:6" x14ac:dyDescent="0.25">
      <c r="A499" s="34">
        <v>18</v>
      </c>
      <c r="B499" s="33" t="s">
        <v>619</v>
      </c>
      <c r="C499" s="33" t="s">
        <v>620</v>
      </c>
      <c r="D499" s="33" t="s">
        <v>621</v>
      </c>
      <c r="E499" s="33" t="s">
        <v>626</v>
      </c>
      <c r="F499" s="33" t="s">
        <v>462</v>
      </c>
    </row>
    <row r="500" spans="1:6" x14ac:dyDescent="0.25">
      <c r="A500" s="34">
        <v>18</v>
      </c>
      <c r="B500" s="33" t="s">
        <v>619</v>
      </c>
      <c r="C500" s="33" t="s">
        <v>620</v>
      </c>
      <c r="D500" s="33" t="s">
        <v>621</v>
      </c>
      <c r="E500" s="33" t="s">
        <v>627</v>
      </c>
      <c r="F500" s="33" t="s">
        <v>462</v>
      </c>
    </row>
    <row r="501" spans="1:6" x14ac:dyDescent="0.25">
      <c r="A501" s="34">
        <v>18</v>
      </c>
      <c r="B501" s="33" t="s">
        <v>619</v>
      </c>
      <c r="C501" s="33" t="s">
        <v>620</v>
      </c>
      <c r="D501" s="33" t="s">
        <v>621</v>
      </c>
      <c r="E501" s="33" t="s">
        <v>628</v>
      </c>
      <c r="F501" s="33" t="s">
        <v>462</v>
      </c>
    </row>
    <row r="502" spans="1:6" x14ac:dyDescent="0.25">
      <c r="A502" s="34">
        <v>18</v>
      </c>
      <c r="B502" s="33" t="s">
        <v>619</v>
      </c>
      <c r="C502" s="33" t="s">
        <v>620</v>
      </c>
      <c r="D502" s="33" t="s">
        <v>621</v>
      </c>
      <c r="E502" s="33" t="s">
        <v>629</v>
      </c>
      <c r="F502" s="33" t="s">
        <v>462</v>
      </c>
    </row>
    <row r="503" spans="1:6" x14ac:dyDescent="0.25">
      <c r="A503" s="34">
        <v>18</v>
      </c>
      <c r="B503" s="33" t="s">
        <v>619</v>
      </c>
      <c r="C503" s="33" t="s">
        <v>620</v>
      </c>
      <c r="D503" s="33" t="s">
        <v>630</v>
      </c>
      <c r="E503" s="33" t="s">
        <v>631</v>
      </c>
      <c r="F503" s="34">
        <v>72</v>
      </c>
    </row>
    <row r="504" spans="1:6" x14ac:dyDescent="0.25">
      <c r="A504" s="34">
        <v>18</v>
      </c>
      <c r="B504" s="33" t="s">
        <v>619</v>
      </c>
      <c r="C504" s="33" t="s">
        <v>620</v>
      </c>
      <c r="D504" s="33" t="s">
        <v>630</v>
      </c>
      <c r="E504" s="33" t="s">
        <v>632</v>
      </c>
      <c r="F504" s="33" t="s">
        <v>462</v>
      </c>
    </row>
    <row r="505" spans="1:6" x14ac:dyDescent="0.25">
      <c r="A505" s="34">
        <v>18</v>
      </c>
      <c r="B505" s="33" t="s">
        <v>619</v>
      </c>
      <c r="C505" s="33" t="s">
        <v>620</v>
      </c>
      <c r="D505" s="33" t="s">
        <v>630</v>
      </c>
      <c r="E505" s="33" t="s">
        <v>633</v>
      </c>
      <c r="F505" s="34">
        <v>72</v>
      </c>
    </row>
    <row r="506" spans="1:6" x14ac:dyDescent="0.25">
      <c r="A506" s="34">
        <v>18</v>
      </c>
      <c r="B506" s="33" t="s">
        <v>619</v>
      </c>
      <c r="C506" s="33" t="s">
        <v>634</v>
      </c>
      <c r="D506" s="33" t="s">
        <v>621</v>
      </c>
      <c r="E506" s="33" t="s">
        <v>635</v>
      </c>
      <c r="F506" s="34">
        <v>1</v>
      </c>
    </row>
    <row r="507" spans="1:6" x14ac:dyDescent="0.25">
      <c r="A507" s="34">
        <v>18</v>
      </c>
      <c r="B507" s="33" t="s">
        <v>619</v>
      </c>
      <c r="C507" s="33" t="s">
        <v>634</v>
      </c>
      <c r="D507" s="33" t="s">
        <v>621</v>
      </c>
      <c r="E507" s="33" t="s">
        <v>636</v>
      </c>
      <c r="F507" s="34">
        <v>1</v>
      </c>
    </row>
    <row r="508" spans="1:6" x14ac:dyDescent="0.25">
      <c r="A508" s="34">
        <v>18</v>
      </c>
      <c r="B508" s="33" t="s">
        <v>619</v>
      </c>
      <c r="C508" s="33" t="s">
        <v>634</v>
      </c>
      <c r="D508" s="33" t="s">
        <v>621</v>
      </c>
      <c r="E508" s="33" t="s">
        <v>637</v>
      </c>
      <c r="F508" s="34">
        <v>5</v>
      </c>
    </row>
    <row r="509" spans="1:6" x14ac:dyDescent="0.25">
      <c r="A509" s="34">
        <v>18</v>
      </c>
      <c r="B509" s="33" t="s">
        <v>619</v>
      </c>
      <c r="C509" s="33" t="s">
        <v>634</v>
      </c>
      <c r="D509" s="33" t="s">
        <v>621</v>
      </c>
      <c r="E509" s="33" t="s">
        <v>638</v>
      </c>
      <c r="F509" s="34">
        <v>50</v>
      </c>
    </row>
    <row r="510" spans="1:6" x14ac:dyDescent="0.25">
      <c r="A510" s="34">
        <v>18</v>
      </c>
      <c r="B510" s="33" t="s">
        <v>619</v>
      </c>
      <c r="C510" s="33" t="s">
        <v>634</v>
      </c>
      <c r="D510" s="33" t="s">
        <v>630</v>
      </c>
      <c r="E510" s="33" t="s">
        <v>639</v>
      </c>
      <c r="F510" s="34">
        <v>95</v>
      </c>
    </row>
    <row r="511" spans="1:6" x14ac:dyDescent="0.25">
      <c r="A511" s="34">
        <v>18</v>
      </c>
      <c r="B511" s="33" t="s">
        <v>619</v>
      </c>
      <c r="C511" s="33" t="s">
        <v>634</v>
      </c>
      <c r="D511" s="33" t="s">
        <v>630</v>
      </c>
      <c r="E511" s="33" t="s">
        <v>640</v>
      </c>
      <c r="F511" s="34">
        <v>88</v>
      </c>
    </row>
    <row r="512" spans="1:6" x14ac:dyDescent="0.25">
      <c r="A512" s="34">
        <v>18</v>
      </c>
      <c r="B512" s="33" t="s">
        <v>619</v>
      </c>
      <c r="C512" s="33" t="s">
        <v>634</v>
      </c>
      <c r="D512" s="33" t="s">
        <v>630</v>
      </c>
      <c r="E512" s="33" t="s">
        <v>641</v>
      </c>
      <c r="F512" s="34">
        <v>95</v>
      </c>
    </row>
    <row r="513" spans="1:6" x14ac:dyDescent="0.25">
      <c r="A513" s="34">
        <v>18</v>
      </c>
      <c r="B513" s="33" t="s">
        <v>619</v>
      </c>
      <c r="C513" s="33" t="s">
        <v>642</v>
      </c>
      <c r="D513" s="33" t="s">
        <v>621</v>
      </c>
      <c r="E513" s="33" t="s">
        <v>643</v>
      </c>
      <c r="F513" s="34">
        <v>5</v>
      </c>
    </row>
    <row r="514" spans="1:6" x14ac:dyDescent="0.25">
      <c r="A514" s="34">
        <v>18</v>
      </c>
      <c r="B514" s="33" t="s">
        <v>619</v>
      </c>
      <c r="C514" s="33" t="s">
        <v>642</v>
      </c>
      <c r="D514" s="33" t="s">
        <v>621</v>
      </c>
      <c r="E514" s="33" t="s">
        <v>644</v>
      </c>
      <c r="F514" s="34">
        <v>5</v>
      </c>
    </row>
    <row r="515" spans="1:6" x14ac:dyDescent="0.25">
      <c r="A515" s="34">
        <v>18</v>
      </c>
      <c r="B515" s="33" t="s">
        <v>619</v>
      </c>
      <c r="C515" s="33" t="s">
        <v>642</v>
      </c>
      <c r="D515" s="33" t="s">
        <v>621</v>
      </c>
      <c r="E515" s="33" t="s">
        <v>645</v>
      </c>
      <c r="F515" s="34">
        <v>5</v>
      </c>
    </row>
    <row r="516" spans="1:6" x14ac:dyDescent="0.25">
      <c r="A516" s="34">
        <v>18</v>
      </c>
      <c r="B516" s="33" t="s">
        <v>619</v>
      </c>
      <c r="C516" s="33" t="s">
        <v>642</v>
      </c>
      <c r="D516" s="33" t="s">
        <v>621</v>
      </c>
      <c r="E516" s="33" t="s">
        <v>646</v>
      </c>
      <c r="F516" s="34">
        <v>5</v>
      </c>
    </row>
    <row r="517" spans="1:6" x14ac:dyDescent="0.25">
      <c r="A517" s="34">
        <v>18</v>
      </c>
      <c r="B517" s="33" t="s">
        <v>619</v>
      </c>
      <c r="C517" s="33" t="s">
        <v>642</v>
      </c>
      <c r="D517" s="33" t="s">
        <v>621</v>
      </c>
      <c r="E517" s="33" t="s">
        <v>647</v>
      </c>
      <c r="F517" s="34">
        <v>5</v>
      </c>
    </row>
    <row r="518" spans="1:6" x14ac:dyDescent="0.25">
      <c r="A518" s="34">
        <v>18</v>
      </c>
      <c r="B518" s="33" t="s">
        <v>619</v>
      </c>
      <c r="C518" s="33" t="s">
        <v>642</v>
      </c>
      <c r="D518" s="33" t="s">
        <v>621</v>
      </c>
      <c r="E518" s="33" t="s">
        <v>648</v>
      </c>
      <c r="F518" s="34">
        <v>5</v>
      </c>
    </row>
    <row r="519" spans="1:6" x14ac:dyDescent="0.25">
      <c r="A519" s="34">
        <v>18</v>
      </c>
      <c r="B519" s="33" t="s">
        <v>619</v>
      </c>
      <c r="C519" s="33" t="s">
        <v>642</v>
      </c>
      <c r="D519" s="33" t="s">
        <v>621</v>
      </c>
      <c r="E519" s="33" t="s">
        <v>649</v>
      </c>
      <c r="F519" s="34">
        <v>50</v>
      </c>
    </row>
    <row r="520" spans="1:6" x14ac:dyDescent="0.25">
      <c r="A520" s="34">
        <v>18</v>
      </c>
      <c r="B520" s="33" t="s">
        <v>619</v>
      </c>
      <c r="C520" s="33" t="s">
        <v>642</v>
      </c>
      <c r="D520" s="33" t="s">
        <v>630</v>
      </c>
      <c r="E520" s="33" t="s">
        <v>650</v>
      </c>
      <c r="F520" s="34">
        <v>85</v>
      </c>
    </row>
    <row r="521" spans="1:6" x14ac:dyDescent="0.25">
      <c r="A521" s="34">
        <v>18</v>
      </c>
      <c r="B521" s="33" t="s">
        <v>619</v>
      </c>
      <c r="C521" s="33" t="s">
        <v>642</v>
      </c>
      <c r="D521" s="33" t="s">
        <v>630</v>
      </c>
      <c r="E521" s="33" t="s">
        <v>651</v>
      </c>
      <c r="F521" s="34">
        <v>95</v>
      </c>
    </row>
    <row r="522" spans="1:6" x14ac:dyDescent="0.25">
      <c r="A522" s="34">
        <v>18</v>
      </c>
      <c r="B522" s="33" t="s">
        <v>619</v>
      </c>
      <c r="C522" s="33" t="s">
        <v>642</v>
      </c>
      <c r="D522" s="33" t="s">
        <v>630</v>
      </c>
      <c r="E522" s="33" t="s">
        <v>652</v>
      </c>
      <c r="F522" s="34">
        <v>95</v>
      </c>
    </row>
    <row r="523" spans="1:6" x14ac:dyDescent="0.25">
      <c r="A523" s="34">
        <v>18</v>
      </c>
      <c r="B523" s="33" t="s">
        <v>619</v>
      </c>
      <c r="C523" s="33" t="s">
        <v>653</v>
      </c>
      <c r="D523" s="33" t="s">
        <v>653</v>
      </c>
      <c r="E523" s="33" t="s">
        <v>654</v>
      </c>
      <c r="F523" s="34">
        <v>72</v>
      </c>
    </row>
    <row r="524" spans="1:6" x14ac:dyDescent="0.25">
      <c r="A524" s="34">
        <v>19</v>
      </c>
      <c r="B524" s="33" t="s">
        <v>619</v>
      </c>
      <c r="C524" s="33" t="s">
        <v>620</v>
      </c>
      <c r="D524" s="33" t="s">
        <v>621</v>
      </c>
      <c r="E524" s="33" t="s">
        <v>622</v>
      </c>
      <c r="F524" s="34">
        <v>1</v>
      </c>
    </row>
    <row r="525" spans="1:6" x14ac:dyDescent="0.25">
      <c r="A525" s="34">
        <v>19</v>
      </c>
      <c r="B525" s="33" t="s">
        <v>619</v>
      </c>
      <c r="C525" s="33" t="s">
        <v>620</v>
      </c>
      <c r="D525" s="33" t="s">
        <v>621</v>
      </c>
      <c r="E525" s="33" t="s">
        <v>623</v>
      </c>
      <c r="F525" s="34">
        <v>1</v>
      </c>
    </row>
    <row r="526" spans="1:6" x14ac:dyDescent="0.25">
      <c r="A526" s="34">
        <v>19</v>
      </c>
      <c r="B526" s="33" t="s">
        <v>619</v>
      </c>
      <c r="C526" s="33" t="s">
        <v>620</v>
      </c>
      <c r="D526" s="33" t="s">
        <v>621</v>
      </c>
      <c r="E526" s="33" t="s">
        <v>624</v>
      </c>
      <c r="F526" s="34">
        <v>1</v>
      </c>
    </row>
    <row r="527" spans="1:6" x14ac:dyDescent="0.25">
      <c r="A527" s="34">
        <v>19</v>
      </c>
      <c r="B527" s="33" t="s">
        <v>619</v>
      </c>
      <c r="C527" s="33" t="s">
        <v>620</v>
      </c>
      <c r="D527" s="33" t="s">
        <v>621</v>
      </c>
      <c r="E527" s="33" t="s">
        <v>625</v>
      </c>
      <c r="F527" s="34">
        <v>1</v>
      </c>
    </row>
    <row r="528" spans="1:6" x14ac:dyDescent="0.25">
      <c r="A528" s="34">
        <v>19</v>
      </c>
      <c r="B528" s="33" t="s">
        <v>619</v>
      </c>
      <c r="C528" s="33" t="s">
        <v>620</v>
      </c>
      <c r="D528" s="33" t="s">
        <v>621</v>
      </c>
      <c r="E528" s="33" t="s">
        <v>626</v>
      </c>
      <c r="F528" s="34">
        <v>1</v>
      </c>
    </row>
    <row r="529" spans="1:6" x14ac:dyDescent="0.25">
      <c r="A529" s="34">
        <v>19</v>
      </c>
      <c r="B529" s="33" t="s">
        <v>619</v>
      </c>
      <c r="C529" s="33" t="s">
        <v>620</v>
      </c>
      <c r="D529" s="33" t="s">
        <v>621</v>
      </c>
      <c r="E529" s="33" t="s">
        <v>627</v>
      </c>
      <c r="F529" s="34">
        <v>0</v>
      </c>
    </row>
    <row r="530" spans="1:6" x14ac:dyDescent="0.25">
      <c r="A530" s="34">
        <v>19</v>
      </c>
      <c r="B530" s="33" t="s">
        <v>619</v>
      </c>
      <c r="C530" s="33" t="s">
        <v>620</v>
      </c>
      <c r="D530" s="33" t="s">
        <v>621</v>
      </c>
      <c r="E530" s="33" t="s">
        <v>628</v>
      </c>
      <c r="F530" s="34">
        <v>5</v>
      </c>
    </row>
    <row r="531" spans="1:6" x14ac:dyDescent="0.25">
      <c r="A531" s="34">
        <v>19</v>
      </c>
      <c r="B531" s="33" t="s">
        <v>619</v>
      </c>
      <c r="C531" s="33" t="s">
        <v>620</v>
      </c>
      <c r="D531" s="33" t="s">
        <v>621</v>
      </c>
      <c r="E531" s="33" t="s">
        <v>629</v>
      </c>
      <c r="F531" s="34">
        <v>39</v>
      </c>
    </row>
    <row r="532" spans="1:6" x14ac:dyDescent="0.25">
      <c r="A532" s="34">
        <v>19</v>
      </c>
      <c r="B532" s="33" t="s">
        <v>619</v>
      </c>
      <c r="C532" s="33" t="s">
        <v>620</v>
      </c>
      <c r="D532" s="33" t="s">
        <v>630</v>
      </c>
      <c r="E532" s="33" t="s">
        <v>631</v>
      </c>
      <c r="F532" s="34">
        <v>90</v>
      </c>
    </row>
    <row r="533" spans="1:6" x14ac:dyDescent="0.25">
      <c r="A533" s="34">
        <v>19</v>
      </c>
      <c r="B533" s="33" t="s">
        <v>619</v>
      </c>
      <c r="C533" s="33" t="s">
        <v>620</v>
      </c>
      <c r="D533" s="33" t="s">
        <v>630</v>
      </c>
      <c r="E533" s="33" t="s">
        <v>632</v>
      </c>
      <c r="F533" s="33" t="s">
        <v>462</v>
      </c>
    </row>
    <row r="534" spans="1:6" x14ac:dyDescent="0.25">
      <c r="A534" s="34">
        <v>19</v>
      </c>
      <c r="B534" s="33" t="s">
        <v>619</v>
      </c>
      <c r="C534" s="33" t="s">
        <v>620</v>
      </c>
      <c r="D534" s="33" t="s">
        <v>630</v>
      </c>
      <c r="E534" s="33" t="s">
        <v>633</v>
      </c>
      <c r="F534" s="34">
        <v>90</v>
      </c>
    </row>
    <row r="535" spans="1:6" x14ac:dyDescent="0.25">
      <c r="A535" s="34">
        <v>19</v>
      </c>
      <c r="B535" s="33" t="s">
        <v>619</v>
      </c>
      <c r="C535" s="33" t="s">
        <v>634</v>
      </c>
      <c r="D535" s="33" t="s">
        <v>621</v>
      </c>
      <c r="E535" s="33" t="s">
        <v>635</v>
      </c>
      <c r="F535" s="34">
        <v>1</v>
      </c>
    </row>
    <row r="536" spans="1:6" x14ac:dyDescent="0.25">
      <c r="A536" s="34">
        <v>19</v>
      </c>
      <c r="B536" s="33" t="s">
        <v>619</v>
      </c>
      <c r="C536" s="33" t="s">
        <v>634</v>
      </c>
      <c r="D536" s="33" t="s">
        <v>621</v>
      </c>
      <c r="E536" s="33" t="s">
        <v>636</v>
      </c>
      <c r="F536" s="34">
        <v>0</v>
      </c>
    </row>
    <row r="537" spans="1:6" x14ac:dyDescent="0.25">
      <c r="A537" s="34">
        <v>19</v>
      </c>
      <c r="B537" s="33" t="s">
        <v>619</v>
      </c>
      <c r="C537" s="33" t="s">
        <v>634</v>
      </c>
      <c r="D537" s="33" t="s">
        <v>621</v>
      </c>
      <c r="E537" s="33" t="s">
        <v>637</v>
      </c>
      <c r="F537" s="34">
        <v>5</v>
      </c>
    </row>
    <row r="538" spans="1:6" x14ac:dyDescent="0.25">
      <c r="A538" s="34">
        <v>19</v>
      </c>
      <c r="B538" s="33" t="s">
        <v>619</v>
      </c>
      <c r="C538" s="33" t="s">
        <v>634</v>
      </c>
      <c r="D538" s="33" t="s">
        <v>621</v>
      </c>
      <c r="E538" s="33" t="s">
        <v>638</v>
      </c>
      <c r="F538" s="34">
        <v>44</v>
      </c>
    </row>
    <row r="539" spans="1:6" x14ac:dyDescent="0.25">
      <c r="A539" s="34">
        <v>19</v>
      </c>
      <c r="B539" s="33" t="s">
        <v>619</v>
      </c>
      <c r="C539" s="33" t="s">
        <v>634</v>
      </c>
      <c r="D539" s="33" t="s">
        <v>630</v>
      </c>
      <c r="E539" s="33" t="s">
        <v>639</v>
      </c>
      <c r="F539" s="34">
        <v>76</v>
      </c>
    </row>
    <row r="540" spans="1:6" x14ac:dyDescent="0.25">
      <c r="A540" s="34">
        <v>19</v>
      </c>
      <c r="B540" s="33" t="s">
        <v>619</v>
      </c>
      <c r="C540" s="33" t="s">
        <v>634</v>
      </c>
      <c r="D540" s="33" t="s">
        <v>630</v>
      </c>
      <c r="E540" s="33" t="s">
        <v>640</v>
      </c>
      <c r="F540" s="33" t="s">
        <v>462</v>
      </c>
    </row>
    <row r="541" spans="1:6" x14ac:dyDescent="0.25">
      <c r="A541" s="34">
        <v>19</v>
      </c>
      <c r="B541" s="33" t="s">
        <v>619</v>
      </c>
      <c r="C541" s="33" t="s">
        <v>634</v>
      </c>
      <c r="D541" s="33" t="s">
        <v>630</v>
      </c>
      <c r="E541" s="33" t="s">
        <v>641</v>
      </c>
      <c r="F541" s="34">
        <v>76</v>
      </c>
    </row>
    <row r="542" spans="1:6" x14ac:dyDescent="0.25">
      <c r="A542" s="34">
        <v>19</v>
      </c>
      <c r="B542" s="33" t="s">
        <v>619</v>
      </c>
      <c r="C542" s="33" t="s">
        <v>642</v>
      </c>
      <c r="D542" s="33" t="s">
        <v>621</v>
      </c>
      <c r="E542" s="33" t="s">
        <v>643</v>
      </c>
      <c r="F542" s="34">
        <v>5</v>
      </c>
    </row>
    <row r="543" spans="1:6" x14ac:dyDescent="0.25">
      <c r="A543" s="34">
        <v>19</v>
      </c>
      <c r="B543" s="33" t="s">
        <v>619</v>
      </c>
      <c r="C543" s="33" t="s">
        <v>642</v>
      </c>
      <c r="D543" s="33" t="s">
        <v>621</v>
      </c>
      <c r="E543" s="33" t="s">
        <v>644</v>
      </c>
      <c r="F543" s="34">
        <v>5</v>
      </c>
    </row>
    <row r="544" spans="1:6" x14ac:dyDescent="0.25">
      <c r="A544" s="34">
        <v>19</v>
      </c>
      <c r="B544" s="33" t="s">
        <v>619</v>
      </c>
      <c r="C544" s="33" t="s">
        <v>642</v>
      </c>
      <c r="D544" s="33" t="s">
        <v>621</v>
      </c>
      <c r="E544" s="33" t="s">
        <v>645</v>
      </c>
      <c r="F544" s="34">
        <v>5</v>
      </c>
    </row>
    <row r="545" spans="1:6" x14ac:dyDescent="0.25">
      <c r="A545" s="34">
        <v>19</v>
      </c>
      <c r="B545" s="33" t="s">
        <v>619</v>
      </c>
      <c r="C545" s="33" t="s">
        <v>642</v>
      </c>
      <c r="D545" s="33" t="s">
        <v>621</v>
      </c>
      <c r="E545" s="33" t="s">
        <v>646</v>
      </c>
      <c r="F545" s="34">
        <v>5</v>
      </c>
    </row>
    <row r="546" spans="1:6" x14ac:dyDescent="0.25">
      <c r="A546" s="34">
        <v>19</v>
      </c>
      <c r="B546" s="33" t="s">
        <v>619</v>
      </c>
      <c r="C546" s="33" t="s">
        <v>642</v>
      </c>
      <c r="D546" s="33" t="s">
        <v>621</v>
      </c>
      <c r="E546" s="33" t="s">
        <v>647</v>
      </c>
      <c r="F546" s="34">
        <v>5</v>
      </c>
    </row>
    <row r="547" spans="1:6" x14ac:dyDescent="0.25">
      <c r="A547" s="34">
        <v>19</v>
      </c>
      <c r="B547" s="33" t="s">
        <v>619</v>
      </c>
      <c r="C547" s="33" t="s">
        <v>642</v>
      </c>
      <c r="D547" s="33" t="s">
        <v>621</v>
      </c>
      <c r="E547" s="33" t="s">
        <v>648</v>
      </c>
      <c r="F547" s="34">
        <v>0</v>
      </c>
    </row>
    <row r="548" spans="1:6" x14ac:dyDescent="0.25">
      <c r="A548" s="34">
        <v>19</v>
      </c>
      <c r="B548" s="33" t="s">
        <v>619</v>
      </c>
      <c r="C548" s="33" t="s">
        <v>642</v>
      </c>
      <c r="D548" s="33" t="s">
        <v>621</v>
      </c>
      <c r="E548" s="33" t="s">
        <v>649</v>
      </c>
      <c r="F548" s="34">
        <v>48</v>
      </c>
    </row>
    <row r="549" spans="1:6" x14ac:dyDescent="0.25">
      <c r="A549" s="34">
        <v>19</v>
      </c>
      <c r="B549" s="33" t="s">
        <v>619</v>
      </c>
      <c r="C549" s="33" t="s">
        <v>642</v>
      </c>
      <c r="D549" s="33" t="s">
        <v>630</v>
      </c>
      <c r="E549" s="33" t="s">
        <v>650</v>
      </c>
      <c r="F549" s="34">
        <v>82</v>
      </c>
    </row>
    <row r="550" spans="1:6" x14ac:dyDescent="0.25">
      <c r="A550" s="34">
        <v>19</v>
      </c>
      <c r="B550" s="33" t="s">
        <v>619</v>
      </c>
      <c r="C550" s="33" t="s">
        <v>642</v>
      </c>
      <c r="D550" s="33" t="s">
        <v>630</v>
      </c>
      <c r="E550" s="33" t="s">
        <v>651</v>
      </c>
      <c r="F550" s="33" t="s">
        <v>462</v>
      </c>
    </row>
    <row r="551" spans="1:6" x14ac:dyDescent="0.25">
      <c r="A551" s="34">
        <v>19</v>
      </c>
      <c r="B551" s="33" t="s">
        <v>619</v>
      </c>
      <c r="C551" s="33" t="s">
        <v>642</v>
      </c>
      <c r="D551" s="33" t="s">
        <v>630</v>
      </c>
      <c r="E551" s="33" t="s">
        <v>652</v>
      </c>
      <c r="F551" s="34">
        <v>82</v>
      </c>
    </row>
    <row r="552" spans="1:6" x14ac:dyDescent="0.25">
      <c r="A552" s="34">
        <v>19</v>
      </c>
      <c r="B552" s="33" t="s">
        <v>619</v>
      </c>
      <c r="C552" s="33" t="s">
        <v>653</v>
      </c>
      <c r="D552" s="33" t="s">
        <v>653</v>
      </c>
      <c r="E552" s="33" t="s">
        <v>654</v>
      </c>
      <c r="F552" s="34">
        <v>68</v>
      </c>
    </row>
    <row r="553" spans="1:6" x14ac:dyDescent="0.25">
      <c r="A553" s="34">
        <v>20</v>
      </c>
      <c r="B553" s="33" t="s">
        <v>619</v>
      </c>
      <c r="C553" s="33" t="s">
        <v>620</v>
      </c>
      <c r="D553" s="33" t="s">
        <v>621</v>
      </c>
      <c r="E553" s="33" t="s">
        <v>622</v>
      </c>
      <c r="F553" s="34">
        <v>1</v>
      </c>
    </row>
    <row r="554" spans="1:6" x14ac:dyDescent="0.25">
      <c r="A554" s="34">
        <v>20</v>
      </c>
      <c r="B554" s="33" t="s">
        <v>619</v>
      </c>
      <c r="C554" s="33" t="s">
        <v>620</v>
      </c>
      <c r="D554" s="33" t="s">
        <v>621</v>
      </c>
      <c r="E554" s="33" t="s">
        <v>623</v>
      </c>
      <c r="F554" s="34">
        <v>1</v>
      </c>
    </row>
    <row r="555" spans="1:6" x14ac:dyDescent="0.25">
      <c r="A555" s="34">
        <v>20</v>
      </c>
      <c r="B555" s="33" t="s">
        <v>619</v>
      </c>
      <c r="C555" s="33" t="s">
        <v>620</v>
      </c>
      <c r="D555" s="33" t="s">
        <v>621</v>
      </c>
      <c r="E555" s="33" t="s">
        <v>624</v>
      </c>
      <c r="F555" s="34">
        <v>1</v>
      </c>
    </row>
    <row r="556" spans="1:6" x14ac:dyDescent="0.25">
      <c r="A556" s="34">
        <v>20</v>
      </c>
      <c r="B556" s="33" t="s">
        <v>619</v>
      </c>
      <c r="C556" s="33" t="s">
        <v>620</v>
      </c>
      <c r="D556" s="33" t="s">
        <v>621</v>
      </c>
      <c r="E556" s="33" t="s">
        <v>625</v>
      </c>
      <c r="F556" s="34">
        <v>1</v>
      </c>
    </row>
    <row r="557" spans="1:6" x14ac:dyDescent="0.25">
      <c r="A557" s="34">
        <v>20</v>
      </c>
      <c r="B557" s="33" t="s">
        <v>619</v>
      </c>
      <c r="C557" s="33" t="s">
        <v>620</v>
      </c>
      <c r="D557" s="33" t="s">
        <v>621</v>
      </c>
      <c r="E557" s="33" t="s">
        <v>626</v>
      </c>
      <c r="F557" s="34">
        <v>0</v>
      </c>
    </row>
    <row r="558" spans="1:6" x14ac:dyDescent="0.25">
      <c r="A558" s="34">
        <v>20</v>
      </c>
      <c r="B558" s="33" t="s">
        <v>619</v>
      </c>
      <c r="C558" s="33" t="s">
        <v>620</v>
      </c>
      <c r="D558" s="33" t="s">
        <v>621</v>
      </c>
      <c r="E558" s="33" t="s">
        <v>627</v>
      </c>
      <c r="F558" s="34">
        <v>0</v>
      </c>
    </row>
    <row r="559" spans="1:6" x14ac:dyDescent="0.25">
      <c r="A559" s="34">
        <v>20</v>
      </c>
      <c r="B559" s="33" t="s">
        <v>619</v>
      </c>
      <c r="C559" s="33" t="s">
        <v>620</v>
      </c>
      <c r="D559" s="33" t="s">
        <v>621</v>
      </c>
      <c r="E559" s="33" t="s">
        <v>628</v>
      </c>
      <c r="F559" s="34">
        <v>5</v>
      </c>
    </row>
    <row r="560" spans="1:6" x14ac:dyDescent="0.25">
      <c r="A560" s="34">
        <v>20</v>
      </c>
      <c r="B560" s="33" t="s">
        <v>619</v>
      </c>
      <c r="C560" s="33" t="s">
        <v>620</v>
      </c>
      <c r="D560" s="33" t="s">
        <v>621</v>
      </c>
      <c r="E560" s="33" t="s">
        <v>629</v>
      </c>
      <c r="F560" s="34">
        <v>47</v>
      </c>
    </row>
    <row r="561" spans="1:6" x14ac:dyDescent="0.25">
      <c r="A561" s="34">
        <v>20</v>
      </c>
      <c r="B561" s="33" t="s">
        <v>619</v>
      </c>
      <c r="C561" s="33" t="s">
        <v>620</v>
      </c>
      <c r="D561" s="33" t="s">
        <v>630</v>
      </c>
      <c r="E561" s="33" t="s">
        <v>631</v>
      </c>
      <c r="F561" s="34">
        <v>92</v>
      </c>
    </row>
    <row r="562" spans="1:6" x14ac:dyDescent="0.25">
      <c r="A562" s="34">
        <v>20</v>
      </c>
      <c r="B562" s="33" t="s">
        <v>619</v>
      </c>
      <c r="C562" s="33" t="s">
        <v>620</v>
      </c>
      <c r="D562" s="33" t="s">
        <v>630</v>
      </c>
      <c r="E562" s="33" t="s">
        <v>632</v>
      </c>
      <c r="F562" s="33" t="s">
        <v>462</v>
      </c>
    </row>
    <row r="563" spans="1:6" x14ac:dyDescent="0.25">
      <c r="A563" s="34">
        <v>20</v>
      </c>
      <c r="B563" s="33" t="s">
        <v>619</v>
      </c>
      <c r="C563" s="33" t="s">
        <v>620</v>
      </c>
      <c r="D563" s="33" t="s">
        <v>630</v>
      </c>
      <c r="E563" s="33" t="s">
        <v>633</v>
      </c>
      <c r="F563" s="34">
        <v>92</v>
      </c>
    </row>
    <row r="564" spans="1:6" x14ac:dyDescent="0.25">
      <c r="A564" s="34">
        <v>20</v>
      </c>
      <c r="B564" s="33" t="s">
        <v>619</v>
      </c>
      <c r="C564" s="33" t="s">
        <v>634</v>
      </c>
      <c r="D564" s="33" t="s">
        <v>621</v>
      </c>
      <c r="E564" s="33" t="s">
        <v>635</v>
      </c>
      <c r="F564" s="34">
        <v>1</v>
      </c>
    </row>
    <row r="565" spans="1:6" x14ac:dyDescent="0.25">
      <c r="A565" s="34">
        <v>20</v>
      </c>
      <c r="B565" s="33" t="s">
        <v>619</v>
      </c>
      <c r="C565" s="33" t="s">
        <v>634</v>
      </c>
      <c r="D565" s="33" t="s">
        <v>621</v>
      </c>
      <c r="E565" s="33" t="s">
        <v>636</v>
      </c>
      <c r="F565" s="34">
        <v>1</v>
      </c>
    </row>
    <row r="566" spans="1:6" x14ac:dyDescent="0.25">
      <c r="A566" s="34">
        <v>20</v>
      </c>
      <c r="B566" s="33" t="s">
        <v>619</v>
      </c>
      <c r="C566" s="33" t="s">
        <v>634</v>
      </c>
      <c r="D566" s="33" t="s">
        <v>621</v>
      </c>
      <c r="E566" s="33" t="s">
        <v>637</v>
      </c>
      <c r="F566" s="34">
        <v>5</v>
      </c>
    </row>
    <row r="567" spans="1:6" x14ac:dyDescent="0.25">
      <c r="A567" s="34">
        <v>20</v>
      </c>
      <c r="B567" s="33" t="s">
        <v>619</v>
      </c>
      <c r="C567" s="33" t="s">
        <v>634</v>
      </c>
      <c r="D567" s="33" t="s">
        <v>621</v>
      </c>
      <c r="E567" s="33" t="s">
        <v>638</v>
      </c>
      <c r="F567" s="33" t="s">
        <v>150</v>
      </c>
    </row>
    <row r="568" spans="1:6" x14ac:dyDescent="0.25">
      <c r="A568" s="34">
        <v>20</v>
      </c>
      <c r="B568" s="33" t="s">
        <v>619</v>
      </c>
      <c r="C568" s="33" t="s">
        <v>634</v>
      </c>
      <c r="D568" s="33" t="s">
        <v>630</v>
      </c>
      <c r="E568" s="33" t="s">
        <v>639</v>
      </c>
      <c r="F568" s="34">
        <v>85</v>
      </c>
    </row>
    <row r="569" spans="1:6" x14ac:dyDescent="0.25">
      <c r="A569" s="34">
        <v>20</v>
      </c>
      <c r="B569" s="33" t="s">
        <v>619</v>
      </c>
      <c r="C569" s="33" t="s">
        <v>634</v>
      </c>
      <c r="D569" s="33" t="s">
        <v>630</v>
      </c>
      <c r="E569" s="33" t="s">
        <v>640</v>
      </c>
      <c r="F569" s="33" t="s">
        <v>462</v>
      </c>
    </row>
    <row r="570" spans="1:6" x14ac:dyDescent="0.25">
      <c r="A570" s="34">
        <v>20</v>
      </c>
      <c r="B570" s="33" t="s">
        <v>619</v>
      </c>
      <c r="C570" s="33" t="s">
        <v>634</v>
      </c>
      <c r="D570" s="33" t="s">
        <v>630</v>
      </c>
      <c r="E570" s="33" t="s">
        <v>641</v>
      </c>
      <c r="F570" s="34">
        <v>85</v>
      </c>
    </row>
    <row r="571" spans="1:6" x14ac:dyDescent="0.25">
      <c r="A571" s="34">
        <v>20</v>
      </c>
      <c r="B571" s="33" t="s">
        <v>619</v>
      </c>
      <c r="C571" s="33" t="s">
        <v>642</v>
      </c>
      <c r="D571" s="33" t="s">
        <v>621</v>
      </c>
      <c r="E571" s="33" t="s">
        <v>643</v>
      </c>
      <c r="F571" s="34">
        <v>5</v>
      </c>
    </row>
    <row r="572" spans="1:6" x14ac:dyDescent="0.25">
      <c r="A572" s="34">
        <v>20</v>
      </c>
      <c r="B572" s="33" t="s">
        <v>619</v>
      </c>
      <c r="C572" s="33" t="s">
        <v>642</v>
      </c>
      <c r="D572" s="33" t="s">
        <v>621</v>
      </c>
      <c r="E572" s="33" t="s">
        <v>644</v>
      </c>
      <c r="F572" s="34">
        <v>0</v>
      </c>
    </row>
    <row r="573" spans="1:6" x14ac:dyDescent="0.25">
      <c r="A573" s="34">
        <v>20</v>
      </c>
      <c r="B573" s="33" t="s">
        <v>619</v>
      </c>
      <c r="C573" s="33" t="s">
        <v>642</v>
      </c>
      <c r="D573" s="33" t="s">
        <v>621</v>
      </c>
      <c r="E573" s="33" t="s">
        <v>645</v>
      </c>
      <c r="F573" s="34">
        <v>0</v>
      </c>
    </row>
    <row r="574" spans="1:6" x14ac:dyDescent="0.25">
      <c r="A574" s="34">
        <v>20</v>
      </c>
      <c r="B574" s="33" t="s">
        <v>619</v>
      </c>
      <c r="C574" s="33" t="s">
        <v>642</v>
      </c>
      <c r="D574" s="33" t="s">
        <v>621</v>
      </c>
      <c r="E574" s="33" t="s">
        <v>646</v>
      </c>
      <c r="F574" s="34">
        <v>5</v>
      </c>
    </row>
    <row r="575" spans="1:6" x14ac:dyDescent="0.25">
      <c r="A575" s="34">
        <v>20</v>
      </c>
      <c r="B575" s="33" t="s">
        <v>619</v>
      </c>
      <c r="C575" s="33" t="s">
        <v>642</v>
      </c>
      <c r="D575" s="33" t="s">
        <v>621</v>
      </c>
      <c r="E575" s="33" t="s">
        <v>647</v>
      </c>
      <c r="F575" s="34">
        <v>5</v>
      </c>
    </row>
    <row r="576" spans="1:6" x14ac:dyDescent="0.25">
      <c r="A576" s="34">
        <v>20</v>
      </c>
      <c r="B576" s="33" t="s">
        <v>619</v>
      </c>
      <c r="C576" s="33" t="s">
        <v>642</v>
      </c>
      <c r="D576" s="33" t="s">
        <v>621</v>
      </c>
      <c r="E576" s="33" t="s">
        <v>648</v>
      </c>
      <c r="F576" s="34">
        <v>0</v>
      </c>
    </row>
    <row r="577" spans="1:6" x14ac:dyDescent="0.25">
      <c r="A577" s="34">
        <v>20</v>
      </c>
      <c r="B577" s="33" t="s">
        <v>619</v>
      </c>
      <c r="C577" s="33" t="s">
        <v>642</v>
      </c>
      <c r="D577" s="33" t="s">
        <v>621</v>
      </c>
      <c r="E577" s="33" t="s">
        <v>649</v>
      </c>
      <c r="F577" s="34">
        <v>50</v>
      </c>
    </row>
    <row r="578" spans="1:6" x14ac:dyDescent="0.25">
      <c r="A578" s="34">
        <v>20</v>
      </c>
      <c r="B578" s="33" t="s">
        <v>619</v>
      </c>
      <c r="C578" s="33" t="s">
        <v>642</v>
      </c>
      <c r="D578" s="33" t="s">
        <v>630</v>
      </c>
      <c r="E578" s="33" t="s">
        <v>650</v>
      </c>
      <c r="F578" s="34">
        <v>75</v>
      </c>
    </row>
    <row r="579" spans="1:6" x14ac:dyDescent="0.25">
      <c r="A579" s="34">
        <v>20</v>
      </c>
      <c r="B579" s="33" t="s">
        <v>619</v>
      </c>
      <c r="C579" s="33" t="s">
        <v>642</v>
      </c>
      <c r="D579" s="33" t="s">
        <v>630</v>
      </c>
      <c r="E579" s="33" t="s">
        <v>651</v>
      </c>
      <c r="F579" s="34">
        <v>78</v>
      </c>
    </row>
    <row r="580" spans="1:6" x14ac:dyDescent="0.25">
      <c r="A580" s="34">
        <v>20</v>
      </c>
      <c r="B580" s="33" t="s">
        <v>619</v>
      </c>
      <c r="C580" s="33" t="s">
        <v>642</v>
      </c>
      <c r="D580" s="33" t="s">
        <v>630</v>
      </c>
      <c r="E580" s="33" t="s">
        <v>652</v>
      </c>
      <c r="F580" s="34">
        <v>78</v>
      </c>
    </row>
    <row r="581" spans="1:6" x14ac:dyDescent="0.25">
      <c r="A581" s="34">
        <v>20</v>
      </c>
      <c r="B581" s="33" t="s">
        <v>619</v>
      </c>
      <c r="C581" s="33" t="s">
        <v>653</v>
      </c>
      <c r="D581" s="33" t="s">
        <v>653</v>
      </c>
      <c r="E581" s="33" t="s">
        <v>654</v>
      </c>
      <c r="F581" s="34">
        <v>72</v>
      </c>
    </row>
    <row r="582" spans="1:6" x14ac:dyDescent="0.25">
      <c r="A582" s="34">
        <v>21</v>
      </c>
      <c r="B582" s="33" t="s">
        <v>619</v>
      </c>
      <c r="C582" s="33" t="s">
        <v>620</v>
      </c>
      <c r="D582" s="33" t="s">
        <v>621</v>
      </c>
      <c r="E582" s="33" t="s">
        <v>622</v>
      </c>
      <c r="F582" s="34">
        <v>0</v>
      </c>
    </row>
    <row r="583" spans="1:6" x14ac:dyDescent="0.25">
      <c r="A583" s="34">
        <v>21</v>
      </c>
      <c r="B583" s="33" t="s">
        <v>619</v>
      </c>
      <c r="C583" s="33" t="s">
        <v>620</v>
      </c>
      <c r="D583" s="33" t="s">
        <v>621</v>
      </c>
      <c r="E583" s="33" t="s">
        <v>623</v>
      </c>
      <c r="F583" s="34">
        <v>0</v>
      </c>
    </row>
    <row r="584" spans="1:6" x14ac:dyDescent="0.25">
      <c r="A584" s="34">
        <v>21</v>
      </c>
      <c r="B584" s="33" t="s">
        <v>619</v>
      </c>
      <c r="C584" s="33" t="s">
        <v>620</v>
      </c>
      <c r="D584" s="33" t="s">
        <v>621</v>
      </c>
      <c r="E584" s="33" t="s">
        <v>624</v>
      </c>
      <c r="F584" s="34">
        <v>0</v>
      </c>
    </row>
    <row r="585" spans="1:6" x14ac:dyDescent="0.25">
      <c r="A585" s="34">
        <v>21</v>
      </c>
      <c r="B585" s="33" t="s">
        <v>619</v>
      </c>
      <c r="C585" s="33" t="s">
        <v>620</v>
      </c>
      <c r="D585" s="33" t="s">
        <v>621</v>
      </c>
      <c r="E585" s="33" t="s">
        <v>625</v>
      </c>
      <c r="F585" s="34">
        <v>0</v>
      </c>
    </row>
    <row r="586" spans="1:6" x14ac:dyDescent="0.25">
      <c r="A586" s="34">
        <v>21</v>
      </c>
      <c r="B586" s="33" t="s">
        <v>619</v>
      </c>
      <c r="C586" s="33" t="s">
        <v>620</v>
      </c>
      <c r="D586" s="33" t="s">
        <v>621</v>
      </c>
      <c r="E586" s="33" t="s">
        <v>626</v>
      </c>
      <c r="F586" s="34">
        <v>0</v>
      </c>
    </row>
    <row r="587" spans="1:6" x14ac:dyDescent="0.25">
      <c r="A587" s="34">
        <v>21</v>
      </c>
      <c r="B587" s="33" t="s">
        <v>619</v>
      </c>
      <c r="C587" s="33" t="s">
        <v>620</v>
      </c>
      <c r="D587" s="33" t="s">
        <v>621</v>
      </c>
      <c r="E587" s="33" t="s">
        <v>627</v>
      </c>
      <c r="F587" s="34">
        <v>0</v>
      </c>
    </row>
    <row r="588" spans="1:6" x14ac:dyDescent="0.25">
      <c r="A588" s="34">
        <v>21</v>
      </c>
      <c r="B588" s="33" t="s">
        <v>619</v>
      </c>
      <c r="C588" s="33" t="s">
        <v>620</v>
      </c>
      <c r="D588" s="33" t="s">
        <v>621</v>
      </c>
      <c r="E588" s="33" t="s">
        <v>628</v>
      </c>
      <c r="F588" s="34">
        <v>5</v>
      </c>
    </row>
    <row r="589" spans="1:6" x14ac:dyDescent="0.25">
      <c r="A589" s="34">
        <v>21</v>
      </c>
      <c r="B589" s="33" t="s">
        <v>619</v>
      </c>
      <c r="C589" s="33" t="s">
        <v>620</v>
      </c>
      <c r="D589" s="33" t="s">
        <v>621</v>
      </c>
      <c r="E589" s="33" t="s">
        <v>629</v>
      </c>
      <c r="F589" s="34">
        <v>32</v>
      </c>
    </row>
    <row r="590" spans="1:6" x14ac:dyDescent="0.25">
      <c r="A590" s="34">
        <v>21</v>
      </c>
      <c r="B590" s="33" t="s">
        <v>619</v>
      </c>
      <c r="C590" s="33" t="s">
        <v>620</v>
      </c>
      <c r="D590" s="33" t="s">
        <v>630</v>
      </c>
      <c r="E590" s="33" t="s">
        <v>631</v>
      </c>
      <c r="F590" s="34">
        <v>82</v>
      </c>
    </row>
    <row r="591" spans="1:6" x14ac:dyDescent="0.25">
      <c r="A591" s="34">
        <v>21</v>
      </c>
      <c r="B591" s="33" t="s">
        <v>619</v>
      </c>
      <c r="C591" s="33" t="s">
        <v>620</v>
      </c>
      <c r="D591" s="33" t="s">
        <v>630</v>
      </c>
      <c r="E591" s="33" t="s">
        <v>632</v>
      </c>
      <c r="F591" s="33" t="s">
        <v>462</v>
      </c>
    </row>
    <row r="592" spans="1:6" x14ac:dyDescent="0.25">
      <c r="A592" s="34">
        <v>21</v>
      </c>
      <c r="B592" s="33" t="s">
        <v>619</v>
      </c>
      <c r="C592" s="33" t="s">
        <v>620</v>
      </c>
      <c r="D592" s="33" t="s">
        <v>630</v>
      </c>
      <c r="E592" s="33" t="s">
        <v>633</v>
      </c>
      <c r="F592" s="34">
        <v>82</v>
      </c>
    </row>
    <row r="593" spans="1:6" x14ac:dyDescent="0.25">
      <c r="A593" s="34">
        <v>21</v>
      </c>
      <c r="B593" s="33" t="s">
        <v>619</v>
      </c>
      <c r="C593" s="33" t="s">
        <v>634</v>
      </c>
      <c r="D593" s="33" t="s">
        <v>621</v>
      </c>
      <c r="E593" s="33" t="s">
        <v>635</v>
      </c>
      <c r="F593" s="34">
        <v>0</v>
      </c>
    </row>
    <row r="594" spans="1:6" x14ac:dyDescent="0.25">
      <c r="A594" s="34">
        <v>21</v>
      </c>
      <c r="B594" s="33" t="s">
        <v>619</v>
      </c>
      <c r="C594" s="33" t="s">
        <v>634</v>
      </c>
      <c r="D594" s="33" t="s">
        <v>621</v>
      </c>
      <c r="E594" s="33" t="s">
        <v>636</v>
      </c>
      <c r="F594" s="34">
        <v>0</v>
      </c>
    </row>
    <row r="595" spans="1:6" x14ac:dyDescent="0.25">
      <c r="A595" s="34">
        <v>21</v>
      </c>
      <c r="B595" s="33" t="s">
        <v>619</v>
      </c>
      <c r="C595" s="33" t="s">
        <v>634</v>
      </c>
      <c r="D595" s="33" t="s">
        <v>621</v>
      </c>
      <c r="E595" s="33" t="s">
        <v>637</v>
      </c>
      <c r="F595" s="34">
        <v>5</v>
      </c>
    </row>
    <row r="596" spans="1:6" x14ac:dyDescent="0.25">
      <c r="A596" s="34">
        <v>21</v>
      </c>
      <c r="B596" s="33" t="s">
        <v>619</v>
      </c>
      <c r="C596" s="33" t="s">
        <v>634</v>
      </c>
      <c r="D596" s="33" t="s">
        <v>621</v>
      </c>
      <c r="E596" s="33" t="s">
        <v>638</v>
      </c>
      <c r="F596" s="34">
        <v>32</v>
      </c>
    </row>
    <row r="597" spans="1:6" x14ac:dyDescent="0.25">
      <c r="A597" s="34">
        <v>21</v>
      </c>
      <c r="B597" s="33" t="s">
        <v>619</v>
      </c>
      <c r="C597" s="33" t="s">
        <v>634</v>
      </c>
      <c r="D597" s="33" t="s">
        <v>630</v>
      </c>
      <c r="E597" s="33" t="s">
        <v>639</v>
      </c>
      <c r="F597" s="34">
        <v>78</v>
      </c>
    </row>
    <row r="598" spans="1:6" x14ac:dyDescent="0.25">
      <c r="A598" s="34">
        <v>21</v>
      </c>
      <c r="B598" s="33" t="s">
        <v>619</v>
      </c>
      <c r="C598" s="33" t="s">
        <v>634</v>
      </c>
      <c r="D598" s="33" t="s">
        <v>630</v>
      </c>
      <c r="E598" s="33" t="s">
        <v>640</v>
      </c>
      <c r="F598" s="33" t="s">
        <v>462</v>
      </c>
    </row>
    <row r="599" spans="1:6" x14ac:dyDescent="0.25">
      <c r="A599" s="34">
        <v>21</v>
      </c>
      <c r="B599" s="33" t="s">
        <v>619</v>
      </c>
      <c r="C599" s="33" t="s">
        <v>634</v>
      </c>
      <c r="D599" s="33" t="s">
        <v>630</v>
      </c>
      <c r="E599" s="33" t="s">
        <v>641</v>
      </c>
      <c r="F599" s="34">
        <v>78</v>
      </c>
    </row>
    <row r="600" spans="1:6" x14ac:dyDescent="0.25">
      <c r="A600" s="34">
        <v>21</v>
      </c>
      <c r="B600" s="33" t="s">
        <v>619</v>
      </c>
      <c r="C600" s="33" t="s">
        <v>642</v>
      </c>
      <c r="D600" s="33" t="s">
        <v>621</v>
      </c>
      <c r="E600" s="33" t="s">
        <v>643</v>
      </c>
      <c r="F600" s="34">
        <v>0</v>
      </c>
    </row>
    <row r="601" spans="1:6" x14ac:dyDescent="0.25">
      <c r="A601" s="34">
        <v>21</v>
      </c>
      <c r="B601" s="33" t="s">
        <v>619</v>
      </c>
      <c r="C601" s="33" t="s">
        <v>642</v>
      </c>
      <c r="D601" s="33" t="s">
        <v>621</v>
      </c>
      <c r="E601" s="33" t="s">
        <v>644</v>
      </c>
      <c r="F601" s="34">
        <v>0</v>
      </c>
    </row>
    <row r="602" spans="1:6" x14ac:dyDescent="0.25">
      <c r="A602" s="34">
        <v>21</v>
      </c>
      <c r="B602" s="33" t="s">
        <v>619</v>
      </c>
      <c r="C602" s="33" t="s">
        <v>642</v>
      </c>
      <c r="D602" s="33" t="s">
        <v>621</v>
      </c>
      <c r="E602" s="33" t="s">
        <v>645</v>
      </c>
      <c r="F602" s="34">
        <v>0</v>
      </c>
    </row>
    <row r="603" spans="1:6" x14ac:dyDescent="0.25">
      <c r="A603" s="34">
        <v>21</v>
      </c>
      <c r="B603" s="33" t="s">
        <v>619</v>
      </c>
      <c r="C603" s="33" t="s">
        <v>642</v>
      </c>
      <c r="D603" s="33" t="s">
        <v>621</v>
      </c>
      <c r="E603" s="33" t="s">
        <v>646</v>
      </c>
      <c r="F603" s="34">
        <v>0</v>
      </c>
    </row>
    <row r="604" spans="1:6" x14ac:dyDescent="0.25">
      <c r="A604" s="34">
        <v>21</v>
      </c>
      <c r="B604" s="33" t="s">
        <v>619</v>
      </c>
      <c r="C604" s="33" t="s">
        <v>642</v>
      </c>
      <c r="D604" s="33" t="s">
        <v>621</v>
      </c>
      <c r="E604" s="33" t="s">
        <v>647</v>
      </c>
      <c r="F604" s="34">
        <v>0</v>
      </c>
    </row>
    <row r="605" spans="1:6" x14ac:dyDescent="0.25">
      <c r="A605" s="34">
        <v>21</v>
      </c>
      <c r="B605" s="33" t="s">
        <v>619</v>
      </c>
      <c r="C605" s="33" t="s">
        <v>642</v>
      </c>
      <c r="D605" s="33" t="s">
        <v>621</v>
      </c>
      <c r="E605" s="33" t="s">
        <v>648</v>
      </c>
      <c r="F605" s="34">
        <v>0</v>
      </c>
    </row>
    <row r="606" spans="1:6" x14ac:dyDescent="0.25">
      <c r="A606" s="34">
        <v>21</v>
      </c>
      <c r="B606" s="33" t="s">
        <v>619</v>
      </c>
      <c r="C606" s="33" t="s">
        <v>642</v>
      </c>
      <c r="D606" s="33" t="s">
        <v>621</v>
      </c>
      <c r="E606" s="33" t="s">
        <v>649</v>
      </c>
      <c r="F606" s="34">
        <v>20</v>
      </c>
    </row>
    <row r="607" spans="1:6" x14ac:dyDescent="0.25">
      <c r="A607" s="34">
        <v>21</v>
      </c>
      <c r="B607" s="33" t="s">
        <v>619</v>
      </c>
      <c r="C607" s="33" t="s">
        <v>642</v>
      </c>
      <c r="D607" s="33" t="s">
        <v>630</v>
      </c>
      <c r="E607" s="33" t="s">
        <v>650</v>
      </c>
      <c r="F607" s="34">
        <v>72</v>
      </c>
    </row>
    <row r="608" spans="1:6" x14ac:dyDescent="0.25">
      <c r="A608" s="34">
        <v>21</v>
      </c>
      <c r="B608" s="33" t="s">
        <v>619</v>
      </c>
      <c r="C608" s="33" t="s">
        <v>642</v>
      </c>
      <c r="D608" s="33" t="s">
        <v>630</v>
      </c>
      <c r="E608" s="33" t="s">
        <v>651</v>
      </c>
      <c r="F608" s="33" t="s">
        <v>462</v>
      </c>
    </row>
    <row r="609" spans="1:6" x14ac:dyDescent="0.25">
      <c r="A609" s="34">
        <v>21</v>
      </c>
      <c r="B609" s="33" t="s">
        <v>619</v>
      </c>
      <c r="C609" s="33" t="s">
        <v>642</v>
      </c>
      <c r="D609" s="33" t="s">
        <v>630</v>
      </c>
      <c r="E609" s="33" t="s">
        <v>652</v>
      </c>
      <c r="F609" s="34">
        <v>72</v>
      </c>
    </row>
    <row r="610" spans="1:6" x14ac:dyDescent="0.25">
      <c r="A610" s="34">
        <v>21</v>
      </c>
      <c r="B610" s="33" t="s">
        <v>619</v>
      </c>
      <c r="C610" s="33" t="s">
        <v>653</v>
      </c>
      <c r="D610" s="33" t="s">
        <v>653</v>
      </c>
      <c r="E610" s="33" t="s">
        <v>654</v>
      </c>
      <c r="F610" s="34">
        <v>65</v>
      </c>
    </row>
    <row r="611" spans="1:6" x14ac:dyDescent="0.25">
      <c r="A611" s="34">
        <v>22</v>
      </c>
      <c r="B611" s="33" t="s">
        <v>619</v>
      </c>
      <c r="C611" s="33" t="s">
        <v>620</v>
      </c>
      <c r="D611" s="33" t="s">
        <v>621</v>
      </c>
      <c r="E611" s="33" t="s">
        <v>622</v>
      </c>
      <c r="F611" s="33" t="s">
        <v>150</v>
      </c>
    </row>
    <row r="612" spans="1:6" x14ac:dyDescent="0.25">
      <c r="A612" s="34">
        <v>22</v>
      </c>
      <c r="B612" s="33" t="s">
        <v>619</v>
      </c>
      <c r="C612" s="33" t="s">
        <v>620</v>
      </c>
      <c r="D612" s="33" t="s">
        <v>621</v>
      </c>
      <c r="E612" s="33" t="s">
        <v>623</v>
      </c>
      <c r="F612" s="33" t="s">
        <v>150</v>
      </c>
    </row>
    <row r="613" spans="1:6" x14ac:dyDescent="0.25">
      <c r="A613" s="34">
        <v>22</v>
      </c>
      <c r="B613" s="33" t="s">
        <v>619</v>
      </c>
      <c r="C613" s="33" t="s">
        <v>620</v>
      </c>
      <c r="D613" s="33" t="s">
        <v>621</v>
      </c>
      <c r="E613" s="33" t="s">
        <v>624</v>
      </c>
      <c r="F613" s="33" t="s">
        <v>150</v>
      </c>
    </row>
    <row r="614" spans="1:6" x14ac:dyDescent="0.25">
      <c r="A614" s="34">
        <v>22</v>
      </c>
      <c r="B614" s="33" t="s">
        <v>619</v>
      </c>
      <c r="C614" s="33" t="s">
        <v>620</v>
      </c>
      <c r="D614" s="33" t="s">
        <v>621</v>
      </c>
      <c r="E614" s="33" t="s">
        <v>625</v>
      </c>
      <c r="F614" s="33" t="s">
        <v>150</v>
      </c>
    </row>
    <row r="615" spans="1:6" x14ac:dyDescent="0.25">
      <c r="A615" s="34">
        <v>22</v>
      </c>
      <c r="B615" s="33" t="s">
        <v>619</v>
      </c>
      <c r="C615" s="33" t="s">
        <v>620</v>
      </c>
      <c r="D615" s="33" t="s">
        <v>621</v>
      </c>
      <c r="E615" s="33" t="s">
        <v>626</v>
      </c>
      <c r="F615" s="33" t="s">
        <v>150</v>
      </c>
    </row>
    <row r="616" spans="1:6" x14ac:dyDescent="0.25">
      <c r="A616" s="34">
        <v>22</v>
      </c>
      <c r="B616" s="33" t="s">
        <v>619</v>
      </c>
      <c r="C616" s="33" t="s">
        <v>620</v>
      </c>
      <c r="D616" s="33" t="s">
        <v>621</v>
      </c>
      <c r="E616" s="33" t="s">
        <v>627</v>
      </c>
      <c r="F616" s="33" t="s">
        <v>150</v>
      </c>
    </row>
    <row r="617" spans="1:6" x14ac:dyDescent="0.25">
      <c r="A617" s="34">
        <v>22</v>
      </c>
      <c r="B617" s="33" t="s">
        <v>619</v>
      </c>
      <c r="C617" s="33" t="s">
        <v>620</v>
      </c>
      <c r="D617" s="33" t="s">
        <v>621</v>
      </c>
      <c r="E617" s="33" t="s">
        <v>628</v>
      </c>
      <c r="F617" s="33" t="s">
        <v>150</v>
      </c>
    </row>
    <row r="618" spans="1:6" x14ac:dyDescent="0.25">
      <c r="A618" s="34">
        <v>22</v>
      </c>
      <c r="B618" s="33" t="s">
        <v>619</v>
      </c>
      <c r="C618" s="33" t="s">
        <v>620</v>
      </c>
      <c r="D618" s="33" t="s">
        <v>621</v>
      </c>
      <c r="E618" s="33" t="s">
        <v>629</v>
      </c>
      <c r="F618" s="33" t="s">
        <v>150</v>
      </c>
    </row>
    <row r="619" spans="1:6" x14ac:dyDescent="0.25">
      <c r="A619" s="34">
        <v>22</v>
      </c>
      <c r="B619" s="33" t="s">
        <v>619</v>
      </c>
      <c r="C619" s="33" t="s">
        <v>620</v>
      </c>
      <c r="D619" s="33" t="s">
        <v>630</v>
      </c>
      <c r="E619" s="33" t="s">
        <v>631</v>
      </c>
      <c r="F619" s="34">
        <v>68</v>
      </c>
    </row>
    <row r="620" spans="1:6" x14ac:dyDescent="0.25">
      <c r="A620" s="34">
        <v>22</v>
      </c>
      <c r="B620" s="33" t="s">
        <v>619</v>
      </c>
      <c r="C620" s="33" t="s">
        <v>620</v>
      </c>
      <c r="D620" s="33" t="s">
        <v>630</v>
      </c>
      <c r="E620" s="33" t="s">
        <v>632</v>
      </c>
      <c r="F620" s="33" t="s">
        <v>462</v>
      </c>
    </row>
    <row r="621" spans="1:6" x14ac:dyDescent="0.25">
      <c r="A621" s="34">
        <v>22</v>
      </c>
      <c r="B621" s="33" t="s">
        <v>619</v>
      </c>
      <c r="C621" s="33" t="s">
        <v>620</v>
      </c>
      <c r="D621" s="33" t="s">
        <v>630</v>
      </c>
      <c r="E621" s="33" t="s">
        <v>633</v>
      </c>
      <c r="F621" s="34">
        <v>68</v>
      </c>
    </row>
    <row r="622" spans="1:6" x14ac:dyDescent="0.25">
      <c r="A622" s="34">
        <v>22</v>
      </c>
      <c r="B622" s="33" t="s">
        <v>619</v>
      </c>
      <c r="C622" s="33" t="s">
        <v>634</v>
      </c>
      <c r="D622" s="33" t="s">
        <v>621</v>
      </c>
      <c r="E622" s="33" t="s">
        <v>635</v>
      </c>
      <c r="F622" s="34">
        <v>1</v>
      </c>
    </row>
    <row r="623" spans="1:6" x14ac:dyDescent="0.25">
      <c r="A623" s="34">
        <v>22</v>
      </c>
      <c r="B623" s="33" t="s">
        <v>619</v>
      </c>
      <c r="C623" s="33" t="s">
        <v>634</v>
      </c>
      <c r="D623" s="33" t="s">
        <v>621</v>
      </c>
      <c r="E623" s="33" t="s">
        <v>636</v>
      </c>
      <c r="F623" s="34">
        <v>0</v>
      </c>
    </row>
    <row r="624" spans="1:6" x14ac:dyDescent="0.25">
      <c r="A624" s="34">
        <v>22</v>
      </c>
      <c r="B624" s="33" t="s">
        <v>619</v>
      </c>
      <c r="C624" s="33" t="s">
        <v>634</v>
      </c>
      <c r="D624" s="33" t="s">
        <v>621</v>
      </c>
      <c r="E624" s="33" t="s">
        <v>637</v>
      </c>
      <c r="F624" s="34">
        <v>5</v>
      </c>
    </row>
    <row r="625" spans="1:6" x14ac:dyDescent="0.25">
      <c r="A625" s="34">
        <v>22</v>
      </c>
      <c r="B625" s="33" t="s">
        <v>619</v>
      </c>
      <c r="C625" s="33" t="s">
        <v>634</v>
      </c>
      <c r="D625" s="33" t="s">
        <v>621</v>
      </c>
      <c r="E625" s="33" t="s">
        <v>638</v>
      </c>
      <c r="F625" s="34">
        <v>43</v>
      </c>
    </row>
    <row r="626" spans="1:6" x14ac:dyDescent="0.25">
      <c r="A626" s="34">
        <v>22</v>
      </c>
      <c r="B626" s="33" t="s">
        <v>619</v>
      </c>
      <c r="C626" s="33" t="s">
        <v>634</v>
      </c>
      <c r="D626" s="33" t="s">
        <v>630</v>
      </c>
      <c r="E626" s="33" t="s">
        <v>639</v>
      </c>
      <c r="F626" s="34">
        <v>72</v>
      </c>
    </row>
    <row r="627" spans="1:6" x14ac:dyDescent="0.25">
      <c r="A627" s="34">
        <v>22</v>
      </c>
      <c r="B627" s="33" t="s">
        <v>619</v>
      </c>
      <c r="C627" s="33" t="s">
        <v>634</v>
      </c>
      <c r="D627" s="33" t="s">
        <v>630</v>
      </c>
      <c r="E627" s="33" t="s">
        <v>640</v>
      </c>
      <c r="F627" s="34">
        <v>68</v>
      </c>
    </row>
    <row r="628" spans="1:6" x14ac:dyDescent="0.25">
      <c r="A628" s="34">
        <v>22</v>
      </c>
      <c r="B628" s="33" t="s">
        <v>619</v>
      </c>
      <c r="C628" s="33" t="s">
        <v>634</v>
      </c>
      <c r="D628" s="33" t="s">
        <v>630</v>
      </c>
      <c r="E628" s="33" t="s">
        <v>641</v>
      </c>
      <c r="F628" s="34">
        <v>72</v>
      </c>
    </row>
    <row r="629" spans="1:6" x14ac:dyDescent="0.25">
      <c r="A629" s="34">
        <v>22</v>
      </c>
      <c r="B629" s="33" t="s">
        <v>619</v>
      </c>
      <c r="C629" s="33" t="s">
        <v>642</v>
      </c>
      <c r="D629" s="33" t="s">
        <v>621</v>
      </c>
      <c r="E629" s="33" t="s">
        <v>643</v>
      </c>
      <c r="F629" s="34">
        <v>5</v>
      </c>
    </row>
    <row r="630" spans="1:6" x14ac:dyDescent="0.25">
      <c r="A630" s="34">
        <v>22</v>
      </c>
      <c r="B630" s="33" t="s">
        <v>619</v>
      </c>
      <c r="C630" s="33" t="s">
        <v>642</v>
      </c>
      <c r="D630" s="33" t="s">
        <v>621</v>
      </c>
      <c r="E630" s="33" t="s">
        <v>644</v>
      </c>
      <c r="F630" s="34">
        <v>5</v>
      </c>
    </row>
    <row r="631" spans="1:6" x14ac:dyDescent="0.25">
      <c r="A631" s="34">
        <v>22</v>
      </c>
      <c r="B631" s="33" t="s">
        <v>619</v>
      </c>
      <c r="C631" s="33" t="s">
        <v>642</v>
      </c>
      <c r="D631" s="33" t="s">
        <v>621</v>
      </c>
      <c r="E631" s="33" t="s">
        <v>645</v>
      </c>
      <c r="F631" s="34">
        <v>3</v>
      </c>
    </row>
    <row r="632" spans="1:6" x14ac:dyDescent="0.25">
      <c r="A632" s="34">
        <v>22</v>
      </c>
      <c r="B632" s="33" t="s">
        <v>619</v>
      </c>
      <c r="C632" s="33" t="s">
        <v>642</v>
      </c>
      <c r="D632" s="33" t="s">
        <v>621</v>
      </c>
      <c r="E632" s="33" t="s">
        <v>646</v>
      </c>
      <c r="F632" s="34">
        <v>1</v>
      </c>
    </row>
    <row r="633" spans="1:6" x14ac:dyDescent="0.25">
      <c r="A633" s="34">
        <v>22</v>
      </c>
      <c r="B633" s="33" t="s">
        <v>619</v>
      </c>
      <c r="C633" s="33" t="s">
        <v>642</v>
      </c>
      <c r="D633" s="33" t="s">
        <v>621</v>
      </c>
      <c r="E633" s="33" t="s">
        <v>647</v>
      </c>
      <c r="F633" s="34">
        <v>0</v>
      </c>
    </row>
    <row r="634" spans="1:6" x14ac:dyDescent="0.25">
      <c r="A634" s="34">
        <v>22</v>
      </c>
      <c r="B634" s="33" t="s">
        <v>619</v>
      </c>
      <c r="C634" s="33" t="s">
        <v>642</v>
      </c>
      <c r="D634" s="33" t="s">
        <v>621</v>
      </c>
      <c r="E634" s="33" t="s">
        <v>648</v>
      </c>
      <c r="F634" s="34">
        <v>0</v>
      </c>
    </row>
    <row r="635" spans="1:6" x14ac:dyDescent="0.25">
      <c r="A635" s="34">
        <v>22</v>
      </c>
      <c r="B635" s="33" t="s">
        <v>619</v>
      </c>
      <c r="C635" s="33" t="s">
        <v>642</v>
      </c>
      <c r="D635" s="33" t="s">
        <v>621</v>
      </c>
      <c r="E635" s="33" t="s">
        <v>649</v>
      </c>
      <c r="F635" s="34">
        <v>44</v>
      </c>
    </row>
    <row r="636" spans="1:6" x14ac:dyDescent="0.25">
      <c r="A636" s="34">
        <v>22</v>
      </c>
      <c r="B636" s="33" t="s">
        <v>619</v>
      </c>
      <c r="C636" s="33" t="s">
        <v>642</v>
      </c>
      <c r="D636" s="33" t="s">
        <v>630</v>
      </c>
      <c r="E636" s="33" t="s">
        <v>650</v>
      </c>
      <c r="F636" s="34">
        <v>78</v>
      </c>
    </row>
    <row r="637" spans="1:6" x14ac:dyDescent="0.25">
      <c r="A637" s="34">
        <v>22</v>
      </c>
      <c r="B637" s="33" t="s">
        <v>619</v>
      </c>
      <c r="C637" s="33" t="s">
        <v>642</v>
      </c>
      <c r="D637" s="33" t="s">
        <v>630</v>
      </c>
      <c r="E637" s="33" t="s">
        <v>651</v>
      </c>
      <c r="F637" s="33" t="s">
        <v>462</v>
      </c>
    </row>
    <row r="638" spans="1:6" x14ac:dyDescent="0.25">
      <c r="A638" s="34">
        <v>22</v>
      </c>
      <c r="B638" s="33" t="s">
        <v>619</v>
      </c>
      <c r="C638" s="33" t="s">
        <v>642</v>
      </c>
      <c r="D638" s="33" t="s">
        <v>630</v>
      </c>
      <c r="E638" s="33" t="s">
        <v>652</v>
      </c>
      <c r="F638" s="34">
        <v>78</v>
      </c>
    </row>
    <row r="639" spans="1:6" x14ac:dyDescent="0.25">
      <c r="A639" s="34">
        <v>22</v>
      </c>
      <c r="B639" s="33" t="s">
        <v>619</v>
      </c>
      <c r="C639" s="33" t="s">
        <v>653</v>
      </c>
      <c r="D639" s="33" t="s">
        <v>653</v>
      </c>
      <c r="E639" s="33" t="s">
        <v>654</v>
      </c>
      <c r="F639" s="34">
        <v>65</v>
      </c>
    </row>
    <row r="640" spans="1:6" x14ac:dyDescent="0.25">
      <c r="A640" s="34">
        <v>23</v>
      </c>
      <c r="B640" s="33" t="s">
        <v>619</v>
      </c>
      <c r="C640" s="33" t="s">
        <v>620</v>
      </c>
      <c r="D640" s="33" t="s">
        <v>621</v>
      </c>
      <c r="E640" s="33" t="s">
        <v>622</v>
      </c>
      <c r="F640" s="34">
        <v>1</v>
      </c>
    </row>
    <row r="641" spans="1:6" x14ac:dyDescent="0.25">
      <c r="A641" s="34">
        <v>23</v>
      </c>
      <c r="B641" s="33" t="s">
        <v>619</v>
      </c>
      <c r="C641" s="33" t="s">
        <v>620</v>
      </c>
      <c r="D641" s="33" t="s">
        <v>621</v>
      </c>
      <c r="E641" s="33" t="s">
        <v>623</v>
      </c>
      <c r="F641" s="34">
        <v>0</v>
      </c>
    </row>
    <row r="642" spans="1:6" x14ac:dyDescent="0.25">
      <c r="A642" s="34">
        <v>23</v>
      </c>
      <c r="B642" s="33" t="s">
        <v>619</v>
      </c>
      <c r="C642" s="33" t="s">
        <v>620</v>
      </c>
      <c r="D642" s="33" t="s">
        <v>621</v>
      </c>
      <c r="E642" s="33" t="s">
        <v>624</v>
      </c>
      <c r="F642" s="34">
        <v>0</v>
      </c>
    </row>
    <row r="643" spans="1:6" x14ac:dyDescent="0.25">
      <c r="A643" s="34">
        <v>23</v>
      </c>
      <c r="B643" s="33" t="s">
        <v>619</v>
      </c>
      <c r="C643" s="33" t="s">
        <v>620</v>
      </c>
      <c r="D643" s="33" t="s">
        <v>621</v>
      </c>
      <c r="E643" s="33" t="s">
        <v>625</v>
      </c>
      <c r="F643" s="34">
        <v>0</v>
      </c>
    </row>
    <row r="644" spans="1:6" x14ac:dyDescent="0.25">
      <c r="A644" s="34">
        <v>23</v>
      </c>
      <c r="B644" s="33" t="s">
        <v>619</v>
      </c>
      <c r="C644" s="33" t="s">
        <v>620</v>
      </c>
      <c r="D644" s="33" t="s">
        <v>621</v>
      </c>
      <c r="E644" s="33" t="s">
        <v>626</v>
      </c>
      <c r="F644" s="34">
        <v>0</v>
      </c>
    </row>
    <row r="645" spans="1:6" x14ac:dyDescent="0.25">
      <c r="A645" s="34">
        <v>23</v>
      </c>
      <c r="B645" s="33" t="s">
        <v>619</v>
      </c>
      <c r="C645" s="33" t="s">
        <v>620</v>
      </c>
      <c r="D645" s="33" t="s">
        <v>621</v>
      </c>
      <c r="E645" s="33" t="s">
        <v>627</v>
      </c>
      <c r="F645" s="34">
        <v>0</v>
      </c>
    </row>
    <row r="646" spans="1:6" x14ac:dyDescent="0.25">
      <c r="A646" s="34">
        <v>23</v>
      </c>
      <c r="B646" s="33" t="s">
        <v>619</v>
      </c>
      <c r="C646" s="33" t="s">
        <v>620</v>
      </c>
      <c r="D646" s="33" t="s">
        <v>621</v>
      </c>
      <c r="E646" s="33" t="s">
        <v>628</v>
      </c>
      <c r="F646" s="34">
        <v>5</v>
      </c>
    </row>
    <row r="647" spans="1:6" x14ac:dyDescent="0.25">
      <c r="A647" s="34">
        <v>23</v>
      </c>
      <c r="B647" s="33" t="s">
        <v>619</v>
      </c>
      <c r="C647" s="33" t="s">
        <v>620</v>
      </c>
      <c r="D647" s="33" t="s">
        <v>621</v>
      </c>
      <c r="E647" s="33" t="s">
        <v>629</v>
      </c>
      <c r="F647" s="34">
        <v>48</v>
      </c>
    </row>
    <row r="648" spans="1:6" x14ac:dyDescent="0.25">
      <c r="A648" s="34">
        <v>23</v>
      </c>
      <c r="B648" s="33" t="s">
        <v>619</v>
      </c>
      <c r="C648" s="33" t="s">
        <v>620</v>
      </c>
      <c r="D648" s="33" t="s">
        <v>630</v>
      </c>
      <c r="E648" s="33" t="s">
        <v>631</v>
      </c>
      <c r="F648" s="34">
        <v>60</v>
      </c>
    </row>
    <row r="649" spans="1:6" x14ac:dyDescent="0.25">
      <c r="A649" s="34">
        <v>23</v>
      </c>
      <c r="B649" s="33" t="s">
        <v>619</v>
      </c>
      <c r="C649" s="33" t="s">
        <v>620</v>
      </c>
      <c r="D649" s="33" t="s">
        <v>630</v>
      </c>
      <c r="E649" s="33" t="s">
        <v>632</v>
      </c>
      <c r="F649" s="33" t="s">
        <v>462</v>
      </c>
    </row>
    <row r="650" spans="1:6" x14ac:dyDescent="0.25">
      <c r="A650" s="34">
        <v>23</v>
      </c>
      <c r="B650" s="33" t="s">
        <v>619</v>
      </c>
      <c r="C650" s="33" t="s">
        <v>620</v>
      </c>
      <c r="D650" s="33" t="s">
        <v>630</v>
      </c>
      <c r="E650" s="33" t="s">
        <v>633</v>
      </c>
      <c r="F650" s="34">
        <v>60</v>
      </c>
    </row>
    <row r="651" spans="1:6" x14ac:dyDescent="0.25">
      <c r="A651" s="34">
        <v>23</v>
      </c>
      <c r="B651" s="33" t="s">
        <v>619</v>
      </c>
      <c r="C651" s="33" t="s">
        <v>634</v>
      </c>
      <c r="D651" s="33" t="s">
        <v>621</v>
      </c>
      <c r="E651" s="33" t="s">
        <v>635</v>
      </c>
      <c r="F651" s="34">
        <v>1</v>
      </c>
    </row>
    <row r="652" spans="1:6" x14ac:dyDescent="0.25">
      <c r="A652" s="34">
        <v>23</v>
      </c>
      <c r="B652" s="33" t="s">
        <v>619</v>
      </c>
      <c r="C652" s="33" t="s">
        <v>634</v>
      </c>
      <c r="D652" s="33" t="s">
        <v>621</v>
      </c>
      <c r="E652" s="33" t="s">
        <v>636</v>
      </c>
      <c r="F652" s="34">
        <v>1</v>
      </c>
    </row>
    <row r="653" spans="1:6" x14ac:dyDescent="0.25">
      <c r="A653" s="34">
        <v>23</v>
      </c>
      <c r="B653" s="33" t="s">
        <v>619</v>
      </c>
      <c r="C653" s="33" t="s">
        <v>634</v>
      </c>
      <c r="D653" s="33" t="s">
        <v>621</v>
      </c>
      <c r="E653" s="33" t="s">
        <v>637</v>
      </c>
      <c r="F653" s="34">
        <v>5</v>
      </c>
    </row>
    <row r="654" spans="1:6" x14ac:dyDescent="0.25">
      <c r="A654" s="34">
        <v>23</v>
      </c>
      <c r="B654" s="33" t="s">
        <v>619</v>
      </c>
      <c r="C654" s="33" t="s">
        <v>634</v>
      </c>
      <c r="D654" s="33" t="s">
        <v>621</v>
      </c>
      <c r="E654" s="33" t="s">
        <v>638</v>
      </c>
      <c r="F654" s="34">
        <v>50</v>
      </c>
    </row>
    <row r="655" spans="1:6" x14ac:dyDescent="0.25">
      <c r="A655" s="34">
        <v>23</v>
      </c>
      <c r="B655" s="33" t="s">
        <v>619</v>
      </c>
      <c r="C655" s="33" t="s">
        <v>634</v>
      </c>
      <c r="D655" s="33" t="s">
        <v>630</v>
      </c>
      <c r="E655" s="33" t="s">
        <v>639</v>
      </c>
      <c r="F655" s="34">
        <v>65</v>
      </c>
    </row>
    <row r="656" spans="1:6" x14ac:dyDescent="0.25">
      <c r="A656" s="34">
        <v>23</v>
      </c>
      <c r="B656" s="33" t="s">
        <v>619</v>
      </c>
      <c r="C656" s="33" t="s">
        <v>634</v>
      </c>
      <c r="D656" s="33" t="s">
        <v>630</v>
      </c>
      <c r="E656" s="33" t="s">
        <v>640</v>
      </c>
      <c r="F656" s="34">
        <v>65</v>
      </c>
    </row>
    <row r="657" spans="1:6" x14ac:dyDescent="0.25">
      <c r="A657" s="34">
        <v>23</v>
      </c>
      <c r="B657" s="33" t="s">
        <v>619</v>
      </c>
      <c r="C657" s="33" t="s">
        <v>634</v>
      </c>
      <c r="D657" s="33" t="s">
        <v>630</v>
      </c>
      <c r="E657" s="33" t="s">
        <v>641</v>
      </c>
      <c r="F657" s="34">
        <v>65</v>
      </c>
    </row>
    <row r="658" spans="1:6" x14ac:dyDescent="0.25">
      <c r="A658" s="34">
        <v>23</v>
      </c>
      <c r="B658" s="33" t="s">
        <v>619</v>
      </c>
      <c r="C658" s="33" t="s">
        <v>642</v>
      </c>
      <c r="D658" s="33" t="s">
        <v>621</v>
      </c>
      <c r="E658" s="33" t="s">
        <v>643</v>
      </c>
      <c r="F658" s="34">
        <v>0</v>
      </c>
    </row>
    <row r="659" spans="1:6" x14ac:dyDescent="0.25">
      <c r="A659" s="34">
        <v>23</v>
      </c>
      <c r="B659" s="33" t="s">
        <v>619</v>
      </c>
      <c r="C659" s="33" t="s">
        <v>642</v>
      </c>
      <c r="D659" s="33" t="s">
        <v>621</v>
      </c>
      <c r="E659" s="33" t="s">
        <v>644</v>
      </c>
      <c r="F659" s="34">
        <v>0</v>
      </c>
    </row>
    <row r="660" spans="1:6" x14ac:dyDescent="0.25">
      <c r="A660" s="34">
        <v>23</v>
      </c>
      <c r="B660" s="33" t="s">
        <v>619</v>
      </c>
      <c r="C660" s="33" t="s">
        <v>642</v>
      </c>
      <c r="D660" s="33" t="s">
        <v>621</v>
      </c>
      <c r="E660" s="33" t="s">
        <v>645</v>
      </c>
      <c r="F660" s="34">
        <v>0</v>
      </c>
    </row>
    <row r="661" spans="1:6" x14ac:dyDescent="0.25">
      <c r="A661" s="34">
        <v>23</v>
      </c>
      <c r="B661" s="33" t="s">
        <v>619</v>
      </c>
      <c r="C661" s="33" t="s">
        <v>642</v>
      </c>
      <c r="D661" s="33" t="s">
        <v>621</v>
      </c>
      <c r="E661" s="33" t="s">
        <v>646</v>
      </c>
      <c r="F661" s="34">
        <v>0</v>
      </c>
    </row>
    <row r="662" spans="1:6" x14ac:dyDescent="0.25">
      <c r="A662" s="34">
        <v>23</v>
      </c>
      <c r="B662" s="33" t="s">
        <v>619</v>
      </c>
      <c r="C662" s="33" t="s">
        <v>642</v>
      </c>
      <c r="D662" s="33" t="s">
        <v>621</v>
      </c>
      <c r="E662" s="33" t="s">
        <v>647</v>
      </c>
      <c r="F662" s="34">
        <v>0</v>
      </c>
    </row>
    <row r="663" spans="1:6" x14ac:dyDescent="0.25">
      <c r="A663" s="34">
        <v>23</v>
      </c>
      <c r="B663" s="33" t="s">
        <v>619</v>
      </c>
      <c r="C663" s="33" t="s">
        <v>642</v>
      </c>
      <c r="D663" s="33" t="s">
        <v>621</v>
      </c>
      <c r="E663" s="33" t="s">
        <v>648</v>
      </c>
      <c r="F663" s="34">
        <v>0</v>
      </c>
    </row>
    <row r="664" spans="1:6" x14ac:dyDescent="0.25">
      <c r="A664" s="34">
        <v>23</v>
      </c>
      <c r="B664" s="33" t="s">
        <v>619</v>
      </c>
      <c r="C664" s="33" t="s">
        <v>642</v>
      </c>
      <c r="D664" s="33" t="s">
        <v>621</v>
      </c>
      <c r="E664" s="33" t="s">
        <v>649</v>
      </c>
      <c r="F664" s="34">
        <v>50</v>
      </c>
    </row>
    <row r="665" spans="1:6" x14ac:dyDescent="0.25">
      <c r="A665" s="34">
        <v>23</v>
      </c>
      <c r="B665" s="33" t="s">
        <v>619</v>
      </c>
      <c r="C665" s="33" t="s">
        <v>642</v>
      </c>
      <c r="D665" s="33" t="s">
        <v>630</v>
      </c>
      <c r="E665" s="33" t="s">
        <v>650</v>
      </c>
      <c r="F665" s="34">
        <v>65</v>
      </c>
    </row>
    <row r="666" spans="1:6" x14ac:dyDescent="0.25">
      <c r="A666" s="34">
        <v>23</v>
      </c>
      <c r="B666" s="33" t="s">
        <v>619</v>
      </c>
      <c r="C666" s="33" t="s">
        <v>642</v>
      </c>
      <c r="D666" s="33" t="s">
        <v>630</v>
      </c>
      <c r="E666" s="33" t="s">
        <v>651</v>
      </c>
      <c r="F666" s="33" t="s">
        <v>462</v>
      </c>
    </row>
    <row r="667" spans="1:6" x14ac:dyDescent="0.25">
      <c r="A667" s="34">
        <v>23</v>
      </c>
      <c r="B667" s="33" t="s">
        <v>619</v>
      </c>
      <c r="C667" s="33" t="s">
        <v>642</v>
      </c>
      <c r="D667" s="33" t="s">
        <v>630</v>
      </c>
      <c r="E667" s="33" t="s">
        <v>652</v>
      </c>
      <c r="F667" s="34">
        <v>65</v>
      </c>
    </row>
    <row r="668" spans="1:6" x14ac:dyDescent="0.25">
      <c r="A668" s="34">
        <v>23</v>
      </c>
      <c r="B668" s="33" t="s">
        <v>619</v>
      </c>
      <c r="C668" s="33" t="s">
        <v>653</v>
      </c>
      <c r="D668" s="33" t="s">
        <v>653</v>
      </c>
      <c r="E668" s="33" t="s">
        <v>654</v>
      </c>
      <c r="F668" s="34">
        <v>30</v>
      </c>
    </row>
    <row r="669" spans="1:6" x14ac:dyDescent="0.25">
      <c r="A669" s="34">
        <v>24</v>
      </c>
      <c r="B669" s="33" t="s">
        <v>619</v>
      </c>
      <c r="C669" s="33" t="s">
        <v>620</v>
      </c>
      <c r="D669" s="33" t="s">
        <v>621</v>
      </c>
      <c r="E669" s="33" t="s">
        <v>622</v>
      </c>
      <c r="F669" s="34">
        <v>0</v>
      </c>
    </row>
    <row r="670" spans="1:6" x14ac:dyDescent="0.25">
      <c r="A670" s="34">
        <v>24</v>
      </c>
      <c r="B670" s="33" t="s">
        <v>619</v>
      </c>
      <c r="C670" s="33" t="s">
        <v>620</v>
      </c>
      <c r="D670" s="33" t="s">
        <v>621</v>
      </c>
      <c r="E670" s="33" t="s">
        <v>623</v>
      </c>
      <c r="F670" s="34">
        <v>0</v>
      </c>
    </row>
    <row r="671" spans="1:6" x14ac:dyDescent="0.25">
      <c r="A671" s="34">
        <v>24</v>
      </c>
      <c r="B671" s="33" t="s">
        <v>619</v>
      </c>
      <c r="C671" s="33" t="s">
        <v>620</v>
      </c>
      <c r="D671" s="33" t="s">
        <v>621</v>
      </c>
      <c r="E671" s="33" t="s">
        <v>624</v>
      </c>
      <c r="F671" s="34">
        <v>0</v>
      </c>
    </row>
    <row r="672" spans="1:6" x14ac:dyDescent="0.25">
      <c r="A672" s="34">
        <v>24</v>
      </c>
      <c r="B672" s="33" t="s">
        <v>619</v>
      </c>
      <c r="C672" s="33" t="s">
        <v>620</v>
      </c>
      <c r="D672" s="33" t="s">
        <v>621</v>
      </c>
      <c r="E672" s="33" t="s">
        <v>625</v>
      </c>
      <c r="F672" s="34">
        <v>0</v>
      </c>
    </row>
    <row r="673" spans="1:6" x14ac:dyDescent="0.25">
      <c r="A673" s="34">
        <v>24</v>
      </c>
      <c r="B673" s="33" t="s">
        <v>619</v>
      </c>
      <c r="C673" s="33" t="s">
        <v>620</v>
      </c>
      <c r="D673" s="33" t="s">
        <v>621</v>
      </c>
      <c r="E673" s="33" t="s">
        <v>626</v>
      </c>
      <c r="F673" s="34">
        <v>0</v>
      </c>
    </row>
    <row r="674" spans="1:6" x14ac:dyDescent="0.25">
      <c r="A674" s="34">
        <v>24</v>
      </c>
      <c r="B674" s="33" t="s">
        <v>619</v>
      </c>
      <c r="C674" s="33" t="s">
        <v>620</v>
      </c>
      <c r="D674" s="33" t="s">
        <v>621</v>
      </c>
      <c r="E674" s="33" t="s">
        <v>627</v>
      </c>
      <c r="F674" s="34">
        <v>0</v>
      </c>
    </row>
    <row r="675" spans="1:6" x14ac:dyDescent="0.25">
      <c r="A675" s="34">
        <v>24</v>
      </c>
      <c r="B675" s="33" t="s">
        <v>619</v>
      </c>
      <c r="C675" s="33" t="s">
        <v>620</v>
      </c>
      <c r="D675" s="33" t="s">
        <v>621</v>
      </c>
      <c r="E675" s="33" t="s">
        <v>628</v>
      </c>
      <c r="F675" s="34">
        <v>5</v>
      </c>
    </row>
    <row r="676" spans="1:6" x14ac:dyDescent="0.25">
      <c r="A676" s="34">
        <v>24</v>
      </c>
      <c r="B676" s="33" t="s">
        <v>619</v>
      </c>
      <c r="C676" s="33" t="s">
        <v>620</v>
      </c>
      <c r="D676" s="33" t="s">
        <v>621</v>
      </c>
      <c r="E676" s="33" t="s">
        <v>629</v>
      </c>
      <c r="F676" s="34">
        <v>0</v>
      </c>
    </row>
    <row r="677" spans="1:6" x14ac:dyDescent="0.25">
      <c r="A677" s="34">
        <v>24</v>
      </c>
      <c r="B677" s="33" t="s">
        <v>619</v>
      </c>
      <c r="C677" s="33" t="s">
        <v>620</v>
      </c>
      <c r="D677" s="33" t="s">
        <v>630</v>
      </c>
      <c r="E677" s="33" t="s">
        <v>631</v>
      </c>
      <c r="F677" s="34">
        <v>30</v>
      </c>
    </row>
    <row r="678" spans="1:6" x14ac:dyDescent="0.25">
      <c r="A678" s="34">
        <v>24</v>
      </c>
      <c r="B678" s="33" t="s">
        <v>619</v>
      </c>
      <c r="C678" s="33" t="s">
        <v>620</v>
      </c>
      <c r="D678" s="33" t="s">
        <v>630</v>
      </c>
      <c r="E678" s="33" t="s">
        <v>632</v>
      </c>
      <c r="F678" s="34">
        <v>66</v>
      </c>
    </row>
    <row r="679" spans="1:6" x14ac:dyDescent="0.25">
      <c r="A679" s="34">
        <v>24</v>
      </c>
      <c r="B679" s="33" t="s">
        <v>619</v>
      </c>
      <c r="C679" s="33" t="s">
        <v>620</v>
      </c>
      <c r="D679" s="33" t="s">
        <v>630</v>
      </c>
      <c r="E679" s="33" t="s">
        <v>633</v>
      </c>
      <c r="F679" s="34">
        <v>66</v>
      </c>
    </row>
    <row r="680" spans="1:6" x14ac:dyDescent="0.25">
      <c r="A680" s="34">
        <v>24</v>
      </c>
      <c r="B680" s="33" t="s">
        <v>619</v>
      </c>
      <c r="C680" s="33" t="s">
        <v>634</v>
      </c>
      <c r="D680" s="33" t="s">
        <v>621</v>
      </c>
      <c r="E680" s="33" t="s">
        <v>635</v>
      </c>
      <c r="F680" s="34">
        <v>0</v>
      </c>
    </row>
    <row r="681" spans="1:6" x14ac:dyDescent="0.25">
      <c r="A681" s="34">
        <v>24</v>
      </c>
      <c r="B681" s="33" t="s">
        <v>619</v>
      </c>
      <c r="C681" s="33" t="s">
        <v>634</v>
      </c>
      <c r="D681" s="33" t="s">
        <v>621</v>
      </c>
      <c r="E681" s="33" t="s">
        <v>636</v>
      </c>
      <c r="F681" s="34">
        <v>0</v>
      </c>
    </row>
    <row r="682" spans="1:6" x14ac:dyDescent="0.25">
      <c r="A682" s="34">
        <v>24</v>
      </c>
      <c r="B682" s="33" t="s">
        <v>619</v>
      </c>
      <c r="C682" s="33" t="s">
        <v>634</v>
      </c>
      <c r="D682" s="33" t="s">
        <v>621</v>
      </c>
      <c r="E682" s="33" t="s">
        <v>637</v>
      </c>
      <c r="F682" s="34">
        <v>5</v>
      </c>
    </row>
    <row r="683" spans="1:6" x14ac:dyDescent="0.25">
      <c r="A683" s="34">
        <v>24</v>
      </c>
      <c r="B683" s="33" t="s">
        <v>619</v>
      </c>
      <c r="C683" s="33" t="s">
        <v>634</v>
      </c>
      <c r="D683" s="33" t="s">
        <v>621</v>
      </c>
      <c r="E683" s="33" t="s">
        <v>638</v>
      </c>
      <c r="F683" s="34">
        <v>50</v>
      </c>
    </row>
    <row r="684" spans="1:6" x14ac:dyDescent="0.25">
      <c r="A684" s="34">
        <v>24</v>
      </c>
      <c r="B684" s="33" t="s">
        <v>619</v>
      </c>
      <c r="C684" s="33" t="s">
        <v>634</v>
      </c>
      <c r="D684" s="33" t="s">
        <v>630</v>
      </c>
      <c r="E684" s="33" t="s">
        <v>639</v>
      </c>
      <c r="F684" s="34">
        <v>75</v>
      </c>
    </row>
    <row r="685" spans="1:6" x14ac:dyDescent="0.25">
      <c r="A685" s="34">
        <v>24</v>
      </c>
      <c r="B685" s="33" t="s">
        <v>619</v>
      </c>
      <c r="C685" s="33" t="s">
        <v>634</v>
      </c>
      <c r="D685" s="33" t="s">
        <v>630</v>
      </c>
      <c r="E685" s="33" t="s">
        <v>640</v>
      </c>
      <c r="F685" s="33" t="s">
        <v>462</v>
      </c>
    </row>
    <row r="686" spans="1:6" x14ac:dyDescent="0.25">
      <c r="A686" s="34">
        <v>24</v>
      </c>
      <c r="B686" s="33" t="s">
        <v>619</v>
      </c>
      <c r="C686" s="33" t="s">
        <v>634</v>
      </c>
      <c r="D686" s="33" t="s">
        <v>630</v>
      </c>
      <c r="E686" s="33" t="s">
        <v>641</v>
      </c>
      <c r="F686" s="34">
        <v>75</v>
      </c>
    </row>
    <row r="687" spans="1:6" x14ac:dyDescent="0.25">
      <c r="A687" s="34">
        <v>24</v>
      </c>
      <c r="B687" s="33" t="s">
        <v>619</v>
      </c>
      <c r="C687" s="33" t="s">
        <v>642</v>
      </c>
      <c r="D687" s="33" t="s">
        <v>621</v>
      </c>
      <c r="E687" s="33" t="s">
        <v>643</v>
      </c>
      <c r="F687" s="34">
        <v>0</v>
      </c>
    </row>
    <row r="688" spans="1:6" x14ac:dyDescent="0.25">
      <c r="A688" s="34">
        <v>24</v>
      </c>
      <c r="B688" s="33" t="s">
        <v>619</v>
      </c>
      <c r="C688" s="33" t="s">
        <v>642</v>
      </c>
      <c r="D688" s="33" t="s">
        <v>621</v>
      </c>
      <c r="E688" s="33" t="s">
        <v>644</v>
      </c>
      <c r="F688" s="34">
        <v>0</v>
      </c>
    </row>
    <row r="689" spans="1:6" x14ac:dyDescent="0.25">
      <c r="A689" s="34">
        <v>24</v>
      </c>
      <c r="B689" s="33" t="s">
        <v>619</v>
      </c>
      <c r="C689" s="33" t="s">
        <v>642</v>
      </c>
      <c r="D689" s="33" t="s">
        <v>621</v>
      </c>
      <c r="E689" s="33" t="s">
        <v>645</v>
      </c>
      <c r="F689" s="34">
        <v>0</v>
      </c>
    </row>
    <row r="690" spans="1:6" x14ac:dyDescent="0.25">
      <c r="A690" s="34">
        <v>24</v>
      </c>
      <c r="B690" s="33" t="s">
        <v>619</v>
      </c>
      <c r="C690" s="33" t="s">
        <v>642</v>
      </c>
      <c r="D690" s="33" t="s">
        <v>621</v>
      </c>
      <c r="E690" s="33" t="s">
        <v>646</v>
      </c>
      <c r="F690" s="34">
        <v>0</v>
      </c>
    </row>
    <row r="691" spans="1:6" x14ac:dyDescent="0.25">
      <c r="A691" s="34">
        <v>24</v>
      </c>
      <c r="B691" s="33" t="s">
        <v>619</v>
      </c>
      <c r="C691" s="33" t="s">
        <v>642</v>
      </c>
      <c r="D691" s="33" t="s">
        <v>621</v>
      </c>
      <c r="E691" s="33" t="s">
        <v>647</v>
      </c>
      <c r="F691" s="34">
        <v>5</v>
      </c>
    </row>
    <row r="692" spans="1:6" x14ac:dyDescent="0.25">
      <c r="A692" s="34">
        <v>24</v>
      </c>
      <c r="B692" s="33" t="s">
        <v>619</v>
      </c>
      <c r="C692" s="33" t="s">
        <v>642</v>
      </c>
      <c r="D692" s="33" t="s">
        <v>621</v>
      </c>
      <c r="E692" s="33" t="s">
        <v>648</v>
      </c>
      <c r="F692" s="34">
        <v>5</v>
      </c>
    </row>
    <row r="693" spans="1:6" x14ac:dyDescent="0.25">
      <c r="A693" s="34">
        <v>24</v>
      </c>
      <c r="B693" s="33" t="s">
        <v>619</v>
      </c>
      <c r="C693" s="33" t="s">
        <v>642</v>
      </c>
      <c r="D693" s="33" t="s">
        <v>621</v>
      </c>
      <c r="E693" s="33" t="s">
        <v>649</v>
      </c>
      <c r="F693" s="34">
        <v>50</v>
      </c>
    </row>
    <row r="694" spans="1:6" x14ac:dyDescent="0.25">
      <c r="A694" s="34">
        <v>24</v>
      </c>
      <c r="B694" s="33" t="s">
        <v>619</v>
      </c>
      <c r="C694" s="33" t="s">
        <v>642</v>
      </c>
      <c r="D694" s="33" t="s">
        <v>630</v>
      </c>
      <c r="E694" s="33" t="s">
        <v>650</v>
      </c>
      <c r="F694" s="34">
        <v>68</v>
      </c>
    </row>
    <row r="695" spans="1:6" x14ac:dyDescent="0.25">
      <c r="A695" s="34">
        <v>24</v>
      </c>
      <c r="B695" s="33" t="s">
        <v>619</v>
      </c>
      <c r="C695" s="33" t="s">
        <v>642</v>
      </c>
      <c r="D695" s="33" t="s">
        <v>630</v>
      </c>
      <c r="E695" s="33" t="s">
        <v>651</v>
      </c>
      <c r="F695" s="33" t="s">
        <v>462</v>
      </c>
    </row>
    <row r="696" spans="1:6" x14ac:dyDescent="0.25">
      <c r="A696" s="34">
        <v>24</v>
      </c>
      <c r="B696" s="33" t="s">
        <v>619</v>
      </c>
      <c r="C696" s="33" t="s">
        <v>642</v>
      </c>
      <c r="D696" s="33" t="s">
        <v>630</v>
      </c>
      <c r="E696" s="33" t="s">
        <v>652</v>
      </c>
      <c r="F696" s="34">
        <v>68</v>
      </c>
    </row>
    <row r="697" spans="1:6" x14ac:dyDescent="0.25">
      <c r="A697" s="34">
        <v>24</v>
      </c>
      <c r="B697" s="33" t="s">
        <v>619</v>
      </c>
      <c r="C697" s="33" t="s">
        <v>653</v>
      </c>
      <c r="D697" s="33" t="s">
        <v>653</v>
      </c>
      <c r="E697" s="33" t="s">
        <v>654</v>
      </c>
      <c r="F697" s="34">
        <v>30</v>
      </c>
    </row>
    <row r="698" spans="1:6" x14ac:dyDescent="0.25">
      <c r="A698" s="34">
        <v>25</v>
      </c>
      <c r="B698" s="33" t="s">
        <v>619</v>
      </c>
      <c r="C698" s="33" t="s">
        <v>620</v>
      </c>
      <c r="D698" s="33" t="s">
        <v>621</v>
      </c>
      <c r="E698" s="33" t="s">
        <v>622</v>
      </c>
      <c r="F698" s="34">
        <v>1</v>
      </c>
    </row>
    <row r="699" spans="1:6" x14ac:dyDescent="0.25">
      <c r="A699" s="34">
        <v>25</v>
      </c>
      <c r="B699" s="33" t="s">
        <v>619</v>
      </c>
      <c r="C699" s="33" t="s">
        <v>620</v>
      </c>
      <c r="D699" s="33" t="s">
        <v>621</v>
      </c>
      <c r="E699" s="33" t="s">
        <v>623</v>
      </c>
      <c r="F699" s="34">
        <v>1</v>
      </c>
    </row>
    <row r="700" spans="1:6" x14ac:dyDescent="0.25">
      <c r="A700" s="34">
        <v>25</v>
      </c>
      <c r="B700" s="33" t="s">
        <v>619</v>
      </c>
      <c r="C700" s="33" t="s">
        <v>620</v>
      </c>
      <c r="D700" s="33" t="s">
        <v>621</v>
      </c>
      <c r="E700" s="33" t="s">
        <v>624</v>
      </c>
      <c r="F700" s="34">
        <v>0.5</v>
      </c>
    </row>
    <row r="701" spans="1:6" x14ac:dyDescent="0.25">
      <c r="A701" s="34">
        <v>25</v>
      </c>
      <c r="B701" s="33" t="s">
        <v>619</v>
      </c>
      <c r="C701" s="33" t="s">
        <v>620</v>
      </c>
      <c r="D701" s="33" t="s">
        <v>621</v>
      </c>
      <c r="E701" s="33" t="s">
        <v>625</v>
      </c>
      <c r="F701" s="34">
        <v>1</v>
      </c>
    </row>
    <row r="702" spans="1:6" x14ac:dyDescent="0.25">
      <c r="A702" s="34">
        <v>25</v>
      </c>
      <c r="B702" s="33" t="s">
        <v>619</v>
      </c>
      <c r="C702" s="33" t="s">
        <v>620</v>
      </c>
      <c r="D702" s="33" t="s">
        <v>621</v>
      </c>
      <c r="E702" s="33" t="s">
        <v>626</v>
      </c>
      <c r="F702" s="34">
        <v>1</v>
      </c>
    </row>
    <row r="703" spans="1:6" x14ac:dyDescent="0.25">
      <c r="A703" s="34">
        <v>25</v>
      </c>
      <c r="B703" s="33" t="s">
        <v>619</v>
      </c>
      <c r="C703" s="33" t="s">
        <v>620</v>
      </c>
      <c r="D703" s="33" t="s">
        <v>621</v>
      </c>
      <c r="E703" s="33" t="s">
        <v>627</v>
      </c>
      <c r="F703" s="34">
        <v>0</v>
      </c>
    </row>
    <row r="704" spans="1:6" x14ac:dyDescent="0.25">
      <c r="A704" s="34">
        <v>25</v>
      </c>
      <c r="B704" s="33" t="s">
        <v>619</v>
      </c>
      <c r="C704" s="33" t="s">
        <v>620</v>
      </c>
      <c r="D704" s="33" t="s">
        <v>621</v>
      </c>
      <c r="E704" s="33" t="s">
        <v>628</v>
      </c>
      <c r="F704" s="34">
        <v>5</v>
      </c>
    </row>
    <row r="705" spans="1:6" x14ac:dyDescent="0.25">
      <c r="A705" s="34">
        <v>25</v>
      </c>
      <c r="B705" s="33" t="s">
        <v>619</v>
      </c>
      <c r="C705" s="33" t="s">
        <v>620</v>
      </c>
      <c r="D705" s="33" t="s">
        <v>621</v>
      </c>
      <c r="E705" s="33" t="s">
        <v>629</v>
      </c>
      <c r="F705" s="34">
        <v>47</v>
      </c>
    </row>
    <row r="706" spans="1:6" x14ac:dyDescent="0.25">
      <c r="A706" s="34">
        <v>25</v>
      </c>
      <c r="B706" s="33" t="s">
        <v>619</v>
      </c>
      <c r="C706" s="33" t="s">
        <v>620</v>
      </c>
      <c r="D706" s="33" t="s">
        <v>630</v>
      </c>
      <c r="E706" s="33" t="s">
        <v>631</v>
      </c>
      <c r="F706" s="34">
        <v>48</v>
      </c>
    </row>
    <row r="707" spans="1:6" x14ac:dyDescent="0.25">
      <c r="A707" s="34">
        <v>25</v>
      </c>
      <c r="B707" s="33" t="s">
        <v>619</v>
      </c>
      <c r="C707" s="33" t="s">
        <v>620</v>
      </c>
      <c r="D707" s="33" t="s">
        <v>630</v>
      </c>
      <c r="E707" s="33" t="s">
        <v>632</v>
      </c>
      <c r="F707" s="34">
        <v>66</v>
      </c>
    </row>
    <row r="708" spans="1:6" x14ac:dyDescent="0.25">
      <c r="A708" s="34">
        <v>25</v>
      </c>
      <c r="B708" s="33" t="s">
        <v>619</v>
      </c>
      <c r="C708" s="33" t="s">
        <v>620</v>
      </c>
      <c r="D708" s="33" t="s">
        <v>630</v>
      </c>
      <c r="E708" s="33" t="s">
        <v>633</v>
      </c>
      <c r="F708" s="34">
        <v>66</v>
      </c>
    </row>
    <row r="709" spans="1:6" x14ac:dyDescent="0.25">
      <c r="A709" s="34">
        <v>25</v>
      </c>
      <c r="B709" s="33" t="s">
        <v>619</v>
      </c>
      <c r="C709" s="33" t="s">
        <v>634</v>
      </c>
      <c r="D709" s="33" t="s">
        <v>621</v>
      </c>
      <c r="E709" s="33" t="s">
        <v>635</v>
      </c>
      <c r="F709" s="34">
        <v>1</v>
      </c>
    </row>
    <row r="710" spans="1:6" x14ac:dyDescent="0.25">
      <c r="A710" s="34">
        <v>25</v>
      </c>
      <c r="B710" s="33" t="s">
        <v>619</v>
      </c>
      <c r="C710" s="33" t="s">
        <v>634</v>
      </c>
      <c r="D710" s="33" t="s">
        <v>621</v>
      </c>
      <c r="E710" s="33" t="s">
        <v>636</v>
      </c>
      <c r="F710" s="34">
        <v>1</v>
      </c>
    </row>
    <row r="711" spans="1:6" x14ac:dyDescent="0.25">
      <c r="A711" s="34">
        <v>25</v>
      </c>
      <c r="B711" s="33" t="s">
        <v>619</v>
      </c>
      <c r="C711" s="33" t="s">
        <v>634</v>
      </c>
      <c r="D711" s="33" t="s">
        <v>621</v>
      </c>
      <c r="E711" s="33" t="s">
        <v>637</v>
      </c>
      <c r="F711" s="34">
        <v>5</v>
      </c>
    </row>
    <row r="712" spans="1:6" x14ac:dyDescent="0.25">
      <c r="A712" s="34">
        <v>25</v>
      </c>
      <c r="B712" s="33" t="s">
        <v>619</v>
      </c>
      <c r="C712" s="33" t="s">
        <v>634</v>
      </c>
      <c r="D712" s="33" t="s">
        <v>621</v>
      </c>
      <c r="E712" s="33" t="s">
        <v>638</v>
      </c>
      <c r="F712" s="34">
        <v>50</v>
      </c>
    </row>
    <row r="713" spans="1:6" x14ac:dyDescent="0.25">
      <c r="A713" s="34">
        <v>25</v>
      </c>
      <c r="B713" s="33" t="s">
        <v>619</v>
      </c>
      <c r="C713" s="33" t="s">
        <v>634</v>
      </c>
      <c r="D713" s="33" t="s">
        <v>630</v>
      </c>
      <c r="E713" s="33" t="s">
        <v>639</v>
      </c>
      <c r="F713" s="34">
        <v>68</v>
      </c>
    </row>
    <row r="714" spans="1:6" x14ac:dyDescent="0.25">
      <c r="A714" s="34">
        <v>25</v>
      </c>
      <c r="B714" s="33" t="s">
        <v>619</v>
      </c>
      <c r="C714" s="33" t="s">
        <v>634</v>
      </c>
      <c r="D714" s="33" t="s">
        <v>630</v>
      </c>
      <c r="E714" s="33" t="s">
        <v>640</v>
      </c>
      <c r="F714" s="34">
        <v>73</v>
      </c>
    </row>
    <row r="715" spans="1:6" x14ac:dyDescent="0.25">
      <c r="A715" s="34">
        <v>25</v>
      </c>
      <c r="B715" s="33" t="s">
        <v>619</v>
      </c>
      <c r="C715" s="33" t="s">
        <v>634</v>
      </c>
      <c r="D715" s="33" t="s">
        <v>630</v>
      </c>
      <c r="E715" s="33" t="s">
        <v>641</v>
      </c>
      <c r="F715" s="34">
        <v>73</v>
      </c>
    </row>
    <row r="716" spans="1:6" x14ac:dyDescent="0.25">
      <c r="A716" s="34">
        <v>25</v>
      </c>
      <c r="B716" s="33" t="s">
        <v>619</v>
      </c>
      <c r="C716" s="33" t="s">
        <v>642</v>
      </c>
      <c r="D716" s="33" t="s">
        <v>621</v>
      </c>
      <c r="E716" s="33" t="s">
        <v>643</v>
      </c>
      <c r="F716" s="34">
        <v>3</v>
      </c>
    </row>
    <row r="717" spans="1:6" x14ac:dyDescent="0.25">
      <c r="A717" s="34">
        <v>25</v>
      </c>
      <c r="B717" s="33" t="s">
        <v>619</v>
      </c>
      <c r="C717" s="33" t="s">
        <v>642</v>
      </c>
      <c r="D717" s="33" t="s">
        <v>621</v>
      </c>
      <c r="E717" s="33" t="s">
        <v>644</v>
      </c>
      <c r="F717" s="34">
        <v>5</v>
      </c>
    </row>
    <row r="718" spans="1:6" x14ac:dyDescent="0.25">
      <c r="A718" s="34">
        <v>25</v>
      </c>
      <c r="B718" s="33" t="s">
        <v>619</v>
      </c>
      <c r="C718" s="33" t="s">
        <v>642</v>
      </c>
      <c r="D718" s="33" t="s">
        <v>621</v>
      </c>
      <c r="E718" s="33" t="s">
        <v>645</v>
      </c>
      <c r="F718" s="34">
        <v>5</v>
      </c>
    </row>
    <row r="719" spans="1:6" x14ac:dyDescent="0.25">
      <c r="A719" s="34">
        <v>25</v>
      </c>
      <c r="B719" s="33" t="s">
        <v>619</v>
      </c>
      <c r="C719" s="33" t="s">
        <v>642</v>
      </c>
      <c r="D719" s="33" t="s">
        <v>621</v>
      </c>
      <c r="E719" s="33" t="s">
        <v>646</v>
      </c>
      <c r="F719" s="34">
        <v>5</v>
      </c>
    </row>
    <row r="720" spans="1:6" x14ac:dyDescent="0.25">
      <c r="A720" s="34">
        <v>25</v>
      </c>
      <c r="B720" s="33" t="s">
        <v>619</v>
      </c>
      <c r="C720" s="33" t="s">
        <v>642</v>
      </c>
      <c r="D720" s="33" t="s">
        <v>621</v>
      </c>
      <c r="E720" s="33" t="s">
        <v>647</v>
      </c>
      <c r="F720" s="34">
        <v>2</v>
      </c>
    </row>
    <row r="721" spans="1:6" x14ac:dyDescent="0.25">
      <c r="A721" s="34">
        <v>25</v>
      </c>
      <c r="B721" s="33" t="s">
        <v>619</v>
      </c>
      <c r="C721" s="33" t="s">
        <v>642</v>
      </c>
      <c r="D721" s="33" t="s">
        <v>621</v>
      </c>
      <c r="E721" s="33" t="s">
        <v>648</v>
      </c>
      <c r="F721" s="34">
        <v>5</v>
      </c>
    </row>
    <row r="722" spans="1:6" x14ac:dyDescent="0.25">
      <c r="A722" s="34">
        <v>25</v>
      </c>
      <c r="B722" s="33" t="s">
        <v>619</v>
      </c>
      <c r="C722" s="33" t="s">
        <v>642</v>
      </c>
      <c r="D722" s="33" t="s">
        <v>621</v>
      </c>
      <c r="E722" s="33" t="s">
        <v>649</v>
      </c>
      <c r="F722" s="34">
        <v>50</v>
      </c>
    </row>
    <row r="723" spans="1:6" x14ac:dyDescent="0.25">
      <c r="A723" s="34">
        <v>25</v>
      </c>
      <c r="B723" s="33" t="s">
        <v>619</v>
      </c>
      <c r="C723" s="33" t="s">
        <v>642</v>
      </c>
      <c r="D723" s="33" t="s">
        <v>630</v>
      </c>
      <c r="E723" s="33" t="s">
        <v>650</v>
      </c>
      <c r="F723" s="34">
        <v>62</v>
      </c>
    </row>
    <row r="724" spans="1:6" x14ac:dyDescent="0.25">
      <c r="A724" s="34">
        <v>25</v>
      </c>
      <c r="B724" s="33" t="s">
        <v>619</v>
      </c>
      <c r="C724" s="33" t="s">
        <v>642</v>
      </c>
      <c r="D724" s="33" t="s">
        <v>630</v>
      </c>
      <c r="E724" s="33" t="s">
        <v>651</v>
      </c>
      <c r="F724" s="34">
        <v>30</v>
      </c>
    </row>
    <row r="725" spans="1:6" x14ac:dyDescent="0.25">
      <c r="A725" s="34">
        <v>25</v>
      </c>
      <c r="B725" s="33" t="s">
        <v>619</v>
      </c>
      <c r="C725" s="33" t="s">
        <v>642</v>
      </c>
      <c r="D725" s="33" t="s">
        <v>630</v>
      </c>
      <c r="E725" s="33" t="s">
        <v>652</v>
      </c>
      <c r="F725" s="34">
        <v>62</v>
      </c>
    </row>
    <row r="726" spans="1:6" x14ac:dyDescent="0.25">
      <c r="A726" s="34">
        <v>25</v>
      </c>
      <c r="B726" s="33" t="s">
        <v>619</v>
      </c>
      <c r="C726" s="33" t="s">
        <v>653</v>
      </c>
      <c r="D726" s="33" t="s">
        <v>653</v>
      </c>
      <c r="E726" s="33" t="s">
        <v>654</v>
      </c>
      <c r="F726" s="34">
        <v>68</v>
      </c>
    </row>
    <row r="727" spans="1:6" x14ac:dyDescent="0.25">
      <c r="A727" s="34">
        <v>26</v>
      </c>
      <c r="B727" s="33" t="s">
        <v>619</v>
      </c>
      <c r="C727" s="33" t="s">
        <v>620</v>
      </c>
      <c r="D727" s="33" t="s">
        <v>621</v>
      </c>
      <c r="E727" s="33" t="s">
        <v>622</v>
      </c>
      <c r="F727" s="34">
        <v>1</v>
      </c>
    </row>
    <row r="728" spans="1:6" x14ac:dyDescent="0.25">
      <c r="A728" s="34">
        <v>26</v>
      </c>
      <c r="B728" s="33" t="s">
        <v>619</v>
      </c>
      <c r="C728" s="33" t="s">
        <v>620</v>
      </c>
      <c r="D728" s="33" t="s">
        <v>621</v>
      </c>
      <c r="E728" s="33" t="s">
        <v>623</v>
      </c>
      <c r="F728" s="34">
        <v>0</v>
      </c>
    </row>
    <row r="729" spans="1:6" x14ac:dyDescent="0.25">
      <c r="A729" s="34">
        <v>26</v>
      </c>
      <c r="B729" s="33" t="s">
        <v>619</v>
      </c>
      <c r="C729" s="33" t="s">
        <v>620</v>
      </c>
      <c r="D729" s="33" t="s">
        <v>621</v>
      </c>
      <c r="E729" s="33" t="s">
        <v>624</v>
      </c>
      <c r="F729" s="34">
        <v>0</v>
      </c>
    </row>
    <row r="730" spans="1:6" x14ac:dyDescent="0.25">
      <c r="A730" s="34">
        <v>26</v>
      </c>
      <c r="B730" s="33" t="s">
        <v>619</v>
      </c>
      <c r="C730" s="33" t="s">
        <v>620</v>
      </c>
      <c r="D730" s="33" t="s">
        <v>621</v>
      </c>
      <c r="E730" s="33" t="s">
        <v>625</v>
      </c>
      <c r="F730" s="34">
        <v>0</v>
      </c>
    </row>
    <row r="731" spans="1:6" x14ac:dyDescent="0.25">
      <c r="A731" s="34">
        <v>26</v>
      </c>
      <c r="B731" s="33" t="s">
        <v>619</v>
      </c>
      <c r="C731" s="33" t="s">
        <v>620</v>
      </c>
      <c r="D731" s="33" t="s">
        <v>621</v>
      </c>
      <c r="E731" s="33" t="s">
        <v>626</v>
      </c>
      <c r="F731" s="34">
        <v>0</v>
      </c>
    </row>
    <row r="732" spans="1:6" x14ac:dyDescent="0.25">
      <c r="A732" s="34">
        <v>26</v>
      </c>
      <c r="B732" s="33" t="s">
        <v>619</v>
      </c>
      <c r="C732" s="33" t="s">
        <v>620</v>
      </c>
      <c r="D732" s="33" t="s">
        <v>621</v>
      </c>
      <c r="E732" s="33" t="s">
        <v>627</v>
      </c>
      <c r="F732" s="34">
        <v>0</v>
      </c>
    </row>
    <row r="733" spans="1:6" x14ac:dyDescent="0.25">
      <c r="A733" s="34">
        <v>26</v>
      </c>
      <c r="B733" s="33" t="s">
        <v>619</v>
      </c>
      <c r="C733" s="33" t="s">
        <v>620</v>
      </c>
      <c r="D733" s="33" t="s">
        <v>621</v>
      </c>
      <c r="E733" s="33" t="s">
        <v>628</v>
      </c>
      <c r="F733" s="34">
        <v>5</v>
      </c>
    </row>
    <row r="734" spans="1:6" x14ac:dyDescent="0.25">
      <c r="A734" s="34">
        <v>26</v>
      </c>
      <c r="B734" s="33" t="s">
        <v>619</v>
      </c>
      <c r="C734" s="33" t="s">
        <v>620</v>
      </c>
      <c r="D734" s="33" t="s">
        <v>621</v>
      </c>
      <c r="E734" s="33" t="s">
        <v>629</v>
      </c>
      <c r="F734" s="34">
        <v>31</v>
      </c>
    </row>
    <row r="735" spans="1:6" x14ac:dyDescent="0.25">
      <c r="A735" s="34">
        <v>26</v>
      </c>
      <c r="B735" s="33" t="s">
        <v>619</v>
      </c>
      <c r="C735" s="33" t="s">
        <v>620</v>
      </c>
      <c r="D735" s="33" t="s">
        <v>630</v>
      </c>
      <c r="E735" s="33" t="s">
        <v>631</v>
      </c>
      <c r="F735" s="34">
        <v>78</v>
      </c>
    </row>
    <row r="736" spans="1:6" x14ac:dyDescent="0.25">
      <c r="A736" s="34">
        <v>26</v>
      </c>
      <c r="B736" s="33" t="s">
        <v>619</v>
      </c>
      <c r="C736" s="33" t="s">
        <v>620</v>
      </c>
      <c r="D736" s="33" t="s">
        <v>630</v>
      </c>
      <c r="E736" s="33" t="s">
        <v>632</v>
      </c>
      <c r="F736" s="33" t="s">
        <v>462</v>
      </c>
    </row>
    <row r="737" spans="1:6" x14ac:dyDescent="0.25">
      <c r="A737" s="34">
        <v>26</v>
      </c>
      <c r="B737" s="33" t="s">
        <v>619</v>
      </c>
      <c r="C737" s="33" t="s">
        <v>620</v>
      </c>
      <c r="D737" s="33" t="s">
        <v>630</v>
      </c>
      <c r="E737" s="33" t="s">
        <v>633</v>
      </c>
      <c r="F737" s="34">
        <v>78</v>
      </c>
    </row>
    <row r="738" spans="1:6" x14ac:dyDescent="0.25">
      <c r="A738" s="34">
        <v>26</v>
      </c>
      <c r="B738" s="33" t="s">
        <v>619</v>
      </c>
      <c r="C738" s="33" t="s">
        <v>634</v>
      </c>
      <c r="D738" s="33" t="s">
        <v>621</v>
      </c>
      <c r="E738" s="33" t="s">
        <v>635</v>
      </c>
      <c r="F738" s="34">
        <v>0</v>
      </c>
    </row>
    <row r="739" spans="1:6" x14ac:dyDescent="0.25">
      <c r="A739" s="34">
        <v>26</v>
      </c>
      <c r="B739" s="33" t="s">
        <v>619</v>
      </c>
      <c r="C739" s="33" t="s">
        <v>634</v>
      </c>
      <c r="D739" s="33" t="s">
        <v>621</v>
      </c>
      <c r="E739" s="33" t="s">
        <v>636</v>
      </c>
      <c r="F739" s="34">
        <v>0</v>
      </c>
    </row>
    <row r="740" spans="1:6" x14ac:dyDescent="0.25">
      <c r="A740" s="34">
        <v>26</v>
      </c>
      <c r="B740" s="33" t="s">
        <v>619</v>
      </c>
      <c r="C740" s="33" t="s">
        <v>634</v>
      </c>
      <c r="D740" s="33" t="s">
        <v>621</v>
      </c>
      <c r="E740" s="33" t="s">
        <v>637</v>
      </c>
      <c r="F740" s="34">
        <v>5</v>
      </c>
    </row>
    <row r="741" spans="1:6" x14ac:dyDescent="0.25">
      <c r="A741" s="34">
        <v>26</v>
      </c>
      <c r="B741" s="33" t="s">
        <v>619</v>
      </c>
      <c r="C741" s="33" t="s">
        <v>634</v>
      </c>
      <c r="D741" s="33" t="s">
        <v>621</v>
      </c>
      <c r="E741" s="33" t="s">
        <v>638</v>
      </c>
      <c r="F741" s="34">
        <v>42</v>
      </c>
    </row>
    <row r="742" spans="1:6" x14ac:dyDescent="0.25">
      <c r="A742" s="34">
        <v>26</v>
      </c>
      <c r="B742" s="33" t="s">
        <v>619</v>
      </c>
      <c r="C742" s="33" t="s">
        <v>634</v>
      </c>
      <c r="D742" s="33" t="s">
        <v>630</v>
      </c>
      <c r="E742" s="33" t="s">
        <v>639</v>
      </c>
      <c r="F742" s="34">
        <v>65</v>
      </c>
    </row>
    <row r="743" spans="1:6" x14ac:dyDescent="0.25">
      <c r="A743" s="34">
        <v>26</v>
      </c>
      <c r="B743" s="33" t="s">
        <v>619</v>
      </c>
      <c r="C743" s="33" t="s">
        <v>634</v>
      </c>
      <c r="D743" s="33" t="s">
        <v>630</v>
      </c>
      <c r="E743" s="33" t="s">
        <v>640</v>
      </c>
      <c r="F743" s="33" t="s">
        <v>462</v>
      </c>
    </row>
    <row r="744" spans="1:6" x14ac:dyDescent="0.25">
      <c r="A744" s="34">
        <v>26</v>
      </c>
      <c r="B744" s="33" t="s">
        <v>619</v>
      </c>
      <c r="C744" s="33" t="s">
        <v>634</v>
      </c>
      <c r="D744" s="33" t="s">
        <v>630</v>
      </c>
      <c r="E744" s="33" t="s">
        <v>641</v>
      </c>
      <c r="F744" s="34">
        <v>65</v>
      </c>
    </row>
    <row r="745" spans="1:6" x14ac:dyDescent="0.25">
      <c r="A745" s="34">
        <v>26</v>
      </c>
      <c r="B745" s="33" t="s">
        <v>619</v>
      </c>
      <c r="C745" s="33" t="s">
        <v>642</v>
      </c>
      <c r="D745" s="33" t="s">
        <v>621</v>
      </c>
      <c r="E745" s="33" t="s">
        <v>643</v>
      </c>
      <c r="F745" s="34">
        <v>0</v>
      </c>
    </row>
    <row r="746" spans="1:6" x14ac:dyDescent="0.25">
      <c r="A746" s="34">
        <v>26</v>
      </c>
      <c r="B746" s="33" t="s">
        <v>619</v>
      </c>
      <c r="C746" s="33" t="s">
        <v>642</v>
      </c>
      <c r="D746" s="33" t="s">
        <v>621</v>
      </c>
      <c r="E746" s="33" t="s">
        <v>644</v>
      </c>
      <c r="F746" s="34">
        <v>0</v>
      </c>
    </row>
    <row r="747" spans="1:6" x14ac:dyDescent="0.25">
      <c r="A747" s="34">
        <v>26</v>
      </c>
      <c r="B747" s="33" t="s">
        <v>619</v>
      </c>
      <c r="C747" s="33" t="s">
        <v>642</v>
      </c>
      <c r="D747" s="33" t="s">
        <v>621</v>
      </c>
      <c r="E747" s="33" t="s">
        <v>645</v>
      </c>
      <c r="F747" s="34">
        <v>0</v>
      </c>
    </row>
    <row r="748" spans="1:6" x14ac:dyDescent="0.25">
      <c r="A748" s="34">
        <v>26</v>
      </c>
      <c r="B748" s="33" t="s">
        <v>619</v>
      </c>
      <c r="C748" s="33" t="s">
        <v>642</v>
      </c>
      <c r="D748" s="33" t="s">
        <v>621</v>
      </c>
      <c r="E748" s="33" t="s">
        <v>646</v>
      </c>
      <c r="F748" s="34">
        <v>0</v>
      </c>
    </row>
    <row r="749" spans="1:6" x14ac:dyDescent="0.25">
      <c r="A749" s="34">
        <v>26</v>
      </c>
      <c r="B749" s="33" t="s">
        <v>619</v>
      </c>
      <c r="C749" s="33" t="s">
        <v>642</v>
      </c>
      <c r="D749" s="33" t="s">
        <v>621</v>
      </c>
      <c r="E749" s="33" t="s">
        <v>647</v>
      </c>
      <c r="F749" s="34">
        <v>0</v>
      </c>
    </row>
    <row r="750" spans="1:6" x14ac:dyDescent="0.25">
      <c r="A750" s="34">
        <v>26</v>
      </c>
      <c r="B750" s="33" t="s">
        <v>619</v>
      </c>
      <c r="C750" s="33" t="s">
        <v>642</v>
      </c>
      <c r="D750" s="33" t="s">
        <v>621</v>
      </c>
      <c r="E750" s="33" t="s">
        <v>648</v>
      </c>
      <c r="F750" s="34">
        <v>0</v>
      </c>
    </row>
    <row r="751" spans="1:6" x14ac:dyDescent="0.25">
      <c r="A751" s="34">
        <v>26</v>
      </c>
      <c r="B751" s="33" t="s">
        <v>619</v>
      </c>
      <c r="C751" s="33" t="s">
        <v>642</v>
      </c>
      <c r="D751" s="33" t="s">
        <v>621</v>
      </c>
      <c r="E751" s="33" t="s">
        <v>649</v>
      </c>
      <c r="F751" s="34">
        <v>34</v>
      </c>
    </row>
    <row r="752" spans="1:6" x14ac:dyDescent="0.25">
      <c r="A752" s="34">
        <v>26</v>
      </c>
      <c r="B752" s="33" t="s">
        <v>619</v>
      </c>
      <c r="C752" s="33" t="s">
        <v>642</v>
      </c>
      <c r="D752" s="33" t="s">
        <v>630</v>
      </c>
      <c r="E752" s="33" t="s">
        <v>650</v>
      </c>
      <c r="F752" s="34">
        <v>68</v>
      </c>
    </row>
    <row r="753" spans="1:6" x14ac:dyDescent="0.25">
      <c r="A753" s="34">
        <v>26</v>
      </c>
      <c r="B753" s="33" t="s">
        <v>619</v>
      </c>
      <c r="C753" s="33" t="s">
        <v>642</v>
      </c>
      <c r="D753" s="33" t="s">
        <v>630</v>
      </c>
      <c r="E753" s="33" t="s">
        <v>651</v>
      </c>
      <c r="F753" s="33" t="s">
        <v>462</v>
      </c>
    </row>
    <row r="754" spans="1:6" x14ac:dyDescent="0.25">
      <c r="A754" s="34">
        <v>26</v>
      </c>
      <c r="B754" s="33" t="s">
        <v>619</v>
      </c>
      <c r="C754" s="33" t="s">
        <v>642</v>
      </c>
      <c r="D754" s="33" t="s">
        <v>630</v>
      </c>
      <c r="E754" s="33" t="s">
        <v>652</v>
      </c>
      <c r="F754" s="34">
        <v>68</v>
      </c>
    </row>
    <row r="755" spans="1:6" x14ac:dyDescent="0.25">
      <c r="A755" s="34">
        <v>26</v>
      </c>
      <c r="B755" s="33" t="s">
        <v>619</v>
      </c>
      <c r="C755" s="33" t="s">
        <v>653</v>
      </c>
      <c r="D755" s="33" t="s">
        <v>653</v>
      </c>
      <c r="E755" s="33" t="s">
        <v>654</v>
      </c>
      <c r="F755" s="34">
        <v>62</v>
      </c>
    </row>
    <row r="756" spans="1:6" x14ac:dyDescent="0.25">
      <c r="A756" s="34">
        <v>27</v>
      </c>
      <c r="B756" s="33" t="s">
        <v>619</v>
      </c>
      <c r="C756" s="33" t="s">
        <v>620</v>
      </c>
      <c r="D756" s="33" t="s">
        <v>621</v>
      </c>
      <c r="E756" s="33" t="s">
        <v>622</v>
      </c>
      <c r="F756" s="33" t="s">
        <v>150</v>
      </c>
    </row>
    <row r="757" spans="1:6" x14ac:dyDescent="0.25">
      <c r="A757" s="34">
        <v>27</v>
      </c>
      <c r="B757" s="33" t="s">
        <v>619</v>
      </c>
      <c r="C757" s="33" t="s">
        <v>620</v>
      </c>
      <c r="D757" s="33" t="s">
        <v>621</v>
      </c>
      <c r="E757" s="33" t="s">
        <v>623</v>
      </c>
      <c r="F757" s="33" t="s">
        <v>150</v>
      </c>
    </row>
    <row r="758" spans="1:6" x14ac:dyDescent="0.25">
      <c r="A758" s="34">
        <v>27</v>
      </c>
      <c r="B758" s="33" t="s">
        <v>619</v>
      </c>
      <c r="C758" s="33" t="s">
        <v>620</v>
      </c>
      <c r="D758" s="33" t="s">
        <v>621</v>
      </c>
      <c r="E758" s="33" t="s">
        <v>624</v>
      </c>
      <c r="F758" s="33" t="s">
        <v>150</v>
      </c>
    </row>
    <row r="759" spans="1:6" x14ac:dyDescent="0.25">
      <c r="A759" s="34">
        <v>27</v>
      </c>
      <c r="B759" s="33" t="s">
        <v>619</v>
      </c>
      <c r="C759" s="33" t="s">
        <v>620</v>
      </c>
      <c r="D759" s="33" t="s">
        <v>621</v>
      </c>
      <c r="E759" s="33" t="s">
        <v>625</v>
      </c>
      <c r="F759" s="33" t="s">
        <v>150</v>
      </c>
    </row>
    <row r="760" spans="1:6" x14ac:dyDescent="0.25">
      <c r="A760" s="34">
        <v>27</v>
      </c>
      <c r="B760" s="33" t="s">
        <v>619</v>
      </c>
      <c r="C760" s="33" t="s">
        <v>620</v>
      </c>
      <c r="D760" s="33" t="s">
        <v>621</v>
      </c>
      <c r="E760" s="33" t="s">
        <v>626</v>
      </c>
      <c r="F760" s="33" t="s">
        <v>150</v>
      </c>
    </row>
    <row r="761" spans="1:6" x14ac:dyDescent="0.25">
      <c r="A761" s="34">
        <v>27</v>
      </c>
      <c r="B761" s="33" t="s">
        <v>619</v>
      </c>
      <c r="C761" s="33" t="s">
        <v>620</v>
      </c>
      <c r="D761" s="33" t="s">
        <v>621</v>
      </c>
      <c r="E761" s="33" t="s">
        <v>627</v>
      </c>
      <c r="F761" s="33" t="s">
        <v>150</v>
      </c>
    </row>
    <row r="762" spans="1:6" x14ac:dyDescent="0.25">
      <c r="A762" s="34">
        <v>27</v>
      </c>
      <c r="B762" s="33" t="s">
        <v>619</v>
      </c>
      <c r="C762" s="33" t="s">
        <v>620</v>
      </c>
      <c r="D762" s="33" t="s">
        <v>621</v>
      </c>
      <c r="E762" s="33" t="s">
        <v>628</v>
      </c>
      <c r="F762" s="33" t="s">
        <v>150</v>
      </c>
    </row>
    <row r="763" spans="1:6" x14ac:dyDescent="0.25">
      <c r="A763" s="34">
        <v>27</v>
      </c>
      <c r="B763" s="33" t="s">
        <v>619</v>
      </c>
      <c r="C763" s="33" t="s">
        <v>620</v>
      </c>
      <c r="D763" s="33" t="s">
        <v>621</v>
      </c>
      <c r="E763" s="33" t="s">
        <v>629</v>
      </c>
      <c r="F763" s="34">
        <v>48</v>
      </c>
    </row>
    <row r="764" spans="1:6" x14ac:dyDescent="0.25">
      <c r="A764" s="34">
        <v>27</v>
      </c>
      <c r="B764" s="33" t="s">
        <v>619</v>
      </c>
      <c r="C764" s="33" t="s">
        <v>620</v>
      </c>
      <c r="D764" s="33" t="s">
        <v>630</v>
      </c>
      <c r="E764" s="33" t="s">
        <v>631</v>
      </c>
      <c r="F764" s="34">
        <v>96</v>
      </c>
    </row>
    <row r="765" spans="1:6" x14ac:dyDescent="0.25">
      <c r="A765" s="34">
        <v>27</v>
      </c>
      <c r="B765" s="33" t="s">
        <v>619</v>
      </c>
      <c r="C765" s="33" t="s">
        <v>620</v>
      </c>
      <c r="D765" s="33" t="s">
        <v>630</v>
      </c>
      <c r="E765" s="33" t="s">
        <v>632</v>
      </c>
      <c r="F765" s="33" t="s">
        <v>462</v>
      </c>
    </row>
    <row r="766" spans="1:6" x14ac:dyDescent="0.25">
      <c r="A766" s="34">
        <v>27</v>
      </c>
      <c r="B766" s="33" t="s">
        <v>619</v>
      </c>
      <c r="C766" s="33" t="s">
        <v>620</v>
      </c>
      <c r="D766" s="33" t="s">
        <v>630</v>
      </c>
      <c r="E766" s="33" t="s">
        <v>633</v>
      </c>
      <c r="F766" s="34">
        <v>96</v>
      </c>
    </row>
    <row r="767" spans="1:6" x14ac:dyDescent="0.25">
      <c r="A767" s="34">
        <v>27</v>
      </c>
      <c r="B767" s="33" t="s">
        <v>619</v>
      </c>
      <c r="C767" s="33" t="s">
        <v>634</v>
      </c>
      <c r="D767" s="33" t="s">
        <v>621</v>
      </c>
      <c r="E767" s="33" t="s">
        <v>635</v>
      </c>
      <c r="F767" s="34">
        <v>1</v>
      </c>
    </row>
    <row r="768" spans="1:6" x14ac:dyDescent="0.25">
      <c r="A768" s="34">
        <v>27</v>
      </c>
      <c r="B768" s="33" t="s">
        <v>619</v>
      </c>
      <c r="C768" s="33" t="s">
        <v>634</v>
      </c>
      <c r="D768" s="33" t="s">
        <v>621</v>
      </c>
      <c r="E768" s="33" t="s">
        <v>636</v>
      </c>
      <c r="F768" s="34">
        <v>1</v>
      </c>
    </row>
    <row r="769" spans="1:6" x14ac:dyDescent="0.25">
      <c r="A769" s="34">
        <v>27</v>
      </c>
      <c r="B769" s="33" t="s">
        <v>619</v>
      </c>
      <c r="C769" s="33" t="s">
        <v>634</v>
      </c>
      <c r="D769" s="33" t="s">
        <v>621</v>
      </c>
      <c r="E769" s="33" t="s">
        <v>637</v>
      </c>
      <c r="F769" s="34">
        <v>5</v>
      </c>
    </row>
    <row r="770" spans="1:6" x14ac:dyDescent="0.25">
      <c r="A770" s="34">
        <v>27</v>
      </c>
      <c r="B770" s="33" t="s">
        <v>619</v>
      </c>
      <c r="C770" s="33" t="s">
        <v>634</v>
      </c>
      <c r="D770" s="33" t="s">
        <v>621</v>
      </c>
      <c r="E770" s="33" t="s">
        <v>638</v>
      </c>
      <c r="F770" s="34">
        <v>50</v>
      </c>
    </row>
    <row r="771" spans="1:6" x14ac:dyDescent="0.25">
      <c r="A771" s="34">
        <v>27</v>
      </c>
      <c r="B771" s="33" t="s">
        <v>619</v>
      </c>
      <c r="C771" s="33" t="s">
        <v>634</v>
      </c>
      <c r="D771" s="33" t="s">
        <v>630</v>
      </c>
      <c r="E771" s="33" t="s">
        <v>639</v>
      </c>
      <c r="F771" s="34">
        <v>92</v>
      </c>
    </row>
    <row r="772" spans="1:6" x14ac:dyDescent="0.25">
      <c r="A772" s="34">
        <v>27</v>
      </c>
      <c r="B772" s="33" t="s">
        <v>619</v>
      </c>
      <c r="C772" s="33" t="s">
        <v>634</v>
      </c>
      <c r="D772" s="33" t="s">
        <v>630</v>
      </c>
      <c r="E772" s="33" t="s">
        <v>640</v>
      </c>
      <c r="F772" s="33" t="s">
        <v>462</v>
      </c>
    </row>
    <row r="773" spans="1:6" x14ac:dyDescent="0.25">
      <c r="A773" s="34">
        <v>27</v>
      </c>
      <c r="B773" s="33" t="s">
        <v>619</v>
      </c>
      <c r="C773" s="33" t="s">
        <v>634</v>
      </c>
      <c r="D773" s="33" t="s">
        <v>630</v>
      </c>
      <c r="E773" s="33" t="s">
        <v>641</v>
      </c>
      <c r="F773" s="34">
        <v>92</v>
      </c>
    </row>
    <row r="774" spans="1:6" x14ac:dyDescent="0.25">
      <c r="A774" s="34">
        <v>27</v>
      </c>
      <c r="B774" s="33" t="s">
        <v>619</v>
      </c>
      <c r="C774" s="33" t="s">
        <v>642</v>
      </c>
      <c r="D774" s="33" t="s">
        <v>621</v>
      </c>
      <c r="E774" s="33" t="s">
        <v>643</v>
      </c>
      <c r="F774" s="34">
        <v>5</v>
      </c>
    </row>
    <row r="775" spans="1:6" x14ac:dyDescent="0.25">
      <c r="A775" s="34">
        <v>27</v>
      </c>
      <c r="B775" s="33" t="s">
        <v>619</v>
      </c>
      <c r="C775" s="33" t="s">
        <v>642</v>
      </c>
      <c r="D775" s="33" t="s">
        <v>621</v>
      </c>
      <c r="E775" s="33" t="s">
        <v>644</v>
      </c>
      <c r="F775" s="34">
        <v>5</v>
      </c>
    </row>
    <row r="776" spans="1:6" x14ac:dyDescent="0.25">
      <c r="A776" s="34">
        <v>27</v>
      </c>
      <c r="B776" s="33" t="s">
        <v>619</v>
      </c>
      <c r="C776" s="33" t="s">
        <v>642</v>
      </c>
      <c r="D776" s="33" t="s">
        <v>621</v>
      </c>
      <c r="E776" s="33" t="s">
        <v>645</v>
      </c>
      <c r="F776" s="34">
        <v>5</v>
      </c>
    </row>
    <row r="777" spans="1:6" x14ac:dyDescent="0.25">
      <c r="A777" s="34">
        <v>27</v>
      </c>
      <c r="B777" s="33" t="s">
        <v>619</v>
      </c>
      <c r="C777" s="33" t="s">
        <v>642</v>
      </c>
      <c r="D777" s="33" t="s">
        <v>621</v>
      </c>
      <c r="E777" s="33" t="s">
        <v>646</v>
      </c>
      <c r="F777" s="34">
        <v>5</v>
      </c>
    </row>
    <row r="778" spans="1:6" x14ac:dyDescent="0.25">
      <c r="A778" s="34">
        <v>27</v>
      </c>
      <c r="B778" s="33" t="s">
        <v>619</v>
      </c>
      <c r="C778" s="33" t="s">
        <v>642</v>
      </c>
      <c r="D778" s="33" t="s">
        <v>621</v>
      </c>
      <c r="E778" s="33" t="s">
        <v>647</v>
      </c>
      <c r="F778" s="34">
        <v>5</v>
      </c>
    </row>
    <row r="779" spans="1:6" x14ac:dyDescent="0.25">
      <c r="A779" s="34">
        <v>27</v>
      </c>
      <c r="B779" s="33" t="s">
        <v>619</v>
      </c>
      <c r="C779" s="33" t="s">
        <v>642</v>
      </c>
      <c r="D779" s="33" t="s">
        <v>621</v>
      </c>
      <c r="E779" s="33" t="s">
        <v>648</v>
      </c>
      <c r="F779" s="34">
        <v>5</v>
      </c>
    </row>
    <row r="780" spans="1:6" x14ac:dyDescent="0.25">
      <c r="A780" s="34">
        <v>27</v>
      </c>
      <c r="B780" s="33" t="s">
        <v>619</v>
      </c>
      <c r="C780" s="33" t="s">
        <v>642</v>
      </c>
      <c r="D780" s="33" t="s">
        <v>621</v>
      </c>
      <c r="E780" s="33" t="s">
        <v>649</v>
      </c>
      <c r="F780" s="34">
        <v>50</v>
      </c>
    </row>
    <row r="781" spans="1:6" x14ac:dyDescent="0.25">
      <c r="A781" s="34">
        <v>27</v>
      </c>
      <c r="B781" s="33" t="s">
        <v>619</v>
      </c>
      <c r="C781" s="33" t="s">
        <v>642</v>
      </c>
      <c r="D781" s="33" t="s">
        <v>630</v>
      </c>
      <c r="E781" s="33" t="s">
        <v>650</v>
      </c>
      <c r="F781" s="34">
        <v>82</v>
      </c>
    </row>
    <row r="782" spans="1:6" x14ac:dyDescent="0.25">
      <c r="A782" s="34">
        <v>27</v>
      </c>
      <c r="B782" s="33" t="s">
        <v>619</v>
      </c>
      <c r="C782" s="33" t="s">
        <v>642</v>
      </c>
      <c r="D782" s="33" t="s">
        <v>630</v>
      </c>
      <c r="E782" s="33" t="s">
        <v>651</v>
      </c>
      <c r="F782" s="34">
        <v>88</v>
      </c>
    </row>
    <row r="783" spans="1:6" x14ac:dyDescent="0.25">
      <c r="A783" s="34">
        <v>27</v>
      </c>
      <c r="B783" s="33" t="s">
        <v>619</v>
      </c>
      <c r="C783" s="33" t="s">
        <v>642</v>
      </c>
      <c r="D783" s="33" t="s">
        <v>630</v>
      </c>
      <c r="E783" s="33" t="s">
        <v>652</v>
      </c>
      <c r="F783" s="34">
        <v>88</v>
      </c>
    </row>
    <row r="784" spans="1:6" x14ac:dyDescent="0.25">
      <c r="A784" s="34">
        <v>27</v>
      </c>
      <c r="B784" s="33" t="s">
        <v>619</v>
      </c>
      <c r="C784" s="33" t="s">
        <v>653</v>
      </c>
      <c r="D784" s="33" t="s">
        <v>653</v>
      </c>
      <c r="E784" s="33" t="s">
        <v>654</v>
      </c>
      <c r="F784" s="34">
        <v>92</v>
      </c>
    </row>
    <row r="785" spans="1:6" x14ac:dyDescent="0.25">
      <c r="A785" s="34">
        <v>28</v>
      </c>
      <c r="B785" s="33" t="s">
        <v>619</v>
      </c>
      <c r="C785" s="33" t="s">
        <v>620</v>
      </c>
      <c r="D785" s="33" t="s">
        <v>621</v>
      </c>
      <c r="E785" s="33" t="s">
        <v>622</v>
      </c>
      <c r="F785" s="33" t="s">
        <v>150</v>
      </c>
    </row>
    <row r="786" spans="1:6" x14ac:dyDescent="0.25">
      <c r="A786" s="34">
        <v>28</v>
      </c>
      <c r="B786" s="33" t="s">
        <v>619</v>
      </c>
      <c r="C786" s="33" t="s">
        <v>620</v>
      </c>
      <c r="D786" s="33" t="s">
        <v>621</v>
      </c>
      <c r="E786" s="33" t="s">
        <v>623</v>
      </c>
      <c r="F786" s="33" t="s">
        <v>150</v>
      </c>
    </row>
    <row r="787" spans="1:6" x14ac:dyDescent="0.25">
      <c r="A787" s="34">
        <v>28</v>
      </c>
      <c r="B787" s="33" t="s">
        <v>619</v>
      </c>
      <c r="C787" s="33" t="s">
        <v>620</v>
      </c>
      <c r="D787" s="33" t="s">
        <v>621</v>
      </c>
      <c r="E787" s="33" t="s">
        <v>624</v>
      </c>
      <c r="F787" s="33" t="s">
        <v>150</v>
      </c>
    </row>
    <row r="788" spans="1:6" x14ac:dyDescent="0.25">
      <c r="A788" s="34">
        <v>28</v>
      </c>
      <c r="B788" s="33" t="s">
        <v>619</v>
      </c>
      <c r="C788" s="33" t="s">
        <v>620</v>
      </c>
      <c r="D788" s="33" t="s">
        <v>621</v>
      </c>
      <c r="E788" s="33" t="s">
        <v>625</v>
      </c>
      <c r="F788" s="33" t="s">
        <v>150</v>
      </c>
    </row>
    <row r="789" spans="1:6" x14ac:dyDescent="0.25">
      <c r="A789" s="34">
        <v>28</v>
      </c>
      <c r="B789" s="33" t="s">
        <v>619</v>
      </c>
      <c r="C789" s="33" t="s">
        <v>620</v>
      </c>
      <c r="D789" s="33" t="s">
        <v>621</v>
      </c>
      <c r="E789" s="33" t="s">
        <v>626</v>
      </c>
      <c r="F789" s="33" t="s">
        <v>150</v>
      </c>
    </row>
    <row r="790" spans="1:6" x14ac:dyDescent="0.25">
      <c r="A790" s="34">
        <v>28</v>
      </c>
      <c r="B790" s="33" t="s">
        <v>619</v>
      </c>
      <c r="C790" s="33" t="s">
        <v>620</v>
      </c>
      <c r="D790" s="33" t="s">
        <v>621</v>
      </c>
      <c r="E790" s="33" t="s">
        <v>627</v>
      </c>
      <c r="F790" s="33" t="s">
        <v>150</v>
      </c>
    </row>
    <row r="791" spans="1:6" x14ac:dyDescent="0.25">
      <c r="A791" s="34">
        <v>28</v>
      </c>
      <c r="B791" s="33" t="s">
        <v>619</v>
      </c>
      <c r="C791" s="33" t="s">
        <v>620</v>
      </c>
      <c r="D791" s="33" t="s">
        <v>621</v>
      </c>
      <c r="E791" s="33" t="s">
        <v>628</v>
      </c>
      <c r="F791" s="33" t="s">
        <v>150</v>
      </c>
    </row>
    <row r="792" spans="1:6" x14ac:dyDescent="0.25">
      <c r="A792" s="34">
        <v>28</v>
      </c>
      <c r="B792" s="33" t="s">
        <v>619</v>
      </c>
      <c r="C792" s="33" t="s">
        <v>620</v>
      </c>
      <c r="D792" s="33" t="s">
        <v>621</v>
      </c>
      <c r="E792" s="63" t="s">
        <v>629</v>
      </c>
      <c r="F792" s="64"/>
    </row>
    <row r="793" spans="1:6" x14ac:dyDescent="0.25">
      <c r="A793" s="34">
        <v>28</v>
      </c>
      <c r="B793" s="33" t="s">
        <v>619</v>
      </c>
      <c r="C793" s="33" t="s">
        <v>620</v>
      </c>
      <c r="D793" s="33" t="s">
        <v>630</v>
      </c>
      <c r="E793" s="33" t="s">
        <v>631</v>
      </c>
      <c r="F793" s="34">
        <v>88</v>
      </c>
    </row>
    <row r="794" spans="1:6" x14ac:dyDescent="0.25">
      <c r="A794" s="34">
        <v>28</v>
      </c>
      <c r="B794" s="33" t="s">
        <v>619</v>
      </c>
      <c r="C794" s="33" t="s">
        <v>620</v>
      </c>
      <c r="D794" s="33" t="s">
        <v>630</v>
      </c>
      <c r="E794" s="33" t="s">
        <v>632</v>
      </c>
      <c r="F794" s="34">
        <v>88</v>
      </c>
    </row>
    <row r="795" spans="1:6" x14ac:dyDescent="0.25">
      <c r="A795" s="34">
        <v>28</v>
      </c>
      <c r="B795" s="33" t="s">
        <v>619</v>
      </c>
      <c r="C795" s="33" t="s">
        <v>620</v>
      </c>
      <c r="D795" s="33" t="s">
        <v>630</v>
      </c>
      <c r="E795" s="33" t="s">
        <v>633</v>
      </c>
      <c r="F795" s="34">
        <v>88</v>
      </c>
    </row>
    <row r="796" spans="1:6" x14ac:dyDescent="0.25">
      <c r="A796" s="34">
        <v>28</v>
      </c>
      <c r="B796" s="33" t="s">
        <v>619</v>
      </c>
      <c r="C796" s="33" t="s">
        <v>634</v>
      </c>
      <c r="D796" s="33" t="s">
        <v>621</v>
      </c>
      <c r="E796" s="33" t="s">
        <v>635</v>
      </c>
      <c r="F796" s="34">
        <v>1</v>
      </c>
    </row>
    <row r="797" spans="1:6" x14ac:dyDescent="0.25">
      <c r="A797" s="34">
        <v>28</v>
      </c>
      <c r="B797" s="33" t="s">
        <v>619</v>
      </c>
      <c r="C797" s="33" t="s">
        <v>634</v>
      </c>
      <c r="D797" s="33" t="s">
        <v>621</v>
      </c>
      <c r="E797" s="33" t="s">
        <v>636</v>
      </c>
      <c r="F797" s="34">
        <v>1</v>
      </c>
    </row>
    <row r="798" spans="1:6" x14ac:dyDescent="0.25">
      <c r="A798" s="34">
        <v>28</v>
      </c>
      <c r="B798" s="33" t="s">
        <v>619</v>
      </c>
      <c r="C798" s="33" t="s">
        <v>634</v>
      </c>
      <c r="D798" s="33" t="s">
        <v>621</v>
      </c>
      <c r="E798" s="33" t="s">
        <v>637</v>
      </c>
      <c r="F798" s="34">
        <v>5</v>
      </c>
    </row>
    <row r="799" spans="1:6" x14ac:dyDescent="0.25">
      <c r="A799" s="34">
        <v>28</v>
      </c>
      <c r="B799" s="33" t="s">
        <v>619</v>
      </c>
      <c r="C799" s="33" t="s">
        <v>634</v>
      </c>
      <c r="D799" s="33" t="s">
        <v>621</v>
      </c>
      <c r="E799" s="33" t="s">
        <v>638</v>
      </c>
      <c r="F799" s="34">
        <v>49.5</v>
      </c>
    </row>
    <row r="800" spans="1:6" x14ac:dyDescent="0.25">
      <c r="A800" s="34">
        <v>28</v>
      </c>
      <c r="B800" s="33" t="s">
        <v>619</v>
      </c>
      <c r="C800" s="33" t="s">
        <v>634</v>
      </c>
      <c r="D800" s="33" t="s">
        <v>630</v>
      </c>
      <c r="E800" s="33" t="s">
        <v>639</v>
      </c>
      <c r="F800" s="34">
        <v>90</v>
      </c>
    </row>
    <row r="801" spans="1:6" x14ac:dyDescent="0.25">
      <c r="A801" s="34">
        <v>28</v>
      </c>
      <c r="B801" s="33" t="s">
        <v>619</v>
      </c>
      <c r="C801" s="33" t="s">
        <v>634</v>
      </c>
      <c r="D801" s="33" t="s">
        <v>630</v>
      </c>
      <c r="E801" s="33" t="s">
        <v>640</v>
      </c>
      <c r="F801" s="34">
        <v>92</v>
      </c>
    </row>
    <row r="802" spans="1:6" x14ac:dyDescent="0.25">
      <c r="A802" s="34">
        <v>28</v>
      </c>
      <c r="B802" s="33" t="s">
        <v>619</v>
      </c>
      <c r="C802" s="33" t="s">
        <v>634</v>
      </c>
      <c r="D802" s="33" t="s">
        <v>630</v>
      </c>
      <c r="E802" s="33" t="s">
        <v>641</v>
      </c>
      <c r="F802" s="34">
        <v>92</v>
      </c>
    </row>
    <row r="803" spans="1:6" x14ac:dyDescent="0.25">
      <c r="A803" s="34">
        <v>28</v>
      </c>
      <c r="B803" s="33" t="s">
        <v>619</v>
      </c>
      <c r="C803" s="33" t="s">
        <v>642</v>
      </c>
      <c r="D803" s="33" t="s">
        <v>621</v>
      </c>
      <c r="E803" s="33" t="s">
        <v>643</v>
      </c>
      <c r="F803" s="34">
        <v>5</v>
      </c>
    </row>
    <row r="804" spans="1:6" x14ac:dyDescent="0.25">
      <c r="A804" s="34">
        <v>28</v>
      </c>
      <c r="B804" s="33" t="s">
        <v>619</v>
      </c>
      <c r="C804" s="33" t="s">
        <v>642</v>
      </c>
      <c r="D804" s="33" t="s">
        <v>621</v>
      </c>
      <c r="E804" s="33" t="s">
        <v>644</v>
      </c>
      <c r="F804" s="34">
        <v>5</v>
      </c>
    </row>
    <row r="805" spans="1:6" x14ac:dyDescent="0.25">
      <c r="A805" s="34">
        <v>28</v>
      </c>
      <c r="B805" s="33" t="s">
        <v>619</v>
      </c>
      <c r="C805" s="33" t="s">
        <v>642</v>
      </c>
      <c r="D805" s="33" t="s">
        <v>621</v>
      </c>
      <c r="E805" s="33" t="s">
        <v>645</v>
      </c>
      <c r="F805" s="34">
        <v>5</v>
      </c>
    </row>
    <row r="806" spans="1:6" x14ac:dyDescent="0.25">
      <c r="A806" s="34">
        <v>28</v>
      </c>
      <c r="B806" s="33" t="s">
        <v>619</v>
      </c>
      <c r="C806" s="33" t="s">
        <v>642</v>
      </c>
      <c r="D806" s="33" t="s">
        <v>621</v>
      </c>
      <c r="E806" s="33" t="s">
        <v>646</v>
      </c>
      <c r="F806" s="34">
        <v>5</v>
      </c>
    </row>
    <row r="807" spans="1:6" x14ac:dyDescent="0.25">
      <c r="A807" s="34">
        <v>28</v>
      </c>
      <c r="B807" s="33" t="s">
        <v>619</v>
      </c>
      <c r="C807" s="33" t="s">
        <v>642</v>
      </c>
      <c r="D807" s="33" t="s">
        <v>621</v>
      </c>
      <c r="E807" s="33" t="s">
        <v>647</v>
      </c>
      <c r="F807" s="34">
        <v>0</v>
      </c>
    </row>
    <row r="808" spans="1:6" x14ac:dyDescent="0.25">
      <c r="A808" s="34">
        <v>28</v>
      </c>
      <c r="B808" s="33" t="s">
        <v>619</v>
      </c>
      <c r="C808" s="33" t="s">
        <v>642</v>
      </c>
      <c r="D808" s="33" t="s">
        <v>621</v>
      </c>
      <c r="E808" s="33" t="s">
        <v>648</v>
      </c>
      <c r="F808" s="34">
        <v>0</v>
      </c>
    </row>
    <row r="809" spans="1:6" x14ac:dyDescent="0.25">
      <c r="A809" s="34">
        <v>28</v>
      </c>
      <c r="B809" s="33" t="s">
        <v>619</v>
      </c>
      <c r="C809" s="33" t="s">
        <v>642</v>
      </c>
      <c r="D809" s="33" t="s">
        <v>621</v>
      </c>
      <c r="E809" s="33" t="s">
        <v>649</v>
      </c>
      <c r="F809" s="34">
        <v>50</v>
      </c>
    </row>
    <row r="810" spans="1:6" x14ac:dyDescent="0.25">
      <c r="A810" s="34">
        <v>28</v>
      </c>
      <c r="B810" s="33" t="s">
        <v>619</v>
      </c>
      <c r="C810" s="33" t="s">
        <v>642</v>
      </c>
      <c r="D810" s="33" t="s">
        <v>630</v>
      </c>
      <c r="E810" s="33" t="s">
        <v>650</v>
      </c>
      <c r="F810" s="34">
        <v>85</v>
      </c>
    </row>
    <row r="811" spans="1:6" x14ac:dyDescent="0.25">
      <c r="A811" s="34">
        <v>28</v>
      </c>
      <c r="B811" s="33" t="s">
        <v>619</v>
      </c>
      <c r="C811" s="33" t="s">
        <v>642</v>
      </c>
      <c r="D811" s="33" t="s">
        <v>630</v>
      </c>
      <c r="E811" s="33" t="s">
        <v>651</v>
      </c>
      <c r="F811" s="34">
        <v>95</v>
      </c>
    </row>
    <row r="812" spans="1:6" x14ac:dyDescent="0.25">
      <c r="A812" s="34">
        <v>28</v>
      </c>
      <c r="B812" s="33" t="s">
        <v>619</v>
      </c>
      <c r="C812" s="33" t="s">
        <v>642</v>
      </c>
      <c r="D812" s="33" t="s">
        <v>630</v>
      </c>
      <c r="E812" s="33" t="s">
        <v>652</v>
      </c>
      <c r="F812" s="34">
        <v>95</v>
      </c>
    </row>
    <row r="813" spans="1:6" x14ac:dyDescent="0.25">
      <c r="A813" s="34">
        <v>28</v>
      </c>
      <c r="B813" s="33" t="s">
        <v>619</v>
      </c>
      <c r="C813" s="33" t="s">
        <v>653</v>
      </c>
      <c r="D813" s="33" t="s">
        <v>653</v>
      </c>
      <c r="E813" s="33" t="s">
        <v>654</v>
      </c>
      <c r="F813" s="34">
        <v>85</v>
      </c>
    </row>
    <row r="814" spans="1:6" x14ac:dyDescent="0.25">
      <c r="A814" s="34">
        <v>29</v>
      </c>
      <c r="B814" s="33" t="s">
        <v>619</v>
      </c>
      <c r="C814" s="33" t="s">
        <v>620</v>
      </c>
      <c r="D814" s="33" t="s">
        <v>621</v>
      </c>
      <c r="E814" s="33" t="s">
        <v>622</v>
      </c>
      <c r="F814" s="34">
        <v>1</v>
      </c>
    </row>
    <row r="815" spans="1:6" x14ac:dyDescent="0.25">
      <c r="A815" s="34">
        <v>29</v>
      </c>
      <c r="B815" s="33" t="s">
        <v>619</v>
      </c>
      <c r="C815" s="33" t="s">
        <v>620</v>
      </c>
      <c r="D815" s="33" t="s">
        <v>621</v>
      </c>
      <c r="E815" s="33" t="s">
        <v>623</v>
      </c>
      <c r="F815" s="34">
        <v>1</v>
      </c>
    </row>
    <row r="816" spans="1:6" x14ac:dyDescent="0.25">
      <c r="A816" s="34">
        <v>29</v>
      </c>
      <c r="B816" s="33" t="s">
        <v>619</v>
      </c>
      <c r="C816" s="33" t="s">
        <v>620</v>
      </c>
      <c r="D816" s="33" t="s">
        <v>621</v>
      </c>
      <c r="E816" s="33" t="s">
        <v>624</v>
      </c>
      <c r="F816" s="34">
        <v>0</v>
      </c>
    </row>
    <row r="817" spans="1:6" x14ac:dyDescent="0.25">
      <c r="A817" s="34">
        <v>29</v>
      </c>
      <c r="B817" s="33" t="s">
        <v>619</v>
      </c>
      <c r="C817" s="33" t="s">
        <v>620</v>
      </c>
      <c r="D817" s="33" t="s">
        <v>621</v>
      </c>
      <c r="E817" s="33" t="s">
        <v>625</v>
      </c>
      <c r="F817" s="34">
        <v>0</v>
      </c>
    </row>
    <row r="818" spans="1:6" x14ac:dyDescent="0.25">
      <c r="A818" s="34">
        <v>29</v>
      </c>
      <c r="B818" s="33" t="s">
        <v>619</v>
      </c>
      <c r="C818" s="33" t="s">
        <v>620</v>
      </c>
      <c r="D818" s="33" t="s">
        <v>621</v>
      </c>
      <c r="E818" s="33" t="s">
        <v>626</v>
      </c>
      <c r="F818" s="34">
        <v>1</v>
      </c>
    </row>
    <row r="819" spans="1:6" x14ac:dyDescent="0.25">
      <c r="A819" s="34">
        <v>29</v>
      </c>
      <c r="B819" s="33" t="s">
        <v>619</v>
      </c>
      <c r="C819" s="33" t="s">
        <v>620</v>
      </c>
      <c r="D819" s="33" t="s">
        <v>621</v>
      </c>
      <c r="E819" s="33" t="s">
        <v>627</v>
      </c>
      <c r="F819" s="34">
        <v>0</v>
      </c>
    </row>
    <row r="820" spans="1:6" x14ac:dyDescent="0.25">
      <c r="A820" s="34">
        <v>29</v>
      </c>
      <c r="B820" s="33" t="s">
        <v>619</v>
      </c>
      <c r="C820" s="33" t="s">
        <v>620</v>
      </c>
      <c r="D820" s="33" t="s">
        <v>621</v>
      </c>
      <c r="E820" s="33" t="s">
        <v>628</v>
      </c>
      <c r="F820" s="34">
        <v>5</v>
      </c>
    </row>
    <row r="821" spans="1:6" x14ac:dyDescent="0.25">
      <c r="A821" s="34">
        <v>29</v>
      </c>
      <c r="B821" s="33" t="s">
        <v>619</v>
      </c>
      <c r="C821" s="33" t="s">
        <v>620</v>
      </c>
      <c r="D821" s="33" t="s">
        <v>621</v>
      </c>
      <c r="E821" s="33" t="s">
        <v>629</v>
      </c>
      <c r="F821" s="34">
        <v>47</v>
      </c>
    </row>
    <row r="822" spans="1:6" x14ac:dyDescent="0.25">
      <c r="A822" s="34">
        <v>29</v>
      </c>
      <c r="B822" s="33" t="s">
        <v>619</v>
      </c>
      <c r="C822" s="33" t="s">
        <v>620</v>
      </c>
      <c r="D822" s="33" t="s">
        <v>630</v>
      </c>
      <c r="E822" s="33" t="s">
        <v>631</v>
      </c>
      <c r="F822" s="34">
        <v>75</v>
      </c>
    </row>
    <row r="823" spans="1:6" x14ac:dyDescent="0.25">
      <c r="A823" s="34">
        <v>29</v>
      </c>
      <c r="B823" s="33" t="s">
        <v>619</v>
      </c>
      <c r="C823" s="33" t="s">
        <v>620</v>
      </c>
      <c r="D823" s="33" t="s">
        <v>630</v>
      </c>
      <c r="E823" s="33" t="s">
        <v>632</v>
      </c>
      <c r="F823" s="33" t="s">
        <v>462</v>
      </c>
    </row>
    <row r="824" spans="1:6" x14ac:dyDescent="0.25">
      <c r="A824" s="34">
        <v>29</v>
      </c>
      <c r="B824" s="33" t="s">
        <v>619</v>
      </c>
      <c r="C824" s="33" t="s">
        <v>620</v>
      </c>
      <c r="D824" s="33" t="s">
        <v>630</v>
      </c>
      <c r="E824" s="33" t="s">
        <v>633</v>
      </c>
      <c r="F824" s="34">
        <v>75</v>
      </c>
    </row>
    <row r="825" spans="1:6" x14ac:dyDescent="0.25">
      <c r="A825" s="34">
        <v>29</v>
      </c>
      <c r="B825" s="33" t="s">
        <v>619</v>
      </c>
      <c r="C825" s="33" t="s">
        <v>634</v>
      </c>
      <c r="D825" s="33" t="s">
        <v>621</v>
      </c>
      <c r="E825" s="33" t="s">
        <v>635</v>
      </c>
      <c r="F825" s="34">
        <v>1</v>
      </c>
    </row>
    <row r="826" spans="1:6" x14ac:dyDescent="0.25">
      <c r="A826" s="34">
        <v>29</v>
      </c>
      <c r="B826" s="33" t="s">
        <v>619</v>
      </c>
      <c r="C826" s="33" t="s">
        <v>634</v>
      </c>
      <c r="D826" s="33" t="s">
        <v>621</v>
      </c>
      <c r="E826" s="33" t="s">
        <v>636</v>
      </c>
      <c r="F826" s="34">
        <v>1</v>
      </c>
    </row>
    <row r="827" spans="1:6" x14ac:dyDescent="0.25">
      <c r="A827" s="34">
        <v>29</v>
      </c>
      <c r="B827" s="33" t="s">
        <v>619</v>
      </c>
      <c r="C827" s="33" t="s">
        <v>634</v>
      </c>
      <c r="D827" s="33" t="s">
        <v>621</v>
      </c>
      <c r="E827" s="33" t="s">
        <v>637</v>
      </c>
      <c r="F827" s="34">
        <v>5</v>
      </c>
    </row>
    <row r="828" spans="1:6" x14ac:dyDescent="0.25">
      <c r="A828" s="34">
        <v>29</v>
      </c>
      <c r="B828" s="33" t="s">
        <v>619</v>
      </c>
      <c r="C828" s="33" t="s">
        <v>634</v>
      </c>
      <c r="D828" s="33" t="s">
        <v>621</v>
      </c>
      <c r="E828" s="33" t="s">
        <v>638</v>
      </c>
      <c r="F828" s="34">
        <v>49.5</v>
      </c>
    </row>
    <row r="829" spans="1:6" x14ac:dyDescent="0.25">
      <c r="A829" s="34">
        <v>29</v>
      </c>
      <c r="B829" s="33" t="s">
        <v>619</v>
      </c>
      <c r="C829" s="33" t="s">
        <v>634</v>
      </c>
      <c r="D829" s="33" t="s">
        <v>630</v>
      </c>
      <c r="E829" s="33" t="s">
        <v>639</v>
      </c>
      <c r="F829" s="34">
        <v>65</v>
      </c>
    </row>
    <row r="830" spans="1:6" x14ac:dyDescent="0.25">
      <c r="A830" s="34">
        <v>29</v>
      </c>
      <c r="B830" s="33" t="s">
        <v>619</v>
      </c>
      <c r="C830" s="33" t="s">
        <v>634</v>
      </c>
      <c r="D830" s="33" t="s">
        <v>630</v>
      </c>
      <c r="E830" s="33" t="s">
        <v>640</v>
      </c>
      <c r="F830" s="33" t="s">
        <v>462</v>
      </c>
    </row>
    <row r="831" spans="1:6" x14ac:dyDescent="0.25">
      <c r="A831" s="34">
        <v>29</v>
      </c>
      <c r="B831" s="33" t="s">
        <v>619</v>
      </c>
      <c r="C831" s="33" t="s">
        <v>634</v>
      </c>
      <c r="D831" s="33" t="s">
        <v>630</v>
      </c>
      <c r="E831" s="33" t="s">
        <v>641</v>
      </c>
      <c r="F831" s="34">
        <v>65</v>
      </c>
    </row>
    <row r="832" spans="1:6" x14ac:dyDescent="0.25">
      <c r="A832" s="34">
        <v>29</v>
      </c>
      <c r="B832" s="33" t="s">
        <v>619</v>
      </c>
      <c r="C832" s="33" t="s">
        <v>642</v>
      </c>
      <c r="D832" s="33" t="s">
        <v>621</v>
      </c>
      <c r="E832" s="33" t="s">
        <v>643</v>
      </c>
      <c r="F832" s="34">
        <v>5</v>
      </c>
    </row>
    <row r="833" spans="1:6" x14ac:dyDescent="0.25">
      <c r="A833" s="34">
        <v>29</v>
      </c>
      <c r="B833" s="33" t="s">
        <v>619</v>
      </c>
      <c r="C833" s="33" t="s">
        <v>642</v>
      </c>
      <c r="D833" s="33" t="s">
        <v>621</v>
      </c>
      <c r="E833" s="33" t="s">
        <v>644</v>
      </c>
      <c r="F833" s="34">
        <v>5</v>
      </c>
    </row>
    <row r="834" spans="1:6" x14ac:dyDescent="0.25">
      <c r="A834" s="34">
        <v>29</v>
      </c>
      <c r="B834" s="33" t="s">
        <v>619</v>
      </c>
      <c r="C834" s="33" t="s">
        <v>642</v>
      </c>
      <c r="D834" s="33" t="s">
        <v>621</v>
      </c>
      <c r="E834" s="33" t="s">
        <v>645</v>
      </c>
      <c r="F834" s="34">
        <v>5</v>
      </c>
    </row>
    <row r="835" spans="1:6" x14ac:dyDescent="0.25">
      <c r="A835" s="34">
        <v>29</v>
      </c>
      <c r="B835" s="33" t="s">
        <v>619</v>
      </c>
      <c r="C835" s="33" t="s">
        <v>642</v>
      </c>
      <c r="D835" s="33" t="s">
        <v>621</v>
      </c>
      <c r="E835" s="33" t="s">
        <v>646</v>
      </c>
      <c r="F835" s="34">
        <v>5</v>
      </c>
    </row>
    <row r="836" spans="1:6" x14ac:dyDescent="0.25">
      <c r="A836" s="34">
        <v>29</v>
      </c>
      <c r="B836" s="33" t="s">
        <v>619</v>
      </c>
      <c r="C836" s="33" t="s">
        <v>642</v>
      </c>
      <c r="D836" s="33" t="s">
        <v>621</v>
      </c>
      <c r="E836" s="33" t="s">
        <v>647</v>
      </c>
      <c r="F836" s="34">
        <v>0</v>
      </c>
    </row>
    <row r="837" spans="1:6" x14ac:dyDescent="0.25">
      <c r="A837" s="34">
        <v>29</v>
      </c>
      <c r="B837" s="33" t="s">
        <v>619</v>
      </c>
      <c r="C837" s="33" t="s">
        <v>642</v>
      </c>
      <c r="D837" s="33" t="s">
        <v>621</v>
      </c>
      <c r="E837" s="33" t="s">
        <v>648</v>
      </c>
      <c r="F837" s="34">
        <v>0</v>
      </c>
    </row>
    <row r="838" spans="1:6" x14ac:dyDescent="0.25">
      <c r="A838" s="34">
        <v>29</v>
      </c>
      <c r="B838" s="33" t="s">
        <v>619</v>
      </c>
      <c r="C838" s="33" t="s">
        <v>642</v>
      </c>
      <c r="D838" s="33" t="s">
        <v>621</v>
      </c>
      <c r="E838" s="33" t="s">
        <v>649</v>
      </c>
      <c r="F838" s="34">
        <v>32</v>
      </c>
    </row>
    <row r="839" spans="1:6" x14ac:dyDescent="0.25">
      <c r="A839" s="34">
        <v>29</v>
      </c>
      <c r="B839" s="33" t="s">
        <v>619</v>
      </c>
      <c r="C839" s="33" t="s">
        <v>642</v>
      </c>
      <c r="D839" s="33" t="s">
        <v>630</v>
      </c>
      <c r="E839" s="33" t="s">
        <v>650</v>
      </c>
      <c r="F839" s="34">
        <v>65</v>
      </c>
    </row>
    <row r="840" spans="1:6" x14ac:dyDescent="0.25">
      <c r="A840" s="34">
        <v>29</v>
      </c>
      <c r="B840" s="33" t="s">
        <v>619</v>
      </c>
      <c r="C840" s="33" t="s">
        <v>642</v>
      </c>
      <c r="D840" s="33" t="s">
        <v>630</v>
      </c>
      <c r="E840" s="33" t="s">
        <v>651</v>
      </c>
      <c r="F840" s="33" t="s">
        <v>462</v>
      </c>
    </row>
    <row r="841" spans="1:6" x14ac:dyDescent="0.25">
      <c r="A841" s="34">
        <v>29</v>
      </c>
      <c r="B841" s="33" t="s">
        <v>619</v>
      </c>
      <c r="C841" s="33" t="s">
        <v>642</v>
      </c>
      <c r="D841" s="33" t="s">
        <v>630</v>
      </c>
      <c r="E841" s="33" t="s">
        <v>652</v>
      </c>
      <c r="F841" s="34">
        <v>65</v>
      </c>
    </row>
    <row r="842" spans="1:6" x14ac:dyDescent="0.25">
      <c r="A842" s="34">
        <v>29</v>
      </c>
      <c r="B842" s="33" t="s">
        <v>619</v>
      </c>
      <c r="C842" s="33" t="s">
        <v>653</v>
      </c>
      <c r="D842" s="33" t="s">
        <v>653</v>
      </c>
      <c r="E842" s="33" t="s">
        <v>654</v>
      </c>
      <c r="F842" s="34">
        <v>65</v>
      </c>
    </row>
    <row r="843" spans="1:6" x14ac:dyDescent="0.25">
      <c r="A843" s="34">
        <v>30</v>
      </c>
      <c r="B843" s="33" t="s">
        <v>619</v>
      </c>
      <c r="C843" s="33" t="s">
        <v>620</v>
      </c>
      <c r="D843" s="33" t="s">
        <v>621</v>
      </c>
      <c r="E843" s="33" t="s">
        <v>622</v>
      </c>
      <c r="F843" s="34">
        <v>1</v>
      </c>
    </row>
    <row r="844" spans="1:6" x14ac:dyDescent="0.25">
      <c r="A844" s="34">
        <v>30</v>
      </c>
      <c r="B844" s="33" t="s">
        <v>619</v>
      </c>
      <c r="C844" s="33" t="s">
        <v>620</v>
      </c>
      <c r="D844" s="33" t="s">
        <v>621</v>
      </c>
      <c r="E844" s="33" t="s">
        <v>623</v>
      </c>
      <c r="F844" s="34">
        <v>1</v>
      </c>
    </row>
    <row r="845" spans="1:6" x14ac:dyDescent="0.25">
      <c r="A845" s="34">
        <v>30</v>
      </c>
      <c r="B845" s="33" t="s">
        <v>619</v>
      </c>
      <c r="C845" s="33" t="s">
        <v>620</v>
      </c>
      <c r="D845" s="33" t="s">
        <v>621</v>
      </c>
      <c r="E845" s="33" t="s">
        <v>624</v>
      </c>
      <c r="F845" s="34">
        <v>1</v>
      </c>
    </row>
    <row r="846" spans="1:6" x14ac:dyDescent="0.25">
      <c r="A846" s="34">
        <v>30</v>
      </c>
      <c r="B846" s="33" t="s">
        <v>619</v>
      </c>
      <c r="C846" s="33" t="s">
        <v>620</v>
      </c>
      <c r="D846" s="33" t="s">
        <v>621</v>
      </c>
      <c r="E846" s="33" t="s">
        <v>625</v>
      </c>
      <c r="F846" s="34">
        <v>1</v>
      </c>
    </row>
    <row r="847" spans="1:6" x14ac:dyDescent="0.25">
      <c r="A847" s="34">
        <v>30</v>
      </c>
      <c r="B847" s="33" t="s">
        <v>619</v>
      </c>
      <c r="C847" s="33" t="s">
        <v>620</v>
      </c>
      <c r="D847" s="33" t="s">
        <v>621</v>
      </c>
      <c r="E847" s="33" t="s">
        <v>626</v>
      </c>
      <c r="F847" s="34">
        <v>1</v>
      </c>
    </row>
    <row r="848" spans="1:6" x14ac:dyDescent="0.25">
      <c r="A848" s="34">
        <v>30</v>
      </c>
      <c r="B848" s="33" t="s">
        <v>619</v>
      </c>
      <c r="C848" s="33" t="s">
        <v>620</v>
      </c>
      <c r="D848" s="33" t="s">
        <v>621</v>
      </c>
      <c r="E848" s="33" t="s">
        <v>627</v>
      </c>
      <c r="F848" s="34">
        <v>1</v>
      </c>
    </row>
    <row r="849" spans="1:6" x14ac:dyDescent="0.25">
      <c r="A849" s="34">
        <v>30</v>
      </c>
      <c r="B849" s="33" t="s">
        <v>619</v>
      </c>
      <c r="C849" s="33" t="s">
        <v>620</v>
      </c>
      <c r="D849" s="33" t="s">
        <v>621</v>
      </c>
      <c r="E849" s="33" t="s">
        <v>628</v>
      </c>
      <c r="F849" s="34">
        <v>5</v>
      </c>
    </row>
    <row r="850" spans="1:6" x14ac:dyDescent="0.25">
      <c r="A850" s="34">
        <v>30</v>
      </c>
      <c r="B850" s="33" t="s">
        <v>619</v>
      </c>
      <c r="C850" s="33" t="s">
        <v>620</v>
      </c>
      <c r="D850" s="33" t="s">
        <v>621</v>
      </c>
      <c r="E850" s="33" t="s">
        <v>629</v>
      </c>
      <c r="F850" s="34">
        <v>49</v>
      </c>
    </row>
    <row r="851" spans="1:6" x14ac:dyDescent="0.25">
      <c r="A851" s="34">
        <v>30</v>
      </c>
      <c r="B851" s="33" t="s">
        <v>619</v>
      </c>
      <c r="C851" s="33" t="s">
        <v>620</v>
      </c>
      <c r="D851" s="33" t="s">
        <v>630</v>
      </c>
      <c r="E851" s="33" t="s">
        <v>631</v>
      </c>
      <c r="F851" s="34">
        <v>95</v>
      </c>
    </row>
    <row r="852" spans="1:6" x14ac:dyDescent="0.25">
      <c r="A852" s="34">
        <v>30</v>
      </c>
      <c r="B852" s="33" t="s">
        <v>619</v>
      </c>
      <c r="C852" s="33" t="s">
        <v>620</v>
      </c>
      <c r="D852" s="33" t="s">
        <v>630</v>
      </c>
      <c r="E852" s="33" t="s">
        <v>632</v>
      </c>
      <c r="F852" s="33" t="s">
        <v>462</v>
      </c>
    </row>
    <row r="853" spans="1:6" x14ac:dyDescent="0.25">
      <c r="A853" s="34">
        <v>30</v>
      </c>
      <c r="B853" s="33" t="s">
        <v>619</v>
      </c>
      <c r="C853" s="33" t="s">
        <v>620</v>
      </c>
      <c r="D853" s="33" t="s">
        <v>630</v>
      </c>
      <c r="E853" s="33" t="s">
        <v>633</v>
      </c>
      <c r="F853" s="34">
        <v>95</v>
      </c>
    </row>
    <row r="854" spans="1:6" x14ac:dyDescent="0.25">
      <c r="A854" s="34">
        <v>30</v>
      </c>
      <c r="B854" s="33" t="s">
        <v>619</v>
      </c>
      <c r="C854" s="33" t="s">
        <v>634</v>
      </c>
      <c r="D854" s="33" t="s">
        <v>621</v>
      </c>
      <c r="E854" s="33" t="s">
        <v>635</v>
      </c>
      <c r="F854" s="34">
        <v>1</v>
      </c>
    </row>
    <row r="855" spans="1:6" x14ac:dyDescent="0.25">
      <c r="A855" s="34">
        <v>30</v>
      </c>
      <c r="B855" s="33" t="s">
        <v>619</v>
      </c>
      <c r="C855" s="33" t="s">
        <v>634</v>
      </c>
      <c r="D855" s="33" t="s">
        <v>621</v>
      </c>
      <c r="E855" s="33" t="s">
        <v>636</v>
      </c>
      <c r="F855" s="34">
        <v>1</v>
      </c>
    </row>
    <row r="856" spans="1:6" x14ac:dyDescent="0.25">
      <c r="A856" s="34">
        <v>30</v>
      </c>
      <c r="B856" s="33" t="s">
        <v>619</v>
      </c>
      <c r="C856" s="33" t="s">
        <v>634</v>
      </c>
      <c r="D856" s="33" t="s">
        <v>621</v>
      </c>
      <c r="E856" s="33" t="s">
        <v>637</v>
      </c>
      <c r="F856" s="34">
        <v>5</v>
      </c>
    </row>
    <row r="857" spans="1:6" x14ac:dyDescent="0.25">
      <c r="A857" s="34">
        <v>30</v>
      </c>
      <c r="B857" s="33" t="s">
        <v>619</v>
      </c>
      <c r="C857" s="33" t="s">
        <v>634</v>
      </c>
      <c r="D857" s="33" t="s">
        <v>621</v>
      </c>
      <c r="E857" s="33" t="s">
        <v>638</v>
      </c>
      <c r="F857" s="34">
        <v>50</v>
      </c>
    </row>
    <row r="858" spans="1:6" x14ac:dyDescent="0.25">
      <c r="A858" s="34">
        <v>30</v>
      </c>
      <c r="B858" s="33" t="s">
        <v>619</v>
      </c>
      <c r="C858" s="33" t="s">
        <v>634</v>
      </c>
      <c r="D858" s="33" t="s">
        <v>630</v>
      </c>
      <c r="E858" s="33" t="s">
        <v>639</v>
      </c>
      <c r="F858" s="34">
        <v>88</v>
      </c>
    </row>
    <row r="859" spans="1:6" x14ac:dyDescent="0.25">
      <c r="A859" s="34">
        <v>30</v>
      </c>
      <c r="B859" s="33" t="s">
        <v>619</v>
      </c>
      <c r="C859" s="33" t="s">
        <v>634</v>
      </c>
      <c r="D859" s="33" t="s">
        <v>630</v>
      </c>
      <c r="E859" s="33" t="s">
        <v>640</v>
      </c>
      <c r="F859" s="33" t="s">
        <v>462</v>
      </c>
    </row>
    <row r="860" spans="1:6" x14ac:dyDescent="0.25">
      <c r="A860" s="34">
        <v>30</v>
      </c>
      <c r="B860" s="33" t="s">
        <v>619</v>
      </c>
      <c r="C860" s="33" t="s">
        <v>634</v>
      </c>
      <c r="D860" s="33" t="s">
        <v>630</v>
      </c>
      <c r="E860" s="33" t="s">
        <v>641</v>
      </c>
      <c r="F860" s="34">
        <v>88</v>
      </c>
    </row>
    <row r="861" spans="1:6" x14ac:dyDescent="0.25">
      <c r="A861" s="34">
        <v>30</v>
      </c>
      <c r="B861" s="33" t="s">
        <v>619</v>
      </c>
      <c r="C861" s="33" t="s">
        <v>642</v>
      </c>
      <c r="D861" s="33" t="s">
        <v>621</v>
      </c>
      <c r="E861" s="33" t="s">
        <v>643</v>
      </c>
      <c r="F861" s="34">
        <v>5</v>
      </c>
    </row>
    <row r="862" spans="1:6" x14ac:dyDescent="0.25">
      <c r="A862" s="34">
        <v>30</v>
      </c>
      <c r="B862" s="33" t="s">
        <v>619</v>
      </c>
      <c r="C862" s="33" t="s">
        <v>642</v>
      </c>
      <c r="D862" s="33" t="s">
        <v>621</v>
      </c>
      <c r="E862" s="33" t="s">
        <v>644</v>
      </c>
      <c r="F862" s="34">
        <v>5</v>
      </c>
    </row>
    <row r="863" spans="1:6" x14ac:dyDescent="0.25">
      <c r="A863" s="34">
        <v>30</v>
      </c>
      <c r="B863" s="33" t="s">
        <v>619</v>
      </c>
      <c r="C863" s="33" t="s">
        <v>642</v>
      </c>
      <c r="D863" s="33" t="s">
        <v>621</v>
      </c>
      <c r="E863" s="33" t="s">
        <v>645</v>
      </c>
      <c r="F863" s="34">
        <v>5</v>
      </c>
    </row>
    <row r="864" spans="1:6" x14ac:dyDescent="0.25">
      <c r="A864" s="34">
        <v>30</v>
      </c>
      <c r="B864" s="33" t="s">
        <v>619</v>
      </c>
      <c r="C864" s="33" t="s">
        <v>642</v>
      </c>
      <c r="D864" s="33" t="s">
        <v>621</v>
      </c>
      <c r="E864" s="33" t="s">
        <v>646</v>
      </c>
      <c r="F864" s="34">
        <v>5</v>
      </c>
    </row>
    <row r="865" spans="1:6" x14ac:dyDescent="0.25">
      <c r="A865" s="34">
        <v>30</v>
      </c>
      <c r="B865" s="33" t="s">
        <v>619</v>
      </c>
      <c r="C865" s="33" t="s">
        <v>642</v>
      </c>
      <c r="D865" s="33" t="s">
        <v>621</v>
      </c>
      <c r="E865" s="33" t="s">
        <v>647</v>
      </c>
      <c r="F865" s="34">
        <v>5</v>
      </c>
    </row>
    <row r="866" spans="1:6" x14ac:dyDescent="0.25">
      <c r="A866" s="34">
        <v>30</v>
      </c>
      <c r="B866" s="33" t="s">
        <v>619</v>
      </c>
      <c r="C866" s="33" t="s">
        <v>642</v>
      </c>
      <c r="D866" s="33" t="s">
        <v>621</v>
      </c>
      <c r="E866" s="33" t="s">
        <v>648</v>
      </c>
      <c r="F866" s="34">
        <v>5</v>
      </c>
    </row>
    <row r="867" spans="1:6" x14ac:dyDescent="0.25">
      <c r="A867" s="34">
        <v>30</v>
      </c>
      <c r="B867" s="33" t="s">
        <v>619</v>
      </c>
      <c r="C867" s="33" t="s">
        <v>642</v>
      </c>
      <c r="D867" s="33" t="s">
        <v>621</v>
      </c>
      <c r="E867" s="33" t="s">
        <v>649</v>
      </c>
      <c r="F867" s="34">
        <v>50</v>
      </c>
    </row>
    <row r="868" spans="1:6" x14ac:dyDescent="0.25">
      <c r="A868" s="34">
        <v>30</v>
      </c>
      <c r="B868" s="33" t="s">
        <v>619</v>
      </c>
      <c r="C868" s="33" t="s">
        <v>642</v>
      </c>
      <c r="D868" s="33" t="s">
        <v>630</v>
      </c>
      <c r="E868" s="33" t="s">
        <v>650</v>
      </c>
      <c r="F868" s="34">
        <v>92</v>
      </c>
    </row>
    <row r="869" spans="1:6" x14ac:dyDescent="0.25">
      <c r="A869" s="34">
        <v>30</v>
      </c>
      <c r="B869" s="33" t="s">
        <v>619</v>
      </c>
      <c r="C869" s="33" t="s">
        <v>642</v>
      </c>
      <c r="D869" s="33" t="s">
        <v>630</v>
      </c>
      <c r="E869" s="33" t="s">
        <v>651</v>
      </c>
      <c r="F869" s="33" t="s">
        <v>462</v>
      </c>
    </row>
    <row r="870" spans="1:6" x14ac:dyDescent="0.25">
      <c r="A870" s="34">
        <v>30</v>
      </c>
      <c r="B870" s="33" t="s">
        <v>619</v>
      </c>
      <c r="C870" s="33" t="s">
        <v>642</v>
      </c>
      <c r="D870" s="33" t="s">
        <v>630</v>
      </c>
      <c r="E870" s="33" t="s">
        <v>652</v>
      </c>
      <c r="F870" s="34">
        <v>92</v>
      </c>
    </row>
    <row r="871" spans="1:6" x14ac:dyDescent="0.25">
      <c r="A871" s="34">
        <v>30</v>
      </c>
      <c r="B871" s="33" t="s">
        <v>619</v>
      </c>
      <c r="C871" s="33" t="s">
        <v>653</v>
      </c>
      <c r="D871" s="33" t="s">
        <v>653</v>
      </c>
      <c r="E871" s="33" t="s">
        <v>654</v>
      </c>
      <c r="F871" s="34">
        <v>88</v>
      </c>
    </row>
    <row r="872" spans="1:6" x14ac:dyDescent="0.25">
      <c r="A872" s="34">
        <v>31</v>
      </c>
      <c r="B872" s="33" t="s">
        <v>619</v>
      </c>
      <c r="C872" s="33" t="s">
        <v>620</v>
      </c>
      <c r="D872" s="33" t="s">
        <v>621</v>
      </c>
      <c r="E872" s="33" t="s">
        <v>622</v>
      </c>
      <c r="F872" s="34">
        <v>0</v>
      </c>
    </row>
    <row r="873" spans="1:6" x14ac:dyDescent="0.25">
      <c r="A873" s="34">
        <v>31</v>
      </c>
      <c r="B873" s="33" t="s">
        <v>619</v>
      </c>
      <c r="C873" s="33" t="s">
        <v>620</v>
      </c>
      <c r="D873" s="33" t="s">
        <v>621</v>
      </c>
      <c r="E873" s="33" t="s">
        <v>623</v>
      </c>
      <c r="F873" s="34">
        <v>0</v>
      </c>
    </row>
    <row r="874" spans="1:6" x14ac:dyDescent="0.25">
      <c r="A874" s="34">
        <v>31</v>
      </c>
      <c r="B874" s="33" t="s">
        <v>619</v>
      </c>
      <c r="C874" s="33" t="s">
        <v>620</v>
      </c>
      <c r="D874" s="33" t="s">
        <v>621</v>
      </c>
      <c r="E874" s="33" t="s">
        <v>624</v>
      </c>
      <c r="F874" s="34">
        <v>0</v>
      </c>
    </row>
    <row r="875" spans="1:6" x14ac:dyDescent="0.25">
      <c r="A875" s="34">
        <v>31</v>
      </c>
      <c r="B875" s="33" t="s">
        <v>619</v>
      </c>
      <c r="C875" s="33" t="s">
        <v>620</v>
      </c>
      <c r="D875" s="33" t="s">
        <v>621</v>
      </c>
      <c r="E875" s="33" t="s">
        <v>625</v>
      </c>
      <c r="F875" s="34">
        <v>0</v>
      </c>
    </row>
    <row r="876" spans="1:6" x14ac:dyDescent="0.25">
      <c r="A876" s="34">
        <v>31</v>
      </c>
      <c r="B876" s="33" t="s">
        <v>619</v>
      </c>
      <c r="C876" s="33" t="s">
        <v>620</v>
      </c>
      <c r="D876" s="33" t="s">
        <v>621</v>
      </c>
      <c r="E876" s="33" t="s">
        <v>626</v>
      </c>
      <c r="F876" s="34">
        <v>0</v>
      </c>
    </row>
    <row r="877" spans="1:6" x14ac:dyDescent="0.25">
      <c r="A877" s="34">
        <v>31</v>
      </c>
      <c r="B877" s="33" t="s">
        <v>619</v>
      </c>
      <c r="C877" s="33" t="s">
        <v>620</v>
      </c>
      <c r="D877" s="33" t="s">
        <v>621</v>
      </c>
      <c r="E877" s="33" t="s">
        <v>627</v>
      </c>
      <c r="F877" s="34">
        <v>0</v>
      </c>
    </row>
    <row r="878" spans="1:6" x14ac:dyDescent="0.25">
      <c r="A878" s="34">
        <v>31</v>
      </c>
      <c r="B878" s="33" t="s">
        <v>619</v>
      </c>
      <c r="C878" s="33" t="s">
        <v>620</v>
      </c>
      <c r="D878" s="33" t="s">
        <v>621</v>
      </c>
      <c r="E878" s="33" t="s">
        <v>628</v>
      </c>
      <c r="F878" s="34">
        <v>5</v>
      </c>
    </row>
    <row r="879" spans="1:6" x14ac:dyDescent="0.25">
      <c r="A879" s="34">
        <v>31</v>
      </c>
      <c r="B879" s="33" t="s">
        <v>619</v>
      </c>
      <c r="C879" s="33" t="s">
        <v>620</v>
      </c>
      <c r="D879" s="33" t="s">
        <v>621</v>
      </c>
      <c r="E879" s="33" t="s">
        <v>629</v>
      </c>
      <c r="F879" s="34">
        <v>36</v>
      </c>
    </row>
    <row r="880" spans="1:6" x14ac:dyDescent="0.25">
      <c r="A880" s="34">
        <v>31</v>
      </c>
      <c r="B880" s="33" t="s">
        <v>619</v>
      </c>
      <c r="C880" s="33" t="s">
        <v>620</v>
      </c>
      <c r="D880" s="33" t="s">
        <v>630</v>
      </c>
      <c r="E880" s="33" t="s">
        <v>631</v>
      </c>
      <c r="F880" s="34">
        <v>85</v>
      </c>
    </row>
    <row r="881" spans="1:6" x14ac:dyDescent="0.25">
      <c r="A881" s="34">
        <v>31</v>
      </c>
      <c r="B881" s="33" t="s">
        <v>619</v>
      </c>
      <c r="C881" s="33" t="s">
        <v>620</v>
      </c>
      <c r="D881" s="33" t="s">
        <v>630</v>
      </c>
      <c r="E881" s="33" t="s">
        <v>632</v>
      </c>
      <c r="F881" s="33" t="s">
        <v>462</v>
      </c>
    </row>
    <row r="882" spans="1:6" x14ac:dyDescent="0.25">
      <c r="A882" s="34">
        <v>31</v>
      </c>
      <c r="B882" s="33" t="s">
        <v>619</v>
      </c>
      <c r="C882" s="33" t="s">
        <v>620</v>
      </c>
      <c r="D882" s="33" t="s">
        <v>630</v>
      </c>
      <c r="E882" s="33" t="s">
        <v>633</v>
      </c>
      <c r="F882" s="34">
        <v>85</v>
      </c>
    </row>
    <row r="883" spans="1:6" x14ac:dyDescent="0.25">
      <c r="A883" s="34">
        <v>31</v>
      </c>
      <c r="B883" s="33" t="s">
        <v>619</v>
      </c>
      <c r="C883" s="33" t="s">
        <v>634</v>
      </c>
      <c r="D883" s="33" t="s">
        <v>621</v>
      </c>
      <c r="E883" s="33" t="s">
        <v>635</v>
      </c>
      <c r="F883" s="34">
        <v>0</v>
      </c>
    </row>
    <row r="884" spans="1:6" x14ac:dyDescent="0.25">
      <c r="A884" s="34">
        <v>31</v>
      </c>
      <c r="B884" s="33" t="s">
        <v>619</v>
      </c>
      <c r="C884" s="33" t="s">
        <v>634</v>
      </c>
      <c r="D884" s="33" t="s">
        <v>621</v>
      </c>
      <c r="E884" s="33" t="s">
        <v>636</v>
      </c>
      <c r="F884" s="34">
        <v>0</v>
      </c>
    </row>
    <row r="885" spans="1:6" x14ac:dyDescent="0.25">
      <c r="A885" s="34">
        <v>31</v>
      </c>
      <c r="B885" s="33" t="s">
        <v>619</v>
      </c>
      <c r="C885" s="33" t="s">
        <v>634</v>
      </c>
      <c r="D885" s="33" t="s">
        <v>621</v>
      </c>
      <c r="E885" s="33" t="s">
        <v>637</v>
      </c>
      <c r="F885" s="34">
        <v>5</v>
      </c>
    </row>
    <row r="886" spans="1:6" x14ac:dyDescent="0.25">
      <c r="A886" s="34">
        <v>31</v>
      </c>
      <c r="B886" s="33" t="s">
        <v>619</v>
      </c>
      <c r="C886" s="33" t="s">
        <v>634</v>
      </c>
      <c r="D886" s="33" t="s">
        <v>621</v>
      </c>
      <c r="E886" s="33" t="s">
        <v>638</v>
      </c>
      <c r="F886" s="34">
        <v>24</v>
      </c>
    </row>
    <row r="887" spans="1:6" x14ac:dyDescent="0.25">
      <c r="A887" s="34">
        <v>31</v>
      </c>
      <c r="B887" s="33" t="s">
        <v>619</v>
      </c>
      <c r="C887" s="33" t="s">
        <v>634</v>
      </c>
      <c r="D887" s="33" t="s">
        <v>630</v>
      </c>
      <c r="E887" s="33" t="s">
        <v>639</v>
      </c>
      <c r="F887" s="34">
        <v>76</v>
      </c>
    </row>
    <row r="888" spans="1:6" x14ac:dyDescent="0.25">
      <c r="A888" s="34">
        <v>31</v>
      </c>
      <c r="B888" s="33" t="s">
        <v>619</v>
      </c>
      <c r="C888" s="33" t="s">
        <v>634</v>
      </c>
      <c r="D888" s="33" t="s">
        <v>630</v>
      </c>
      <c r="E888" s="33" t="s">
        <v>640</v>
      </c>
      <c r="F888" s="33" t="s">
        <v>462</v>
      </c>
    </row>
    <row r="889" spans="1:6" x14ac:dyDescent="0.25">
      <c r="A889" s="34">
        <v>31</v>
      </c>
      <c r="B889" s="33" t="s">
        <v>619</v>
      </c>
      <c r="C889" s="33" t="s">
        <v>634</v>
      </c>
      <c r="D889" s="33" t="s">
        <v>630</v>
      </c>
      <c r="E889" s="33" t="s">
        <v>641</v>
      </c>
      <c r="F889" s="34">
        <v>76</v>
      </c>
    </row>
    <row r="890" spans="1:6" x14ac:dyDescent="0.25">
      <c r="A890" s="34">
        <v>31</v>
      </c>
      <c r="B890" s="33" t="s">
        <v>619</v>
      </c>
      <c r="C890" s="33" t="s">
        <v>642</v>
      </c>
      <c r="D890" s="33" t="s">
        <v>621</v>
      </c>
      <c r="E890" s="33" t="s">
        <v>643</v>
      </c>
      <c r="F890" s="34">
        <v>0</v>
      </c>
    </row>
    <row r="891" spans="1:6" x14ac:dyDescent="0.25">
      <c r="A891" s="34">
        <v>31</v>
      </c>
      <c r="B891" s="33" t="s">
        <v>619</v>
      </c>
      <c r="C891" s="33" t="s">
        <v>642</v>
      </c>
      <c r="D891" s="33" t="s">
        <v>621</v>
      </c>
      <c r="E891" s="33" t="s">
        <v>644</v>
      </c>
      <c r="F891" s="34">
        <v>0</v>
      </c>
    </row>
    <row r="892" spans="1:6" x14ac:dyDescent="0.25">
      <c r="A892" s="34">
        <v>31</v>
      </c>
      <c r="B892" s="33" t="s">
        <v>619</v>
      </c>
      <c r="C892" s="33" t="s">
        <v>642</v>
      </c>
      <c r="D892" s="33" t="s">
        <v>621</v>
      </c>
      <c r="E892" s="33" t="s">
        <v>645</v>
      </c>
      <c r="F892" s="34">
        <v>0</v>
      </c>
    </row>
    <row r="893" spans="1:6" x14ac:dyDescent="0.25">
      <c r="A893" s="34">
        <v>31</v>
      </c>
      <c r="B893" s="33" t="s">
        <v>619</v>
      </c>
      <c r="C893" s="33" t="s">
        <v>642</v>
      </c>
      <c r="D893" s="33" t="s">
        <v>621</v>
      </c>
      <c r="E893" s="33" t="s">
        <v>646</v>
      </c>
      <c r="F893" s="34">
        <v>0</v>
      </c>
    </row>
    <row r="894" spans="1:6" x14ac:dyDescent="0.25">
      <c r="A894" s="34">
        <v>31</v>
      </c>
      <c r="B894" s="33" t="s">
        <v>619</v>
      </c>
      <c r="C894" s="33" t="s">
        <v>642</v>
      </c>
      <c r="D894" s="33" t="s">
        <v>621</v>
      </c>
      <c r="E894" s="33" t="s">
        <v>647</v>
      </c>
      <c r="F894" s="34">
        <v>0</v>
      </c>
    </row>
    <row r="895" spans="1:6" x14ac:dyDescent="0.25">
      <c r="A895" s="34">
        <v>31</v>
      </c>
      <c r="B895" s="33" t="s">
        <v>619</v>
      </c>
      <c r="C895" s="33" t="s">
        <v>642</v>
      </c>
      <c r="D895" s="33" t="s">
        <v>621</v>
      </c>
      <c r="E895" s="33" t="s">
        <v>648</v>
      </c>
      <c r="F895" s="34">
        <v>0</v>
      </c>
    </row>
    <row r="896" spans="1:6" x14ac:dyDescent="0.25">
      <c r="A896" s="34">
        <v>31</v>
      </c>
      <c r="B896" s="33" t="s">
        <v>619</v>
      </c>
      <c r="C896" s="33" t="s">
        <v>642</v>
      </c>
      <c r="D896" s="33" t="s">
        <v>621</v>
      </c>
      <c r="E896" s="33" t="s">
        <v>649</v>
      </c>
      <c r="F896" s="34">
        <v>9</v>
      </c>
    </row>
    <row r="897" spans="1:6" x14ac:dyDescent="0.25">
      <c r="A897" s="34">
        <v>31</v>
      </c>
      <c r="B897" s="33" t="s">
        <v>619</v>
      </c>
      <c r="C897" s="33" t="s">
        <v>642</v>
      </c>
      <c r="D897" s="33" t="s">
        <v>630</v>
      </c>
      <c r="E897" s="33" t="s">
        <v>650</v>
      </c>
      <c r="F897" s="34">
        <v>68</v>
      </c>
    </row>
    <row r="898" spans="1:6" x14ac:dyDescent="0.25">
      <c r="A898" s="34">
        <v>31</v>
      </c>
      <c r="B898" s="33" t="s">
        <v>619</v>
      </c>
      <c r="C898" s="33" t="s">
        <v>642</v>
      </c>
      <c r="D898" s="33" t="s">
        <v>630</v>
      </c>
      <c r="E898" s="33" t="s">
        <v>651</v>
      </c>
      <c r="F898" s="34">
        <v>64</v>
      </c>
    </row>
    <row r="899" spans="1:6" x14ac:dyDescent="0.25">
      <c r="A899" s="34">
        <v>31</v>
      </c>
      <c r="B899" s="33" t="s">
        <v>619</v>
      </c>
      <c r="C899" s="33" t="s">
        <v>642</v>
      </c>
      <c r="D899" s="33" t="s">
        <v>630</v>
      </c>
      <c r="E899" s="33" t="s">
        <v>652</v>
      </c>
      <c r="F899" s="34">
        <v>68</v>
      </c>
    </row>
    <row r="900" spans="1:6" x14ac:dyDescent="0.25">
      <c r="A900" s="34">
        <v>31</v>
      </c>
      <c r="B900" s="33" t="s">
        <v>619</v>
      </c>
      <c r="C900" s="33" t="s">
        <v>653</v>
      </c>
      <c r="D900" s="33" t="s">
        <v>653</v>
      </c>
      <c r="E900" s="33" t="s">
        <v>654</v>
      </c>
      <c r="F900" s="34">
        <v>72</v>
      </c>
    </row>
    <row r="901" spans="1:6" x14ac:dyDescent="0.25">
      <c r="A901" s="34">
        <v>32</v>
      </c>
      <c r="B901" s="33" t="s">
        <v>619</v>
      </c>
      <c r="C901" s="33" t="s">
        <v>620</v>
      </c>
      <c r="D901" s="33" t="s">
        <v>621</v>
      </c>
      <c r="E901" s="33" t="s">
        <v>622</v>
      </c>
      <c r="F901" s="33" t="s">
        <v>150</v>
      </c>
    </row>
    <row r="902" spans="1:6" x14ac:dyDescent="0.25">
      <c r="A902" s="34">
        <v>32</v>
      </c>
      <c r="B902" s="33" t="s">
        <v>619</v>
      </c>
      <c r="C902" s="33" t="s">
        <v>620</v>
      </c>
      <c r="D902" s="33" t="s">
        <v>621</v>
      </c>
      <c r="E902" s="33" t="s">
        <v>623</v>
      </c>
      <c r="F902" s="33" t="s">
        <v>150</v>
      </c>
    </row>
    <row r="903" spans="1:6" x14ac:dyDescent="0.25">
      <c r="A903" s="34">
        <v>32</v>
      </c>
      <c r="B903" s="33" t="s">
        <v>619</v>
      </c>
      <c r="C903" s="33" t="s">
        <v>620</v>
      </c>
      <c r="D903" s="33" t="s">
        <v>621</v>
      </c>
      <c r="E903" s="33" t="s">
        <v>624</v>
      </c>
      <c r="F903" s="33" t="s">
        <v>150</v>
      </c>
    </row>
    <row r="904" spans="1:6" x14ac:dyDescent="0.25">
      <c r="A904" s="34">
        <v>32</v>
      </c>
      <c r="B904" s="33" t="s">
        <v>619</v>
      </c>
      <c r="C904" s="33" t="s">
        <v>620</v>
      </c>
      <c r="D904" s="33" t="s">
        <v>621</v>
      </c>
      <c r="E904" s="33" t="s">
        <v>625</v>
      </c>
      <c r="F904" s="33" t="s">
        <v>150</v>
      </c>
    </row>
    <row r="905" spans="1:6" x14ac:dyDescent="0.25">
      <c r="A905" s="34">
        <v>32</v>
      </c>
      <c r="B905" s="33" t="s">
        <v>619</v>
      </c>
      <c r="C905" s="33" t="s">
        <v>620</v>
      </c>
      <c r="D905" s="33" t="s">
        <v>621</v>
      </c>
      <c r="E905" s="33" t="s">
        <v>626</v>
      </c>
      <c r="F905" s="33" t="s">
        <v>150</v>
      </c>
    </row>
    <row r="906" spans="1:6" x14ac:dyDescent="0.25">
      <c r="A906" s="34">
        <v>32</v>
      </c>
      <c r="B906" s="33" t="s">
        <v>619</v>
      </c>
      <c r="C906" s="33" t="s">
        <v>620</v>
      </c>
      <c r="D906" s="33" t="s">
        <v>621</v>
      </c>
      <c r="E906" s="33" t="s">
        <v>627</v>
      </c>
      <c r="F906" s="33" t="s">
        <v>150</v>
      </c>
    </row>
    <row r="907" spans="1:6" x14ac:dyDescent="0.25">
      <c r="A907" s="34">
        <v>32</v>
      </c>
      <c r="B907" s="33" t="s">
        <v>619</v>
      </c>
      <c r="C907" s="33" t="s">
        <v>620</v>
      </c>
      <c r="D907" s="33" t="s">
        <v>621</v>
      </c>
      <c r="E907" s="33" t="s">
        <v>628</v>
      </c>
      <c r="F907" s="33" t="s">
        <v>150</v>
      </c>
    </row>
    <row r="908" spans="1:6" x14ac:dyDescent="0.25">
      <c r="A908" s="34">
        <v>32</v>
      </c>
      <c r="B908" s="33" t="s">
        <v>619</v>
      </c>
      <c r="C908" s="33" t="s">
        <v>620</v>
      </c>
      <c r="D908" s="33" t="s">
        <v>621</v>
      </c>
      <c r="E908" s="33" t="s">
        <v>629</v>
      </c>
      <c r="F908" s="33" t="s">
        <v>150</v>
      </c>
    </row>
    <row r="909" spans="1:6" x14ac:dyDescent="0.25">
      <c r="A909" s="34">
        <v>32</v>
      </c>
      <c r="B909" s="33" t="s">
        <v>619</v>
      </c>
      <c r="C909" s="33" t="s">
        <v>620</v>
      </c>
      <c r="D909" s="33" t="s">
        <v>630</v>
      </c>
      <c r="E909" s="33" t="s">
        <v>631</v>
      </c>
      <c r="F909" s="34">
        <v>72</v>
      </c>
    </row>
    <row r="910" spans="1:6" x14ac:dyDescent="0.25">
      <c r="A910" s="34">
        <v>32</v>
      </c>
      <c r="B910" s="33" t="s">
        <v>619</v>
      </c>
      <c r="C910" s="33" t="s">
        <v>620</v>
      </c>
      <c r="D910" s="33" t="s">
        <v>630</v>
      </c>
      <c r="E910" s="33" t="s">
        <v>632</v>
      </c>
      <c r="F910" s="34">
        <v>92</v>
      </c>
    </row>
    <row r="911" spans="1:6" x14ac:dyDescent="0.25">
      <c r="A911" s="34">
        <v>32</v>
      </c>
      <c r="B911" s="33" t="s">
        <v>619</v>
      </c>
      <c r="C911" s="33" t="s">
        <v>620</v>
      </c>
      <c r="D911" s="33" t="s">
        <v>630</v>
      </c>
      <c r="E911" s="33" t="s">
        <v>633</v>
      </c>
      <c r="F911" s="34">
        <v>92</v>
      </c>
    </row>
    <row r="912" spans="1:6" x14ac:dyDescent="0.25">
      <c r="A912" s="34">
        <v>32</v>
      </c>
      <c r="B912" s="33" t="s">
        <v>619</v>
      </c>
      <c r="C912" s="33" t="s">
        <v>634</v>
      </c>
      <c r="D912" s="33" t="s">
        <v>621</v>
      </c>
      <c r="E912" s="33" t="s">
        <v>635</v>
      </c>
      <c r="F912" s="34">
        <v>1</v>
      </c>
    </row>
    <row r="913" spans="1:6" x14ac:dyDescent="0.25">
      <c r="A913" s="34">
        <v>32</v>
      </c>
      <c r="B913" s="33" t="s">
        <v>619</v>
      </c>
      <c r="C913" s="33" t="s">
        <v>634</v>
      </c>
      <c r="D913" s="33" t="s">
        <v>621</v>
      </c>
      <c r="E913" s="33" t="s">
        <v>636</v>
      </c>
      <c r="F913" s="34">
        <v>1</v>
      </c>
    </row>
    <row r="914" spans="1:6" x14ac:dyDescent="0.25">
      <c r="A914" s="34">
        <v>32</v>
      </c>
      <c r="B914" s="33" t="s">
        <v>619</v>
      </c>
      <c r="C914" s="33" t="s">
        <v>634</v>
      </c>
      <c r="D914" s="33" t="s">
        <v>621</v>
      </c>
      <c r="E914" s="33" t="s">
        <v>637</v>
      </c>
      <c r="F914" s="34">
        <v>5</v>
      </c>
    </row>
    <row r="915" spans="1:6" x14ac:dyDescent="0.25">
      <c r="A915" s="34">
        <v>32</v>
      </c>
      <c r="B915" s="33" t="s">
        <v>619</v>
      </c>
      <c r="C915" s="33" t="s">
        <v>634</v>
      </c>
      <c r="D915" s="33" t="s">
        <v>621</v>
      </c>
      <c r="E915" s="33" t="s">
        <v>638</v>
      </c>
      <c r="F915" s="34">
        <v>50</v>
      </c>
    </row>
    <row r="916" spans="1:6" x14ac:dyDescent="0.25">
      <c r="A916" s="34">
        <v>32</v>
      </c>
      <c r="B916" s="33" t="s">
        <v>619</v>
      </c>
      <c r="C916" s="33" t="s">
        <v>634</v>
      </c>
      <c r="D916" s="33" t="s">
        <v>630</v>
      </c>
      <c r="E916" s="33" t="s">
        <v>639</v>
      </c>
      <c r="F916" s="34">
        <v>92</v>
      </c>
    </row>
    <row r="917" spans="1:6" x14ac:dyDescent="0.25">
      <c r="A917" s="34">
        <v>32</v>
      </c>
      <c r="B917" s="33" t="s">
        <v>619</v>
      </c>
      <c r="C917" s="33" t="s">
        <v>634</v>
      </c>
      <c r="D917" s="33" t="s">
        <v>630</v>
      </c>
      <c r="E917" s="33" t="s">
        <v>640</v>
      </c>
      <c r="F917" s="33" t="s">
        <v>462</v>
      </c>
    </row>
    <row r="918" spans="1:6" x14ac:dyDescent="0.25">
      <c r="A918" s="34">
        <v>32</v>
      </c>
      <c r="B918" s="33" t="s">
        <v>619</v>
      </c>
      <c r="C918" s="33" t="s">
        <v>634</v>
      </c>
      <c r="D918" s="33" t="s">
        <v>630</v>
      </c>
      <c r="E918" s="33" t="s">
        <v>641</v>
      </c>
      <c r="F918" s="34">
        <v>92</v>
      </c>
    </row>
    <row r="919" spans="1:6" x14ac:dyDescent="0.25">
      <c r="A919" s="34">
        <v>32</v>
      </c>
      <c r="B919" s="33" t="s">
        <v>619</v>
      </c>
      <c r="C919" s="33" t="s">
        <v>642</v>
      </c>
      <c r="D919" s="33" t="s">
        <v>621</v>
      </c>
      <c r="E919" s="33" t="s">
        <v>643</v>
      </c>
      <c r="F919" s="34">
        <v>5</v>
      </c>
    </row>
    <row r="920" spans="1:6" x14ac:dyDescent="0.25">
      <c r="A920" s="34">
        <v>32</v>
      </c>
      <c r="B920" s="33" t="s">
        <v>619</v>
      </c>
      <c r="C920" s="33" t="s">
        <v>642</v>
      </c>
      <c r="D920" s="33" t="s">
        <v>621</v>
      </c>
      <c r="E920" s="33" t="s">
        <v>644</v>
      </c>
      <c r="F920" s="34">
        <v>5</v>
      </c>
    </row>
    <row r="921" spans="1:6" x14ac:dyDescent="0.25">
      <c r="A921" s="34">
        <v>32</v>
      </c>
      <c r="B921" s="33" t="s">
        <v>619</v>
      </c>
      <c r="C921" s="33" t="s">
        <v>642</v>
      </c>
      <c r="D921" s="33" t="s">
        <v>621</v>
      </c>
      <c r="E921" s="33" t="s">
        <v>645</v>
      </c>
      <c r="F921" s="34">
        <v>5</v>
      </c>
    </row>
    <row r="922" spans="1:6" x14ac:dyDescent="0.25">
      <c r="A922" s="34">
        <v>32</v>
      </c>
      <c r="B922" s="33" t="s">
        <v>619</v>
      </c>
      <c r="C922" s="33" t="s">
        <v>642</v>
      </c>
      <c r="D922" s="33" t="s">
        <v>621</v>
      </c>
      <c r="E922" s="33" t="s">
        <v>646</v>
      </c>
      <c r="F922" s="34">
        <v>5</v>
      </c>
    </row>
    <row r="923" spans="1:6" x14ac:dyDescent="0.25">
      <c r="A923" s="34">
        <v>32</v>
      </c>
      <c r="B923" s="33" t="s">
        <v>619</v>
      </c>
      <c r="C923" s="33" t="s">
        <v>642</v>
      </c>
      <c r="D923" s="33" t="s">
        <v>621</v>
      </c>
      <c r="E923" s="33" t="s">
        <v>647</v>
      </c>
      <c r="F923" s="34">
        <v>5</v>
      </c>
    </row>
    <row r="924" spans="1:6" x14ac:dyDescent="0.25">
      <c r="A924" s="34">
        <v>32</v>
      </c>
      <c r="B924" s="33" t="s">
        <v>619</v>
      </c>
      <c r="C924" s="33" t="s">
        <v>642</v>
      </c>
      <c r="D924" s="33" t="s">
        <v>621</v>
      </c>
      <c r="E924" s="33" t="s">
        <v>648</v>
      </c>
      <c r="F924" s="34">
        <v>5</v>
      </c>
    </row>
    <row r="925" spans="1:6" x14ac:dyDescent="0.25">
      <c r="A925" s="34">
        <v>32</v>
      </c>
      <c r="B925" s="33" t="s">
        <v>619</v>
      </c>
      <c r="C925" s="33" t="s">
        <v>642</v>
      </c>
      <c r="D925" s="33" t="s">
        <v>621</v>
      </c>
      <c r="E925" s="33" t="s">
        <v>649</v>
      </c>
      <c r="F925" s="34">
        <v>50</v>
      </c>
    </row>
    <row r="926" spans="1:6" x14ac:dyDescent="0.25">
      <c r="A926" s="34">
        <v>32</v>
      </c>
      <c r="B926" s="33" t="s">
        <v>619</v>
      </c>
      <c r="C926" s="33" t="s">
        <v>642</v>
      </c>
      <c r="D926" s="33" t="s">
        <v>630</v>
      </c>
      <c r="E926" s="33" t="s">
        <v>650</v>
      </c>
      <c r="F926" s="34">
        <v>72</v>
      </c>
    </row>
    <row r="927" spans="1:6" x14ac:dyDescent="0.25">
      <c r="A927" s="34">
        <v>32</v>
      </c>
      <c r="B927" s="33" t="s">
        <v>619</v>
      </c>
      <c r="C927" s="33" t="s">
        <v>642</v>
      </c>
      <c r="D927" s="33" t="s">
        <v>630</v>
      </c>
      <c r="E927" s="33" t="s">
        <v>651</v>
      </c>
      <c r="F927" s="34">
        <v>92</v>
      </c>
    </row>
    <row r="928" spans="1:6" x14ac:dyDescent="0.25">
      <c r="A928" s="34">
        <v>32</v>
      </c>
      <c r="B928" s="33" t="s">
        <v>619</v>
      </c>
      <c r="C928" s="33" t="s">
        <v>642</v>
      </c>
      <c r="D928" s="33" t="s">
        <v>630</v>
      </c>
      <c r="E928" s="33" t="s">
        <v>652</v>
      </c>
      <c r="F928" s="34">
        <v>92</v>
      </c>
    </row>
    <row r="929" spans="1:6" x14ac:dyDescent="0.25">
      <c r="A929" s="34">
        <v>32</v>
      </c>
      <c r="B929" s="33" t="s">
        <v>619</v>
      </c>
      <c r="C929" s="33" t="s">
        <v>653</v>
      </c>
      <c r="D929" s="33" t="s">
        <v>653</v>
      </c>
      <c r="E929" s="33" t="s">
        <v>654</v>
      </c>
      <c r="F929" s="34">
        <v>95</v>
      </c>
    </row>
    <row r="930" spans="1:6" x14ac:dyDescent="0.25">
      <c r="A930" s="34">
        <v>33</v>
      </c>
      <c r="B930" s="33" t="s">
        <v>619</v>
      </c>
      <c r="C930" s="33" t="s">
        <v>620</v>
      </c>
      <c r="D930" s="33" t="s">
        <v>621</v>
      </c>
      <c r="E930" s="33" t="s">
        <v>622</v>
      </c>
      <c r="F930" s="33" t="s">
        <v>150</v>
      </c>
    </row>
    <row r="931" spans="1:6" x14ac:dyDescent="0.25">
      <c r="A931" s="34">
        <v>33</v>
      </c>
      <c r="B931" s="33" t="s">
        <v>619</v>
      </c>
      <c r="C931" s="33" t="s">
        <v>620</v>
      </c>
      <c r="D931" s="33" t="s">
        <v>621</v>
      </c>
      <c r="E931" s="33" t="s">
        <v>623</v>
      </c>
      <c r="F931" s="33" t="s">
        <v>150</v>
      </c>
    </row>
    <row r="932" spans="1:6" x14ac:dyDescent="0.25">
      <c r="A932" s="34">
        <v>33</v>
      </c>
      <c r="B932" s="33" t="s">
        <v>619</v>
      </c>
      <c r="C932" s="33" t="s">
        <v>620</v>
      </c>
      <c r="D932" s="33" t="s">
        <v>621</v>
      </c>
      <c r="E932" s="33" t="s">
        <v>624</v>
      </c>
      <c r="F932" s="33" t="s">
        <v>150</v>
      </c>
    </row>
    <row r="933" spans="1:6" x14ac:dyDescent="0.25">
      <c r="A933" s="34">
        <v>33</v>
      </c>
      <c r="B933" s="33" t="s">
        <v>619</v>
      </c>
      <c r="C933" s="33" t="s">
        <v>620</v>
      </c>
      <c r="D933" s="33" t="s">
        <v>621</v>
      </c>
      <c r="E933" s="33" t="s">
        <v>625</v>
      </c>
      <c r="F933" s="33" t="s">
        <v>150</v>
      </c>
    </row>
    <row r="934" spans="1:6" x14ac:dyDescent="0.25">
      <c r="A934" s="34">
        <v>33</v>
      </c>
      <c r="B934" s="33" t="s">
        <v>619</v>
      </c>
      <c r="C934" s="33" t="s">
        <v>620</v>
      </c>
      <c r="D934" s="33" t="s">
        <v>621</v>
      </c>
      <c r="E934" s="33" t="s">
        <v>626</v>
      </c>
      <c r="F934" s="33" t="s">
        <v>150</v>
      </c>
    </row>
    <row r="935" spans="1:6" x14ac:dyDescent="0.25">
      <c r="A935" s="34">
        <v>33</v>
      </c>
      <c r="B935" s="33" t="s">
        <v>619</v>
      </c>
      <c r="C935" s="33" t="s">
        <v>620</v>
      </c>
      <c r="D935" s="33" t="s">
        <v>621</v>
      </c>
      <c r="E935" s="33" t="s">
        <v>627</v>
      </c>
      <c r="F935" s="33" t="s">
        <v>150</v>
      </c>
    </row>
    <row r="936" spans="1:6" x14ac:dyDescent="0.25">
      <c r="A936" s="34">
        <v>33</v>
      </c>
      <c r="B936" s="33" t="s">
        <v>619</v>
      </c>
      <c r="C936" s="33" t="s">
        <v>620</v>
      </c>
      <c r="D936" s="33" t="s">
        <v>621</v>
      </c>
      <c r="E936" s="33" t="s">
        <v>628</v>
      </c>
      <c r="F936" s="33" t="s">
        <v>150</v>
      </c>
    </row>
    <row r="937" spans="1:6" x14ac:dyDescent="0.25">
      <c r="A937" s="34">
        <v>33</v>
      </c>
      <c r="B937" s="33" t="s">
        <v>619</v>
      </c>
      <c r="C937" s="33" t="s">
        <v>620</v>
      </c>
      <c r="D937" s="33" t="s">
        <v>621</v>
      </c>
      <c r="E937" s="33" t="s">
        <v>629</v>
      </c>
      <c r="F937" s="33" t="s">
        <v>150</v>
      </c>
    </row>
    <row r="938" spans="1:6" x14ac:dyDescent="0.25">
      <c r="A938" s="34">
        <v>33</v>
      </c>
      <c r="B938" s="33" t="s">
        <v>619</v>
      </c>
      <c r="C938" s="33" t="s">
        <v>620</v>
      </c>
      <c r="D938" s="33" t="s">
        <v>630</v>
      </c>
      <c r="E938" s="33" t="s">
        <v>631</v>
      </c>
      <c r="F938" s="34">
        <v>75</v>
      </c>
    </row>
    <row r="939" spans="1:6" x14ac:dyDescent="0.25">
      <c r="A939" s="34">
        <v>33</v>
      </c>
      <c r="B939" s="33" t="s">
        <v>619</v>
      </c>
      <c r="C939" s="33" t="s">
        <v>620</v>
      </c>
      <c r="D939" s="33" t="s">
        <v>630</v>
      </c>
      <c r="E939" s="33" t="s">
        <v>632</v>
      </c>
      <c r="F939" s="33" t="s">
        <v>462</v>
      </c>
    </row>
    <row r="940" spans="1:6" x14ac:dyDescent="0.25">
      <c r="A940" s="34">
        <v>33</v>
      </c>
      <c r="B940" s="33" t="s">
        <v>619</v>
      </c>
      <c r="C940" s="33" t="s">
        <v>620</v>
      </c>
      <c r="D940" s="33" t="s">
        <v>630</v>
      </c>
      <c r="E940" s="33" t="s">
        <v>633</v>
      </c>
      <c r="F940" s="34">
        <v>75</v>
      </c>
    </row>
    <row r="941" spans="1:6" x14ac:dyDescent="0.25">
      <c r="A941" s="34">
        <v>33</v>
      </c>
      <c r="B941" s="33" t="s">
        <v>619</v>
      </c>
      <c r="C941" s="33" t="s">
        <v>634</v>
      </c>
      <c r="D941" s="33" t="s">
        <v>621</v>
      </c>
      <c r="E941" s="33" t="s">
        <v>635</v>
      </c>
      <c r="F941" s="34">
        <v>0</v>
      </c>
    </row>
    <row r="942" spans="1:6" x14ac:dyDescent="0.25">
      <c r="A942" s="34">
        <v>33</v>
      </c>
      <c r="B942" s="33" t="s">
        <v>619</v>
      </c>
      <c r="C942" s="33" t="s">
        <v>634</v>
      </c>
      <c r="D942" s="33" t="s">
        <v>621</v>
      </c>
      <c r="E942" s="33" t="s">
        <v>636</v>
      </c>
      <c r="F942" s="34">
        <v>0</v>
      </c>
    </row>
    <row r="943" spans="1:6" x14ac:dyDescent="0.25">
      <c r="A943" s="34">
        <v>33</v>
      </c>
      <c r="B943" s="33" t="s">
        <v>619</v>
      </c>
      <c r="C943" s="33" t="s">
        <v>634</v>
      </c>
      <c r="D943" s="33" t="s">
        <v>621</v>
      </c>
      <c r="E943" s="33" t="s">
        <v>637</v>
      </c>
      <c r="F943" s="34">
        <v>5</v>
      </c>
    </row>
    <row r="944" spans="1:6" x14ac:dyDescent="0.25">
      <c r="A944" s="34">
        <v>33</v>
      </c>
      <c r="B944" s="33" t="s">
        <v>619</v>
      </c>
      <c r="C944" s="33" t="s">
        <v>634</v>
      </c>
      <c r="D944" s="33" t="s">
        <v>621</v>
      </c>
      <c r="E944" s="33" t="s">
        <v>638</v>
      </c>
      <c r="F944" s="34">
        <v>27</v>
      </c>
    </row>
    <row r="945" spans="1:6" x14ac:dyDescent="0.25">
      <c r="A945" s="34">
        <v>33</v>
      </c>
      <c r="B945" s="33" t="s">
        <v>619</v>
      </c>
      <c r="C945" s="33" t="s">
        <v>634</v>
      </c>
      <c r="D945" s="33" t="s">
        <v>630</v>
      </c>
      <c r="E945" s="33" t="s">
        <v>639</v>
      </c>
      <c r="F945" s="34">
        <v>82</v>
      </c>
    </row>
    <row r="946" spans="1:6" x14ac:dyDescent="0.25">
      <c r="A946" s="34">
        <v>33</v>
      </c>
      <c r="B946" s="33" t="s">
        <v>619</v>
      </c>
      <c r="C946" s="33" t="s">
        <v>634</v>
      </c>
      <c r="D946" s="33" t="s">
        <v>630</v>
      </c>
      <c r="E946" s="33" t="s">
        <v>640</v>
      </c>
      <c r="F946" s="33" t="s">
        <v>462</v>
      </c>
    </row>
    <row r="947" spans="1:6" x14ac:dyDescent="0.25">
      <c r="A947" s="34">
        <v>33</v>
      </c>
      <c r="B947" s="33" t="s">
        <v>619</v>
      </c>
      <c r="C947" s="33" t="s">
        <v>634</v>
      </c>
      <c r="D947" s="33" t="s">
        <v>630</v>
      </c>
      <c r="E947" s="33" t="s">
        <v>641</v>
      </c>
      <c r="F947" s="34">
        <v>82</v>
      </c>
    </row>
    <row r="948" spans="1:6" x14ac:dyDescent="0.25">
      <c r="A948" s="34">
        <v>33</v>
      </c>
      <c r="B948" s="33" t="s">
        <v>619</v>
      </c>
      <c r="C948" s="33" t="s">
        <v>642</v>
      </c>
      <c r="D948" s="33" t="s">
        <v>621</v>
      </c>
      <c r="E948" s="33" t="s">
        <v>643</v>
      </c>
      <c r="F948" s="34">
        <v>0</v>
      </c>
    </row>
    <row r="949" spans="1:6" x14ac:dyDescent="0.25">
      <c r="A949" s="34">
        <v>33</v>
      </c>
      <c r="B949" s="33" t="s">
        <v>619</v>
      </c>
      <c r="C949" s="33" t="s">
        <v>642</v>
      </c>
      <c r="D949" s="33" t="s">
        <v>621</v>
      </c>
      <c r="E949" s="33" t="s">
        <v>644</v>
      </c>
      <c r="F949" s="34">
        <v>0</v>
      </c>
    </row>
    <row r="950" spans="1:6" x14ac:dyDescent="0.25">
      <c r="A950" s="34">
        <v>33</v>
      </c>
      <c r="B950" s="33" t="s">
        <v>619</v>
      </c>
      <c r="C950" s="33" t="s">
        <v>642</v>
      </c>
      <c r="D950" s="33" t="s">
        <v>621</v>
      </c>
      <c r="E950" s="33" t="s">
        <v>645</v>
      </c>
      <c r="F950" s="34">
        <v>0</v>
      </c>
    </row>
    <row r="951" spans="1:6" x14ac:dyDescent="0.25">
      <c r="A951" s="34">
        <v>33</v>
      </c>
      <c r="B951" s="33" t="s">
        <v>619</v>
      </c>
      <c r="C951" s="33" t="s">
        <v>642</v>
      </c>
      <c r="D951" s="33" t="s">
        <v>621</v>
      </c>
      <c r="E951" s="33" t="s">
        <v>646</v>
      </c>
      <c r="F951" s="34">
        <v>0</v>
      </c>
    </row>
    <row r="952" spans="1:6" x14ac:dyDescent="0.25">
      <c r="A952" s="34">
        <v>33</v>
      </c>
      <c r="B952" s="33" t="s">
        <v>619</v>
      </c>
      <c r="C952" s="33" t="s">
        <v>642</v>
      </c>
      <c r="D952" s="33" t="s">
        <v>621</v>
      </c>
      <c r="E952" s="33" t="s">
        <v>647</v>
      </c>
      <c r="F952" s="34">
        <v>0</v>
      </c>
    </row>
    <row r="953" spans="1:6" x14ac:dyDescent="0.25">
      <c r="A953" s="34">
        <v>33</v>
      </c>
      <c r="B953" s="33" t="s">
        <v>619</v>
      </c>
      <c r="C953" s="33" t="s">
        <v>642</v>
      </c>
      <c r="D953" s="33" t="s">
        <v>621</v>
      </c>
      <c r="E953" s="33" t="s">
        <v>648</v>
      </c>
      <c r="F953" s="34">
        <v>0</v>
      </c>
    </row>
    <row r="954" spans="1:6" x14ac:dyDescent="0.25">
      <c r="A954" s="34">
        <v>33</v>
      </c>
      <c r="B954" s="33" t="s">
        <v>619</v>
      </c>
      <c r="C954" s="33" t="s">
        <v>642</v>
      </c>
      <c r="D954" s="33" t="s">
        <v>621</v>
      </c>
      <c r="E954" s="33" t="s">
        <v>649</v>
      </c>
      <c r="F954" s="34">
        <v>25</v>
      </c>
    </row>
    <row r="955" spans="1:6" x14ac:dyDescent="0.25">
      <c r="A955" s="34">
        <v>33</v>
      </c>
      <c r="B955" s="33" t="s">
        <v>619</v>
      </c>
      <c r="C955" s="33" t="s">
        <v>642</v>
      </c>
      <c r="D955" s="33" t="s">
        <v>630</v>
      </c>
      <c r="E955" s="33" t="s">
        <v>650</v>
      </c>
      <c r="F955" s="34">
        <v>75</v>
      </c>
    </row>
    <row r="956" spans="1:6" x14ac:dyDescent="0.25">
      <c r="A956" s="34">
        <v>33</v>
      </c>
      <c r="B956" s="33" t="s">
        <v>619</v>
      </c>
      <c r="C956" s="33" t="s">
        <v>642</v>
      </c>
      <c r="D956" s="33" t="s">
        <v>630</v>
      </c>
      <c r="E956" s="33" t="s">
        <v>651</v>
      </c>
      <c r="F956" s="33" t="s">
        <v>462</v>
      </c>
    </row>
    <row r="957" spans="1:6" x14ac:dyDescent="0.25">
      <c r="A957" s="34">
        <v>33</v>
      </c>
      <c r="B957" s="33" t="s">
        <v>619</v>
      </c>
      <c r="C957" s="33" t="s">
        <v>642</v>
      </c>
      <c r="D957" s="33" t="s">
        <v>630</v>
      </c>
      <c r="E957" s="33" t="s">
        <v>652</v>
      </c>
      <c r="F957" s="34">
        <v>75</v>
      </c>
    </row>
    <row r="958" spans="1:6" x14ac:dyDescent="0.25">
      <c r="A958" s="34">
        <v>33</v>
      </c>
      <c r="B958" s="33" t="s">
        <v>619</v>
      </c>
      <c r="C958" s="33" t="s">
        <v>653</v>
      </c>
      <c r="D958" s="33" t="s">
        <v>653</v>
      </c>
      <c r="E958" s="33" t="s">
        <v>654</v>
      </c>
      <c r="F958" s="34">
        <v>65</v>
      </c>
    </row>
    <row r="959" spans="1:6" x14ac:dyDescent="0.25">
      <c r="A959" s="34">
        <v>34</v>
      </c>
      <c r="B959" s="33" t="s">
        <v>619</v>
      </c>
      <c r="C959" s="33" t="s">
        <v>620</v>
      </c>
      <c r="D959" s="33" t="s">
        <v>621</v>
      </c>
      <c r="E959" s="33" t="s">
        <v>622</v>
      </c>
      <c r="F959" s="34">
        <v>1</v>
      </c>
    </row>
    <row r="960" spans="1:6" x14ac:dyDescent="0.25">
      <c r="A960" s="34">
        <v>34</v>
      </c>
      <c r="B960" s="33" t="s">
        <v>619</v>
      </c>
      <c r="C960" s="33" t="s">
        <v>620</v>
      </c>
      <c r="D960" s="33" t="s">
        <v>621</v>
      </c>
      <c r="E960" s="33" t="s">
        <v>623</v>
      </c>
      <c r="F960" s="34">
        <v>1</v>
      </c>
    </row>
    <row r="961" spans="1:6" x14ac:dyDescent="0.25">
      <c r="A961" s="34">
        <v>34</v>
      </c>
      <c r="B961" s="33" t="s">
        <v>619</v>
      </c>
      <c r="C961" s="33" t="s">
        <v>620</v>
      </c>
      <c r="D961" s="33" t="s">
        <v>621</v>
      </c>
      <c r="E961" s="33" t="s">
        <v>624</v>
      </c>
      <c r="F961" s="34">
        <v>1</v>
      </c>
    </row>
    <row r="962" spans="1:6" x14ac:dyDescent="0.25">
      <c r="A962" s="34">
        <v>34</v>
      </c>
      <c r="B962" s="33" t="s">
        <v>619</v>
      </c>
      <c r="C962" s="33" t="s">
        <v>620</v>
      </c>
      <c r="D962" s="33" t="s">
        <v>621</v>
      </c>
      <c r="E962" s="33" t="s">
        <v>625</v>
      </c>
      <c r="F962" s="34">
        <v>1</v>
      </c>
    </row>
    <row r="963" spans="1:6" x14ac:dyDescent="0.25">
      <c r="A963" s="34">
        <v>34</v>
      </c>
      <c r="B963" s="33" t="s">
        <v>619</v>
      </c>
      <c r="C963" s="33" t="s">
        <v>620</v>
      </c>
      <c r="D963" s="33" t="s">
        <v>621</v>
      </c>
      <c r="E963" s="33" t="s">
        <v>626</v>
      </c>
      <c r="F963" s="34">
        <v>1</v>
      </c>
    </row>
    <row r="964" spans="1:6" x14ac:dyDescent="0.25">
      <c r="A964" s="34">
        <v>34</v>
      </c>
      <c r="B964" s="33" t="s">
        <v>619</v>
      </c>
      <c r="C964" s="33" t="s">
        <v>620</v>
      </c>
      <c r="D964" s="33" t="s">
        <v>621</v>
      </c>
      <c r="E964" s="33" t="s">
        <v>627</v>
      </c>
      <c r="F964" s="34">
        <v>0</v>
      </c>
    </row>
    <row r="965" spans="1:6" x14ac:dyDescent="0.25">
      <c r="A965" s="34">
        <v>34</v>
      </c>
      <c r="B965" s="33" t="s">
        <v>619</v>
      </c>
      <c r="C965" s="33" t="s">
        <v>620</v>
      </c>
      <c r="D965" s="33" t="s">
        <v>621</v>
      </c>
      <c r="E965" s="33" t="s">
        <v>628</v>
      </c>
      <c r="F965" s="34">
        <v>5</v>
      </c>
    </row>
    <row r="966" spans="1:6" x14ac:dyDescent="0.25">
      <c r="A966" s="34">
        <v>34</v>
      </c>
      <c r="B966" s="33" t="s">
        <v>619</v>
      </c>
      <c r="C966" s="33" t="s">
        <v>620</v>
      </c>
      <c r="D966" s="33" t="s">
        <v>621</v>
      </c>
      <c r="E966" s="33" t="s">
        <v>629</v>
      </c>
      <c r="F966" s="34">
        <v>48</v>
      </c>
    </row>
    <row r="967" spans="1:6" x14ac:dyDescent="0.25">
      <c r="A967" s="34">
        <v>34</v>
      </c>
      <c r="B967" s="33" t="s">
        <v>619</v>
      </c>
      <c r="C967" s="33" t="s">
        <v>620</v>
      </c>
      <c r="D967" s="33" t="s">
        <v>630</v>
      </c>
      <c r="E967" s="33" t="s">
        <v>631</v>
      </c>
      <c r="F967" s="34">
        <v>73</v>
      </c>
    </row>
    <row r="968" spans="1:6" x14ac:dyDescent="0.25">
      <c r="A968" s="34">
        <v>34</v>
      </c>
      <c r="B968" s="33" t="s">
        <v>619</v>
      </c>
      <c r="C968" s="33" t="s">
        <v>620</v>
      </c>
      <c r="D968" s="33" t="s">
        <v>630</v>
      </c>
      <c r="E968" s="33" t="s">
        <v>632</v>
      </c>
      <c r="F968" s="34">
        <v>68</v>
      </c>
    </row>
    <row r="969" spans="1:6" x14ac:dyDescent="0.25">
      <c r="A969" s="34">
        <v>34</v>
      </c>
      <c r="B969" s="33" t="s">
        <v>619</v>
      </c>
      <c r="C969" s="33" t="s">
        <v>620</v>
      </c>
      <c r="D969" s="33" t="s">
        <v>630</v>
      </c>
      <c r="E969" s="33" t="s">
        <v>633</v>
      </c>
      <c r="F969" s="34">
        <v>73</v>
      </c>
    </row>
    <row r="970" spans="1:6" x14ac:dyDescent="0.25">
      <c r="A970" s="34">
        <v>34</v>
      </c>
      <c r="B970" s="33" t="s">
        <v>619</v>
      </c>
      <c r="C970" s="33" t="s">
        <v>634</v>
      </c>
      <c r="D970" s="33" t="s">
        <v>621</v>
      </c>
      <c r="E970" s="33" t="s">
        <v>635</v>
      </c>
      <c r="F970" s="34">
        <v>1</v>
      </c>
    </row>
    <row r="971" spans="1:6" x14ac:dyDescent="0.25">
      <c r="A971" s="34">
        <v>34</v>
      </c>
      <c r="B971" s="33" t="s">
        <v>619</v>
      </c>
      <c r="C971" s="33" t="s">
        <v>634</v>
      </c>
      <c r="D971" s="33" t="s">
        <v>621</v>
      </c>
      <c r="E971" s="33" t="s">
        <v>636</v>
      </c>
      <c r="F971" s="34">
        <v>1</v>
      </c>
    </row>
    <row r="972" spans="1:6" x14ac:dyDescent="0.25">
      <c r="A972" s="34">
        <v>34</v>
      </c>
      <c r="B972" s="33" t="s">
        <v>619</v>
      </c>
      <c r="C972" s="33" t="s">
        <v>634</v>
      </c>
      <c r="D972" s="33" t="s">
        <v>621</v>
      </c>
      <c r="E972" s="33" t="s">
        <v>637</v>
      </c>
      <c r="F972" s="34">
        <v>5</v>
      </c>
    </row>
    <row r="973" spans="1:6" x14ac:dyDescent="0.25">
      <c r="A973" s="34">
        <v>34</v>
      </c>
      <c r="B973" s="33" t="s">
        <v>619</v>
      </c>
      <c r="C973" s="33" t="s">
        <v>634</v>
      </c>
      <c r="D973" s="33" t="s">
        <v>621</v>
      </c>
      <c r="E973" s="33" t="s">
        <v>638</v>
      </c>
      <c r="F973" s="34">
        <v>50</v>
      </c>
    </row>
    <row r="974" spans="1:6" x14ac:dyDescent="0.25">
      <c r="A974" s="34">
        <v>34</v>
      </c>
      <c r="B974" s="33" t="s">
        <v>619</v>
      </c>
      <c r="C974" s="33" t="s">
        <v>634</v>
      </c>
      <c r="D974" s="33" t="s">
        <v>630</v>
      </c>
      <c r="E974" s="33" t="s">
        <v>639</v>
      </c>
      <c r="F974" s="34">
        <v>67</v>
      </c>
    </row>
    <row r="975" spans="1:6" x14ac:dyDescent="0.25">
      <c r="A975" s="34">
        <v>34</v>
      </c>
      <c r="B975" s="33" t="s">
        <v>619</v>
      </c>
      <c r="C975" s="33" t="s">
        <v>634</v>
      </c>
      <c r="D975" s="33" t="s">
        <v>630</v>
      </c>
      <c r="E975" s="33" t="s">
        <v>640</v>
      </c>
      <c r="F975" s="34">
        <v>68</v>
      </c>
    </row>
    <row r="976" spans="1:6" x14ac:dyDescent="0.25">
      <c r="A976" s="34">
        <v>34</v>
      </c>
      <c r="B976" s="33" t="s">
        <v>619</v>
      </c>
      <c r="C976" s="33" t="s">
        <v>634</v>
      </c>
      <c r="D976" s="33" t="s">
        <v>630</v>
      </c>
      <c r="E976" s="33" t="s">
        <v>641</v>
      </c>
      <c r="F976" s="34">
        <v>68</v>
      </c>
    </row>
    <row r="977" spans="1:6" x14ac:dyDescent="0.25">
      <c r="A977" s="34">
        <v>34</v>
      </c>
      <c r="B977" s="33" t="s">
        <v>619</v>
      </c>
      <c r="C977" s="33" t="s">
        <v>642</v>
      </c>
      <c r="D977" s="33" t="s">
        <v>621</v>
      </c>
      <c r="E977" s="33" t="s">
        <v>643</v>
      </c>
      <c r="F977" s="34">
        <v>5</v>
      </c>
    </row>
    <row r="978" spans="1:6" x14ac:dyDescent="0.25">
      <c r="A978" s="34">
        <v>34</v>
      </c>
      <c r="B978" s="33" t="s">
        <v>619</v>
      </c>
      <c r="C978" s="33" t="s">
        <v>642</v>
      </c>
      <c r="D978" s="33" t="s">
        <v>621</v>
      </c>
      <c r="E978" s="33" t="s">
        <v>644</v>
      </c>
      <c r="F978" s="34">
        <v>5</v>
      </c>
    </row>
    <row r="979" spans="1:6" x14ac:dyDescent="0.25">
      <c r="A979" s="34">
        <v>34</v>
      </c>
      <c r="B979" s="33" t="s">
        <v>619</v>
      </c>
      <c r="C979" s="33" t="s">
        <v>642</v>
      </c>
      <c r="D979" s="33" t="s">
        <v>621</v>
      </c>
      <c r="E979" s="33" t="s">
        <v>645</v>
      </c>
      <c r="F979" s="34">
        <v>5</v>
      </c>
    </row>
    <row r="980" spans="1:6" x14ac:dyDescent="0.25">
      <c r="A980" s="34">
        <v>34</v>
      </c>
      <c r="B980" s="33" t="s">
        <v>619</v>
      </c>
      <c r="C980" s="33" t="s">
        <v>642</v>
      </c>
      <c r="D980" s="33" t="s">
        <v>621</v>
      </c>
      <c r="E980" s="33" t="s">
        <v>646</v>
      </c>
      <c r="F980" s="34">
        <v>5</v>
      </c>
    </row>
    <row r="981" spans="1:6" x14ac:dyDescent="0.25">
      <c r="A981" s="34">
        <v>34</v>
      </c>
      <c r="B981" s="33" t="s">
        <v>619</v>
      </c>
      <c r="C981" s="33" t="s">
        <v>642</v>
      </c>
      <c r="D981" s="33" t="s">
        <v>621</v>
      </c>
      <c r="E981" s="33" t="s">
        <v>647</v>
      </c>
      <c r="F981" s="34">
        <v>5</v>
      </c>
    </row>
    <row r="982" spans="1:6" x14ac:dyDescent="0.25">
      <c r="A982" s="34">
        <v>34</v>
      </c>
      <c r="B982" s="33" t="s">
        <v>619</v>
      </c>
      <c r="C982" s="33" t="s">
        <v>642</v>
      </c>
      <c r="D982" s="33" t="s">
        <v>621</v>
      </c>
      <c r="E982" s="33" t="s">
        <v>648</v>
      </c>
      <c r="F982" s="34">
        <v>0</v>
      </c>
    </row>
    <row r="983" spans="1:6" x14ac:dyDescent="0.25">
      <c r="A983" s="34">
        <v>34</v>
      </c>
      <c r="B983" s="33" t="s">
        <v>619</v>
      </c>
      <c r="C983" s="33" t="s">
        <v>642</v>
      </c>
      <c r="D983" s="33" t="s">
        <v>621</v>
      </c>
      <c r="E983" s="33" t="s">
        <v>649</v>
      </c>
      <c r="F983" s="34">
        <v>50</v>
      </c>
    </row>
    <row r="984" spans="1:6" x14ac:dyDescent="0.25">
      <c r="A984" s="34">
        <v>34</v>
      </c>
      <c r="B984" s="33" t="s">
        <v>619</v>
      </c>
      <c r="C984" s="33" t="s">
        <v>642</v>
      </c>
      <c r="D984" s="33" t="s">
        <v>630</v>
      </c>
      <c r="E984" s="33" t="s">
        <v>650</v>
      </c>
      <c r="F984" s="34">
        <v>62</v>
      </c>
    </row>
    <row r="985" spans="1:6" x14ac:dyDescent="0.25">
      <c r="A985" s="34">
        <v>34</v>
      </c>
      <c r="B985" s="33" t="s">
        <v>619</v>
      </c>
      <c r="C985" s="33" t="s">
        <v>642</v>
      </c>
      <c r="D985" s="33" t="s">
        <v>630</v>
      </c>
      <c r="E985" s="33" t="s">
        <v>651</v>
      </c>
      <c r="F985" s="34">
        <v>72</v>
      </c>
    </row>
    <row r="986" spans="1:6" x14ac:dyDescent="0.25">
      <c r="A986" s="34">
        <v>34</v>
      </c>
      <c r="B986" s="33" t="s">
        <v>619</v>
      </c>
      <c r="C986" s="33" t="s">
        <v>642</v>
      </c>
      <c r="D986" s="33" t="s">
        <v>630</v>
      </c>
      <c r="E986" s="33" t="s">
        <v>652</v>
      </c>
      <c r="F986" s="34">
        <v>72</v>
      </c>
    </row>
    <row r="987" spans="1:6" x14ac:dyDescent="0.25">
      <c r="A987" s="34">
        <v>34</v>
      </c>
      <c r="B987" s="33" t="s">
        <v>619</v>
      </c>
      <c r="C987" s="33" t="s">
        <v>653</v>
      </c>
      <c r="D987" s="33" t="s">
        <v>653</v>
      </c>
      <c r="E987" s="33" t="s">
        <v>654</v>
      </c>
      <c r="F987" s="34">
        <v>62</v>
      </c>
    </row>
    <row r="988" spans="1:6" x14ac:dyDescent="0.25">
      <c r="A988" s="34">
        <v>35</v>
      </c>
      <c r="B988" s="33" t="s">
        <v>619</v>
      </c>
      <c r="C988" s="33" t="s">
        <v>620</v>
      </c>
      <c r="D988" s="33" t="s">
        <v>621</v>
      </c>
      <c r="E988" s="33" t="s">
        <v>622</v>
      </c>
      <c r="F988" s="34">
        <v>0</v>
      </c>
    </row>
    <row r="989" spans="1:6" x14ac:dyDescent="0.25">
      <c r="A989" s="34">
        <v>35</v>
      </c>
      <c r="B989" s="33" t="s">
        <v>619</v>
      </c>
      <c r="C989" s="33" t="s">
        <v>620</v>
      </c>
      <c r="D989" s="33" t="s">
        <v>621</v>
      </c>
      <c r="E989" s="33" t="s">
        <v>623</v>
      </c>
      <c r="F989" s="34">
        <v>0</v>
      </c>
    </row>
    <row r="990" spans="1:6" x14ac:dyDescent="0.25">
      <c r="A990" s="34">
        <v>35</v>
      </c>
      <c r="B990" s="33" t="s">
        <v>619</v>
      </c>
      <c r="C990" s="33" t="s">
        <v>620</v>
      </c>
      <c r="D990" s="33" t="s">
        <v>621</v>
      </c>
      <c r="E990" s="33" t="s">
        <v>624</v>
      </c>
      <c r="F990" s="34">
        <v>0</v>
      </c>
    </row>
    <row r="991" spans="1:6" x14ac:dyDescent="0.25">
      <c r="A991" s="34">
        <v>35</v>
      </c>
      <c r="B991" s="33" t="s">
        <v>619</v>
      </c>
      <c r="C991" s="33" t="s">
        <v>620</v>
      </c>
      <c r="D991" s="33" t="s">
        <v>621</v>
      </c>
      <c r="E991" s="33" t="s">
        <v>625</v>
      </c>
      <c r="F991" s="34">
        <v>0</v>
      </c>
    </row>
    <row r="992" spans="1:6" x14ac:dyDescent="0.25">
      <c r="A992" s="34">
        <v>35</v>
      </c>
      <c r="B992" s="33" t="s">
        <v>619</v>
      </c>
      <c r="C992" s="33" t="s">
        <v>620</v>
      </c>
      <c r="D992" s="33" t="s">
        <v>621</v>
      </c>
      <c r="E992" s="33" t="s">
        <v>626</v>
      </c>
      <c r="F992" s="34">
        <v>0</v>
      </c>
    </row>
    <row r="993" spans="1:6" x14ac:dyDescent="0.25">
      <c r="A993" s="34">
        <v>35</v>
      </c>
      <c r="B993" s="33" t="s">
        <v>619</v>
      </c>
      <c r="C993" s="33" t="s">
        <v>620</v>
      </c>
      <c r="D993" s="33" t="s">
        <v>621</v>
      </c>
      <c r="E993" s="33" t="s">
        <v>627</v>
      </c>
      <c r="F993" s="34">
        <v>0</v>
      </c>
    </row>
    <row r="994" spans="1:6" x14ac:dyDescent="0.25">
      <c r="A994" s="34">
        <v>35</v>
      </c>
      <c r="B994" s="33" t="s">
        <v>619</v>
      </c>
      <c r="C994" s="33" t="s">
        <v>620</v>
      </c>
      <c r="D994" s="33" t="s">
        <v>621</v>
      </c>
      <c r="E994" s="33" t="s">
        <v>628</v>
      </c>
      <c r="F994" s="34">
        <v>5</v>
      </c>
    </row>
    <row r="995" spans="1:6" x14ac:dyDescent="0.25">
      <c r="A995" s="34">
        <v>35</v>
      </c>
      <c r="B995" s="33" t="s">
        <v>619</v>
      </c>
      <c r="C995" s="33" t="s">
        <v>620</v>
      </c>
      <c r="D995" s="33" t="s">
        <v>621</v>
      </c>
      <c r="E995" s="33" t="s">
        <v>629</v>
      </c>
      <c r="F995" s="34">
        <v>44</v>
      </c>
    </row>
    <row r="996" spans="1:6" x14ac:dyDescent="0.25">
      <c r="A996" s="34">
        <v>35</v>
      </c>
      <c r="B996" s="33" t="s">
        <v>619</v>
      </c>
      <c r="C996" s="33" t="s">
        <v>620</v>
      </c>
      <c r="D996" s="33" t="s">
        <v>630</v>
      </c>
      <c r="E996" s="33" t="s">
        <v>631</v>
      </c>
      <c r="F996" s="34">
        <v>88</v>
      </c>
    </row>
    <row r="997" spans="1:6" x14ac:dyDescent="0.25">
      <c r="A997" s="34">
        <v>35</v>
      </c>
      <c r="B997" s="33" t="s">
        <v>619</v>
      </c>
      <c r="C997" s="33" t="s">
        <v>620</v>
      </c>
      <c r="D997" s="33" t="s">
        <v>630</v>
      </c>
      <c r="E997" s="33" t="s">
        <v>632</v>
      </c>
      <c r="F997" s="33" t="s">
        <v>462</v>
      </c>
    </row>
    <row r="998" spans="1:6" x14ac:dyDescent="0.25">
      <c r="A998" s="34">
        <v>35</v>
      </c>
      <c r="B998" s="33" t="s">
        <v>619</v>
      </c>
      <c r="C998" s="33" t="s">
        <v>620</v>
      </c>
      <c r="D998" s="33" t="s">
        <v>630</v>
      </c>
      <c r="E998" s="33" t="s">
        <v>633</v>
      </c>
      <c r="F998" s="34">
        <v>88</v>
      </c>
    </row>
    <row r="999" spans="1:6" x14ac:dyDescent="0.25">
      <c r="A999" s="34">
        <v>35</v>
      </c>
      <c r="B999" s="33" t="s">
        <v>619</v>
      </c>
      <c r="C999" s="33" t="s">
        <v>634</v>
      </c>
      <c r="D999" s="33" t="s">
        <v>621</v>
      </c>
      <c r="E999" s="33" t="s">
        <v>635</v>
      </c>
      <c r="F999" s="34">
        <v>0</v>
      </c>
    </row>
    <row r="1000" spans="1:6" x14ac:dyDescent="0.25">
      <c r="A1000" s="34">
        <v>35</v>
      </c>
      <c r="B1000" s="33" t="s">
        <v>619</v>
      </c>
      <c r="C1000" s="33" t="s">
        <v>634</v>
      </c>
      <c r="D1000" s="33" t="s">
        <v>621</v>
      </c>
      <c r="E1000" s="33" t="s">
        <v>636</v>
      </c>
      <c r="F1000" s="34">
        <v>1</v>
      </c>
    </row>
    <row r="1001" spans="1:6" x14ac:dyDescent="0.25">
      <c r="A1001" s="34">
        <v>35</v>
      </c>
      <c r="B1001" s="33" t="s">
        <v>619</v>
      </c>
      <c r="C1001" s="33" t="s">
        <v>634</v>
      </c>
      <c r="D1001" s="33" t="s">
        <v>621</v>
      </c>
      <c r="E1001" s="33" t="s">
        <v>637</v>
      </c>
      <c r="F1001" s="34">
        <v>5</v>
      </c>
    </row>
    <row r="1002" spans="1:6" x14ac:dyDescent="0.25">
      <c r="A1002" s="34">
        <v>35</v>
      </c>
      <c r="B1002" s="33" t="s">
        <v>619</v>
      </c>
      <c r="C1002" s="33" t="s">
        <v>634</v>
      </c>
      <c r="D1002" s="33" t="s">
        <v>621</v>
      </c>
      <c r="E1002" s="33" t="s">
        <v>638</v>
      </c>
      <c r="F1002" s="34">
        <v>50</v>
      </c>
    </row>
    <row r="1003" spans="1:6" x14ac:dyDescent="0.25">
      <c r="A1003" s="34">
        <v>35</v>
      </c>
      <c r="B1003" s="33" t="s">
        <v>619</v>
      </c>
      <c r="C1003" s="33" t="s">
        <v>634</v>
      </c>
      <c r="D1003" s="33" t="s">
        <v>630</v>
      </c>
      <c r="E1003" s="33" t="s">
        <v>639</v>
      </c>
      <c r="F1003" s="34">
        <v>93</v>
      </c>
    </row>
    <row r="1004" spans="1:6" x14ac:dyDescent="0.25">
      <c r="A1004" s="34">
        <v>35</v>
      </c>
      <c r="B1004" s="33" t="s">
        <v>619</v>
      </c>
      <c r="C1004" s="33" t="s">
        <v>634</v>
      </c>
      <c r="D1004" s="33" t="s">
        <v>630</v>
      </c>
      <c r="E1004" s="33" t="s">
        <v>640</v>
      </c>
      <c r="F1004" s="33" t="s">
        <v>150</v>
      </c>
    </row>
    <row r="1005" spans="1:6" x14ac:dyDescent="0.25">
      <c r="A1005" s="34">
        <v>35</v>
      </c>
      <c r="B1005" s="33" t="s">
        <v>619</v>
      </c>
      <c r="C1005" s="33" t="s">
        <v>634</v>
      </c>
      <c r="D1005" s="33" t="s">
        <v>630</v>
      </c>
      <c r="E1005" s="33" t="s">
        <v>641</v>
      </c>
      <c r="F1005" s="34">
        <v>93</v>
      </c>
    </row>
    <row r="1006" spans="1:6" x14ac:dyDescent="0.25">
      <c r="A1006" s="34">
        <v>35</v>
      </c>
      <c r="B1006" s="33" t="s">
        <v>619</v>
      </c>
      <c r="C1006" s="33" t="s">
        <v>642</v>
      </c>
      <c r="D1006" s="33" t="s">
        <v>621</v>
      </c>
      <c r="E1006" s="33" t="s">
        <v>643</v>
      </c>
      <c r="F1006" s="34">
        <v>5</v>
      </c>
    </row>
    <row r="1007" spans="1:6" x14ac:dyDescent="0.25">
      <c r="A1007" s="34">
        <v>35</v>
      </c>
      <c r="B1007" s="33" t="s">
        <v>619</v>
      </c>
      <c r="C1007" s="33" t="s">
        <v>642</v>
      </c>
      <c r="D1007" s="33" t="s">
        <v>621</v>
      </c>
      <c r="E1007" s="33" t="s">
        <v>644</v>
      </c>
      <c r="F1007" s="34">
        <v>5</v>
      </c>
    </row>
    <row r="1008" spans="1:6" x14ac:dyDescent="0.25">
      <c r="A1008" s="34">
        <v>35</v>
      </c>
      <c r="B1008" s="33" t="s">
        <v>619</v>
      </c>
      <c r="C1008" s="33" t="s">
        <v>642</v>
      </c>
      <c r="D1008" s="33" t="s">
        <v>621</v>
      </c>
      <c r="E1008" s="33" t="s">
        <v>645</v>
      </c>
      <c r="F1008" s="34">
        <v>5</v>
      </c>
    </row>
    <row r="1009" spans="1:6" x14ac:dyDescent="0.25">
      <c r="A1009" s="34">
        <v>35</v>
      </c>
      <c r="B1009" s="33" t="s">
        <v>619</v>
      </c>
      <c r="C1009" s="33" t="s">
        <v>642</v>
      </c>
      <c r="D1009" s="33" t="s">
        <v>621</v>
      </c>
      <c r="E1009" s="33" t="s">
        <v>646</v>
      </c>
      <c r="F1009" s="34">
        <v>0</v>
      </c>
    </row>
    <row r="1010" spans="1:6" x14ac:dyDescent="0.25">
      <c r="A1010" s="34">
        <v>35</v>
      </c>
      <c r="B1010" s="33" t="s">
        <v>619</v>
      </c>
      <c r="C1010" s="33" t="s">
        <v>642</v>
      </c>
      <c r="D1010" s="33" t="s">
        <v>621</v>
      </c>
      <c r="E1010" s="33" t="s">
        <v>647</v>
      </c>
      <c r="F1010" s="34">
        <v>0</v>
      </c>
    </row>
    <row r="1011" spans="1:6" x14ac:dyDescent="0.25">
      <c r="A1011" s="34">
        <v>35</v>
      </c>
      <c r="B1011" s="33" t="s">
        <v>619</v>
      </c>
      <c r="C1011" s="33" t="s">
        <v>642</v>
      </c>
      <c r="D1011" s="33" t="s">
        <v>621</v>
      </c>
      <c r="E1011" s="33" t="s">
        <v>648</v>
      </c>
      <c r="F1011" s="34">
        <v>0</v>
      </c>
    </row>
    <row r="1012" spans="1:6" x14ac:dyDescent="0.25">
      <c r="A1012" s="34">
        <v>35</v>
      </c>
      <c r="B1012" s="33" t="s">
        <v>619</v>
      </c>
      <c r="C1012" s="33" t="s">
        <v>642</v>
      </c>
      <c r="D1012" s="33" t="s">
        <v>621</v>
      </c>
      <c r="E1012" s="33" t="s">
        <v>649</v>
      </c>
      <c r="F1012" s="34">
        <v>50</v>
      </c>
    </row>
    <row r="1013" spans="1:6" x14ac:dyDescent="0.25">
      <c r="A1013" s="34">
        <v>35</v>
      </c>
      <c r="B1013" s="33" t="s">
        <v>619</v>
      </c>
      <c r="C1013" s="33" t="s">
        <v>642</v>
      </c>
      <c r="D1013" s="33" t="s">
        <v>630</v>
      </c>
      <c r="E1013" s="33" t="s">
        <v>650</v>
      </c>
      <c r="F1013" s="34">
        <v>88</v>
      </c>
    </row>
    <row r="1014" spans="1:6" x14ac:dyDescent="0.25">
      <c r="A1014" s="34">
        <v>35</v>
      </c>
      <c r="B1014" s="33" t="s">
        <v>619</v>
      </c>
      <c r="C1014" s="33" t="s">
        <v>642</v>
      </c>
      <c r="D1014" s="33" t="s">
        <v>630</v>
      </c>
      <c r="E1014" s="33" t="s">
        <v>651</v>
      </c>
      <c r="F1014" s="34">
        <v>95</v>
      </c>
    </row>
    <row r="1015" spans="1:6" x14ac:dyDescent="0.25">
      <c r="A1015" s="34">
        <v>35</v>
      </c>
      <c r="B1015" s="33" t="s">
        <v>619</v>
      </c>
      <c r="C1015" s="33" t="s">
        <v>642</v>
      </c>
      <c r="D1015" s="33" t="s">
        <v>630</v>
      </c>
      <c r="E1015" s="33" t="s">
        <v>652</v>
      </c>
      <c r="F1015" s="34">
        <v>95</v>
      </c>
    </row>
    <row r="1016" spans="1:6" x14ac:dyDescent="0.25">
      <c r="A1016" s="34">
        <v>35</v>
      </c>
      <c r="B1016" s="33" t="s">
        <v>619</v>
      </c>
      <c r="C1016" s="33" t="s">
        <v>653</v>
      </c>
      <c r="D1016" s="33" t="s">
        <v>653</v>
      </c>
      <c r="E1016" s="33" t="s">
        <v>654</v>
      </c>
      <c r="F1016" s="34">
        <v>92</v>
      </c>
    </row>
    <row r="1017" spans="1:6" x14ac:dyDescent="0.25">
      <c r="A1017" s="34">
        <v>36</v>
      </c>
      <c r="B1017" s="33" t="s">
        <v>619</v>
      </c>
      <c r="C1017" s="33" t="s">
        <v>620</v>
      </c>
      <c r="D1017" s="33" t="s">
        <v>621</v>
      </c>
      <c r="E1017" s="33" t="s">
        <v>622</v>
      </c>
      <c r="F1017" s="34">
        <v>1</v>
      </c>
    </row>
    <row r="1018" spans="1:6" x14ac:dyDescent="0.25">
      <c r="A1018" s="34">
        <v>36</v>
      </c>
      <c r="B1018" s="33" t="s">
        <v>619</v>
      </c>
      <c r="C1018" s="33" t="s">
        <v>620</v>
      </c>
      <c r="D1018" s="33" t="s">
        <v>621</v>
      </c>
      <c r="E1018" s="33" t="s">
        <v>623</v>
      </c>
      <c r="F1018" s="34">
        <v>1</v>
      </c>
    </row>
    <row r="1019" spans="1:6" x14ac:dyDescent="0.25">
      <c r="A1019" s="34">
        <v>36</v>
      </c>
      <c r="B1019" s="33" t="s">
        <v>619</v>
      </c>
      <c r="C1019" s="33" t="s">
        <v>620</v>
      </c>
      <c r="D1019" s="33" t="s">
        <v>621</v>
      </c>
      <c r="E1019" s="33" t="s">
        <v>624</v>
      </c>
      <c r="F1019" s="34">
        <v>0</v>
      </c>
    </row>
    <row r="1020" spans="1:6" x14ac:dyDescent="0.25">
      <c r="A1020" s="34">
        <v>36</v>
      </c>
      <c r="B1020" s="33" t="s">
        <v>619</v>
      </c>
      <c r="C1020" s="33" t="s">
        <v>620</v>
      </c>
      <c r="D1020" s="33" t="s">
        <v>621</v>
      </c>
      <c r="E1020" s="33" t="s">
        <v>625</v>
      </c>
      <c r="F1020" s="34">
        <v>0</v>
      </c>
    </row>
    <row r="1021" spans="1:6" x14ac:dyDescent="0.25">
      <c r="A1021" s="34">
        <v>36</v>
      </c>
      <c r="B1021" s="33" t="s">
        <v>619</v>
      </c>
      <c r="C1021" s="33" t="s">
        <v>620</v>
      </c>
      <c r="D1021" s="33" t="s">
        <v>621</v>
      </c>
      <c r="E1021" s="33" t="s">
        <v>626</v>
      </c>
      <c r="F1021" s="34">
        <v>0</v>
      </c>
    </row>
    <row r="1022" spans="1:6" x14ac:dyDescent="0.25">
      <c r="A1022" s="34">
        <v>36</v>
      </c>
      <c r="B1022" s="33" t="s">
        <v>619</v>
      </c>
      <c r="C1022" s="33" t="s">
        <v>620</v>
      </c>
      <c r="D1022" s="33" t="s">
        <v>621</v>
      </c>
      <c r="E1022" s="33" t="s">
        <v>627</v>
      </c>
      <c r="F1022" s="34">
        <v>0</v>
      </c>
    </row>
    <row r="1023" spans="1:6" x14ac:dyDescent="0.25">
      <c r="A1023" s="34">
        <v>36</v>
      </c>
      <c r="B1023" s="33" t="s">
        <v>619</v>
      </c>
      <c r="C1023" s="33" t="s">
        <v>620</v>
      </c>
      <c r="D1023" s="33" t="s">
        <v>621</v>
      </c>
      <c r="E1023" s="33" t="s">
        <v>628</v>
      </c>
      <c r="F1023" s="34">
        <v>5</v>
      </c>
    </row>
    <row r="1024" spans="1:6" x14ac:dyDescent="0.25">
      <c r="A1024" s="34">
        <v>36</v>
      </c>
      <c r="B1024" s="33" t="s">
        <v>619</v>
      </c>
      <c r="C1024" s="33" t="s">
        <v>620</v>
      </c>
      <c r="D1024" s="33" t="s">
        <v>621</v>
      </c>
      <c r="E1024" s="33" t="s">
        <v>629</v>
      </c>
      <c r="F1024" s="34">
        <v>39</v>
      </c>
    </row>
    <row r="1025" spans="1:6" x14ac:dyDescent="0.25">
      <c r="A1025" s="34">
        <v>36</v>
      </c>
      <c r="B1025" s="33" t="s">
        <v>619</v>
      </c>
      <c r="C1025" s="33" t="s">
        <v>620</v>
      </c>
      <c r="D1025" s="33" t="s">
        <v>630</v>
      </c>
      <c r="E1025" s="33" t="s">
        <v>631</v>
      </c>
      <c r="F1025" s="34">
        <v>72</v>
      </c>
    </row>
    <row r="1026" spans="1:6" x14ac:dyDescent="0.25">
      <c r="A1026" s="34">
        <v>36</v>
      </c>
      <c r="B1026" s="33" t="s">
        <v>619</v>
      </c>
      <c r="C1026" s="33" t="s">
        <v>620</v>
      </c>
      <c r="D1026" s="33" t="s">
        <v>630</v>
      </c>
      <c r="E1026" s="33" t="s">
        <v>632</v>
      </c>
      <c r="F1026" s="33" t="s">
        <v>462</v>
      </c>
    </row>
    <row r="1027" spans="1:6" x14ac:dyDescent="0.25">
      <c r="A1027" s="34">
        <v>36</v>
      </c>
      <c r="B1027" s="33" t="s">
        <v>619</v>
      </c>
      <c r="C1027" s="33" t="s">
        <v>620</v>
      </c>
      <c r="D1027" s="33" t="s">
        <v>630</v>
      </c>
      <c r="E1027" s="33" t="s">
        <v>633</v>
      </c>
      <c r="F1027" s="34">
        <v>72</v>
      </c>
    </row>
    <row r="1028" spans="1:6" x14ac:dyDescent="0.25">
      <c r="A1028" s="34">
        <v>36</v>
      </c>
      <c r="B1028" s="33" t="s">
        <v>619</v>
      </c>
      <c r="C1028" s="33" t="s">
        <v>634</v>
      </c>
      <c r="D1028" s="33" t="s">
        <v>621</v>
      </c>
      <c r="E1028" s="33" t="s">
        <v>635</v>
      </c>
      <c r="F1028" s="34">
        <v>1</v>
      </c>
    </row>
    <row r="1029" spans="1:6" x14ac:dyDescent="0.25">
      <c r="A1029" s="34">
        <v>36</v>
      </c>
      <c r="B1029" s="33" t="s">
        <v>619</v>
      </c>
      <c r="C1029" s="33" t="s">
        <v>634</v>
      </c>
      <c r="D1029" s="33" t="s">
        <v>621</v>
      </c>
      <c r="E1029" s="33" t="s">
        <v>636</v>
      </c>
      <c r="F1029" s="34">
        <v>0</v>
      </c>
    </row>
    <row r="1030" spans="1:6" x14ac:dyDescent="0.25">
      <c r="A1030" s="34">
        <v>36</v>
      </c>
      <c r="B1030" s="33" t="s">
        <v>619</v>
      </c>
      <c r="C1030" s="33" t="s">
        <v>634</v>
      </c>
      <c r="D1030" s="33" t="s">
        <v>621</v>
      </c>
      <c r="E1030" s="33" t="s">
        <v>637</v>
      </c>
      <c r="F1030" s="34">
        <v>0</v>
      </c>
    </row>
    <row r="1031" spans="1:6" x14ac:dyDescent="0.25">
      <c r="A1031" s="34">
        <v>36</v>
      </c>
      <c r="B1031" s="33" t="s">
        <v>619</v>
      </c>
      <c r="C1031" s="33" t="s">
        <v>634</v>
      </c>
      <c r="D1031" s="33" t="s">
        <v>621</v>
      </c>
      <c r="E1031" s="33" t="s">
        <v>638</v>
      </c>
      <c r="F1031" s="34">
        <v>42</v>
      </c>
    </row>
    <row r="1032" spans="1:6" x14ac:dyDescent="0.25">
      <c r="A1032" s="34">
        <v>36</v>
      </c>
      <c r="B1032" s="33" t="s">
        <v>619</v>
      </c>
      <c r="C1032" s="33" t="s">
        <v>634</v>
      </c>
      <c r="D1032" s="33" t="s">
        <v>630</v>
      </c>
      <c r="E1032" s="33" t="s">
        <v>639</v>
      </c>
      <c r="F1032" s="34">
        <v>68</v>
      </c>
    </row>
    <row r="1033" spans="1:6" x14ac:dyDescent="0.25">
      <c r="A1033" s="34">
        <v>36</v>
      </c>
      <c r="B1033" s="33" t="s">
        <v>619</v>
      </c>
      <c r="C1033" s="33" t="s">
        <v>634</v>
      </c>
      <c r="D1033" s="33" t="s">
        <v>630</v>
      </c>
      <c r="E1033" s="33" t="s">
        <v>640</v>
      </c>
      <c r="F1033" s="33" t="s">
        <v>462</v>
      </c>
    </row>
    <row r="1034" spans="1:6" x14ac:dyDescent="0.25">
      <c r="A1034" s="34">
        <v>36</v>
      </c>
      <c r="B1034" s="33" t="s">
        <v>619</v>
      </c>
      <c r="C1034" s="33" t="s">
        <v>634</v>
      </c>
      <c r="D1034" s="33" t="s">
        <v>630</v>
      </c>
      <c r="E1034" s="33" t="s">
        <v>641</v>
      </c>
      <c r="F1034" s="34">
        <v>68</v>
      </c>
    </row>
    <row r="1035" spans="1:6" x14ac:dyDescent="0.25">
      <c r="A1035" s="34">
        <v>36</v>
      </c>
      <c r="B1035" s="33" t="s">
        <v>619</v>
      </c>
      <c r="C1035" s="33" t="s">
        <v>642</v>
      </c>
      <c r="D1035" s="33" t="s">
        <v>621</v>
      </c>
      <c r="E1035" s="33" t="s">
        <v>643</v>
      </c>
      <c r="F1035" s="34">
        <v>5</v>
      </c>
    </row>
    <row r="1036" spans="1:6" x14ac:dyDescent="0.25">
      <c r="A1036" s="34">
        <v>36</v>
      </c>
      <c r="B1036" s="33" t="s">
        <v>619</v>
      </c>
      <c r="C1036" s="33" t="s">
        <v>642</v>
      </c>
      <c r="D1036" s="33" t="s">
        <v>621</v>
      </c>
      <c r="E1036" s="33" t="s">
        <v>644</v>
      </c>
      <c r="F1036" s="34">
        <v>5</v>
      </c>
    </row>
    <row r="1037" spans="1:6" x14ac:dyDescent="0.25">
      <c r="A1037" s="34">
        <v>36</v>
      </c>
      <c r="B1037" s="33" t="s">
        <v>619</v>
      </c>
      <c r="C1037" s="33" t="s">
        <v>642</v>
      </c>
      <c r="D1037" s="33" t="s">
        <v>621</v>
      </c>
      <c r="E1037" s="33" t="s">
        <v>645</v>
      </c>
      <c r="F1037" s="34">
        <v>5</v>
      </c>
    </row>
    <row r="1038" spans="1:6" x14ac:dyDescent="0.25">
      <c r="A1038" s="34">
        <v>36</v>
      </c>
      <c r="B1038" s="33" t="s">
        <v>619</v>
      </c>
      <c r="C1038" s="33" t="s">
        <v>642</v>
      </c>
      <c r="D1038" s="33" t="s">
        <v>621</v>
      </c>
      <c r="E1038" s="33" t="s">
        <v>646</v>
      </c>
      <c r="F1038" s="34">
        <v>5</v>
      </c>
    </row>
    <row r="1039" spans="1:6" x14ac:dyDescent="0.25">
      <c r="A1039" s="34">
        <v>36</v>
      </c>
      <c r="B1039" s="33" t="s">
        <v>619</v>
      </c>
      <c r="C1039" s="33" t="s">
        <v>642</v>
      </c>
      <c r="D1039" s="33" t="s">
        <v>621</v>
      </c>
      <c r="E1039" s="33" t="s">
        <v>647</v>
      </c>
      <c r="F1039" s="34">
        <v>0</v>
      </c>
    </row>
    <row r="1040" spans="1:6" x14ac:dyDescent="0.25">
      <c r="A1040" s="34">
        <v>36</v>
      </c>
      <c r="B1040" s="33" t="s">
        <v>619</v>
      </c>
      <c r="C1040" s="33" t="s">
        <v>642</v>
      </c>
      <c r="D1040" s="33" t="s">
        <v>621</v>
      </c>
      <c r="E1040" s="33" t="s">
        <v>648</v>
      </c>
      <c r="F1040" s="34">
        <v>0</v>
      </c>
    </row>
    <row r="1041" spans="1:6" x14ac:dyDescent="0.25">
      <c r="A1041" s="34">
        <v>36</v>
      </c>
      <c r="B1041" s="33" t="s">
        <v>619</v>
      </c>
      <c r="C1041" s="33" t="s">
        <v>642</v>
      </c>
      <c r="D1041" s="33" t="s">
        <v>621</v>
      </c>
      <c r="E1041" s="33" t="s">
        <v>649</v>
      </c>
      <c r="F1041" s="34">
        <v>50</v>
      </c>
    </row>
    <row r="1042" spans="1:6" x14ac:dyDescent="0.25">
      <c r="A1042" s="34">
        <v>36</v>
      </c>
      <c r="B1042" s="33" t="s">
        <v>619</v>
      </c>
      <c r="C1042" s="33" t="s">
        <v>642</v>
      </c>
      <c r="D1042" s="33" t="s">
        <v>630</v>
      </c>
      <c r="E1042" s="33" t="s">
        <v>650</v>
      </c>
      <c r="F1042" s="34">
        <v>72</v>
      </c>
    </row>
    <row r="1043" spans="1:6" x14ac:dyDescent="0.25">
      <c r="A1043" s="34">
        <v>36</v>
      </c>
      <c r="B1043" s="33" t="s">
        <v>619</v>
      </c>
      <c r="C1043" s="33" t="s">
        <v>642</v>
      </c>
      <c r="D1043" s="33" t="s">
        <v>630</v>
      </c>
      <c r="E1043" s="33" t="s">
        <v>651</v>
      </c>
      <c r="F1043" s="33" t="s">
        <v>462</v>
      </c>
    </row>
    <row r="1044" spans="1:6" x14ac:dyDescent="0.25">
      <c r="A1044" s="34">
        <v>36</v>
      </c>
      <c r="B1044" s="33" t="s">
        <v>619</v>
      </c>
      <c r="C1044" s="33" t="s">
        <v>642</v>
      </c>
      <c r="D1044" s="33" t="s">
        <v>630</v>
      </c>
      <c r="E1044" s="33" t="s">
        <v>652</v>
      </c>
      <c r="F1044" s="34">
        <v>72</v>
      </c>
    </row>
    <row r="1045" spans="1:6" x14ac:dyDescent="0.25">
      <c r="A1045" s="34">
        <v>36</v>
      </c>
      <c r="B1045" s="33" t="s">
        <v>619</v>
      </c>
      <c r="C1045" s="33" t="s">
        <v>653</v>
      </c>
      <c r="D1045" s="33" t="s">
        <v>653</v>
      </c>
      <c r="E1045" s="33" t="s">
        <v>654</v>
      </c>
      <c r="F1045" s="34">
        <v>62</v>
      </c>
    </row>
    <row r="1046" spans="1:6" x14ac:dyDescent="0.25">
      <c r="A1046" s="34">
        <v>37</v>
      </c>
      <c r="B1046" s="33" t="s">
        <v>619</v>
      </c>
      <c r="C1046" s="33" t="s">
        <v>620</v>
      </c>
      <c r="D1046" s="33" t="s">
        <v>621</v>
      </c>
      <c r="E1046" s="33" t="s">
        <v>622</v>
      </c>
      <c r="F1046" s="34">
        <v>1</v>
      </c>
    </row>
    <row r="1047" spans="1:6" x14ac:dyDescent="0.25">
      <c r="A1047" s="34">
        <v>37</v>
      </c>
      <c r="B1047" s="33" t="s">
        <v>619</v>
      </c>
      <c r="C1047" s="33" t="s">
        <v>620</v>
      </c>
      <c r="D1047" s="33" t="s">
        <v>621</v>
      </c>
      <c r="E1047" s="33" t="s">
        <v>623</v>
      </c>
      <c r="F1047" s="34">
        <v>1</v>
      </c>
    </row>
    <row r="1048" spans="1:6" x14ac:dyDescent="0.25">
      <c r="A1048" s="34">
        <v>37</v>
      </c>
      <c r="B1048" s="33" t="s">
        <v>619</v>
      </c>
      <c r="C1048" s="33" t="s">
        <v>620</v>
      </c>
      <c r="D1048" s="33" t="s">
        <v>621</v>
      </c>
      <c r="E1048" s="33" t="s">
        <v>624</v>
      </c>
      <c r="F1048" s="34">
        <v>0</v>
      </c>
    </row>
    <row r="1049" spans="1:6" x14ac:dyDescent="0.25">
      <c r="A1049" s="34">
        <v>37</v>
      </c>
      <c r="B1049" s="33" t="s">
        <v>619</v>
      </c>
      <c r="C1049" s="33" t="s">
        <v>620</v>
      </c>
      <c r="D1049" s="33" t="s">
        <v>621</v>
      </c>
      <c r="E1049" s="33" t="s">
        <v>625</v>
      </c>
      <c r="F1049" s="34">
        <v>0</v>
      </c>
    </row>
    <row r="1050" spans="1:6" x14ac:dyDescent="0.25">
      <c r="A1050" s="34">
        <v>37</v>
      </c>
      <c r="B1050" s="33" t="s">
        <v>619</v>
      </c>
      <c r="C1050" s="33" t="s">
        <v>620</v>
      </c>
      <c r="D1050" s="33" t="s">
        <v>621</v>
      </c>
      <c r="E1050" s="33" t="s">
        <v>626</v>
      </c>
      <c r="F1050" s="34">
        <v>0</v>
      </c>
    </row>
    <row r="1051" spans="1:6" x14ac:dyDescent="0.25">
      <c r="A1051" s="34">
        <v>37</v>
      </c>
      <c r="B1051" s="33" t="s">
        <v>619</v>
      </c>
      <c r="C1051" s="33" t="s">
        <v>620</v>
      </c>
      <c r="D1051" s="33" t="s">
        <v>621</v>
      </c>
      <c r="E1051" s="33" t="s">
        <v>627</v>
      </c>
      <c r="F1051" s="34">
        <v>1</v>
      </c>
    </row>
    <row r="1052" spans="1:6" x14ac:dyDescent="0.25">
      <c r="A1052" s="34">
        <v>37</v>
      </c>
      <c r="B1052" s="33" t="s">
        <v>619</v>
      </c>
      <c r="C1052" s="33" t="s">
        <v>620</v>
      </c>
      <c r="D1052" s="33" t="s">
        <v>621</v>
      </c>
      <c r="E1052" s="33" t="s">
        <v>628</v>
      </c>
      <c r="F1052" s="34">
        <v>5</v>
      </c>
    </row>
    <row r="1053" spans="1:6" x14ac:dyDescent="0.25">
      <c r="A1053" s="34">
        <v>37</v>
      </c>
      <c r="B1053" s="33" t="s">
        <v>619</v>
      </c>
      <c r="C1053" s="33" t="s">
        <v>620</v>
      </c>
      <c r="D1053" s="33" t="s">
        <v>621</v>
      </c>
      <c r="E1053" s="33" t="s">
        <v>629</v>
      </c>
      <c r="F1053" s="34">
        <v>50</v>
      </c>
    </row>
    <row r="1054" spans="1:6" x14ac:dyDescent="0.25">
      <c r="A1054" s="34">
        <v>37</v>
      </c>
      <c r="B1054" s="33" t="s">
        <v>619</v>
      </c>
      <c r="C1054" s="33" t="s">
        <v>620</v>
      </c>
      <c r="D1054" s="33" t="s">
        <v>630</v>
      </c>
      <c r="E1054" s="33" t="s">
        <v>631</v>
      </c>
      <c r="F1054" s="34">
        <v>78</v>
      </c>
    </row>
    <row r="1055" spans="1:6" x14ac:dyDescent="0.25">
      <c r="A1055" s="34">
        <v>37</v>
      </c>
      <c r="B1055" s="33" t="s">
        <v>619</v>
      </c>
      <c r="C1055" s="33" t="s">
        <v>620</v>
      </c>
      <c r="D1055" s="33" t="s">
        <v>630</v>
      </c>
      <c r="E1055" s="33" t="s">
        <v>632</v>
      </c>
      <c r="F1055" s="33" t="s">
        <v>462</v>
      </c>
    </row>
    <row r="1056" spans="1:6" x14ac:dyDescent="0.25">
      <c r="A1056" s="34">
        <v>37</v>
      </c>
      <c r="B1056" s="33" t="s">
        <v>619</v>
      </c>
      <c r="C1056" s="33" t="s">
        <v>620</v>
      </c>
      <c r="D1056" s="33" t="s">
        <v>630</v>
      </c>
      <c r="E1056" s="33" t="s">
        <v>633</v>
      </c>
      <c r="F1056" s="34">
        <v>78</v>
      </c>
    </row>
    <row r="1057" spans="1:6" x14ac:dyDescent="0.25">
      <c r="A1057" s="34">
        <v>37</v>
      </c>
      <c r="B1057" s="33" t="s">
        <v>619</v>
      </c>
      <c r="C1057" s="33" t="s">
        <v>634</v>
      </c>
      <c r="D1057" s="33" t="s">
        <v>621</v>
      </c>
      <c r="E1057" s="33" t="s">
        <v>635</v>
      </c>
      <c r="F1057" s="34">
        <v>0</v>
      </c>
    </row>
    <row r="1058" spans="1:6" x14ac:dyDescent="0.25">
      <c r="A1058" s="34">
        <v>37</v>
      </c>
      <c r="B1058" s="33" t="s">
        <v>619</v>
      </c>
      <c r="C1058" s="33" t="s">
        <v>634</v>
      </c>
      <c r="D1058" s="33" t="s">
        <v>621</v>
      </c>
      <c r="E1058" s="33" t="s">
        <v>636</v>
      </c>
      <c r="F1058" s="34">
        <v>0</v>
      </c>
    </row>
    <row r="1059" spans="1:6" x14ac:dyDescent="0.25">
      <c r="A1059" s="34">
        <v>37</v>
      </c>
      <c r="B1059" s="33" t="s">
        <v>619</v>
      </c>
      <c r="C1059" s="33" t="s">
        <v>634</v>
      </c>
      <c r="D1059" s="33" t="s">
        <v>621</v>
      </c>
      <c r="E1059" s="33" t="s">
        <v>637</v>
      </c>
      <c r="F1059" s="34">
        <v>5</v>
      </c>
    </row>
    <row r="1060" spans="1:6" x14ac:dyDescent="0.25">
      <c r="A1060" s="34">
        <v>37</v>
      </c>
      <c r="B1060" s="33" t="s">
        <v>619</v>
      </c>
      <c r="C1060" s="33" t="s">
        <v>634</v>
      </c>
      <c r="D1060" s="33" t="s">
        <v>621</v>
      </c>
      <c r="E1060" s="33" t="s">
        <v>638</v>
      </c>
      <c r="F1060" s="34">
        <v>42</v>
      </c>
    </row>
    <row r="1061" spans="1:6" x14ac:dyDescent="0.25">
      <c r="A1061" s="34">
        <v>37</v>
      </c>
      <c r="B1061" s="33" t="s">
        <v>619</v>
      </c>
      <c r="C1061" s="33" t="s">
        <v>634</v>
      </c>
      <c r="D1061" s="33" t="s">
        <v>630</v>
      </c>
      <c r="E1061" s="33" t="s">
        <v>639</v>
      </c>
      <c r="F1061" s="34">
        <v>85</v>
      </c>
    </row>
    <row r="1062" spans="1:6" x14ac:dyDescent="0.25">
      <c r="A1062" s="34">
        <v>37</v>
      </c>
      <c r="B1062" s="33" t="s">
        <v>619</v>
      </c>
      <c r="C1062" s="33" t="s">
        <v>634</v>
      </c>
      <c r="D1062" s="33" t="s">
        <v>630</v>
      </c>
      <c r="E1062" s="33" t="s">
        <v>640</v>
      </c>
      <c r="F1062" s="33" t="s">
        <v>462</v>
      </c>
    </row>
    <row r="1063" spans="1:6" x14ac:dyDescent="0.25">
      <c r="A1063" s="34">
        <v>37</v>
      </c>
      <c r="B1063" s="33" t="s">
        <v>619</v>
      </c>
      <c r="C1063" s="33" t="s">
        <v>634</v>
      </c>
      <c r="D1063" s="33" t="s">
        <v>630</v>
      </c>
      <c r="E1063" s="33" t="s">
        <v>641</v>
      </c>
      <c r="F1063" s="34">
        <v>85</v>
      </c>
    </row>
    <row r="1064" spans="1:6" x14ac:dyDescent="0.25">
      <c r="A1064" s="34">
        <v>37</v>
      </c>
      <c r="B1064" s="33" t="s">
        <v>619</v>
      </c>
      <c r="C1064" s="33" t="s">
        <v>642</v>
      </c>
      <c r="D1064" s="33" t="s">
        <v>621</v>
      </c>
      <c r="E1064" s="33" t="s">
        <v>643</v>
      </c>
      <c r="F1064" s="34">
        <v>0</v>
      </c>
    </row>
    <row r="1065" spans="1:6" x14ac:dyDescent="0.25">
      <c r="A1065" s="34">
        <v>37</v>
      </c>
      <c r="B1065" s="33" t="s">
        <v>619</v>
      </c>
      <c r="C1065" s="33" t="s">
        <v>642</v>
      </c>
      <c r="D1065" s="33" t="s">
        <v>621</v>
      </c>
      <c r="E1065" s="33" t="s">
        <v>644</v>
      </c>
      <c r="F1065" s="34">
        <v>0</v>
      </c>
    </row>
    <row r="1066" spans="1:6" x14ac:dyDescent="0.25">
      <c r="A1066" s="34">
        <v>37</v>
      </c>
      <c r="B1066" s="33" t="s">
        <v>619</v>
      </c>
      <c r="C1066" s="33" t="s">
        <v>642</v>
      </c>
      <c r="D1066" s="33" t="s">
        <v>621</v>
      </c>
      <c r="E1066" s="33" t="s">
        <v>645</v>
      </c>
      <c r="F1066" s="34">
        <v>0</v>
      </c>
    </row>
    <row r="1067" spans="1:6" x14ac:dyDescent="0.25">
      <c r="A1067" s="34">
        <v>37</v>
      </c>
      <c r="B1067" s="33" t="s">
        <v>619</v>
      </c>
      <c r="C1067" s="33" t="s">
        <v>642</v>
      </c>
      <c r="D1067" s="33" t="s">
        <v>621</v>
      </c>
      <c r="E1067" s="33" t="s">
        <v>646</v>
      </c>
      <c r="F1067" s="34">
        <v>0</v>
      </c>
    </row>
    <row r="1068" spans="1:6" x14ac:dyDescent="0.25">
      <c r="A1068" s="34">
        <v>37</v>
      </c>
      <c r="B1068" s="33" t="s">
        <v>619</v>
      </c>
      <c r="C1068" s="33" t="s">
        <v>642</v>
      </c>
      <c r="D1068" s="33" t="s">
        <v>621</v>
      </c>
      <c r="E1068" s="33" t="s">
        <v>647</v>
      </c>
      <c r="F1068" s="34">
        <v>0</v>
      </c>
    </row>
    <row r="1069" spans="1:6" x14ac:dyDescent="0.25">
      <c r="A1069" s="34">
        <v>37</v>
      </c>
      <c r="B1069" s="33" t="s">
        <v>619</v>
      </c>
      <c r="C1069" s="33" t="s">
        <v>642</v>
      </c>
      <c r="D1069" s="33" t="s">
        <v>621</v>
      </c>
      <c r="E1069" s="33" t="s">
        <v>648</v>
      </c>
      <c r="F1069" s="34">
        <v>0</v>
      </c>
    </row>
    <row r="1070" spans="1:6" x14ac:dyDescent="0.25">
      <c r="A1070" s="34">
        <v>37</v>
      </c>
      <c r="B1070" s="33" t="s">
        <v>619</v>
      </c>
      <c r="C1070" s="33" t="s">
        <v>642</v>
      </c>
      <c r="D1070" s="33" t="s">
        <v>621</v>
      </c>
      <c r="E1070" s="33" t="s">
        <v>649</v>
      </c>
      <c r="F1070" s="34">
        <v>48</v>
      </c>
    </row>
    <row r="1071" spans="1:6" x14ac:dyDescent="0.25">
      <c r="A1071" s="34">
        <v>37</v>
      </c>
      <c r="B1071" s="33" t="s">
        <v>619</v>
      </c>
      <c r="C1071" s="33" t="s">
        <v>642</v>
      </c>
      <c r="D1071" s="33" t="s">
        <v>630</v>
      </c>
      <c r="E1071" s="33" t="s">
        <v>650</v>
      </c>
      <c r="F1071" s="34">
        <v>88</v>
      </c>
    </row>
    <row r="1072" spans="1:6" x14ac:dyDescent="0.25">
      <c r="A1072" s="34">
        <v>37</v>
      </c>
      <c r="B1072" s="33" t="s">
        <v>619</v>
      </c>
      <c r="C1072" s="33" t="s">
        <v>642</v>
      </c>
      <c r="D1072" s="33" t="s">
        <v>630</v>
      </c>
      <c r="E1072" s="33" t="s">
        <v>651</v>
      </c>
      <c r="F1072" s="33" t="s">
        <v>462</v>
      </c>
    </row>
    <row r="1073" spans="1:6" x14ac:dyDescent="0.25">
      <c r="A1073" s="34">
        <v>37</v>
      </c>
      <c r="B1073" s="33" t="s">
        <v>619</v>
      </c>
      <c r="C1073" s="33" t="s">
        <v>642</v>
      </c>
      <c r="D1073" s="33" t="s">
        <v>630</v>
      </c>
      <c r="E1073" s="33" t="s">
        <v>652</v>
      </c>
      <c r="F1073" s="34">
        <v>88</v>
      </c>
    </row>
    <row r="1074" spans="1:6" x14ac:dyDescent="0.25">
      <c r="A1074" s="34">
        <v>37</v>
      </c>
      <c r="B1074" s="33" t="s">
        <v>619</v>
      </c>
      <c r="C1074" s="33" t="s">
        <v>653</v>
      </c>
      <c r="D1074" s="33" t="s">
        <v>653</v>
      </c>
      <c r="E1074" s="33" t="s">
        <v>654</v>
      </c>
      <c r="F1074" s="34">
        <v>72</v>
      </c>
    </row>
    <row r="1075" spans="1:6" x14ac:dyDescent="0.25">
      <c r="A1075" s="34">
        <v>38</v>
      </c>
      <c r="B1075" s="33" t="s">
        <v>619</v>
      </c>
      <c r="C1075" s="33" t="s">
        <v>620</v>
      </c>
      <c r="D1075" s="33" t="s">
        <v>621</v>
      </c>
      <c r="E1075" s="33" t="s">
        <v>622</v>
      </c>
      <c r="F1075" s="34">
        <v>0</v>
      </c>
    </row>
    <row r="1076" spans="1:6" x14ac:dyDescent="0.25">
      <c r="A1076" s="34">
        <v>38</v>
      </c>
      <c r="B1076" s="33" t="s">
        <v>619</v>
      </c>
      <c r="C1076" s="33" t="s">
        <v>620</v>
      </c>
      <c r="D1076" s="33" t="s">
        <v>621</v>
      </c>
      <c r="E1076" s="33" t="s">
        <v>623</v>
      </c>
      <c r="F1076" s="34">
        <v>0</v>
      </c>
    </row>
    <row r="1077" spans="1:6" x14ac:dyDescent="0.25">
      <c r="A1077" s="34">
        <v>38</v>
      </c>
      <c r="B1077" s="33" t="s">
        <v>619</v>
      </c>
      <c r="C1077" s="33" t="s">
        <v>620</v>
      </c>
      <c r="D1077" s="33" t="s">
        <v>621</v>
      </c>
      <c r="E1077" s="33" t="s">
        <v>624</v>
      </c>
      <c r="F1077" s="34">
        <v>0</v>
      </c>
    </row>
    <row r="1078" spans="1:6" x14ac:dyDescent="0.25">
      <c r="A1078" s="34">
        <v>38</v>
      </c>
      <c r="B1078" s="33" t="s">
        <v>619</v>
      </c>
      <c r="C1078" s="33" t="s">
        <v>620</v>
      </c>
      <c r="D1078" s="33" t="s">
        <v>621</v>
      </c>
      <c r="E1078" s="33" t="s">
        <v>625</v>
      </c>
      <c r="F1078" s="34">
        <v>0</v>
      </c>
    </row>
    <row r="1079" spans="1:6" x14ac:dyDescent="0.25">
      <c r="A1079" s="34">
        <v>38</v>
      </c>
      <c r="B1079" s="33" t="s">
        <v>619</v>
      </c>
      <c r="C1079" s="33" t="s">
        <v>620</v>
      </c>
      <c r="D1079" s="33" t="s">
        <v>621</v>
      </c>
      <c r="E1079" s="33" t="s">
        <v>626</v>
      </c>
      <c r="F1079" s="34">
        <v>0</v>
      </c>
    </row>
    <row r="1080" spans="1:6" x14ac:dyDescent="0.25">
      <c r="A1080" s="34">
        <v>38</v>
      </c>
      <c r="B1080" s="33" t="s">
        <v>619</v>
      </c>
      <c r="C1080" s="33" t="s">
        <v>620</v>
      </c>
      <c r="D1080" s="33" t="s">
        <v>621</v>
      </c>
      <c r="E1080" s="33" t="s">
        <v>627</v>
      </c>
      <c r="F1080" s="34">
        <v>0</v>
      </c>
    </row>
    <row r="1081" spans="1:6" x14ac:dyDescent="0.25">
      <c r="A1081" s="34">
        <v>38</v>
      </c>
      <c r="B1081" s="33" t="s">
        <v>619</v>
      </c>
      <c r="C1081" s="33" t="s">
        <v>620</v>
      </c>
      <c r="D1081" s="33" t="s">
        <v>621</v>
      </c>
      <c r="E1081" s="33" t="s">
        <v>628</v>
      </c>
      <c r="F1081" s="34">
        <v>5</v>
      </c>
    </row>
    <row r="1082" spans="1:6" x14ac:dyDescent="0.25">
      <c r="A1082" s="34">
        <v>38</v>
      </c>
      <c r="B1082" s="33" t="s">
        <v>619</v>
      </c>
      <c r="C1082" s="33" t="s">
        <v>620</v>
      </c>
      <c r="D1082" s="33" t="s">
        <v>621</v>
      </c>
      <c r="E1082" s="33" t="s">
        <v>629</v>
      </c>
      <c r="F1082" s="34">
        <v>50</v>
      </c>
    </row>
    <row r="1083" spans="1:6" x14ac:dyDescent="0.25">
      <c r="A1083" s="34">
        <v>38</v>
      </c>
      <c r="B1083" s="33" t="s">
        <v>619</v>
      </c>
      <c r="C1083" s="33" t="s">
        <v>620</v>
      </c>
      <c r="D1083" s="33" t="s">
        <v>630</v>
      </c>
      <c r="E1083" s="33" t="s">
        <v>631</v>
      </c>
      <c r="F1083" s="34">
        <v>82</v>
      </c>
    </row>
    <row r="1084" spans="1:6" x14ac:dyDescent="0.25">
      <c r="A1084" s="34">
        <v>38</v>
      </c>
      <c r="B1084" s="33" t="s">
        <v>619</v>
      </c>
      <c r="C1084" s="33" t="s">
        <v>620</v>
      </c>
      <c r="D1084" s="33" t="s">
        <v>630</v>
      </c>
      <c r="E1084" s="33" t="s">
        <v>632</v>
      </c>
      <c r="F1084" s="33" t="s">
        <v>462</v>
      </c>
    </row>
    <row r="1085" spans="1:6" x14ac:dyDescent="0.25">
      <c r="A1085" s="34">
        <v>38</v>
      </c>
      <c r="B1085" s="33" t="s">
        <v>619</v>
      </c>
      <c r="C1085" s="33" t="s">
        <v>620</v>
      </c>
      <c r="D1085" s="33" t="s">
        <v>630</v>
      </c>
      <c r="E1085" s="33" t="s">
        <v>633</v>
      </c>
      <c r="F1085" s="34">
        <v>82</v>
      </c>
    </row>
    <row r="1086" spans="1:6" x14ac:dyDescent="0.25">
      <c r="A1086" s="34">
        <v>38</v>
      </c>
      <c r="B1086" s="33" t="s">
        <v>619</v>
      </c>
      <c r="C1086" s="33" t="s">
        <v>634</v>
      </c>
      <c r="D1086" s="33" t="s">
        <v>621</v>
      </c>
      <c r="E1086" s="33" t="s">
        <v>635</v>
      </c>
      <c r="F1086" s="34">
        <v>0</v>
      </c>
    </row>
    <row r="1087" spans="1:6" x14ac:dyDescent="0.25">
      <c r="A1087" s="34">
        <v>38</v>
      </c>
      <c r="B1087" s="33" t="s">
        <v>619</v>
      </c>
      <c r="C1087" s="33" t="s">
        <v>634</v>
      </c>
      <c r="D1087" s="33" t="s">
        <v>621</v>
      </c>
      <c r="E1087" s="33" t="s">
        <v>636</v>
      </c>
      <c r="F1087" s="34">
        <v>0</v>
      </c>
    </row>
    <row r="1088" spans="1:6" x14ac:dyDescent="0.25">
      <c r="A1088" s="34">
        <v>38</v>
      </c>
      <c r="B1088" s="33" t="s">
        <v>619</v>
      </c>
      <c r="C1088" s="33" t="s">
        <v>634</v>
      </c>
      <c r="D1088" s="33" t="s">
        <v>621</v>
      </c>
      <c r="E1088" s="33" t="s">
        <v>637</v>
      </c>
      <c r="F1088" s="34">
        <v>5</v>
      </c>
    </row>
    <row r="1089" spans="1:6" x14ac:dyDescent="0.25">
      <c r="A1089" s="34">
        <v>38</v>
      </c>
      <c r="B1089" s="33" t="s">
        <v>619</v>
      </c>
      <c r="C1089" s="33" t="s">
        <v>634</v>
      </c>
      <c r="D1089" s="33" t="s">
        <v>621</v>
      </c>
      <c r="E1089" s="33" t="s">
        <v>638</v>
      </c>
      <c r="F1089" s="34">
        <v>49</v>
      </c>
    </row>
    <row r="1090" spans="1:6" x14ac:dyDescent="0.25">
      <c r="A1090" s="34">
        <v>38</v>
      </c>
      <c r="B1090" s="33" t="s">
        <v>619</v>
      </c>
      <c r="C1090" s="33" t="s">
        <v>634</v>
      </c>
      <c r="D1090" s="33" t="s">
        <v>630</v>
      </c>
      <c r="E1090" s="33" t="s">
        <v>639</v>
      </c>
      <c r="F1090" s="34">
        <v>62</v>
      </c>
    </row>
    <row r="1091" spans="1:6" x14ac:dyDescent="0.25">
      <c r="A1091" s="34">
        <v>38</v>
      </c>
      <c r="B1091" s="33" t="s">
        <v>619</v>
      </c>
      <c r="C1091" s="33" t="s">
        <v>634</v>
      </c>
      <c r="D1091" s="33" t="s">
        <v>630</v>
      </c>
      <c r="E1091" s="33" t="s">
        <v>640</v>
      </c>
      <c r="F1091" s="33" t="s">
        <v>462</v>
      </c>
    </row>
    <row r="1092" spans="1:6" x14ac:dyDescent="0.25">
      <c r="A1092" s="34">
        <v>38</v>
      </c>
      <c r="B1092" s="33" t="s">
        <v>619</v>
      </c>
      <c r="C1092" s="33" t="s">
        <v>634</v>
      </c>
      <c r="D1092" s="33" t="s">
        <v>630</v>
      </c>
      <c r="E1092" s="33" t="s">
        <v>641</v>
      </c>
      <c r="F1092" s="34">
        <v>62</v>
      </c>
    </row>
    <row r="1093" spans="1:6" x14ac:dyDescent="0.25">
      <c r="A1093" s="34">
        <v>38</v>
      </c>
      <c r="B1093" s="33" t="s">
        <v>619</v>
      </c>
      <c r="C1093" s="33" t="s">
        <v>642</v>
      </c>
      <c r="D1093" s="33" t="s">
        <v>621</v>
      </c>
      <c r="E1093" s="33" t="s">
        <v>643</v>
      </c>
      <c r="F1093" s="34">
        <v>0</v>
      </c>
    </row>
    <row r="1094" spans="1:6" x14ac:dyDescent="0.25">
      <c r="A1094" s="34">
        <v>38</v>
      </c>
      <c r="B1094" s="33" t="s">
        <v>619</v>
      </c>
      <c r="C1094" s="33" t="s">
        <v>642</v>
      </c>
      <c r="D1094" s="33" t="s">
        <v>621</v>
      </c>
      <c r="E1094" s="33" t="s">
        <v>644</v>
      </c>
      <c r="F1094" s="34">
        <v>0</v>
      </c>
    </row>
    <row r="1095" spans="1:6" x14ac:dyDescent="0.25">
      <c r="A1095" s="34">
        <v>38</v>
      </c>
      <c r="B1095" s="33" t="s">
        <v>619</v>
      </c>
      <c r="C1095" s="33" t="s">
        <v>642</v>
      </c>
      <c r="D1095" s="33" t="s">
        <v>621</v>
      </c>
      <c r="E1095" s="33" t="s">
        <v>645</v>
      </c>
      <c r="F1095" s="34">
        <v>0</v>
      </c>
    </row>
    <row r="1096" spans="1:6" x14ac:dyDescent="0.25">
      <c r="A1096" s="34">
        <v>38</v>
      </c>
      <c r="B1096" s="33" t="s">
        <v>619</v>
      </c>
      <c r="C1096" s="33" t="s">
        <v>642</v>
      </c>
      <c r="D1096" s="33" t="s">
        <v>621</v>
      </c>
      <c r="E1096" s="33" t="s">
        <v>646</v>
      </c>
      <c r="F1096" s="34">
        <v>0</v>
      </c>
    </row>
    <row r="1097" spans="1:6" x14ac:dyDescent="0.25">
      <c r="A1097" s="34">
        <v>38</v>
      </c>
      <c r="B1097" s="33" t="s">
        <v>619</v>
      </c>
      <c r="C1097" s="33" t="s">
        <v>642</v>
      </c>
      <c r="D1097" s="33" t="s">
        <v>621</v>
      </c>
      <c r="E1097" s="33" t="s">
        <v>647</v>
      </c>
      <c r="F1097" s="34">
        <v>0</v>
      </c>
    </row>
    <row r="1098" spans="1:6" x14ac:dyDescent="0.25">
      <c r="A1098" s="34">
        <v>38</v>
      </c>
      <c r="B1098" s="33" t="s">
        <v>619</v>
      </c>
      <c r="C1098" s="33" t="s">
        <v>642</v>
      </c>
      <c r="D1098" s="33" t="s">
        <v>621</v>
      </c>
      <c r="E1098" s="33" t="s">
        <v>648</v>
      </c>
      <c r="F1098" s="34">
        <v>0</v>
      </c>
    </row>
    <row r="1099" spans="1:6" x14ac:dyDescent="0.25">
      <c r="A1099" s="34">
        <v>38</v>
      </c>
      <c r="B1099" s="33" t="s">
        <v>619</v>
      </c>
      <c r="C1099" s="33" t="s">
        <v>642</v>
      </c>
      <c r="D1099" s="33" t="s">
        <v>621</v>
      </c>
      <c r="E1099" s="33" t="s">
        <v>649</v>
      </c>
      <c r="F1099" s="34">
        <v>43</v>
      </c>
    </row>
    <row r="1100" spans="1:6" x14ac:dyDescent="0.25">
      <c r="A1100" s="34">
        <v>38</v>
      </c>
      <c r="B1100" s="33" t="s">
        <v>619</v>
      </c>
      <c r="C1100" s="33" t="s">
        <v>642</v>
      </c>
      <c r="D1100" s="33" t="s">
        <v>630</v>
      </c>
      <c r="E1100" s="33" t="s">
        <v>650</v>
      </c>
      <c r="F1100" s="34">
        <v>62</v>
      </c>
    </row>
    <row r="1101" spans="1:6" x14ac:dyDescent="0.25">
      <c r="A1101" s="34">
        <v>38</v>
      </c>
      <c r="B1101" s="33" t="s">
        <v>619</v>
      </c>
      <c r="C1101" s="33" t="s">
        <v>642</v>
      </c>
      <c r="D1101" s="33" t="s">
        <v>630</v>
      </c>
      <c r="E1101" s="33" t="s">
        <v>651</v>
      </c>
      <c r="F1101" s="34">
        <v>65</v>
      </c>
    </row>
    <row r="1102" spans="1:6" x14ac:dyDescent="0.25">
      <c r="A1102" s="34">
        <v>38</v>
      </c>
      <c r="B1102" s="33" t="s">
        <v>619</v>
      </c>
      <c r="C1102" s="33" t="s">
        <v>642</v>
      </c>
      <c r="D1102" s="33" t="s">
        <v>630</v>
      </c>
      <c r="E1102" s="33" t="s">
        <v>652</v>
      </c>
      <c r="F1102" s="34">
        <v>65</v>
      </c>
    </row>
    <row r="1103" spans="1:6" x14ac:dyDescent="0.25">
      <c r="A1103" s="34">
        <v>38</v>
      </c>
      <c r="B1103" s="33" t="s">
        <v>619</v>
      </c>
      <c r="C1103" s="33" t="s">
        <v>653</v>
      </c>
      <c r="D1103" s="33" t="s">
        <v>653</v>
      </c>
      <c r="E1103" s="33" t="s">
        <v>654</v>
      </c>
      <c r="F1103" s="34">
        <v>65</v>
      </c>
    </row>
    <row r="1104" spans="1:6" x14ac:dyDescent="0.25">
      <c r="A1104" s="34">
        <v>39</v>
      </c>
      <c r="B1104" s="33" t="s">
        <v>619</v>
      </c>
      <c r="C1104" s="33" t="s">
        <v>620</v>
      </c>
      <c r="D1104" s="33" t="s">
        <v>621</v>
      </c>
      <c r="E1104" s="33" t="s">
        <v>622</v>
      </c>
      <c r="F1104" s="34">
        <v>1</v>
      </c>
    </row>
    <row r="1105" spans="1:6" x14ac:dyDescent="0.25">
      <c r="A1105" s="34">
        <v>39</v>
      </c>
      <c r="B1105" s="33" t="s">
        <v>619</v>
      </c>
      <c r="C1105" s="33" t="s">
        <v>620</v>
      </c>
      <c r="D1105" s="33" t="s">
        <v>621</v>
      </c>
      <c r="E1105" s="33" t="s">
        <v>623</v>
      </c>
      <c r="F1105" s="34">
        <v>1</v>
      </c>
    </row>
    <row r="1106" spans="1:6" x14ac:dyDescent="0.25">
      <c r="A1106" s="34">
        <v>39</v>
      </c>
      <c r="B1106" s="33" t="s">
        <v>619</v>
      </c>
      <c r="C1106" s="33" t="s">
        <v>620</v>
      </c>
      <c r="D1106" s="33" t="s">
        <v>621</v>
      </c>
      <c r="E1106" s="33" t="s">
        <v>624</v>
      </c>
      <c r="F1106" s="34">
        <v>1</v>
      </c>
    </row>
    <row r="1107" spans="1:6" x14ac:dyDescent="0.25">
      <c r="A1107" s="34">
        <v>39</v>
      </c>
      <c r="B1107" s="33" t="s">
        <v>619</v>
      </c>
      <c r="C1107" s="33" t="s">
        <v>620</v>
      </c>
      <c r="D1107" s="33" t="s">
        <v>621</v>
      </c>
      <c r="E1107" s="33" t="s">
        <v>625</v>
      </c>
      <c r="F1107" s="34">
        <v>0</v>
      </c>
    </row>
    <row r="1108" spans="1:6" x14ac:dyDescent="0.25">
      <c r="A1108" s="34">
        <v>39</v>
      </c>
      <c r="B1108" s="33" t="s">
        <v>619</v>
      </c>
      <c r="C1108" s="33" t="s">
        <v>620</v>
      </c>
      <c r="D1108" s="33" t="s">
        <v>621</v>
      </c>
      <c r="E1108" s="33" t="s">
        <v>626</v>
      </c>
      <c r="F1108" s="34">
        <v>0</v>
      </c>
    </row>
    <row r="1109" spans="1:6" x14ac:dyDescent="0.25">
      <c r="A1109" s="34">
        <v>39</v>
      </c>
      <c r="B1109" s="33" t="s">
        <v>619</v>
      </c>
      <c r="C1109" s="33" t="s">
        <v>620</v>
      </c>
      <c r="D1109" s="33" t="s">
        <v>621</v>
      </c>
      <c r="E1109" s="33" t="s">
        <v>627</v>
      </c>
      <c r="F1109" s="34">
        <v>1</v>
      </c>
    </row>
    <row r="1110" spans="1:6" x14ac:dyDescent="0.25">
      <c r="A1110" s="34">
        <v>39</v>
      </c>
      <c r="B1110" s="33" t="s">
        <v>619</v>
      </c>
      <c r="C1110" s="33" t="s">
        <v>620</v>
      </c>
      <c r="D1110" s="33" t="s">
        <v>621</v>
      </c>
      <c r="E1110" s="33" t="s">
        <v>628</v>
      </c>
      <c r="F1110" s="34">
        <v>5</v>
      </c>
    </row>
    <row r="1111" spans="1:6" x14ac:dyDescent="0.25">
      <c r="A1111" s="34">
        <v>39</v>
      </c>
      <c r="B1111" s="33" t="s">
        <v>619</v>
      </c>
      <c r="C1111" s="33" t="s">
        <v>620</v>
      </c>
      <c r="D1111" s="33" t="s">
        <v>621</v>
      </c>
      <c r="E1111" s="33" t="s">
        <v>629</v>
      </c>
      <c r="F1111" s="34">
        <v>50</v>
      </c>
    </row>
    <row r="1112" spans="1:6" x14ac:dyDescent="0.25">
      <c r="A1112" s="34">
        <v>39</v>
      </c>
      <c r="B1112" s="33" t="s">
        <v>619</v>
      </c>
      <c r="C1112" s="33" t="s">
        <v>620</v>
      </c>
      <c r="D1112" s="33" t="s">
        <v>630</v>
      </c>
      <c r="E1112" s="33" t="s">
        <v>631</v>
      </c>
      <c r="F1112" s="34">
        <v>72</v>
      </c>
    </row>
    <row r="1113" spans="1:6" x14ac:dyDescent="0.25">
      <c r="A1113" s="34">
        <v>39</v>
      </c>
      <c r="B1113" s="33" t="s">
        <v>619</v>
      </c>
      <c r="C1113" s="33" t="s">
        <v>620</v>
      </c>
      <c r="D1113" s="33" t="s">
        <v>630</v>
      </c>
      <c r="E1113" s="33" t="s">
        <v>632</v>
      </c>
      <c r="F1113" s="33" t="s">
        <v>462</v>
      </c>
    </row>
    <row r="1114" spans="1:6" x14ac:dyDescent="0.25">
      <c r="A1114" s="34">
        <v>39</v>
      </c>
      <c r="B1114" s="33" t="s">
        <v>619</v>
      </c>
      <c r="C1114" s="33" t="s">
        <v>620</v>
      </c>
      <c r="D1114" s="33" t="s">
        <v>630</v>
      </c>
      <c r="E1114" s="33" t="s">
        <v>633</v>
      </c>
      <c r="F1114" s="34">
        <v>72</v>
      </c>
    </row>
    <row r="1115" spans="1:6" x14ac:dyDescent="0.25">
      <c r="A1115" s="34">
        <v>39</v>
      </c>
      <c r="B1115" s="33" t="s">
        <v>619</v>
      </c>
      <c r="C1115" s="33" t="s">
        <v>634</v>
      </c>
      <c r="D1115" s="33" t="s">
        <v>621</v>
      </c>
      <c r="E1115" s="33" t="s">
        <v>635</v>
      </c>
      <c r="F1115" s="34">
        <v>1</v>
      </c>
    </row>
    <row r="1116" spans="1:6" x14ac:dyDescent="0.25">
      <c r="A1116" s="34">
        <v>39</v>
      </c>
      <c r="B1116" s="33" t="s">
        <v>619</v>
      </c>
      <c r="C1116" s="33" t="s">
        <v>634</v>
      </c>
      <c r="D1116" s="33" t="s">
        <v>621</v>
      </c>
      <c r="E1116" s="33" t="s">
        <v>636</v>
      </c>
      <c r="F1116" s="34">
        <v>1</v>
      </c>
    </row>
    <row r="1117" spans="1:6" x14ac:dyDescent="0.25">
      <c r="A1117" s="34">
        <v>39</v>
      </c>
      <c r="B1117" s="33" t="s">
        <v>619</v>
      </c>
      <c r="C1117" s="33" t="s">
        <v>634</v>
      </c>
      <c r="D1117" s="33" t="s">
        <v>621</v>
      </c>
      <c r="E1117" s="33" t="s">
        <v>637</v>
      </c>
      <c r="F1117" s="34">
        <v>5</v>
      </c>
    </row>
    <row r="1118" spans="1:6" x14ac:dyDescent="0.25">
      <c r="A1118" s="34">
        <v>39</v>
      </c>
      <c r="B1118" s="33" t="s">
        <v>619</v>
      </c>
      <c r="C1118" s="33" t="s">
        <v>634</v>
      </c>
      <c r="D1118" s="33" t="s">
        <v>621</v>
      </c>
      <c r="E1118" s="33" t="s">
        <v>638</v>
      </c>
      <c r="F1118" s="34">
        <v>46</v>
      </c>
    </row>
    <row r="1119" spans="1:6" x14ac:dyDescent="0.25">
      <c r="A1119" s="34">
        <v>39</v>
      </c>
      <c r="B1119" s="33" t="s">
        <v>619</v>
      </c>
      <c r="C1119" s="33" t="s">
        <v>634</v>
      </c>
      <c r="D1119" s="33" t="s">
        <v>630</v>
      </c>
      <c r="E1119" s="33" t="s">
        <v>639</v>
      </c>
      <c r="F1119" s="34">
        <v>85</v>
      </c>
    </row>
    <row r="1120" spans="1:6" x14ac:dyDescent="0.25">
      <c r="A1120" s="34">
        <v>39</v>
      </c>
      <c r="B1120" s="33" t="s">
        <v>619</v>
      </c>
      <c r="C1120" s="33" t="s">
        <v>634</v>
      </c>
      <c r="D1120" s="33" t="s">
        <v>630</v>
      </c>
      <c r="E1120" s="33" t="s">
        <v>640</v>
      </c>
      <c r="F1120" s="33" t="s">
        <v>462</v>
      </c>
    </row>
    <row r="1121" spans="1:6" x14ac:dyDescent="0.25">
      <c r="A1121" s="34">
        <v>39</v>
      </c>
      <c r="B1121" s="33" t="s">
        <v>619</v>
      </c>
      <c r="C1121" s="33" t="s">
        <v>634</v>
      </c>
      <c r="D1121" s="33" t="s">
        <v>630</v>
      </c>
      <c r="E1121" s="33" t="s">
        <v>641</v>
      </c>
      <c r="F1121" s="34">
        <v>85</v>
      </c>
    </row>
    <row r="1122" spans="1:6" x14ac:dyDescent="0.25">
      <c r="A1122" s="34">
        <v>39</v>
      </c>
      <c r="B1122" s="33" t="s">
        <v>619</v>
      </c>
      <c r="C1122" s="33" t="s">
        <v>642</v>
      </c>
      <c r="D1122" s="33" t="s">
        <v>621</v>
      </c>
      <c r="E1122" s="33" t="s">
        <v>643</v>
      </c>
      <c r="F1122" s="34">
        <v>5</v>
      </c>
    </row>
    <row r="1123" spans="1:6" x14ac:dyDescent="0.25">
      <c r="A1123" s="34">
        <v>39</v>
      </c>
      <c r="B1123" s="33" t="s">
        <v>619</v>
      </c>
      <c r="C1123" s="33" t="s">
        <v>642</v>
      </c>
      <c r="D1123" s="33" t="s">
        <v>621</v>
      </c>
      <c r="E1123" s="33" t="s">
        <v>644</v>
      </c>
      <c r="F1123" s="34">
        <v>5</v>
      </c>
    </row>
    <row r="1124" spans="1:6" x14ac:dyDescent="0.25">
      <c r="A1124" s="34">
        <v>39</v>
      </c>
      <c r="B1124" s="33" t="s">
        <v>619</v>
      </c>
      <c r="C1124" s="33" t="s">
        <v>642</v>
      </c>
      <c r="D1124" s="33" t="s">
        <v>621</v>
      </c>
      <c r="E1124" s="33" t="s">
        <v>645</v>
      </c>
      <c r="F1124" s="34">
        <v>5</v>
      </c>
    </row>
    <row r="1125" spans="1:6" x14ac:dyDescent="0.25">
      <c r="A1125" s="34">
        <v>39</v>
      </c>
      <c r="B1125" s="33" t="s">
        <v>619</v>
      </c>
      <c r="C1125" s="33" t="s">
        <v>642</v>
      </c>
      <c r="D1125" s="33" t="s">
        <v>621</v>
      </c>
      <c r="E1125" s="33" t="s">
        <v>646</v>
      </c>
      <c r="F1125" s="34">
        <v>5</v>
      </c>
    </row>
    <row r="1126" spans="1:6" x14ac:dyDescent="0.25">
      <c r="A1126" s="34">
        <v>39</v>
      </c>
      <c r="B1126" s="33" t="s">
        <v>619</v>
      </c>
      <c r="C1126" s="33" t="s">
        <v>642</v>
      </c>
      <c r="D1126" s="33" t="s">
        <v>621</v>
      </c>
      <c r="E1126" s="33" t="s">
        <v>647</v>
      </c>
      <c r="F1126" s="34">
        <v>0</v>
      </c>
    </row>
    <row r="1127" spans="1:6" x14ac:dyDescent="0.25">
      <c r="A1127" s="34">
        <v>39</v>
      </c>
      <c r="B1127" s="33" t="s">
        <v>619</v>
      </c>
      <c r="C1127" s="33" t="s">
        <v>642</v>
      </c>
      <c r="D1127" s="33" t="s">
        <v>621</v>
      </c>
      <c r="E1127" s="33" t="s">
        <v>648</v>
      </c>
      <c r="F1127" s="34">
        <v>5</v>
      </c>
    </row>
    <row r="1128" spans="1:6" x14ac:dyDescent="0.25">
      <c r="A1128" s="34">
        <v>39</v>
      </c>
      <c r="B1128" s="33" t="s">
        <v>619</v>
      </c>
      <c r="C1128" s="33" t="s">
        <v>642</v>
      </c>
      <c r="D1128" s="33" t="s">
        <v>621</v>
      </c>
      <c r="E1128" s="33" t="s">
        <v>649</v>
      </c>
      <c r="F1128" s="34">
        <v>50</v>
      </c>
    </row>
    <row r="1129" spans="1:6" x14ac:dyDescent="0.25">
      <c r="A1129" s="34">
        <v>39</v>
      </c>
      <c r="B1129" s="33" t="s">
        <v>619</v>
      </c>
      <c r="C1129" s="33" t="s">
        <v>642</v>
      </c>
      <c r="D1129" s="33" t="s">
        <v>630</v>
      </c>
      <c r="E1129" s="33" t="s">
        <v>650</v>
      </c>
      <c r="F1129" s="34">
        <v>68</v>
      </c>
    </row>
    <row r="1130" spans="1:6" x14ac:dyDescent="0.25">
      <c r="A1130" s="34">
        <v>39</v>
      </c>
      <c r="B1130" s="33" t="s">
        <v>619</v>
      </c>
      <c r="C1130" s="33" t="s">
        <v>642</v>
      </c>
      <c r="D1130" s="33" t="s">
        <v>630</v>
      </c>
      <c r="E1130" s="33" t="s">
        <v>651</v>
      </c>
      <c r="F1130" s="33" t="s">
        <v>462</v>
      </c>
    </row>
    <row r="1131" spans="1:6" x14ac:dyDescent="0.25">
      <c r="A1131" s="34">
        <v>39</v>
      </c>
      <c r="B1131" s="33" t="s">
        <v>619</v>
      </c>
      <c r="C1131" s="33" t="s">
        <v>642</v>
      </c>
      <c r="D1131" s="33" t="s">
        <v>630</v>
      </c>
      <c r="E1131" s="33" t="s">
        <v>652</v>
      </c>
      <c r="F1131" s="34">
        <v>68</v>
      </c>
    </row>
    <row r="1132" spans="1:6" x14ac:dyDescent="0.25">
      <c r="A1132" s="34">
        <v>39</v>
      </c>
      <c r="B1132" s="33" t="s">
        <v>619</v>
      </c>
      <c r="C1132" s="33" t="s">
        <v>653</v>
      </c>
      <c r="D1132" s="33" t="s">
        <v>653</v>
      </c>
      <c r="E1132" s="33" t="s">
        <v>654</v>
      </c>
      <c r="F1132" s="34">
        <v>75</v>
      </c>
    </row>
    <row r="1133" spans="1:6" x14ac:dyDescent="0.25">
      <c r="A1133" s="34">
        <v>40</v>
      </c>
      <c r="B1133" s="33" t="s">
        <v>619</v>
      </c>
      <c r="C1133" s="33" t="s">
        <v>620</v>
      </c>
      <c r="D1133" s="33" t="s">
        <v>621</v>
      </c>
      <c r="E1133" s="33" t="s">
        <v>622</v>
      </c>
      <c r="F1133" s="34">
        <v>1</v>
      </c>
    </row>
    <row r="1134" spans="1:6" x14ac:dyDescent="0.25">
      <c r="A1134" s="34">
        <v>40</v>
      </c>
      <c r="B1134" s="33" t="s">
        <v>619</v>
      </c>
      <c r="C1134" s="33" t="s">
        <v>620</v>
      </c>
      <c r="D1134" s="33" t="s">
        <v>621</v>
      </c>
      <c r="E1134" s="33" t="s">
        <v>623</v>
      </c>
      <c r="F1134" s="34">
        <v>1</v>
      </c>
    </row>
    <row r="1135" spans="1:6" x14ac:dyDescent="0.25">
      <c r="A1135" s="34">
        <v>40</v>
      </c>
      <c r="B1135" s="33" t="s">
        <v>619</v>
      </c>
      <c r="C1135" s="33" t="s">
        <v>620</v>
      </c>
      <c r="D1135" s="33" t="s">
        <v>621</v>
      </c>
      <c r="E1135" s="33" t="s">
        <v>624</v>
      </c>
      <c r="F1135" s="34">
        <v>1</v>
      </c>
    </row>
    <row r="1136" spans="1:6" x14ac:dyDescent="0.25">
      <c r="A1136" s="34">
        <v>40</v>
      </c>
      <c r="B1136" s="33" t="s">
        <v>619</v>
      </c>
      <c r="C1136" s="33" t="s">
        <v>620</v>
      </c>
      <c r="D1136" s="33" t="s">
        <v>621</v>
      </c>
      <c r="E1136" s="33" t="s">
        <v>625</v>
      </c>
      <c r="F1136" s="34">
        <v>1</v>
      </c>
    </row>
    <row r="1137" spans="1:6" x14ac:dyDescent="0.25">
      <c r="A1137" s="34">
        <v>40</v>
      </c>
      <c r="B1137" s="33" t="s">
        <v>619</v>
      </c>
      <c r="C1137" s="33" t="s">
        <v>620</v>
      </c>
      <c r="D1137" s="33" t="s">
        <v>621</v>
      </c>
      <c r="E1137" s="33" t="s">
        <v>626</v>
      </c>
      <c r="F1137" s="34">
        <v>0</v>
      </c>
    </row>
    <row r="1138" spans="1:6" x14ac:dyDescent="0.25">
      <c r="A1138" s="34">
        <v>40</v>
      </c>
      <c r="B1138" s="33" t="s">
        <v>619</v>
      </c>
      <c r="C1138" s="33" t="s">
        <v>620</v>
      </c>
      <c r="D1138" s="33" t="s">
        <v>621</v>
      </c>
      <c r="E1138" s="33" t="s">
        <v>627</v>
      </c>
      <c r="F1138" s="34">
        <v>1</v>
      </c>
    </row>
    <row r="1139" spans="1:6" x14ac:dyDescent="0.25">
      <c r="A1139" s="34">
        <v>40</v>
      </c>
      <c r="B1139" s="33" t="s">
        <v>619</v>
      </c>
      <c r="C1139" s="33" t="s">
        <v>620</v>
      </c>
      <c r="D1139" s="33" t="s">
        <v>621</v>
      </c>
      <c r="E1139" s="33" t="s">
        <v>628</v>
      </c>
      <c r="F1139" s="34">
        <v>5</v>
      </c>
    </row>
    <row r="1140" spans="1:6" x14ac:dyDescent="0.25">
      <c r="A1140" s="34">
        <v>40</v>
      </c>
      <c r="B1140" s="33" t="s">
        <v>619</v>
      </c>
      <c r="C1140" s="33" t="s">
        <v>620</v>
      </c>
      <c r="D1140" s="33" t="s">
        <v>621</v>
      </c>
      <c r="E1140" s="33" t="s">
        <v>629</v>
      </c>
      <c r="F1140" s="34">
        <v>48</v>
      </c>
    </row>
    <row r="1141" spans="1:6" x14ac:dyDescent="0.25">
      <c r="A1141" s="34">
        <v>40</v>
      </c>
      <c r="B1141" s="33" t="s">
        <v>619</v>
      </c>
      <c r="C1141" s="33" t="s">
        <v>620</v>
      </c>
      <c r="D1141" s="33" t="s">
        <v>630</v>
      </c>
      <c r="E1141" s="33" t="s">
        <v>631</v>
      </c>
      <c r="F1141" s="34">
        <v>93</v>
      </c>
    </row>
    <row r="1142" spans="1:6" x14ac:dyDescent="0.25">
      <c r="A1142" s="34">
        <v>40</v>
      </c>
      <c r="B1142" s="33" t="s">
        <v>619</v>
      </c>
      <c r="C1142" s="33" t="s">
        <v>620</v>
      </c>
      <c r="D1142" s="33" t="s">
        <v>630</v>
      </c>
      <c r="E1142" s="33" t="s">
        <v>632</v>
      </c>
      <c r="F1142" s="33" t="s">
        <v>462</v>
      </c>
    </row>
    <row r="1143" spans="1:6" x14ac:dyDescent="0.25">
      <c r="A1143" s="34">
        <v>40</v>
      </c>
      <c r="B1143" s="33" t="s">
        <v>619</v>
      </c>
      <c r="C1143" s="33" t="s">
        <v>620</v>
      </c>
      <c r="D1143" s="33" t="s">
        <v>630</v>
      </c>
      <c r="E1143" s="33" t="s">
        <v>633</v>
      </c>
      <c r="F1143" s="34">
        <v>93</v>
      </c>
    </row>
    <row r="1144" spans="1:6" x14ac:dyDescent="0.25">
      <c r="A1144" s="34">
        <v>40</v>
      </c>
      <c r="B1144" s="33" t="s">
        <v>619</v>
      </c>
      <c r="C1144" s="33" t="s">
        <v>634</v>
      </c>
      <c r="D1144" s="33" t="s">
        <v>621</v>
      </c>
      <c r="E1144" s="33" t="s">
        <v>635</v>
      </c>
      <c r="F1144" s="34">
        <v>1</v>
      </c>
    </row>
    <row r="1145" spans="1:6" x14ac:dyDescent="0.25">
      <c r="A1145" s="34">
        <v>40</v>
      </c>
      <c r="B1145" s="33" t="s">
        <v>619</v>
      </c>
      <c r="C1145" s="33" t="s">
        <v>634</v>
      </c>
      <c r="D1145" s="33" t="s">
        <v>621</v>
      </c>
      <c r="E1145" s="33" t="s">
        <v>636</v>
      </c>
      <c r="F1145" s="34">
        <v>0</v>
      </c>
    </row>
    <row r="1146" spans="1:6" x14ac:dyDescent="0.25">
      <c r="A1146" s="34">
        <v>40</v>
      </c>
      <c r="B1146" s="33" t="s">
        <v>619</v>
      </c>
      <c r="C1146" s="33" t="s">
        <v>634</v>
      </c>
      <c r="D1146" s="33" t="s">
        <v>621</v>
      </c>
      <c r="E1146" s="33" t="s">
        <v>637</v>
      </c>
      <c r="F1146" s="34">
        <v>5</v>
      </c>
    </row>
    <row r="1147" spans="1:6" x14ac:dyDescent="0.25">
      <c r="A1147" s="34">
        <v>40</v>
      </c>
      <c r="B1147" s="33" t="s">
        <v>619</v>
      </c>
      <c r="C1147" s="33" t="s">
        <v>634</v>
      </c>
      <c r="D1147" s="33" t="s">
        <v>621</v>
      </c>
      <c r="E1147" s="33" t="s">
        <v>638</v>
      </c>
      <c r="F1147" s="34">
        <v>49</v>
      </c>
    </row>
    <row r="1148" spans="1:6" x14ac:dyDescent="0.25">
      <c r="A1148" s="34">
        <v>40</v>
      </c>
      <c r="B1148" s="33" t="s">
        <v>619</v>
      </c>
      <c r="C1148" s="33" t="s">
        <v>634</v>
      </c>
      <c r="D1148" s="33" t="s">
        <v>630</v>
      </c>
      <c r="E1148" s="33" t="s">
        <v>639</v>
      </c>
      <c r="F1148" s="34">
        <v>95</v>
      </c>
    </row>
    <row r="1149" spans="1:6" x14ac:dyDescent="0.25">
      <c r="A1149" s="34">
        <v>40</v>
      </c>
      <c r="B1149" s="33" t="s">
        <v>619</v>
      </c>
      <c r="C1149" s="33" t="s">
        <v>634</v>
      </c>
      <c r="D1149" s="33" t="s">
        <v>630</v>
      </c>
      <c r="E1149" s="33" t="s">
        <v>640</v>
      </c>
      <c r="F1149" s="33" t="s">
        <v>462</v>
      </c>
    </row>
    <row r="1150" spans="1:6" x14ac:dyDescent="0.25">
      <c r="A1150" s="34">
        <v>40</v>
      </c>
      <c r="B1150" s="33" t="s">
        <v>619</v>
      </c>
      <c r="C1150" s="33" t="s">
        <v>634</v>
      </c>
      <c r="D1150" s="33" t="s">
        <v>630</v>
      </c>
      <c r="E1150" s="33" t="s">
        <v>641</v>
      </c>
      <c r="F1150" s="34">
        <v>95</v>
      </c>
    </row>
    <row r="1151" spans="1:6" x14ac:dyDescent="0.25">
      <c r="A1151" s="34">
        <v>40</v>
      </c>
      <c r="B1151" s="33" t="s">
        <v>619</v>
      </c>
      <c r="C1151" s="33" t="s">
        <v>642</v>
      </c>
      <c r="D1151" s="33" t="s">
        <v>621</v>
      </c>
      <c r="E1151" s="33" t="s">
        <v>643</v>
      </c>
      <c r="F1151" s="34">
        <v>0</v>
      </c>
    </row>
    <row r="1152" spans="1:6" x14ac:dyDescent="0.25">
      <c r="A1152" s="34">
        <v>40</v>
      </c>
      <c r="B1152" s="33" t="s">
        <v>619</v>
      </c>
      <c r="C1152" s="33" t="s">
        <v>642</v>
      </c>
      <c r="D1152" s="33" t="s">
        <v>621</v>
      </c>
      <c r="E1152" s="33" t="s">
        <v>644</v>
      </c>
      <c r="F1152" s="34">
        <v>5</v>
      </c>
    </row>
    <row r="1153" spans="1:6" x14ac:dyDescent="0.25">
      <c r="A1153" s="34">
        <v>40</v>
      </c>
      <c r="B1153" s="33" t="s">
        <v>619</v>
      </c>
      <c r="C1153" s="33" t="s">
        <v>642</v>
      </c>
      <c r="D1153" s="33" t="s">
        <v>621</v>
      </c>
      <c r="E1153" s="33" t="s">
        <v>645</v>
      </c>
      <c r="F1153" s="34">
        <v>5</v>
      </c>
    </row>
    <row r="1154" spans="1:6" x14ac:dyDescent="0.25">
      <c r="A1154" s="34">
        <v>40</v>
      </c>
      <c r="B1154" s="33" t="s">
        <v>619</v>
      </c>
      <c r="C1154" s="33" t="s">
        <v>642</v>
      </c>
      <c r="D1154" s="33" t="s">
        <v>621</v>
      </c>
      <c r="E1154" s="33" t="s">
        <v>646</v>
      </c>
      <c r="F1154" s="34">
        <v>5</v>
      </c>
    </row>
    <row r="1155" spans="1:6" x14ac:dyDescent="0.25">
      <c r="A1155" s="34">
        <v>40</v>
      </c>
      <c r="B1155" s="33" t="s">
        <v>619</v>
      </c>
      <c r="C1155" s="33" t="s">
        <v>642</v>
      </c>
      <c r="D1155" s="33" t="s">
        <v>621</v>
      </c>
      <c r="E1155" s="33" t="s">
        <v>647</v>
      </c>
      <c r="F1155" s="34">
        <v>0</v>
      </c>
    </row>
    <row r="1156" spans="1:6" x14ac:dyDescent="0.25">
      <c r="A1156" s="34">
        <v>40</v>
      </c>
      <c r="B1156" s="33" t="s">
        <v>619</v>
      </c>
      <c r="C1156" s="33" t="s">
        <v>642</v>
      </c>
      <c r="D1156" s="33" t="s">
        <v>621</v>
      </c>
      <c r="E1156" s="33" t="s">
        <v>648</v>
      </c>
      <c r="F1156" s="34">
        <v>0</v>
      </c>
    </row>
    <row r="1157" spans="1:6" x14ac:dyDescent="0.25">
      <c r="A1157" s="34">
        <v>40</v>
      </c>
      <c r="B1157" s="33" t="s">
        <v>619</v>
      </c>
      <c r="C1157" s="33" t="s">
        <v>642</v>
      </c>
      <c r="D1157" s="33" t="s">
        <v>621</v>
      </c>
      <c r="E1157" s="33" t="s">
        <v>649</v>
      </c>
      <c r="F1157" s="34">
        <v>50</v>
      </c>
    </row>
    <row r="1158" spans="1:6" x14ac:dyDescent="0.25">
      <c r="A1158" s="34">
        <v>40</v>
      </c>
      <c r="B1158" s="33" t="s">
        <v>619</v>
      </c>
      <c r="C1158" s="33" t="s">
        <v>642</v>
      </c>
      <c r="D1158" s="33" t="s">
        <v>630</v>
      </c>
      <c r="E1158" s="33" t="s">
        <v>650</v>
      </c>
      <c r="F1158" s="34">
        <v>92</v>
      </c>
    </row>
    <row r="1159" spans="1:6" x14ac:dyDescent="0.25">
      <c r="A1159" s="34">
        <v>40</v>
      </c>
      <c r="B1159" s="33" t="s">
        <v>619</v>
      </c>
      <c r="C1159" s="33" t="s">
        <v>642</v>
      </c>
      <c r="D1159" s="33" t="s">
        <v>630</v>
      </c>
      <c r="E1159" s="33" t="s">
        <v>651</v>
      </c>
      <c r="F1159" s="33" t="s">
        <v>462</v>
      </c>
    </row>
    <row r="1160" spans="1:6" x14ac:dyDescent="0.25">
      <c r="A1160" s="34">
        <v>40</v>
      </c>
      <c r="B1160" s="33" t="s">
        <v>619</v>
      </c>
      <c r="C1160" s="33" t="s">
        <v>642</v>
      </c>
      <c r="D1160" s="33" t="s">
        <v>630</v>
      </c>
      <c r="E1160" s="33" t="s">
        <v>652</v>
      </c>
      <c r="F1160" s="34">
        <v>92</v>
      </c>
    </row>
    <row r="1161" spans="1:6" x14ac:dyDescent="0.25">
      <c r="A1161" s="34">
        <v>40</v>
      </c>
      <c r="B1161" s="33" t="s">
        <v>619</v>
      </c>
      <c r="C1161" s="33" t="s">
        <v>653</v>
      </c>
      <c r="D1161" s="33" t="s">
        <v>653</v>
      </c>
      <c r="E1161" s="33" t="s">
        <v>654</v>
      </c>
      <c r="F1161" s="34">
        <v>88</v>
      </c>
    </row>
    <row r="1162" spans="1:6" x14ac:dyDescent="0.25">
      <c r="A1162" s="34">
        <v>41</v>
      </c>
      <c r="B1162" s="33" t="s">
        <v>619</v>
      </c>
      <c r="C1162" s="33" t="s">
        <v>620</v>
      </c>
      <c r="D1162" s="33" t="s">
        <v>621</v>
      </c>
      <c r="E1162" s="33" t="s">
        <v>622</v>
      </c>
      <c r="F1162" s="34">
        <v>0</v>
      </c>
    </row>
    <row r="1163" spans="1:6" x14ac:dyDescent="0.25">
      <c r="A1163" s="34">
        <v>41</v>
      </c>
      <c r="B1163" s="33" t="s">
        <v>619</v>
      </c>
      <c r="C1163" s="33" t="s">
        <v>620</v>
      </c>
      <c r="D1163" s="33" t="s">
        <v>621</v>
      </c>
      <c r="E1163" s="33" t="s">
        <v>623</v>
      </c>
      <c r="F1163" s="34">
        <v>0</v>
      </c>
    </row>
    <row r="1164" spans="1:6" x14ac:dyDescent="0.25">
      <c r="A1164" s="34">
        <v>41</v>
      </c>
      <c r="B1164" s="33" t="s">
        <v>619</v>
      </c>
      <c r="C1164" s="33" t="s">
        <v>620</v>
      </c>
      <c r="D1164" s="33" t="s">
        <v>621</v>
      </c>
      <c r="E1164" s="33" t="s">
        <v>624</v>
      </c>
      <c r="F1164" s="34">
        <v>0</v>
      </c>
    </row>
    <row r="1165" spans="1:6" x14ac:dyDescent="0.25">
      <c r="A1165" s="34">
        <v>41</v>
      </c>
      <c r="B1165" s="33" t="s">
        <v>619</v>
      </c>
      <c r="C1165" s="33" t="s">
        <v>620</v>
      </c>
      <c r="D1165" s="33" t="s">
        <v>621</v>
      </c>
      <c r="E1165" s="33" t="s">
        <v>625</v>
      </c>
      <c r="F1165" s="34">
        <v>0</v>
      </c>
    </row>
    <row r="1166" spans="1:6" x14ac:dyDescent="0.25">
      <c r="A1166" s="34">
        <v>41</v>
      </c>
      <c r="B1166" s="33" t="s">
        <v>619</v>
      </c>
      <c r="C1166" s="33" t="s">
        <v>620</v>
      </c>
      <c r="D1166" s="33" t="s">
        <v>621</v>
      </c>
      <c r="E1166" s="33" t="s">
        <v>626</v>
      </c>
      <c r="F1166" s="34">
        <v>0</v>
      </c>
    </row>
    <row r="1167" spans="1:6" x14ac:dyDescent="0.25">
      <c r="A1167" s="34">
        <v>41</v>
      </c>
      <c r="B1167" s="33" t="s">
        <v>619</v>
      </c>
      <c r="C1167" s="33" t="s">
        <v>620</v>
      </c>
      <c r="D1167" s="33" t="s">
        <v>621</v>
      </c>
      <c r="E1167" s="33" t="s">
        <v>627</v>
      </c>
      <c r="F1167" s="34">
        <v>0</v>
      </c>
    </row>
    <row r="1168" spans="1:6" x14ac:dyDescent="0.25">
      <c r="A1168" s="34">
        <v>41</v>
      </c>
      <c r="B1168" s="33" t="s">
        <v>619</v>
      </c>
      <c r="C1168" s="33" t="s">
        <v>620</v>
      </c>
      <c r="D1168" s="33" t="s">
        <v>621</v>
      </c>
      <c r="E1168" s="33" t="s">
        <v>628</v>
      </c>
      <c r="F1168" s="34">
        <v>5</v>
      </c>
    </row>
    <row r="1169" spans="1:6" x14ac:dyDescent="0.25">
      <c r="A1169" s="34">
        <v>41</v>
      </c>
      <c r="B1169" s="33" t="s">
        <v>619</v>
      </c>
      <c r="C1169" s="33" t="s">
        <v>620</v>
      </c>
      <c r="D1169" s="33" t="s">
        <v>621</v>
      </c>
      <c r="E1169" s="33" t="s">
        <v>629</v>
      </c>
      <c r="F1169" s="34">
        <v>47</v>
      </c>
    </row>
    <row r="1170" spans="1:6" x14ac:dyDescent="0.25">
      <c r="A1170" s="34">
        <v>41</v>
      </c>
      <c r="B1170" s="33" t="s">
        <v>619</v>
      </c>
      <c r="C1170" s="33" t="s">
        <v>620</v>
      </c>
      <c r="D1170" s="33" t="s">
        <v>630</v>
      </c>
      <c r="E1170" s="33" t="s">
        <v>631</v>
      </c>
      <c r="F1170" s="34">
        <v>76</v>
      </c>
    </row>
    <row r="1171" spans="1:6" x14ac:dyDescent="0.25">
      <c r="A1171" s="34">
        <v>41</v>
      </c>
      <c r="B1171" s="33" t="s">
        <v>619</v>
      </c>
      <c r="C1171" s="33" t="s">
        <v>620</v>
      </c>
      <c r="D1171" s="33" t="s">
        <v>630</v>
      </c>
      <c r="E1171" s="33" t="s">
        <v>632</v>
      </c>
      <c r="F1171" s="33" t="s">
        <v>462</v>
      </c>
    </row>
    <row r="1172" spans="1:6" x14ac:dyDescent="0.25">
      <c r="A1172" s="34">
        <v>41</v>
      </c>
      <c r="B1172" s="33" t="s">
        <v>619</v>
      </c>
      <c r="C1172" s="33" t="s">
        <v>620</v>
      </c>
      <c r="D1172" s="33" t="s">
        <v>630</v>
      </c>
      <c r="E1172" s="33" t="s">
        <v>633</v>
      </c>
      <c r="F1172" s="34">
        <v>76</v>
      </c>
    </row>
    <row r="1173" spans="1:6" x14ac:dyDescent="0.25">
      <c r="A1173" s="34">
        <v>41</v>
      </c>
      <c r="B1173" s="33" t="s">
        <v>619</v>
      </c>
      <c r="C1173" s="33" t="s">
        <v>634</v>
      </c>
      <c r="D1173" s="33" t="s">
        <v>621</v>
      </c>
      <c r="E1173" s="33" t="s">
        <v>635</v>
      </c>
      <c r="F1173" s="34">
        <v>0</v>
      </c>
    </row>
    <row r="1174" spans="1:6" x14ac:dyDescent="0.25">
      <c r="A1174" s="34">
        <v>41</v>
      </c>
      <c r="B1174" s="33" t="s">
        <v>619</v>
      </c>
      <c r="C1174" s="33" t="s">
        <v>634</v>
      </c>
      <c r="D1174" s="33" t="s">
        <v>621</v>
      </c>
      <c r="E1174" s="33" t="s">
        <v>636</v>
      </c>
      <c r="F1174" s="34">
        <v>0</v>
      </c>
    </row>
    <row r="1175" spans="1:6" x14ac:dyDescent="0.25">
      <c r="A1175" s="34">
        <v>41</v>
      </c>
      <c r="B1175" s="33" t="s">
        <v>619</v>
      </c>
      <c r="C1175" s="33" t="s">
        <v>634</v>
      </c>
      <c r="D1175" s="33" t="s">
        <v>621</v>
      </c>
      <c r="E1175" s="33" t="s">
        <v>637</v>
      </c>
      <c r="F1175" s="34">
        <v>5</v>
      </c>
    </row>
    <row r="1176" spans="1:6" x14ac:dyDescent="0.25">
      <c r="A1176" s="34">
        <v>41</v>
      </c>
      <c r="B1176" s="33" t="s">
        <v>619</v>
      </c>
      <c r="C1176" s="33" t="s">
        <v>634</v>
      </c>
      <c r="D1176" s="33" t="s">
        <v>621</v>
      </c>
      <c r="E1176" s="33" t="s">
        <v>638</v>
      </c>
      <c r="F1176" s="34">
        <v>50</v>
      </c>
    </row>
    <row r="1177" spans="1:6" x14ac:dyDescent="0.25">
      <c r="A1177" s="34">
        <v>41</v>
      </c>
      <c r="B1177" s="33" t="s">
        <v>619</v>
      </c>
      <c r="C1177" s="33" t="s">
        <v>634</v>
      </c>
      <c r="D1177" s="33" t="s">
        <v>630</v>
      </c>
      <c r="E1177" s="33" t="s">
        <v>639</v>
      </c>
      <c r="F1177" s="34">
        <v>67</v>
      </c>
    </row>
    <row r="1178" spans="1:6" x14ac:dyDescent="0.25">
      <c r="A1178" s="34">
        <v>41</v>
      </c>
      <c r="B1178" s="33" t="s">
        <v>619</v>
      </c>
      <c r="C1178" s="33" t="s">
        <v>634</v>
      </c>
      <c r="D1178" s="33" t="s">
        <v>630</v>
      </c>
      <c r="E1178" s="33" t="s">
        <v>640</v>
      </c>
      <c r="F1178" s="33" t="s">
        <v>462</v>
      </c>
    </row>
    <row r="1179" spans="1:6" x14ac:dyDescent="0.25">
      <c r="A1179" s="34">
        <v>41</v>
      </c>
      <c r="B1179" s="33" t="s">
        <v>619</v>
      </c>
      <c r="C1179" s="33" t="s">
        <v>634</v>
      </c>
      <c r="D1179" s="33" t="s">
        <v>630</v>
      </c>
      <c r="E1179" s="33" t="s">
        <v>641</v>
      </c>
      <c r="F1179" s="34">
        <v>67</v>
      </c>
    </row>
    <row r="1180" spans="1:6" x14ac:dyDescent="0.25">
      <c r="A1180" s="34">
        <v>41</v>
      </c>
      <c r="B1180" s="33" t="s">
        <v>619</v>
      </c>
      <c r="C1180" s="33" t="s">
        <v>642</v>
      </c>
      <c r="D1180" s="33" t="s">
        <v>621</v>
      </c>
      <c r="E1180" s="33" t="s">
        <v>643</v>
      </c>
      <c r="F1180" s="34">
        <v>0</v>
      </c>
    </row>
    <row r="1181" spans="1:6" x14ac:dyDescent="0.25">
      <c r="A1181" s="34">
        <v>41</v>
      </c>
      <c r="B1181" s="33" t="s">
        <v>619</v>
      </c>
      <c r="C1181" s="33" t="s">
        <v>642</v>
      </c>
      <c r="D1181" s="33" t="s">
        <v>621</v>
      </c>
      <c r="E1181" s="33" t="s">
        <v>644</v>
      </c>
      <c r="F1181" s="34">
        <v>0</v>
      </c>
    </row>
    <row r="1182" spans="1:6" x14ac:dyDescent="0.25">
      <c r="A1182" s="34">
        <v>41</v>
      </c>
      <c r="B1182" s="33" t="s">
        <v>619</v>
      </c>
      <c r="C1182" s="33" t="s">
        <v>642</v>
      </c>
      <c r="D1182" s="33" t="s">
        <v>621</v>
      </c>
      <c r="E1182" s="33" t="s">
        <v>645</v>
      </c>
      <c r="F1182" s="34">
        <v>0</v>
      </c>
    </row>
    <row r="1183" spans="1:6" x14ac:dyDescent="0.25">
      <c r="A1183" s="34">
        <v>41</v>
      </c>
      <c r="B1183" s="33" t="s">
        <v>619</v>
      </c>
      <c r="C1183" s="33" t="s">
        <v>642</v>
      </c>
      <c r="D1183" s="33" t="s">
        <v>621</v>
      </c>
      <c r="E1183" s="33" t="s">
        <v>646</v>
      </c>
      <c r="F1183" s="34">
        <v>0</v>
      </c>
    </row>
    <row r="1184" spans="1:6" x14ac:dyDescent="0.25">
      <c r="A1184" s="34">
        <v>41</v>
      </c>
      <c r="B1184" s="33" t="s">
        <v>619</v>
      </c>
      <c r="C1184" s="33" t="s">
        <v>642</v>
      </c>
      <c r="D1184" s="33" t="s">
        <v>621</v>
      </c>
      <c r="E1184" s="33" t="s">
        <v>647</v>
      </c>
      <c r="F1184" s="34">
        <v>0</v>
      </c>
    </row>
    <row r="1185" spans="1:6" x14ac:dyDescent="0.25">
      <c r="A1185" s="34">
        <v>41</v>
      </c>
      <c r="B1185" s="33" t="s">
        <v>619</v>
      </c>
      <c r="C1185" s="33" t="s">
        <v>642</v>
      </c>
      <c r="D1185" s="33" t="s">
        <v>621</v>
      </c>
      <c r="E1185" s="33" t="s">
        <v>648</v>
      </c>
      <c r="F1185" s="34">
        <v>0</v>
      </c>
    </row>
    <row r="1186" spans="1:6" x14ac:dyDescent="0.25">
      <c r="A1186" s="34">
        <v>41</v>
      </c>
      <c r="B1186" s="33" t="s">
        <v>619</v>
      </c>
      <c r="C1186" s="33" t="s">
        <v>642</v>
      </c>
      <c r="D1186" s="33" t="s">
        <v>621</v>
      </c>
      <c r="E1186" s="33" t="s">
        <v>649</v>
      </c>
      <c r="F1186" s="34">
        <v>47</v>
      </c>
    </row>
    <row r="1187" spans="1:6" x14ac:dyDescent="0.25">
      <c r="A1187" s="34">
        <v>41</v>
      </c>
      <c r="B1187" s="33" t="s">
        <v>619</v>
      </c>
      <c r="C1187" s="33" t="s">
        <v>642</v>
      </c>
      <c r="D1187" s="33" t="s">
        <v>630</v>
      </c>
      <c r="E1187" s="33" t="s">
        <v>650</v>
      </c>
      <c r="F1187" s="34">
        <v>68</v>
      </c>
    </row>
    <row r="1188" spans="1:6" x14ac:dyDescent="0.25">
      <c r="A1188" s="34">
        <v>41</v>
      </c>
      <c r="B1188" s="33" t="s">
        <v>619</v>
      </c>
      <c r="C1188" s="33" t="s">
        <v>642</v>
      </c>
      <c r="D1188" s="33" t="s">
        <v>630</v>
      </c>
      <c r="E1188" s="33" t="s">
        <v>651</v>
      </c>
      <c r="F1188" s="33" t="s">
        <v>462</v>
      </c>
    </row>
    <row r="1189" spans="1:6" x14ac:dyDescent="0.25">
      <c r="A1189" s="34">
        <v>41</v>
      </c>
      <c r="B1189" s="33" t="s">
        <v>619</v>
      </c>
      <c r="C1189" s="33" t="s">
        <v>642</v>
      </c>
      <c r="D1189" s="33" t="s">
        <v>630</v>
      </c>
      <c r="E1189" s="33" t="s">
        <v>652</v>
      </c>
      <c r="F1189" s="34">
        <v>68</v>
      </c>
    </row>
    <row r="1190" spans="1:6" x14ac:dyDescent="0.25">
      <c r="A1190" s="34">
        <v>41</v>
      </c>
      <c r="B1190" s="33" t="s">
        <v>619</v>
      </c>
      <c r="C1190" s="33" t="s">
        <v>653</v>
      </c>
      <c r="D1190" s="33" t="s">
        <v>653</v>
      </c>
      <c r="E1190" s="33" t="s">
        <v>654</v>
      </c>
      <c r="F1190" s="34">
        <v>65</v>
      </c>
    </row>
    <row r="1191" spans="1:6" x14ac:dyDescent="0.25">
      <c r="A1191" s="34">
        <v>42</v>
      </c>
      <c r="B1191" s="33" t="s">
        <v>619</v>
      </c>
      <c r="C1191" s="33" t="s">
        <v>620</v>
      </c>
      <c r="D1191" s="33" t="s">
        <v>621</v>
      </c>
      <c r="E1191" s="33" t="s">
        <v>622</v>
      </c>
      <c r="F1191" s="34">
        <v>1</v>
      </c>
    </row>
    <row r="1192" spans="1:6" x14ac:dyDescent="0.25">
      <c r="A1192" s="34">
        <v>42</v>
      </c>
      <c r="B1192" s="33" t="s">
        <v>619</v>
      </c>
      <c r="C1192" s="33" t="s">
        <v>620</v>
      </c>
      <c r="D1192" s="33" t="s">
        <v>621</v>
      </c>
      <c r="E1192" s="33" t="s">
        <v>623</v>
      </c>
      <c r="F1192" s="34">
        <v>1</v>
      </c>
    </row>
    <row r="1193" spans="1:6" x14ac:dyDescent="0.25">
      <c r="A1193" s="34">
        <v>42</v>
      </c>
      <c r="B1193" s="33" t="s">
        <v>619</v>
      </c>
      <c r="C1193" s="33" t="s">
        <v>620</v>
      </c>
      <c r="D1193" s="33" t="s">
        <v>621</v>
      </c>
      <c r="E1193" s="33" t="s">
        <v>624</v>
      </c>
      <c r="F1193" s="34">
        <v>1</v>
      </c>
    </row>
    <row r="1194" spans="1:6" x14ac:dyDescent="0.25">
      <c r="A1194" s="34">
        <v>42</v>
      </c>
      <c r="B1194" s="33" t="s">
        <v>619</v>
      </c>
      <c r="C1194" s="33" t="s">
        <v>620</v>
      </c>
      <c r="D1194" s="33" t="s">
        <v>621</v>
      </c>
      <c r="E1194" s="33" t="s">
        <v>625</v>
      </c>
      <c r="F1194" s="34">
        <v>1</v>
      </c>
    </row>
    <row r="1195" spans="1:6" x14ac:dyDescent="0.25">
      <c r="A1195" s="34">
        <v>42</v>
      </c>
      <c r="B1195" s="33" t="s">
        <v>619</v>
      </c>
      <c r="C1195" s="33" t="s">
        <v>620</v>
      </c>
      <c r="D1195" s="33" t="s">
        <v>621</v>
      </c>
      <c r="E1195" s="33" t="s">
        <v>626</v>
      </c>
      <c r="F1195" s="34">
        <v>1</v>
      </c>
    </row>
    <row r="1196" spans="1:6" x14ac:dyDescent="0.25">
      <c r="A1196" s="34">
        <v>42</v>
      </c>
      <c r="B1196" s="33" t="s">
        <v>619</v>
      </c>
      <c r="C1196" s="33" t="s">
        <v>620</v>
      </c>
      <c r="D1196" s="33" t="s">
        <v>621</v>
      </c>
      <c r="E1196" s="33" t="s">
        <v>627</v>
      </c>
      <c r="F1196" s="34">
        <v>1</v>
      </c>
    </row>
    <row r="1197" spans="1:6" x14ac:dyDescent="0.25">
      <c r="A1197" s="34">
        <v>42</v>
      </c>
      <c r="B1197" s="33" t="s">
        <v>619</v>
      </c>
      <c r="C1197" s="33" t="s">
        <v>620</v>
      </c>
      <c r="D1197" s="33" t="s">
        <v>621</v>
      </c>
      <c r="E1197" s="33" t="s">
        <v>628</v>
      </c>
      <c r="F1197" s="34">
        <v>5</v>
      </c>
    </row>
    <row r="1198" spans="1:6" x14ac:dyDescent="0.25">
      <c r="A1198" s="34">
        <v>42</v>
      </c>
      <c r="B1198" s="33" t="s">
        <v>619</v>
      </c>
      <c r="C1198" s="33" t="s">
        <v>620</v>
      </c>
      <c r="D1198" s="33" t="s">
        <v>621</v>
      </c>
      <c r="E1198" s="33" t="s">
        <v>629</v>
      </c>
      <c r="F1198" s="34">
        <v>50</v>
      </c>
    </row>
    <row r="1199" spans="1:6" x14ac:dyDescent="0.25">
      <c r="A1199" s="34">
        <v>42</v>
      </c>
      <c r="B1199" s="33" t="s">
        <v>619</v>
      </c>
      <c r="C1199" s="33" t="s">
        <v>620</v>
      </c>
      <c r="D1199" s="33" t="s">
        <v>630</v>
      </c>
      <c r="E1199" s="33" t="s">
        <v>631</v>
      </c>
      <c r="F1199" s="34">
        <v>99</v>
      </c>
    </row>
    <row r="1200" spans="1:6" x14ac:dyDescent="0.25">
      <c r="A1200" s="34">
        <v>42</v>
      </c>
      <c r="B1200" s="33" t="s">
        <v>619</v>
      </c>
      <c r="C1200" s="33" t="s">
        <v>620</v>
      </c>
      <c r="D1200" s="33" t="s">
        <v>630</v>
      </c>
      <c r="E1200" s="33" t="s">
        <v>632</v>
      </c>
      <c r="F1200" s="33" t="s">
        <v>462</v>
      </c>
    </row>
    <row r="1201" spans="1:6" x14ac:dyDescent="0.25">
      <c r="A1201" s="34">
        <v>42</v>
      </c>
      <c r="B1201" s="33" t="s">
        <v>619</v>
      </c>
      <c r="C1201" s="33" t="s">
        <v>620</v>
      </c>
      <c r="D1201" s="33" t="s">
        <v>630</v>
      </c>
      <c r="E1201" s="33" t="s">
        <v>633</v>
      </c>
      <c r="F1201" s="34">
        <v>99</v>
      </c>
    </row>
    <row r="1202" spans="1:6" x14ac:dyDescent="0.25">
      <c r="A1202" s="34">
        <v>42</v>
      </c>
      <c r="B1202" s="33" t="s">
        <v>619</v>
      </c>
      <c r="C1202" s="33" t="s">
        <v>634</v>
      </c>
      <c r="D1202" s="33" t="s">
        <v>621</v>
      </c>
      <c r="E1202" s="33" t="s">
        <v>635</v>
      </c>
      <c r="F1202" s="34">
        <v>1</v>
      </c>
    </row>
    <row r="1203" spans="1:6" x14ac:dyDescent="0.25">
      <c r="A1203" s="34">
        <v>42</v>
      </c>
      <c r="B1203" s="33" t="s">
        <v>619</v>
      </c>
      <c r="C1203" s="33" t="s">
        <v>634</v>
      </c>
      <c r="D1203" s="33" t="s">
        <v>621</v>
      </c>
      <c r="E1203" s="33" t="s">
        <v>636</v>
      </c>
      <c r="F1203" s="34">
        <v>1</v>
      </c>
    </row>
    <row r="1204" spans="1:6" x14ac:dyDescent="0.25">
      <c r="A1204" s="34">
        <v>42</v>
      </c>
      <c r="B1204" s="33" t="s">
        <v>619</v>
      </c>
      <c r="C1204" s="33" t="s">
        <v>634</v>
      </c>
      <c r="D1204" s="33" t="s">
        <v>621</v>
      </c>
      <c r="E1204" s="33" t="s">
        <v>637</v>
      </c>
      <c r="F1204" s="34">
        <v>5</v>
      </c>
    </row>
    <row r="1205" spans="1:6" x14ac:dyDescent="0.25">
      <c r="A1205" s="34">
        <v>42</v>
      </c>
      <c r="B1205" s="33" t="s">
        <v>619</v>
      </c>
      <c r="C1205" s="33" t="s">
        <v>634</v>
      </c>
      <c r="D1205" s="33" t="s">
        <v>621</v>
      </c>
      <c r="E1205" s="33" t="s">
        <v>638</v>
      </c>
      <c r="F1205" s="34">
        <v>44</v>
      </c>
    </row>
    <row r="1206" spans="1:6" x14ac:dyDescent="0.25">
      <c r="A1206" s="34">
        <v>42</v>
      </c>
      <c r="B1206" s="33" t="s">
        <v>619</v>
      </c>
      <c r="C1206" s="33" t="s">
        <v>634</v>
      </c>
      <c r="D1206" s="33" t="s">
        <v>630</v>
      </c>
      <c r="E1206" s="33" t="s">
        <v>639</v>
      </c>
      <c r="F1206" s="34">
        <v>75</v>
      </c>
    </row>
    <row r="1207" spans="1:6" x14ac:dyDescent="0.25">
      <c r="A1207" s="34">
        <v>42</v>
      </c>
      <c r="B1207" s="33" t="s">
        <v>619</v>
      </c>
      <c r="C1207" s="33" t="s">
        <v>634</v>
      </c>
      <c r="D1207" s="33" t="s">
        <v>630</v>
      </c>
      <c r="E1207" s="33" t="s">
        <v>640</v>
      </c>
      <c r="F1207" s="34">
        <v>78</v>
      </c>
    </row>
    <row r="1208" spans="1:6" x14ac:dyDescent="0.25">
      <c r="A1208" s="34">
        <v>42</v>
      </c>
      <c r="B1208" s="33" t="s">
        <v>619</v>
      </c>
      <c r="C1208" s="33" t="s">
        <v>634</v>
      </c>
      <c r="D1208" s="33" t="s">
        <v>630</v>
      </c>
      <c r="E1208" s="33" t="s">
        <v>641</v>
      </c>
      <c r="F1208" s="34">
        <v>78</v>
      </c>
    </row>
    <row r="1209" spans="1:6" x14ac:dyDescent="0.25">
      <c r="A1209" s="34">
        <v>42</v>
      </c>
      <c r="B1209" s="33" t="s">
        <v>619</v>
      </c>
      <c r="C1209" s="33" t="s">
        <v>642</v>
      </c>
      <c r="D1209" s="33" t="s">
        <v>621</v>
      </c>
      <c r="E1209" s="33" t="s">
        <v>643</v>
      </c>
      <c r="F1209" s="34">
        <v>5</v>
      </c>
    </row>
    <row r="1210" spans="1:6" x14ac:dyDescent="0.25">
      <c r="A1210" s="34">
        <v>42</v>
      </c>
      <c r="B1210" s="33" t="s">
        <v>619</v>
      </c>
      <c r="C1210" s="33" t="s">
        <v>642</v>
      </c>
      <c r="D1210" s="33" t="s">
        <v>621</v>
      </c>
      <c r="E1210" s="33" t="s">
        <v>644</v>
      </c>
      <c r="F1210" s="34">
        <v>5</v>
      </c>
    </row>
    <row r="1211" spans="1:6" x14ac:dyDescent="0.25">
      <c r="A1211" s="34">
        <v>42</v>
      </c>
      <c r="B1211" s="33" t="s">
        <v>619</v>
      </c>
      <c r="C1211" s="33" t="s">
        <v>642</v>
      </c>
      <c r="D1211" s="33" t="s">
        <v>621</v>
      </c>
      <c r="E1211" s="33" t="s">
        <v>645</v>
      </c>
      <c r="F1211" s="34">
        <v>5</v>
      </c>
    </row>
    <row r="1212" spans="1:6" x14ac:dyDescent="0.25">
      <c r="A1212" s="34">
        <v>42</v>
      </c>
      <c r="B1212" s="33" t="s">
        <v>619</v>
      </c>
      <c r="C1212" s="33" t="s">
        <v>642</v>
      </c>
      <c r="D1212" s="33" t="s">
        <v>621</v>
      </c>
      <c r="E1212" s="33" t="s">
        <v>646</v>
      </c>
      <c r="F1212" s="34">
        <v>5</v>
      </c>
    </row>
    <row r="1213" spans="1:6" x14ac:dyDescent="0.25">
      <c r="A1213" s="34">
        <v>42</v>
      </c>
      <c r="B1213" s="33" t="s">
        <v>619</v>
      </c>
      <c r="C1213" s="33" t="s">
        <v>642</v>
      </c>
      <c r="D1213" s="33" t="s">
        <v>621</v>
      </c>
      <c r="E1213" s="33" t="s">
        <v>647</v>
      </c>
      <c r="F1213" s="34">
        <v>5</v>
      </c>
    </row>
    <row r="1214" spans="1:6" x14ac:dyDescent="0.25">
      <c r="A1214" s="34">
        <v>42</v>
      </c>
      <c r="B1214" s="33" t="s">
        <v>619</v>
      </c>
      <c r="C1214" s="33" t="s">
        <v>642</v>
      </c>
      <c r="D1214" s="33" t="s">
        <v>621</v>
      </c>
      <c r="E1214" s="33" t="s">
        <v>648</v>
      </c>
      <c r="F1214" s="34">
        <v>5</v>
      </c>
    </row>
    <row r="1215" spans="1:6" x14ac:dyDescent="0.25">
      <c r="A1215" s="34">
        <v>42</v>
      </c>
      <c r="B1215" s="33" t="s">
        <v>619</v>
      </c>
      <c r="C1215" s="33" t="s">
        <v>642</v>
      </c>
      <c r="D1215" s="33" t="s">
        <v>621</v>
      </c>
      <c r="E1215" s="33" t="s">
        <v>649</v>
      </c>
      <c r="F1215" s="34">
        <v>50</v>
      </c>
    </row>
    <row r="1216" spans="1:6" x14ac:dyDescent="0.25">
      <c r="A1216" s="34">
        <v>42</v>
      </c>
      <c r="B1216" s="33" t="s">
        <v>619</v>
      </c>
      <c r="C1216" s="33" t="s">
        <v>642</v>
      </c>
      <c r="D1216" s="33" t="s">
        <v>630</v>
      </c>
      <c r="E1216" s="33" t="s">
        <v>650</v>
      </c>
      <c r="F1216" s="34">
        <v>75</v>
      </c>
    </row>
    <row r="1217" spans="1:6" x14ac:dyDescent="0.25">
      <c r="A1217" s="34">
        <v>42</v>
      </c>
      <c r="B1217" s="33" t="s">
        <v>619</v>
      </c>
      <c r="C1217" s="33" t="s">
        <v>642</v>
      </c>
      <c r="D1217" s="33" t="s">
        <v>630</v>
      </c>
      <c r="E1217" s="33" t="s">
        <v>651</v>
      </c>
      <c r="F1217" s="34">
        <v>85</v>
      </c>
    </row>
    <row r="1218" spans="1:6" x14ac:dyDescent="0.25">
      <c r="A1218" s="34">
        <v>42</v>
      </c>
      <c r="B1218" s="33" t="s">
        <v>619</v>
      </c>
      <c r="C1218" s="33" t="s">
        <v>642</v>
      </c>
      <c r="D1218" s="33" t="s">
        <v>630</v>
      </c>
      <c r="E1218" s="33" t="s">
        <v>652</v>
      </c>
      <c r="F1218" s="34">
        <v>85</v>
      </c>
    </row>
    <row r="1219" spans="1:6" x14ac:dyDescent="0.25">
      <c r="A1219" s="34">
        <v>42</v>
      </c>
      <c r="B1219" s="33" t="s">
        <v>619</v>
      </c>
      <c r="C1219" s="33" t="s">
        <v>653</v>
      </c>
      <c r="D1219" s="33" t="s">
        <v>653</v>
      </c>
      <c r="E1219" s="33" t="s">
        <v>654</v>
      </c>
      <c r="F1219" s="34">
        <v>82</v>
      </c>
    </row>
    <row r="1220" spans="1:6" x14ac:dyDescent="0.25">
      <c r="A1220" s="34">
        <v>43</v>
      </c>
      <c r="B1220" s="33" t="s">
        <v>619</v>
      </c>
      <c r="C1220" s="33" t="s">
        <v>620</v>
      </c>
      <c r="D1220" s="33" t="s">
        <v>621</v>
      </c>
      <c r="E1220" s="33" t="s">
        <v>622</v>
      </c>
      <c r="F1220" s="34">
        <v>0</v>
      </c>
    </row>
    <row r="1221" spans="1:6" x14ac:dyDescent="0.25">
      <c r="A1221" s="34">
        <v>43</v>
      </c>
      <c r="B1221" s="33" t="s">
        <v>619</v>
      </c>
      <c r="C1221" s="33" t="s">
        <v>620</v>
      </c>
      <c r="D1221" s="33" t="s">
        <v>621</v>
      </c>
      <c r="E1221" s="33" t="s">
        <v>623</v>
      </c>
      <c r="F1221" s="34">
        <v>0</v>
      </c>
    </row>
    <row r="1222" spans="1:6" x14ac:dyDescent="0.25">
      <c r="A1222" s="34">
        <v>43</v>
      </c>
      <c r="B1222" s="33" t="s">
        <v>619</v>
      </c>
      <c r="C1222" s="33" t="s">
        <v>620</v>
      </c>
      <c r="D1222" s="33" t="s">
        <v>621</v>
      </c>
      <c r="E1222" s="33" t="s">
        <v>624</v>
      </c>
      <c r="F1222" s="34">
        <v>0</v>
      </c>
    </row>
    <row r="1223" spans="1:6" x14ac:dyDescent="0.25">
      <c r="A1223" s="34">
        <v>43</v>
      </c>
      <c r="B1223" s="33" t="s">
        <v>619</v>
      </c>
      <c r="C1223" s="33" t="s">
        <v>620</v>
      </c>
      <c r="D1223" s="33" t="s">
        <v>621</v>
      </c>
      <c r="E1223" s="33" t="s">
        <v>625</v>
      </c>
      <c r="F1223" s="34">
        <v>1</v>
      </c>
    </row>
    <row r="1224" spans="1:6" x14ac:dyDescent="0.25">
      <c r="A1224" s="34">
        <v>43</v>
      </c>
      <c r="B1224" s="33" t="s">
        <v>619</v>
      </c>
      <c r="C1224" s="33" t="s">
        <v>620</v>
      </c>
      <c r="D1224" s="33" t="s">
        <v>621</v>
      </c>
      <c r="E1224" s="33" t="s">
        <v>626</v>
      </c>
      <c r="F1224" s="34">
        <v>0</v>
      </c>
    </row>
    <row r="1225" spans="1:6" x14ac:dyDescent="0.25">
      <c r="A1225" s="34">
        <v>43</v>
      </c>
      <c r="B1225" s="33" t="s">
        <v>619</v>
      </c>
      <c r="C1225" s="33" t="s">
        <v>620</v>
      </c>
      <c r="D1225" s="33" t="s">
        <v>621</v>
      </c>
      <c r="E1225" s="33" t="s">
        <v>627</v>
      </c>
      <c r="F1225" s="34">
        <v>1</v>
      </c>
    </row>
    <row r="1226" spans="1:6" x14ac:dyDescent="0.25">
      <c r="A1226" s="34">
        <v>43</v>
      </c>
      <c r="B1226" s="33" t="s">
        <v>619</v>
      </c>
      <c r="C1226" s="33" t="s">
        <v>620</v>
      </c>
      <c r="D1226" s="33" t="s">
        <v>621</v>
      </c>
      <c r="E1226" s="33" t="s">
        <v>628</v>
      </c>
      <c r="F1226" s="34">
        <v>5</v>
      </c>
    </row>
    <row r="1227" spans="1:6" x14ac:dyDescent="0.25">
      <c r="A1227" s="34">
        <v>43</v>
      </c>
      <c r="B1227" s="33" t="s">
        <v>619</v>
      </c>
      <c r="C1227" s="33" t="s">
        <v>620</v>
      </c>
      <c r="D1227" s="33" t="s">
        <v>621</v>
      </c>
      <c r="E1227" s="33" t="s">
        <v>629</v>
      </c>
      <c r="F1227" s="34">
        <v>44</v>
      </c>
    </row>
    <row r="1228" spans="1:6" x14ac:dyDescent="0.25">
      <c r="A1228" s="34">
        <v>43</v>
      </c>
      <c r="B1228" s="33" t="s">
        <v>619</v>
      </c>
      <c r="C1228" s="33" t="s">
        <v>620</v>
      </c>
      <c r="D1228" s="33" t="s">
        <v>630</v>
      </c>
      <c r="E1228" s="33" t="s">
        <v>631</v>
      </c>
      <c r="F1228" s="34">
        <v>83</v>
      </c>
    </row>
    <row r="1229" spans="1:6" x14ac:dyDescent="0.25">
      <c r="A1229" s="34">
        <v>43</v>
      </c>
      <c r="B1229" s="33" t="s">
        <v>619</v>
      </c>
      <c r="C1229" s="33" t="s">
        <v>620</v>
      </c>
      <c r="D1229" s="33" t="s">
        <v>630</v>
      </c>
      <c r="E1229" s="33" t="s">
        <v>632</v>
      </c>
      <c r="F1229" s="33" t="s">
        <v>462</v>
      </c>
    </row>
    <row r="1230" spans="1:6" x14ac:dyDescent="0.25">
      <c r="A1230" s="34">
        <v>43</v>
      </c>
      <c r="B1230" s="33" t="s">
        <v>619</v>
      </c>
      <c r="C1230" s="33" t="s">
        <v>620</v>
      </c>
      <c r="D1230" s="33" t="s">
        <v>630</v>
      </c>
      <c r="E1230" s="33" t="s">
        <v>633</v>
      </c>
      <c r="F1230" s="34">
        <v>83</v>
      </c>
    </row>
    <row r="1231" spans="1:6" x14ac:dyDescent="0.25">
      <c r="A1231" s="34">
        <v>43</v>
      </c>
      <c r="B1231" s="33" t="s">
        <v>619</v>
      </c>
      <c r="C1231" s="33" t="s">
        <v>634</v>
      </c>
      <c r="D1231" s="33" t="s">
        <v>621</v>
      </c>
      <c r="E1231" s="33" t="s">
        <v>635</v>
      </c>
      <c r="F1231" s="34">
        <v>1</v>
      </c>
    </row>
    <row r="1232" spans="1:6" x14ac:dyDescent="0.25">
      <c r="A1232" s="34">
        <v>43</v>
      </c>
      <c r="B1232" s="33" t="s">
        <v>619</v>
      </c>
      <c r="C1232" s="33" t="s">
        <v>634</v>
      </c>
      <c r="D1232" s="33" t="s">
        <v>621</v>
      </c>
      <c r="E1232" s="33" t="s">
        <v>636</v>
      </c>
      <c r="F1232" s="34">
        <v>1</v>
      </c>
    </row>
    <row r="1233" spans="1:6" x14ac:dyDescent="0.25">
      <c r="A1233" s="34">
        <v>43</v>
      </c>
      <c r="B1233" s="33" t="s">
        <v>619</v>
      </c>
      <c r="C1233" s="33" t="s">
        <v>634</v>
      </c>
      <c r="D1233" s="33" t="s">
        <v>621</v>
      </c>
      <c r="E1233" s="33" t="s">
        <v>637</v>
      </c>
      <c r="F1233" s="34">
        <v>5</v>
      </c>
    </row>
    <row r="1234" spans="1:6" x14ac:dyDescent="0.25">
      <c r="A1234" s="34">
        <v>43</v>
      </c>
      <c r="B1234" s="33" t="s">
        <v>619</v>
      </c>
      <c r="C1234" s="33" t="s">
        <v>634</v>
      </c>
      <c r="D1234" s="33" t="s">
        <v>621</v>
      </c>
      <c r="E1234" s="33" t="s">
        <v>638</v>
      </c>
      <c r="F1234" s="34">
        <v>39</v>
      </c>
    </row>
    <row r="1235" spans="1:6" x14ac:dyDescent="0.25">
      <c r="A1235" s="34">
        <v>43</v>
      </c>
      <c r="B1235" s="33" t="s">
        <v>619</v>
      </c>
      <c r="C1235" s="33" t="s">
        <v>634</v>
      </c>
      <c r="D1235" s="33" t="s">
        <v>630</v>
      </c>
      <c r="E1235" s="33" t="s">
        <v>639</v>
      </c>
      <c r="F1235" s="34">
        <v>80</v>
      </c>
    </row>
    <row r="1236" spans="1:6" x14ac:dyDescent="0.25">
      <c r="A1236" s="34">
        <v>43</v>
      </c>
      <c r="B1236" s="33" t="s">
        <v>619</v>
      </c>
      <c r="C1236" s="33" t="s">
        <v>634</v>
      </c>
      <c r="D1236" s="33" t="s">
        <v>630</v>
      </c>
      <c r="E1236" s="33" t="s">
        <v>640</v>
      </c>
      <c r="F1236" s="34">
        <v>76</v>
      </c>
    </row>
    <row r="1237" spans="1:6" x14ac:dyDescent="0.25">
      <c r="A1237" s="34">
        <v>43</v>
      </c>
      <c r="B1237" s="33" t="s">
        <v>619</v>
      </c>
      <c r="C1237" s="33" t="s">
        <v>634</v>
      </c>
      <c r="D1237" s="33" t="s">
        <v>630</v>
      </c>
      <c r="E1237" s="33" t="s">
        <v>641</v>
      </c>
      <c r="F1237" s="34">
        <v>80</v>
      </c>
    </row>
    <row r="1238" spans="1:6" x14ac:dyDescent="0.25">
      <c r="A1238" s="34">
        <v>43</v>
      </c>
      <c r="B1238" s="33" t="s">
        <v>619</v>
      </c>
      <c r="C1238" s="33" t="s">
        <v>642</v>
      </c>
      <c r="D1238" s="33" t="s">
        <v>621</v>
      </c>
      <c r="E1238" s="33" t="s">
        <v>643</v>
      </c>
      <c r="F1238" s="34">
        <v>5</v>
      </c>
    </row>
    <row r="1239" spans="1:6" x14ac:dyDescent="0.25">
      <c r="A1239" s="34">
        <v>43</v>
      </c>
      <c r="B1239" s="33" t="s">
        <v>619</v>
      </c>
      <c r="C1239" s="33" t="s">
        <v>642</v>
      </c>
      <c r="D1239" s="33" t="s">
        <v>621</v>
      </c>
      <c r="E1239" s="33" t="s">
        <v>644</v>
      </c>
      <c r="F1239" s="34">
        <v>5</v>
      </c>
    </row>
    <row r="1240" spans="1:6" x14ac:dyDescent="0.25">
      <c r="A1240" s="34">
        <v>43</v>
      </c>
      <c r="B1240" s="33" t="s">
        <v>619</v>
      </c>
      <c r="C1240" s="33" t="s">
        <v>642</v>
      </c>
      <c r="D1240" s="33" t="s">
        <v>621</v>
      </c>
      <c r="E1240" s="33" t="s">
        <v>645</v>
      </c>
      <c r="F1240" s="34">
        <v>5</v>
      </c>
    </row>
    <row r="1241" spans="1:6" x14ac:dyDescent="0.25">
      <c r="A1241" s="34">
        <v>43</v>
      </c>
      <c r="B1241" s="33" t="s">
        <v>619</v>
      </c>
      <c r="C1241" s="33" t="s">
        <v>642</v>
      </c>
      <c r="D1241" s="33" t="s">
        <v>621</v>
      </c>
      <c r="E1241" s="33" t="s">
        <v>646</v>
      </c>
      <c r="F1241" s="34">
        <v>5</v>
      </c>
    </row>
    <row r="1242" spans="1:6" x14ac:dyDescent="0.25">
      <c r="A1242" s="34">
        <v>43</v>
      </c>
      <c r="B1242" s="33" t="s">
        <v>619</v>
      </c>
      <c r="C1242" s="33" t="s">
        <v>642</v>
      </c>
      <c r="D1242" s="33" t="s">
        <v>621</v>
      </c>
      <c r="E1242" s="33" t="s">
        <v>647</v>
      </c>
      <c r="F1242" s="34">
        <v>0</v>
      </c>
    </row>
    <row r="1243" spans="1:6" x14ac:dyDescent="0.25">
      <c r="A1243" s="34">
        <v>43</v>
      </c>
      <c r="B1243" s="33" t="s">
        <v>619</v>
      </c>
      <c r="C1243" s="33" t="s">
        <v>642</v>
      </c>
      <c r="D1243" s="33" t="s">
        <v>621</v>
      </c>
      <c r="E1243" s="33" t="s">
        <v>648</v>
      </c>
      <c r="F1243" s="34">
        <v>0</v>
      </c>
    </row>
    <row r="1244" spans="1:6" x14ac:dyDescent="0.25">
      <c r="A1244" s="34">
        <v>43</v>
      </c>
      <c r="B1244" s="33" t="s">
        <v>619</v>
      </c>
      <c r="C1244" s="33" t="s">
        <v>642</v>
      </c>
      <c r="D1244" s="33" t="s">
        <v>621</v>
      </c>
      <c r="E1244" s="33" t="s">
        <v>649</v>
      </c>
      <c r="F1244" s="34">
        <v>50</v>
      </c>
    </row>
    <row r="1245" spans="1:6" x14ac:dyDescent="0.25">
      <c r="A1245" s="34">
        <v>43</v>
      </c>
      <c r="B1245" s="33" t="s">
        <v>619</v>
      </c>
      <c r="C1245" s="33" t="s">
        <v>642</v>
      </c>
      <c r="D1245" s="33" t="s">
        <v>630</v>
      </c>
      <c r="E1245" s="33" t="s">
        <v>650</v>
      </c>
      <c r="F1245" s="34">
        <v>75</v>
      </c>
    </row>
    <row r="1246" spans="1:6" x14ac:dyDescent="0.25">
      <c r="A1246" s="34">
        <v>43</v>
      </c>
      <c r="B1246" s="33" t="s">
        <v>619</v>
      </c>
      <c r="C1246" s="33" t="s">
        <v>642</v>
      </c>
      <c r="D1246" s="33" t="s">
        <v>630</v>
      </c>
      <c r="E1246" s="33" t="s">
        <v>651</v>
      </c>
      <c r="F1246" s="34">
        <v>82</v>
      </c>
    </row>
    <row r="1247" spans="1:6" x14ac:dyDescent="0.25">
      <c r="A1247" s="34">
        <v>43</v>
      </c>
      <c r="B1247" s="33" t="s">
        <v>619</v>
      </c>
      <c r="C1247" s="33" t="s">
        <v>642</v>
      </c>
      <c r="D1247" s="33" t="s">
        <v>630</v>
      </c>
      <c r="E1247" s="33" t="s">
        <v>652</v>
      </c>
      <c r="F1247" s="34">
        <v>82</v>
      </c>
    </row>
    <row r="1248" spans="1:6" x14ac:dyDescent="0.25">
      <c r="A1248" s="34">
        <v>43</v>
      </c>
      <c r="B1248" s="33" t="s">
        <v>619</v>
      </c>
      <c r="C1248" s="33" t="s">
        <v>653</v>
      </c>
      <c r="D1248" s="33" t="s">
        <v>653</v>
      </c>
      <c r="E1248" s="33" t="s">
        <v>654</v>
      </c>
      <c r="F1248" s="34">
        <v>85</v>
      </c>
    </row>
    <row r="1249" spans="1:6" x14ac:dyDescent="0.25">
      <c r="A1249" s="34">
        <v>44</v>
      </c>
      <c r="B1249" s="33" t="s">
        <v>619</v>
      </c>
      <c r="C1249" s="33" t="s">
        <v>620</v>
      </c>
      <c r="D1249" s="33" t="s">
        <v>621</v>
      </c>
      <c r="E1249" s="33" t="s">
        <v>622</v>
      </c>
      <c r="F1249" s="34">
        <v>1</v>
      </c>
    </row>
    <row r="1250" spans="1:6" x14ac:dyDescent="0.25">
      <c r="A1250" s="34">
        <v>44</v>
      </c>
      <c r="B1250" s="33" t="s">
        <v>619</v>
      </c>
      <c r="C1250" s="33" t="s">
        <v>620</v>
      </c>
      <c r="D1250" s="33" t="s">
        <v>621</v>
      </c>
      <c r="E1250" s="33" t="s">
        <v>623</v>
      </c>
      <c r="F1250" s="34">
        <v>1</v>
      </c>
    </row>
    <row r="1251" spans="1:6" x14ac:dyDescent="0.25">
      <c r="A1251" s="34">
        <v>44</v>
      </c>
      <c r="B1251" s="33" t="s">
        <v>619</v>
      </c>
      <c r="C1251" s="33" t="s">
        <v>620</v>
      </c>
      <c r="D1251" s="33" t="s">
        <v>621</v>
      </c>
      <c r="E1251" s="33" t="s">
        <v>624</v>
      </c>
      <c r="F1251" s="34">
        <v>1</v>
      </c>
    </row>
    <row r="1252" spans="1:6" x14ac:dyDescent="0.25">
      <c r="A1252" s="34">
        <v>44</v>
      </c>
      <c r="B1252" s="33" t="s">
        <v>619</v>
      </c>
      <c r="C1252" s="33" t="s">
        <v>620</v>
      </c>
      <c r="D1252" s="33" t="s">
        <v>621</v>
      </c>
      <c r="E1252" s="33" t="s">
        <v>625</v>
      </c>
      <c r="F1252" s="34">
        <v>0</v>
      </c>
    </row>
    <row r="1253" spans="1:6" x14ac:dyDescent="0.25">
      <c r="A1253" s="34">
        <v>44</v>
      </c>
      <c r="B1253" s="33" t="s">
        <v>619</v>
      </c>
      <c r="C1253" s="33" t="s">
        <v>620</v>
      </c>
      <c r="D1253" s="33" t="s">
        <v>621</v>
      </c>
      <c r="E1253" s="33" t="s">
        <v>626</v>
      </c>
      <c r="F1253" s="34">
        <v>0</v>
      </c>
    </row>
    <row r="1254" spans="1:6" x14ac:dyDescent="0.25">
      <c r="A1254" s="34">
        <v>44</v>
      </c>
      <c r="B1254" s="33" t="s">
        <v>619</v>
      </c>
      <c r="C1254" s="33" t="s">
        <v>620</v>
      </c>
      <c r="D1254" s="33" t="s">
        <v>621</v>
      </c>
      <c r="E1254" s="33" t="s">
        <v>627</v>
      </c>
      <c r="F1254" s="34">
        <v>1</v>
      </c>
    </row>
    <row r="1255" spans="1:6" x14ac:dyDescent="0.25">
      <c r="A1255" s="34">
        <v>44</v>
      </c>
      <c r="B1255" s="33" t="s">
        <v>619</v>
      </c>
      <c r="C1255" s="33" t="s">
        <v>620</v>
      </c>
      <c r="D1255" s="33" t="s">
        <v>621</v>
      </c>
      <c r="E1255" s="33" t="s">
        <v>628</v>
      </c>
      <c r="F1255" s="34">
        <v>5</v>
      </c>
    </row>
    <row r="1256" spans="1:6" x14ac:dyDescent="0.25">
      <c r="A1256" s="34">
        <v>44</v>
      </c>
      <c r="B1256" s="33" t="s">
        <v>619</v>
      </c>
      <c r="C1256" s="33" t="s">
        <v>620</v>
      </c>
      <c r="D1256" s="33" t="s">
        <v>621</v>
      </c>
      <c r="E1256" s="33" t="s">
        <v>629</v>
      </c>
      <c r="F1256" s="34">
        <v>50</v>
      </c>
    </row>
    <row r="1257" spans="1:6" x14ac:dyDescent="0.25">
      <c r="A1257" s="34">
        <v>44</v>
      </c>
      <c r="B1257" s="33" t="s">
        <v>619</v>
      </c>
      <c r="C1257" s="33" t="s">
        <v>620</v>
      </c>
      <c r="D1257" s="33" t="s">
        <v>630</v>
      </c>
      <c r="E1257" s="33" t="s">
        <v>631</v>
      </c>
      <c r="F1257" s="34">
        <v>63</v>
      </c>
    </row>
    <row r="1258" spans="1:6" x14ac:dyDescent="0.25">
      <c r="A1258" s="34">
        <v>44</v>
      </c>
      <c r="B1258" s="33" t="s">
        <v>619</v>
      </c>
      <c r="C1258" s="33" t="s">
        <v>620</v>
      </c>
      <c r="D1258" s="33" t="s">
        <v>630</v>
      </c>
      <c r="E1258" s="33" t="s">
        <v>632</v>
      </c>
      <c r="F1258" s="33" t="s">
        <v>462</v>
      </c>
    </row>
    <row r="1259" spans="1:6" x14ac:dyDescent="0.25">
      <c r="A1259" s="34">
        <v>44</v>
      </c>
      <c r="B1259" s="33" t="s">
        <v>619</v>
      </c>
      <c r="C1259" s="33" t="s">
        <v>620</v>
      </c>
      <c r="D1259" s="33" t="s">
        <v>630</v>
      </c>
      <c r="E1259" s="33" t="s">
        <v>633</v>
      </c>
      <c r="F1259" s="34">
        <v>63</v>
      </c>
    </row>
    <row r="1260" spans="1:6" x14ac:dyDescent="0.25">
      <c r="A1260" s="34">
        <v>44</v>
      </c>
      <c r="B1260" s="33" t="s">
        <v>619</v>
      </c>
      <c r="C1260" s="33" t="s">
        <v>634</v>
      </c>
      <c r="D1260" s="33" t="s">
        <v>621</v>
      </c>
      <c r="E1260" s="33" t="s">
        <v>635</v>
      </c>
      <c r="F1260" s="34">
        <v>1</v>
      </c>
    </row>
    <row r="1261" spans="1:6" x14ac:dyDescent="0.25">
      <c r="A1261" s="34">
        <v>44</v>
      </c>
      <c r="B1261" s="33" t="s">
        <v>619</v>
      </c>
      <c r="C1261" s="33" t="s">
        <v>634</v>
      </c>
      <c r="D1261" s="33" t="s">
        <v>621</v>
      </c>
      <c r="E1261" s="33" t="s">
        <v>636</v>
      </c>
      <c r="F1261" s="34">
        <v>0</v>
      </c>
    </row>
    <row r="1262" spans="1:6" x14ac:dyDescent="0.25">
      <c r="A1262" s="34">
        <v>44</v>
      </c>
      <c r="B1262" s="33" t="s">
        <v>619</v>
      </c>
      <c r="C1262" s="33" t="s">
        <v>634</v>
      </c>
      <c r="D1262" s="33" t="s">
        <v>621</v>
      </c>
      <c r="E1262" s="33" t="s">
        <v>637</v>
      </c>
      <c r="F1262" s="34">
        <v>5</v>
      </c>
    </row>
    <row r="1263" spans="1:6" x14ac:dyDescent="0.25">
      <c r="A1263" s="34">
        <v>44</v>
      </c>
      <c r="B1263" s="33" t="s">
        <v>619</v>
      </c>
      <c r="C1263" s="33" t="s">
        <v>634</v>
      </c>
      <c r="D1263" s="33" t="s">
        <v>621</v>
      </c>
      <c r="E1263" s="33" t="s">
        <v>638</v>
      </c>
      <c r="F1263" s="34">
        <v>49</v>
      </c>
    </row>
    <row r="1264" spans="1:6" x14ac:dyDescent="0.25">
      <c r="A1264" s="34">
        <v>44</v>
      </c>
      <c r="B1264" s="33" t="s">
        <v>619</v>
      </c>
      <c r="C1264" s="33" t="s">
        <v>634</v>
      </c>
      <c r="D1264" s="33" t="s">
        <v>630</v>
      </c>
      <c r="E1264" s="33" t="s">
        <v>639</v>
      </c>
      <c r="F1264" s="34">
        <v>0</v>
      </c>
    </row>
    <row r="1265" spans="1:6" x14ac:dyDescent="0.25">
      <c r="A1265" s="34">
        <v>44</v>
      </c>
      <c r="B1265" s="33" t="s">
        <v>619</v>
      </c>
      <c r="C1265" s="33" t="s">
        <v>634</v>
      </c>
      <c r="D1265" s="33" t="s">
        <v>630</v>
      </c>
      <c r="E1265" s="33" t="s">
        <v>640</v>
      </c>
      <c r="F1265" s="33" t="s">
        <v>462</v>
      </c>
    </row>
    <row r="1266" spans="1:6" x14ac:dyDescent="0.25">
      <c r="A1266" s="34">
        <v>44</v>
      </c>
      <c r="B1266" s="33" t="s">
        <v>619</v>
      </c>
      <c r="C1266" s="33" t="s">
        <v>634</v>
      </c>
      <c r="D1266" s="33" t="s">
        <v>630</v>
      </c>
      <c r="E1266" s="33" t="s">
        <v>641</v>
      </c>
      <c r="F1266" s="34">
        <v>0</v>
      </c>
    </row>
    <row r="1267" spans="1:6" x14ac:dyDescent="0.25">
      <c r="A1267" s="34">
        <v>44</v>
      </c>
      <c r="B1267" s="33" t="s">
        <v>619</v>
      </c>
      <c r="C1267" s="33" t="s">
        <v>642</v>
      </c>
      <c r="D1267" s="33" t="s">
        <v>621</v>
      </c>
      <c r="E1267" s="33" t="s">
        <v>643</v>
      </c>
      <c r="F1267" s="34">
        <v>0</v>
      </c>
    </row>
    <row r="1268" spans="1:6" x14ac:dyDescent="0.25">
      <c r="A1268" s="34">
        <v>44</v>
      </c>
      <c r="B1268" s="33" t="s">
        <v>619</v>
      </c>
      <c r="C1268" s="33" t="s">
        <v>642</v>
      </c>
      <c r="D1268" s="33" t="s">
        <v>621</v>
      </c>
      <c r="E1268" s="33" t="s">
        <v>644</v>
      </c>
      <c r="F1268" s="34">
        <v>0</v>
      </c>
    </row>
    <row r="1269" spans="1:6" x14ac:dyDescent="0.25">
      <c r="A1269" s="34">
        <v>44</v>
      </c>
      <c r="B1269" s="33" t="s">
        <v>619</v>
      </c>
      <c r="C1269" s="33" t="s">
        <v>642</v>
      </c>
      <c r="D1269" s="33" t="s">
        <v>621</v>
      </c>
      <c r="E1269" s="33" t="s">
        <v>645</v>
      </c>
      <c r="F1269" s="34">
        <v>0</v>
      </c>
    </row>
    <row r="1270" spans="1:6" x14ac:dyDescent="0.25">
      <c r="A1270" s="34">
        <v>44</v>
      </c>
      <c r="B1270" s="33" t="s">
        <v>619</v>
      </c>
      <c r="C1270" s="33" t="s">
        <v>642</v>
      </c>
      <c r="D1270" s="33" t="s">
        <v>621</v>
      </c>
      <c r="E1270" s="33" t="s">
        <v>646</v>
      </c>
      <c r="F1270" s="34">
        <v>0</v>
      </c>
    </row>
    <row r="1271" spans="1:6" x14ac:dyDescent="0.25">
      <c r="A1271" s="34">
        <v>44</v>
      </c>
      <c r="B1271" s="33" t="s">
        <v>619</v>
      </c>
      <c r="C1271" s="33" t="s">
        <v>642</v>
      </c>
      <c r="D1271" s="33" t="s">
        <v>621</v>
      </c>
      <c r="E1271" s="33" t="s">
        <v>647</v>
      </c>
      <c r="F1271" s="34">
        <v>0</v>
      </c>
    </row>
    <row r="1272" spans="1:6" x14ac:dyDescent="0.25">
      <c r="A1272" s="34">
        <v>44</v>
      </c>
      <c r="B1272" s="33" t="s">
        <v>619</v>
      </c>
      <c r="C1272" s="33" t="s">
        <v>642</v>
      </c>
      <c r="D1272" s="33" t="s">
        <v>621</v>
      </c>
      <c r="E1272" s="33" t="s">
        <v>648</v>
      </c>
      <c r="F1272" s="34">
        <v>0</v>
      </c>
    </row>
    <row r="1273" spans="1:6" x14ac:dyDescent="0.25">
      <c r="A1273" s="34">
        <v>44</v>
      </c>
      <c r="B1273" s="33" t="s">
        <v>619</v>
      </c>
      <c r="C1273" s="33" t="s">
        <v>642</v>
      </c>
      <c r="D1273" s="33" t="s">
        <v>621</v>
      </c>
      <c r="E1273" s="33" t="s">
        <v>649</v>
      </c>
      <c r="F1273" s="34">
        <v>45</v>
      </c>
    </row>
    <row r="1274" spans="1:6" x14ac:dyDescent="0.25">
      <c r="A1274" s="34">
        <v>44</v>
      </c>
      <c r="B1274" s="33" t="s">
        <v>619</v>
      </c>
      <c r="C1274" s="33" t="s">
        <v>642</v>
      </c>
      <c r="D1274" s="33" t="s">
        <v>630</v>
      </c>
      <c r="E1274" s="33" t="s">
        <v>650</v>
      </c>
      <c r="F1274" s="34">
        <v>62</v>
      </c>
    </row>
    <row r="1275" spans="1:6" x14ac:dyDescent="0.25">
      <c r="A1275" s="34">
        <v>44</v>
      </c>
      <c r="B1275" s="33" t="s">
        <v>619</v>
      </c>
      <c r="C1275" s="33" t="s">
        <v>642</v>
      </c>
      <c r="D1275" s="33" t="s">
        <v>630</v>
      </c>
      <c r="E1275" s="33" t="s">
        <v>651</v>
      </c>
      <c r="F1275" s="33" t="s">
        <v>462</v>
      </c>
    </row>
    <row r="1276" spans="1:6" x14ac:dyDescent="0.25">
      <c r="A1276" s="34">
        <v>44</v>
      </c>
      <c r="B1276" s="33" t="s">
        <v>619</v>
      </c>
      <c r="C1276" s="33" t="s">
        <v>642</v>
      </c>
      <c r="D1276" s="33" t="s">
        <v>630</v>
      </c>
      <c r="E1276" s="33" t="s">
        <v>652</v>
      </c>
      <c r="F1276" s="34">
        <v>62</v>
      </c>
    </row>
    <row r="1277" spans="1:6" x14ac:dyDescent="0.25">
      <c r="A1277" s="34">
        <v>44</v>
      </c>
      <c r="B1277" s="33" t="s">
        <v>619</v>
      </c>
      <c r="C1277" s="33" t="s">
        <v>653</v>
      </c>
      <c r="D1277" s="33" t="s">
        <v>653</v>
      </c>
      <c r="E1277" s="33" t="s">
        <v>654</v>
      </c>
      <c r="F1277" s="34">
        <v>62</v>
      </c>
    </row>
    <row r="1278" spans="1:6" x14ac:dyDescent="0.25">
      <c r="A1278" s="34">
        <v>45</v>
      </c>
      <c r="B1278" s="33" t="s">
        <v>619</v>
      </c>
      <c r="C1278" s="33" t="s">
        <v>620</v>
      </c>
      <c r="D1278" s="33" t="s">
        <v>621</v>
      </c>
      <c r="E1278" s="33" t="s">
        <v>622</v>
      </c>
      <c r="F1278" s="34">
        <v>1</v>
      </c>
    </row>
    <row r="1279" spans="1:6" x14ac:dyDescent="0.25">
      <c r="A1279" s="34">
        <v>45</v>
      </c>
      <c r="B1279" s="33" t="s">
        <v>619</v>
      </c>
      <c r="C1279" s="33" t="s">
        <v>620</v>
      </c>
      <c r="D1279" s="33" t="s">
        <v>621</v>
      </c>
      <c r="E1279" s="33" t="s">
        <v>623</v>
      </c>
      <c r="F1279" s="34">
        <v>1</v>
      </c>
    </row>
    <row r="1280" spans="1:6" x14ac:dyDescent="0.25">
      <c r="A1280" s="34">
        <v>45</v>
      </c>
      <c r="B1280" s="33" t="s">
        <v>619</v>
      </c>
      <c r="C1280" s="33" t="s">
        <v>620</v>
      </c>
      <c r="D1280" s="33" t="s">
        <v>621</v>
      </c>
      <c r="E1280" s="33" t="s">
        <v>624</v>
      </c>
      <c r="F1280" s="34">
        <v>1</v>
      </c>
    </row>
    <row r="1281" spans="1:6" x14ac:dyDescent="0.25">
      <c r="A1281" s="34">
        <v>45</v>
      </c>
      <c r="B1281" s="33" t="s">
        <v>619</v>
      </c>
      <c r="C1281" s="33" t="s">
        <v>620</v>
      </c>
      <c r="D1281" s="33" t="s">
        <v>621</v>
      </c>
      <c r="E1281" s="33" t="s">
        <v>625</v>
      </c>
      <c r="F1281" s="34">
        <v>0</v>
      </c>
    </row>
    <row r="1282" spans="1:6" x14ac:dyDescent="0.25">
      <c r="A1282" s="34">
        <v>45</v>
      </c>
      <c r="B1282" s="33" t="s">
        <v>619</v>
      </c>
      <c r="C1282" s="33" t="s">
        <v>620</v>
      </c>
      <c r="D1282" s="33" t="s">
        <v>621</v>
      </c>
      <c r="E1282" s="33" t="s">
        <v>626</v>
      </c>
      <c r="F1282" s="34">
        <v>0</v>
      </c>
    </row>
    <row r="1283" spans="1:6" x14ac:dyDescent="0.25">
      <c r="A1283" s="34">
        <v>45</v>
      </c>
      <c r="B1283" s="33" t="s">
        <v>619</v>
      </c>
      <c r="C1283" s="33" t="s">
        <v>620</v>
      </c>
      <c r="D1283" s="33" t="s">
        <v>621</v>
      </c>
      <c r="E1283" s="33" t="s">
        <v>627</v>
      </c>
      <c r="F1283" s="34">
        <v>1</v>
      </c>
    </row>
    <row r="1284" spans="1:6" x14ac:dyDescent="0.25">
      <c r="A1284" s="34">
        <v>45</v>
      </c>
      <c r="B1284" s="33" t="s">
        <v>619</v>
      </c>
      <c r="C1284" s="33" t="s">
        <v>620</v>
      </c>
      <c r="D1284" s="33" t="s">
        <v>621</v>
      </c>
      <c r="E1284" s="33" t="s">
        <v>628</v>
      </c>
      <c r="F1284" s="34">
        <v>5</v>
      </c>
    </row>
    <row r="1285" spans="1:6" x14ac:dyDescent="0.25">
      <c r="A1285" s="34">
        <v>45</v>
      </c>
      <c r="B1285" s="33" t="s">
        <v>619</v>
      </c>
      <c r="C1285" s="33" t="s">
        <v>620</v>
      </c>
      <c r="D1285" s="33" t="s">
        <v>621</v>
      </c>
      <c r="E1285" s="33" t="s">
        <v>629</v>
      </c>
      <c r="F1285" s="34">
        <v>48</v>
      </c>
    </row>
    <row r="1286" spans="1:6" x14ac:dyDescent="0.25">
      <c r="A1286" s="34">
        <v>45</v>
      </c>
      <c r="B1286" s="33" t="s">
        <v>619</v>
      </c>
      <c r="C1286" s="33" t="s">
        <v>620</v>
      </c>
      <c r="D1286" s="33" t="s">
        <v>630</v>
      </c>
      <c r="E1286" s="33" t="s">
        <v>631</v>
      </c>
      <c r="F1286" s="34">
        <v>78</v>
      </c>
    </row>
    <row r="1287" spans="1:6" x14ac:dyDescent="0.25">
      <c r="A1287" s="34">
        <v>45</v>
      </c>
      <c r="B1287" s="33" t="s">
        <v>619</v>
      </c>
      <c r="C1287" s="33" t="s">
        <v>620</v>
      </c>
      <c r="D1287" s="33" t="s">
        <v>630</v>
      </c>
      <c r="E1287" s="33" t="s">
        <v>632</v>
      </c>
      <c r="F1287" s="33" t="s">
        <v>462</v>
      </c>
    </row>
    <row r="1288" spans="1:6" x14ac:dyDescent="0.25">
      <c r="A1288" s="34">
        <v>45</v>
      </c>
      <c r="B1288" s="33" t="s">
        <v>619</v>
      </c>
      <c r="C1288" s="33" t="s">
        <v>620</v>
      </c>
      <c r="D1288" s="33" t="s">
        <v>630</v>
      </c>
      <c r="E1288" s="33" t="s">
        <v>633</v>
      </c>
      <c r="F1288" s="34">
        <v>78</v>
      </c>
    </row>
    <row r="1289" spans="1:6" x14ac:dyDescent="0.25">
      <c r="A1289" s="34">
        <v>45</v>
      </c>
      <c r="B1289" s="33" t="s">
        <v>619</v>
      </c>
      <c r="C1289" s="33" t="s">
        <v>634</v>
      </c>
      <c r="D1289" s="33" t="s">
        <v>621</v>
      </c>
      <c r="E1289" s="33" t="s">
        <v>635</v>
      </c>
      <c r="F1289" s="34">
        <v>1</v>
      </c>
    </row>
    <row r="1290" spans="1:6" x14ac:dyDescent="0.25">
      <c r="A1290" s="34">
        <v>45</v>
      </c>
      <c r="B1290" s="33" t="s">
        <v>619</v>
      </c>
      <c r="C1290" s="33" t="s">
        <v>634</v>
      </c>
      <c r="D1290" s="33" t="s">
        <v>621</v>
      </c>
      <c r="E1290" s="33" t="s">
        <v>636</v>
      </c>
      <c r="F1290" s="34">
        <v>1</v>
      </c>
    </row>
    <row r="1291" spans="1:6" x14ac:dyDescent="0.25">
      <c r="A1291" s="34">
        <v>45</v>
      </c>
      <c r="B1291" s="33" t="s">
        <v>619</v>
      </c>
      <c r="C1291" s="33" t="s">
        <v>634</v>
      </c>
      <c r="D1291" s="33" t="s">
        <v>621</v>
      </c>
      <c r="E1291" s="33" t="s">
        <v>637</v>
      </c>
      <c r="F1291" s="34">
        <v>5</v>
      </c>
    </row>
    <row r="1292" spans="1:6" x14ac:dyDescent="0.25">
      <c r="A1292" s="34">
        <v>45</v>
      </c>
      <c r="B1292" s="33" t="s">
        <v>619</v>
      </c>
      <c r="C1292" s="33" t="s">
        <v>634</v>
      </c>
      <c r="D1292" s="33" t="s">
        <v>621</v>
      </c>
      <c r="E1292" s="33" t="s">
        <v>638</v>
      </c>
      <c r="F1292" s="34">
        <v>50</v>
      </c>
    </row>
    <row r="1293" spans="1:6" x14ac:dyDescent="0.25">
      <c r="A1293" s="34">
        <v>45</v>
      </c>
      <c r="B1293" s="33" t="s">
        <v>619</v>
      </c>
      <c r="C1293" s="33" t="s">
        <v>634</v>
      </c>
      <c r="D1293" s="33" t="s">
        <v>630</v>
      </c>
      <c r="E1293" s="33" t="s">
        <v>639</v>
      </c>
      <c r="F1293" s="34">
        <v>68</v>
      </c>
    </row>
    <row r="1294" spans="1:6" x14ac:dyDescent="0.25">
      <c r="A1294" s="34">
        <v>45</v>
      </c>
      <c r="B1294" s="33" t="s">
        <v>619</v>
      </c>
      <c r="C1294" s="33" t="s">
        <v>634</v>
      </c>
      <c r="D1294" s="33" t="s">
        <v>630</v>
      </c>
      <c r="E1294" s="33" t="s">
        <v>640</v>
      </c>
      <c r="F1294" s="34">
        <v>75</v>
      </c>
    </row>
    <row r="1295" spans="1:6" x14ac:dyDescent="0.25">
      <c r="A1295" s="34">
        <v>45</v>
      </c>
      <c r="B1295" s="33" t="s">
        <v>619</v>
      </c>
      <c r="C1295" s="33" t="s">
        <v>634</v>
      </c>
      <c r="D1295" s="33" t="s">
        <v>630</v>
      </c>
      <c r="E1295" s="33" t="s">
        <v>641</v>
      </c>
      <c r="F1295" s="34">
        <v>75</v>
      </c>
    </row>
    <row r="1296" spans="1:6" x14ac:dyDescent="0.25">
      <c r="A1296" s="34">
        <v>45</v>
      </c>
      <c r="B1296" s="33" t="s">
        <v>619</v>
      </c>
      <c r="C1296" s="33" t="s">
        <v>642</v>
      </c>
      <c r="D1296" s="33" t="s">
        <v>621</v>
      </c>
      <c r="E1296" s="33" t="s">
        <v>643</v>
      </c>
      <c r="F1296" s="34">
        <v>5</v>
      </c>
    </row>
    <row r="1297" spans="1:6" x14ac:dyDescent="0.25">
      <c r="A1297" s="34">
        <v>45</v>
      </c>
      <c r="B1297" s="33" t="s">
        <v>619</v>
      </c>
      <c r="C1297" s="33" t="s">
        <v>642</v>
      </c>
      <c r="D1297" s="33" t="s">
        <v>621</v>
      </c>
      <c r="E1297" s="33" t="s">
        <v>644</v>
      </c>
      <c r="F1297" s="34">
        <v>0</v>
      </c>
    </row>
    <row r="1298" spans="1:6" x14ac:dyDescent="0.25">
      <c r="A1298" s="34">
        <v>45</v>
      </c>
      <c r="B1298" s="33" t="s">
        <v>619</v>
      </c>
      <c r="C1298" s="33" t="s">
        <v>642</v>
      </c>
      <c r="D1298" s="33" t="s">
        <v>621</v>
      </c>
      <c r="E1298" s="33" t="s">
        <v>645</v>
      </c>
      <c r="F1298" s="34">
        <v>5</v>
      </c>
    </row>
    <row r="1299" spans="1:6" x14ac:dyDescent="0.25">
      <c r="A1299" s="34">
        <v>45</v>
      </c>
      <c r="B1299" s="33" t="s">
        <v>619</v>
      </c>
      <c r="C1299" s="33" t="s">
        <v>642</v>
      </c>
      <c r="D1299" s="33" t="s">
        <v>621</v>
      </c>
      <c r="E1299" s="33" t="s">
        <v>646</v>
      </c>
      <c r="F1299" s="34">
        <v>5</v>
      </c>
    </row>
    <row r="1300" spans="1:6" x14ac:dyDescent="0.25">
      <c r="A1300" s="34">
        <v>45</v>
      </c>
      <c r="B1300" s="33" t="s">
        <v>619</v>
      </c>
      <c r="C1300" s="33" t="s">
        <v>642</v>
      </c>
      <c r="D1300" s="33" t="s">
        <v>621</v>
      </c>
      <c r="E1300" s="33" t="s">
        <v>647</v>
      </c>
      <c r="F1300" s="34">
        <v>0</v>
      </c>
    </row>
    <row r="1301" spans="1:6" x14ac:dyDescent="0.25">
      <c r="A1301" s="34">
        <v>45</v>
      </c>
      <c r="B1301" s="33" t="s">
        <v>619</v>
      </c>
      <c r="C1301" s="33" t="s">
        <v>642</v>
      </c>
      <c r="D1301" s="33" t="s">
        <v>621</v>
      </c>
      <c r="E1301" s="33" t="s">
        <v>648</v>
      </c>
      <c r="F1301" s="34">
        <v>0</v>
      </c>
    </row>
    <row r="1302" spans="1:6" x14ac:dyDescent="0.25">
      <c r="A1302" s="34">
        <v>45</v>
      </c>
      <c r="B1302" s="33" t="s">
        <v>619</v>
      </c>
      <c r="C1302" s="33" t="s">
        <v>642</v>
      </c>
      <c r="D1302" s="33" t="s">
        <v>621</v>
      </c>
      <c r="E1302" s="33" t="s">
        <v>649</v>
      </c>
      <c r="F1302" s="34">
        <v>50</v>
      </c>
    </row>
    <row r="1303" spans="1:6" x14ac:dyDescent="0.25">
      <c r="A1303" s="34">
        <v>45</v>
      </c>
      <c r="B1303" s="33" t="s">
        <v>619</v>
      </c>
      <c r="C1303" s="33" t="s">
        <v>642</v>
      </c>
      <c r="D1303" s="33" t="s">
        <v>630</v>
      </c>
      <c r="E1303" s="33" t="s">
        <v>650</v>
      </c>
      <c r="F1303" s="34">
        <v>78</v>
      </c>
    </row>
    <row r="1304" spans="1:6" x14ac:dyDescent="0.25">
      <c r="A1304" s="34">
        <v>45</v>
      </c>
      <c r="B1304" s="33" t="s">
        <v>619</v>
      </c>
      <c r="C1304" s="33" t="s">
        <v>642</v>
      </c>
      <c r="D1304" s="33" t="s">
        <v>630</v>
      </c>
      <c r="E1304" s="33" t="s">
        <v>651</v>
      </c>
      <c r="F1304" s="33" t="s">
        <v>462</v>
      </c>
    </row>
    <row r="1305" spans="1:6" x14ac:dyDescent="0.25">
      <c r="A1305" s="34">
        <v>45</v>
      </c>
      <c r="B1305" s="33" t="s">
        <v>619</v>
      </c>
      <c r="C1305" s="33" t="s">
        <v>642</v>
      </c>
      <c r="D1305" s="33" t="s">
        <v>630</v>
      </c>
      <c r="E1305" s="33" t="s">
        <v>652</v>
      </c>
      <c r="F1305" s="34">
        <v>78</v>
      </c>
    </row>
    <row r="1306" spans="1:6" x14ac:dyDescent="0.25">
      <c r="A1306" s="34">
        <v>45</v>
      </c>
      <c r="B1306" s="33" t="s">
        <v>619</v>
      </c>
      <c r="C1306" s="33" t="s">
        <v>653</v>
      </c>
      <c r="D1306" s="33" t="s">
        <v>653</v>
      </c>
      <c r="E1306" s="33" t="s">
        <v>654</v>
      </c>
      <c r="F1306" s="34">
        <v>65</v>
      </c>
    </row>
    <row r="1307" spans="1:6" x14ac:dyDescent="0.25">
      <c r="A1307" s="34">
        <v>46</v>
      </c>
      <c r="B1307" s="33" t="s">
        <v>619</v>
      </c>
      <c r="C1307" s="33" t="s">
        <v>620</v>
      </c>
      <c r="D1307" s="33" t="s">
        <v>621</v>
      </c>
      <c r="E1307" s="33" t="s">
        <v>622</v>
      </c>
      <c r="F1307" s="34">
        <v>0</v>
      </c>
    </row>
    <row r="1308" spans="1:6" x14ac:dyDescent="0.25">
      <c r="A1308" s="34">
        <v>46</v>
      </c>
      <c r="B1308" s="33" t="s">
        <v>619</v>
      </c>
      <c r="C1308" s="33" t="s">
        <v>620</v>
      </c>
      <c r="D1308" s="33" t="s">
        <v>621</v>
      </c>
      <c r="E1308" s="33" t="s">
        <v>623</v>
      </c>
      <c r="F1308" s="34">
        <v>1</v>
      </c>
    </row>
    <row r="1309" spans="1:6" x14ac:dyDescent="0.25">
      <c r="A1309" s="34">
        <v>46</v>
      </c>
      <c r="B1309" s="33" t="s">
        <v>619</v>
      </c>
      <c r="C1309" s="33" t="s">
        <v>620</v>
      </c>
      <c r="D1309" s="33" t="s">
        <v>621</v>
      </c>
      <c r="E1309" s="33" t="s">
        <v>624</v>
      </c>
      <c r="F1309" s="34">
        <v>1</v>
      </c>
    </row>
    <row r="1310" spans="1:6" x14ac:dyDescent="0.25">
      <c r="A1310" s="34">
        <v>46</v>
      </c>
      <c r="B1310" s="33" t="s">
        <v>619</v>
      </c>
      <c r="C1310" s="33" t="s">
        <v>620</v>
      </c>
      <c r="D1310" s="33" t="s">
        <v>621</v>
      </c>
      <c r="E1310" s="33" t="s">
        <v>625</v>
      </c>
      <c r="F1310" s="34">
        <v>1</v>
      </c>
    </row>
    <row r="1311" spans="1:6" x14ac:dyDescent="0.25">
      <c r="A1311" s="34">
        <v>46</v>
      </c>
      <c r="B1311" s="33" t="s">
        <v>619</v>
      </c>
      <c r="C1311" s="33" t="s">
        <v>620</v>
      </c>
      <c r="D1311" s="33" t="s">
        <v>621</v>
      </c>
      <c r="E1311" s="33" t="s">
        <v>626</v>
      </c>
      <c r="F1311" s="34">
        <v>1</v>
      </c>
    </row>
    <row r="1312" spans="1:6" x14ac:dyDescent="0.25">
      <c r="A1312" s="34">
        <v>46</v>
      </c>
      <c r="B1312" s="33" t="s">
        <v>619</v>
      </c>
      <c r="C1312" s="33" t="s">
        <v>620</v>
      </c>
      <c r="D1312" s="33" t="s">
        <v>621</v>
      </c>
      <c r="E1312" s="33" t="s">
        <v>627</v>
      </c>
      <c r="F1312" s="34">
        <v>1</v>
      </c>
    </row>
    <row r="1313" spans="1:6" x14ac:dyDescent="0.25">
      <c r="A1313" s="34">
        <v>46</v>
      </c>
      <c r="B1313" s="33" t="s">
        <v>619</v>
      </c>
      <c r="C1313" s="33" t="s">
        <v>620</v>
      </c>
      <c r="D1313" s="33" t="s">
        <v>621</v>
      </c>
      <c r="E1313" s="33" t="s">
        <v>628</v>
      </c>
      <c r="F1313" s="34">
        <v>5</v>
      </c>
    </row>
    <row r="1314" spans="1:6" x14ac:dyDescent="0.25">
      <c r="A1314" s="34">
        <v>46</v>
      </c>
      <c r="B1314" s="33" t="s">
        <v>619</v>
      </c>
      <c r="C1314" s="33" t="s">
        <v>620</v>
      </c>
      <c r="D1314" s="33" t="s">
        <v>621</v>
      </c>
      <c r="E1314" s="33" t="s">
        <v>629</v>
      </c>
      <c r="F1314" s="34">
        <v>42</v>
      </c>
    </row>
    <row r="1315" spans="1:6" x14ac:dyDescent="0.25">
      <c r="A1315" s="34">
        <v>46</v>
      </c>
      <c r="B1315" s="33" t="s">
        <v>619</v>
      </c>
      <c r="C1315" s="33" t="s">
        <v>620</v>
      </c>
      <c r="D1315" s="33" t="s">
        <v>630</v>
      </c>
      <c r="E1315" s="33" t="s">
        <v>631</v>
      </c>
      <c r="F1315" s="34">
        <v>93</v>
      </c>
    </row>
    <row r="1316" spans="1:6" x14ac:dyDescent="0.25">
      <c r="A1316" s="34">
        <v>46</v>
      </c>
      <c r="B1316" s="33" t="s">
        <v>619</v>
      </c>
      <c r="C1316" s="33" t="s">
        <v>620</v>
      </c>
      <c r="D1316" s="33" t="s">
        <v>630</v>
      </c>
      <c r="E1316" s="33" t="s">
        <v>632</v>
      </c>
      <c r="F1316" s="33" t="s">
        <v>462</v>
      </c>
    </row>
    <row r="1317" spans="1:6" x14ac:dyDescent="0.25">
      <c r="A1317" s="34">
        <v>46</v>
      </c>
      <c r="B1317" s="33" t="s">
        <v>619</v>
      </c>
      <c r="C1317" s="33" t="s">
        <v>620</v>
      </c>
      <c r="D1317" s="33" t="s">
        <v>630</v>
      </c>
      <c r="E1317" s="33" t="s">
        <v>633</v>
      </c>
      <c r="F1317" s="34">
        <v>93</v>
      </c>
    </row>
    <row r="1318" spans="1:6" x14ac:dyDescent="0.25">
      <c r="A1318" s="34">
        <v>46</v>
      </c>
      <c r="B1318" s="33" t="s">
        <v>619</v>
      </c>
      <c r="C1318" s="33" t="s">
        <v>634</v>
      </c>
      <c r="D1318" s="33" t="s">
        <v>621</v>
      </c>
      <c r="E1318" s="33" t="s">
        <v>635</v>
      </c>
      <c r="F1318" s="34">
        <v>1</v>
      </c>
    </row>
    <row r="1319" spans="1:6" x14ac:dyDescent="0.25">
      <c r="A1319" s="34">
        <v>46</v>
      </c>
      <c r="B1319" s="33" t="s">
        <v>619</v>
      </c>
      <c r="C1319" s="33" t="s">
        <v>634</v>
      </c>
      <c r="D1319" s="33" t="s">
        <v>621</v>
      </c>
      <c r="E1319" s="33" t="s">
        <v>636</v>
      </c>
      <c r="F1319" s="34">
        <v>1</v>
      </c>
    </row>
    <row r="1320" spans="1:6" x14ac:dyDescent="0.25">
      <c r="A1320" s="34">
        <v>46</v>
      </c>
      <c r="B1320" s="33" t="s">
        <v>619</v>
      </c>
      <c r="C1320" s="33" t="s">
        <v>634</v>
      </c>
      <c r="D1320" s="33" t="s">
        <v>621</v>
      </c>
      <c r="E1320" s="33" t="s">
        <v>637</v>
      </c>
      <c r="F1320" s="34">
        <v>5</v>
      </c>
    </row>
    <row r="1321" spans="1:6" x14ac:dyDescent="0.25">
      <c r="A1321" s="34">
        <v>46</v>
      </c>
      <c r="B1321" s="33" t="s">
        <v>619</v>
      </c>
      <c r="C1321" s="33" t="s">
        <v>634</v>
      </c>
      <c r="D1321" s="33" t="s">
        <v>621</v>
      </c>
      <c r="E1321" s="33" t="s">
        <v>638</v>
      </c>
      <c r="F1321" s="34">
        <v>41</v>
      </c>
    </row>
    <row r="1322" spans="1:6" x14ac:dyDescent="0.25">
      <c r="A1322" s="34">
        <v>46</v>
      </c>
      <c r="B1322" s="33" t="s">
        <v>619</v>
      </c>
      <c r="C1322" s="33" t="s">
        <v>634</v>
      </c>
      <c r="D1322" s="33" t="s">
        <v>630</v>
      </c>
      <c r="E1322" s="33" t="s">
        <v>639</v>
      </c>
      <c r="F1322" s="34">
        <v>86</v>
      </c>
    </row>
    <row r="1323" spans="1:6" x14ac:dyDescent="0.25">
      <c r="A1323" s="34">
        <v>46</v>
      </c>
      <c r="B1323" s="33" t="s">
        <v>619</v>
      </c>
      <c r="C1323" s="33" t="s">
        <v>634</v>
      </c>
      <c r="D1323" s="33" t="s">
        <v>630</v>
      </c>
      <c r="E1323" s="33" t="s">
        <v>640</v>
      </c>
      <c r="F1323" s="33" t="s">
        <v>462</v>
      </c>
    </row>
    <row r="1324" spans="1:6" x14ac:dyDescent="0.25">
      <c r="A1324" s="34">
        <v>46</v>
      </c>
      <c r="B1324" s="33" t="s">
        <v>619</v>
      </c>
      <c r="C1324" s="33" t="s">
        <v>634</v>
      </c>
      <c r="D1324" s="33" t="s">
        <v>630</v>
      </c>
      <c r="E1324" s="33" t="s">
        <v>641</v>
      </c>
      <c r="F1324" s="34">
        <v>86</v>
      </c>
    </row>
    <row r="1325" spans="1:6" x14ac:dyDescent="0.25">
      <c r="A1325" s="34">
        <v>46</v>
      </c>
      <c r="B1325" s="33" t="s">
        <v>619</v>
      </c>
      <c r="C1325" s="33" t="s">
        <v>642</v>
      </c>
      <c r="D1325" s="33" t="s">
        <v>621</v>
      </c>
      <c r="E1325" s="33" t="s">
        <v>643</v>
      </c>
      <c r="F1325" s="34">
        <v>0</v>
      </c>
    </row>
    <row r="1326" spans="1:6" x14ac:dyDescent="0.25">
      <c r="A1326" s="34">
        <v>46</v>
      </c>
      <c r="B1326" s="33" t="s">
        <v>619</v>
      </c>
      <c r="C1326" s="33" t="s">
        <v>642</v>
      </c>
      <c r="D1326" s="33" t="s">
        <v>621</v>
      </c>
      <c r="E1326" s="33" t="s">
        <v>644</v>
      </c>
      <c r="F1326" s="34">
        <v>0</v>
      </c>
    </row>
    <row r="1327" spans="1:6" x14ac:dyDescent="0.25">
      <c r="A1327" s="34">
        <v>46</v>
      </c>
      <c r="B1327" s="33" t="s">
        <v>619</v>
      </c>
      <c r="C1327" s="33" t="s">
        <v>642</v>
      </c>
      <c r="D1327" s="33" t="s">
        <v>621</v>
      </c>
      <c r="E1327" s="33" t="s">
        <v>645</v>
      </c>
      <c r="F1327" s="34">
        <v>0</v>
      </c>
    </row>
    <row r="1328" spans="1:6" x14ac:dyDescent="0.25">
      <c r="A1328" s="34">
        <v>46</v>
      </c>
      <c r="B1328" s="33" t="s">
        <v>619</v>
      </c>
      <c r="C1328" s="33" t="s">
        <v>642</v>
      </c>
      <c r="D1328" s="33" t="s">
        <v>621</v>
      </c>
      <c r="E1328" s="33" t="s">
        <v>646</v>
      </c>
      <c r="F1328" s="34">
        <v>0</v>
      </c>
    </row>
    <row r="1329" spans="1:6" x14ac:dyDescent="0.25">
      <c r="A1329" s="34">
        <v>46</v>
      </c>
      <c r="B1329" s="33" t="s">
        <v>619</v>
      </c>
      <c r="C1329" s="33" t="s">
        <v>642</v>
      </c>
      <c r="D1329" s="33" t="s">
        <v>621</v>
      </c>
      <c r="E1329" s="33" t="s">
        <v>647</v>
      </c>
      <c r="F1329" s="34">
        <v>0</v>
      </c>
    </row>
    <row r="1330" spans="1:6" x14ac:dyDescent="0.25">
      <c r="A1330" s="34">
        <v>46</v>
      </c>
      <c r="B1330" s="33" t="s">
        <v>619</v>
      </c>
      <c r="C1330" s="33" t="s">
        <v>642</v>
      </c>
      <c r="D1330" s="33" t="s">
        <v>621</v>
      </c>
      <c r="E1330" s="33" t="s">
        <v>648</v>
      </c>
      <c r="F1330" s="34">
        <v>0</v>
      </c>
    </row>
    <row r="1331" spans="1:6" x14ac:dyDescent="0.25">
      <c r="A1331" s="34">
        <v>46</v>
      </c>
      <c r="B1331" s="33" t="s">
        <v>619</v>
      </c>
      <c r="C1331" s="33" t="s">
        <v>642</v>
      </c>
      <c r="D1331" s="33" t="s">
        <v>621</v>
      </c>
      <c r="E1331" s="33" t="s">
        <v>649</v>
      </c>
      <c r="F1331" s="34">
        <v>46</v>
      </c>
    </row>
    <row r="1332" spans="1:6" x14ac:dyDescent="0.25">
      <c r="A1332" s="34">
        <v>46</v>
      </c>
      <c r="B1332" s="33" t="s">
        <v>619</v>
      </c>
      <c r="C1332" s="33" t="s">
        <v>642</v>
      </c>
      <c r="D1332" s="33" t="s">
        <v>630</v>
      </c>
      <c r="E1332" s="33" t="s">
        <v>650</v>
      </c>
      <c r="F1332" s="34">
        <v>82</v>
      </c>
    </row>
    <row r="1333" spans="1:6" x14ac:dyDescent="0.25">
      <c r="A1333" s="34">
        <v>46</v>
      </c>
      <c r="B1333" s="33" t="s">
        <v>619</v>
      </c>
      <c r="C1333" s="33" t="s">
        <v>642</v>
      </c>
      <c r="D1333" s="33" t="s">
        <v>630</v>
      </c>
      <c r="E1333" s="33" t="s">
        <v>651</v>
      </c>
      <c r="F1333" s="33" t="s">
        <v>462</v>
      </c>
    </row>
    <row r="1334" spans="1:6" x14ac:dyDescent="0.25">
      <c r="A1334" s="34">
        <v>46</v>
      </c>
      <c r="B1334" s="33" t="s">
        <v>619</v>
      </c>
      <c r="C1334" s="33" t="s">
        <v>642</v>
      </c>
      <c r="D1334" s="33" t="s">
        <v>630</v>
      </c>
      <c r="E1334" s="33" t="s">
        <v>652</v>
      </c>
      <c r="F1334" s="34">
        <v>82</v>
      </c>
    </row>
    <row r="1335" spans="1:6" x14ac:dyDescent="0.25">
      <c r="A1335" s="34">
        <v>46</v>
      </c>
      <c r="B1335" s="33" t="s">
        <v>619</v>
      </c>
      <c r="C1335" s="33" t="s">
        <v>653</v>
      </c>
      <c r="D1335" s="33" t="s">
        <v>653</v>
      </c>
      <c r="E1335" s="33" t="s">
        <v>654</v>
      </c>
      <c r="F1335" s="34">
        <v>82</v>
      </c>
    </row>
    <row r="1336" spans="1:6" x14ac:dyDescent="0.25">
      <c r="A1336" s="34">
        <v>47</v>
      </c>
      <c r="B1336" s="33" t="s">
        <v>619</v>
      </c>
      <c r="C1336" s="33" t="s">
        <v>620</v>
      </c>
      <c r="D1336" s="33" t="s">
        <v>621</v>
      </c>
      <c r="E1336" s="33" t="s">
        <v>622</v>
      </c>
      <c r="F1336" s="34">
        <v>1</v>
      </c>
    </row>
    <row r="1337" spans="1:6" x14ac:dyDescent="0.25">
      <c r="A1337" s="34">
        <v>47</v>
      </c>
      <c r="B1337" s="33" t="s">
        <v>619</v>
      </c>
      <c r="C1337" s="33" t="s">
        <v>620</v>
      </c>
      <c r="D1337" s="33" t="s">
        <v>621</v>
      </c>
      <c r="E1337" s="33" t="s">
        <v>623</v>
      </c>
      <c r="F1337" s="34">
        <v>1</v>
      </c>
    </row>
    <row r="1338" spans="1:6" x14ac:dyDescent="0.25">
      <c r="A1338" s="34">
        <v>47</v>
      </c>
      <c r="B1338" s="33" t="s">
        <v>619</v>
      </c>
      <c r="C1338" s="33" t="s">
        <v>620</v>
      </c>
      <c r="D1338" s="33" t="s">
        <v>621</v>
      </c>
      <c r="E1338" s="33" t="s">
        <v>624</v>
      </c>
      <c r="F1338" s="34">
        <v>1</v>
      </c>
    </row>
    <row r="1339" spans="1:6" x14ac:dyDescent="0.25">
      <c r="A1339" s="34">
        <v>47</v>
      </c>
      <c r="B1339" s="33" t="s">
        <v>619</v>
      </c>
      <c r="C1339" s="33" t="s">
        <v>620</v>
      </c>
      <c r="D1339" s="33" t="s">
        <v>621</v>
      </c>
      <c r="E1339" s="33" t="s">
        <v>625</v>
      </c>
      <c r="F1339" s="34">
        <v>1</v>
      </c>
    </row>
    <row r="1340" spans="1:6" x14ac:dyDescent="0.25">
      <c r="A1340" s="34">
        <v>47</v>
      </c>
      <c r="B1340" s="33" t="s">
        <v>619</v>
      </c>
      <c r="C1340" s="33" t="s">
        <v>620</v>
      </c>
      <c r="D1340" s="33" t="s">
        <v>621</v>
      </c>
      <c r="E1340" s="33" t="s">
        <v>626</v>
      </c>
      <c r="F1340" s="34">
        <v>1</v>
      </c>
    </row>
    <row r="1341" spans="1:6" x14ac:dyDescent="0.25">
      <c r="A1341" s="34">
        <v>47</v>
      </c>
      <c r="B1341" s="33" t="s">
        <v>619</v>
      </c>
      <c r="C1341" s="33" t="s">
        <v>620</v>
      </c>
      <c r="D1341" s="33" t="s">
        <v>621</v>
      </c>
      <c r="E1341" s="33" t="s">
        <v>627</v>
      </c>
      <c r="F1341" s="34">
        <v>1</v>
      </c>
    </row>
    <row r="1342" spans="1:6" x14ac:dyDescent="0.25">
      <c r="A1342" s="34">
        <v>47</v>
      </c>
      <c r="B1342" s="33" t="s">
        <v>619</v>
      </c>
      <c r="C1342" s="33" t="s">
        <v>620</v>
      </c>
      <c r="D1342" s="33" t="s">
        <v>621</v>
      </c>
      <c r="E1342" s="33" t="s">
        <v>628</v>
      </c>
      <c r="F1342" s="34">
        <v>5</v>
      </c>
    </row>
    <row r="1343" spans="1:6" x14ac:dyDescent="0.25">
      <c r="A1343" s="34">
        <v>47</v>
      </c>
      <c r="B1343" s="33" t="s">
        <v>619</v>
      </c>
      <c r="C1343" s="33" t="s">
        <v>620</v>
      </c>
      <c r="D1343" s="33" t="s">
        <v>621</v>
      </c>
      <c r="E1343" s="33" t="s">
        <v>629</v>
      </c>
      <c r="F1343" s="34">
        <v>48</v>
      </c>
    </row>
    <row r="1344" spans="1:6" x14ac:dyDescent="0.25">
      <c r="A1344" s="34">
        <v>47</v>
      </c>
      <c r="B1344" s="33" t="s">
        <v>619</v>
      </c>
      <c r="C1344" s="33" t="s">
        <v>620</v>
      </c>
      <c r="D1344" s="33" t="s">
        <v>630</v>
      </c>
      <c r="E1344" s="33" t="s">
        <v>631</v>
      </c>
      <c r="F1344" s="34">
        <v>100</v>
      </c>
    </row>
    <row r="1345" spans="1:6" x14ac:dyDescent="0.25">
      <c r="A1345" s="34">
        <v>47</v>
      </c>
      <c r="B1345" s="33" t="s">
        <v>619</v>
      </c>
      <c r="C1345" s="33" t="s">
        <v>620</v>
      </c>
      <c r="D1345" s="33" t="s">
        <v>630</v>
      </c>
      <c r="E1345" s="33" t="s">
        <v>632</v>
      </c>
      <c r="F1345" s="33" t="s">
        <v>462</v>
      </c>
    </row>
    <row r="1346" spans="1:6" x14ac:dyDescent="0.25">
      <c r="A1346" s="34">
        <v>47</v>
      </c>
      <c r="B1346" s="33" t="s">
        <v>619</v>
      </c>
      <c r="C1346" s="33" t="s">
        <v>620</v>
      </c>
      <c r="D1346" s="33" t="s">
        <v>630</v>
      </c>
      <c r="E1346" s="33" t="s">
        <v>633</v>
      </c>
      <c r="F1346" s="34">
        <v>100</v>
      </c>
    </row>
    <row r="1347" spans="1:6" x14ac:dyDescent="0.25">
      <c r="A1347" s="34">
        <v>47</v>
      </c>
      <c r="B1347" s="33" t="s">
        <v>619</v>
      </c>
      <c r="C1347" s="33" t="s">
        <v>634</v>
      </c>
      <c r="D1347" s="33" t="s">
        <v>621</v>
      </c>
      <c r="E1347" s="33" t="s">
        <v>635</v>
      </c>
      <c r="F1347" s="34">
        <v>1</v>
      </c>
    </row>
    <row r="1348" spans="1:6" x14ac:dyDescent="0.25">
      <c r="A1348" s="34">
        <v>47</v>
      </c>
      <c r="B1348" s="33" t="s">
        <v>619</v>
      </c>
      <c r="C1348" s="33" t="s">
        <v>634</v>
      </c>
      <c r="D1348" s="33" t="s">
        <v>621</v>
      </c>
      <c r="E1348" s="33" t="s">
        <v>636</v>
      </c>
      <c r="F1348" s="34">
        <v>1</v>
      </c>
    </row>
    <row r="1349" spans="1:6" x14ac:dyDescent="0.25">
      <c r="A1349" s="34">
        <v>47</v>
      </c>
      <c r="B1349" s="33" t="s">
        <v>619</v>
      </c>
      <c r="C1349" s="33" t="s">
        <v>634</v>
      </c>
      <c r="D1349" s="33" t="s">
        <v>621</v>
      </c>
      <c r="E1349" s="33" t="s">
        <v>637</v>
      </c>
      <c r="F1349" s="34">
        <v>5</v>
      </c>
    </row>
    <row r="1350" spans="1:6" x14ac:dyDescent="0.25">
      <c r="A1350" s="34">
        <v>47</v>
      </c>
      <c r="B1350" s="33" t="s">
        <v>619</v>
      </c>
      <c r="C1350" s="33" t="s">
        <v>634</v>
      </c>
      <c r="D1350" s="33" t="s">
        <v>621</v>
      </c>
      <c r="E1350" s="33" t="s">
        <v>638</v>
      </c>
      <c r="F1350" s="34">
        <v>50</v>
      </c>
    </row>
    <row r="1351" spans="1:6" x14ac:dyDescent="0.25">
      <c r="A1351" s="34">
        <v>47</v>
      </c>
      <c r="B1351" s="33" t="s">
        <v>619</v>
      </c>
      <c r="C1351" s="33" t="s">
        <v>634</v>
      </c>
      <c r="D1351" s="33" t="s">
        <v>630</v>
      </c>
      <c r="E1351" s="33" t="s">
        <v>639</v>
      </c>
      <c r="F1351" s="34">
        <v>86</v>
      </c>
    </row>
    <row r="1352" spans="1:6" x14ac:dyDescent="0.25">
      <c r="A1352" s="34">
        <v>47</v>
      </c>
      <c r="B1352" s="33" t="s">
        <v>619</v>
      </c>
      <c r="C1352" s="33" t="s">
        <v>634</v>
      </c>
      <c r="D1352" s="33" t="s">
        <v>630</v>
      </c>
      <c r="E1352" s="33" t="s">
        <v>640</v>
      </c>
      <c r="F1352" s="33" t="s">
        <v>462</v>
      </c>
    </row>
    <row r="1353" spans="1:6" x14ac:dyDescent="0.25">
      <c r="A1353" s="34">
        <v>47</v>
      </c>
      <c r="B1353" s="33" t="s">
        <v>619</v>
      </c>
      <c r="C1353" s="33" t="s">
        <v>634</v>
      </c>
      <c r="D1353" s="33" t="s">
        <v>630</v>
      </c>
      <c r="E1353" s="33" t="s">
        <v>641</v>
      </c>
      <c r="F1353" s="34">
        <v>86</v>
      </c>
    </row>
    <row r="1354" spans="1:6" x14ac:dyDescent="0.25">
      <c r="A1354" s="34">
        <v>47</v>
      </c>
      <c r="B1354" s="33" t="s">
        <v>619</v>
      </c>
      <c r="C1354" s="33" t="s">
        <v>642</v>
      </c>
      <c r="D1354" s="33" t="s">
        <v>621</v>
      </c>
      <c r="E1354" s="33" t="s">
        <v>643</v>
      </c>
      <c r="F1354" s="34">
        <v>5</v>
      </c>
    </row>
    <row r="1355" spans="1:6" x14ac:dyDescent="0.25">
      <c r="A1355" s="34">
        <v>47</v>
      </c>
      <c r="B1355" s="33" t="s">
        <v>619</v>
      </c>
      <c r="C1355" s="33" t="s">
        <v>642</v>
      </c>
      <c r="D1355" s="33" t="s">
        <v>621</v>
      </c>
      <c r="E1355" s="33" t="s">
        <v>644</v>
      </c>
      <c r="F1355" s="34">
        <v>5</v>
      </c>
    </row>
    <row r="1356" spans="1:6" x14ac:dyDescent="0.25">
      <c r="A1356" s="34">
        <v>47</v>
      </c>
      <c r="B1356" s="33" t="s">
        <v>619</v>
      </c>
      <c r="C1356" s="33" t="s">
        <v>642</v>
      </c>
      <c r="D1356" s="33" t="s">
        <v>621</v>
      </c>
      <c r="E1356" s="33" t="s">
        <v>645</v>
      </c>
      <c r="F1356" s="34">
        <v>5</v>
      </c>
    </row>
    <row r="1357" spans="1:6" x14ac:dyDescent="0.25">
      <c r="A1357" s="34">
        <v>47</v>
      </c>
      <c r="B1357" s="33" t="s">
        <v>619</v>
      </c>
      <c r="C1357" s="33" t="s">
        <v>642</v>
      </c>
      <c r="D1357" s="33" t="s">
        <v>621</v>
      </c>
      <c r="E1357" s="33" t="s">
        <v>646</v>
      </c>
      <c r="F1357" s="34">
        <v>5</v>
      </c>
    </row>
    <row r="1358" spans="1:6" x14ac:dyDescent="0.25">
      <c r="A1358" s="34">
        <v>47</v>
      </c>
      <c r="B1358" s="33" t="s">
        <v>619</v>
      </c>
      <c r="C1358" s="33" t="s">
        <v>642</v>
      </c>
      <c r="D1358" s="33" t="s">
        <v>621</v>
      </c>
      <c r="E1358" s="33" t="s">
        <v>647</v>
      </c>
      <c r="F1358" s="34">
        <v>5</v>
      </c>
    </row>
    <row r="1359" spans="1:6" x14ac:dyDescent="0.25">
      <c r="A1359" s="34">
        <v>47</v>
      </c>
      <c r="B1359" s="33" t="s">
        <v>619</v>
      </c>
      <c r="C1359" s="33" t="s">
        <v>642</v>
      </c>
      <c r="D1359" s="33" t="s">
        <v>621</v>
      </c>
      <c r="E1359" s="33" t="s">
        <v>648</v>
      </c>
      <c r="F1359" s="34">
        <v>5</v>
      </c>
    </row>
    <row r="1360" spans="1:6" x14ac:dyDescent="0.25">
      <c r="A1360" s="34">
        <v>47</v>
      </c>
      <c r="B1360" s="33" t="s">
        <v>619</v>
      </c>
      <c r="C1360" s="33" t="s">
        <v>642</v>
      </c>
      <c r="D1360" s="33" t="s">
        <v>621</v>
      </c>
      <c r="E1360" s="33" t="s">
        <v>649</v>
      </c>
      <c r="F1360" s="34">
        <v>50</v>
      </c>
    </row>
    <row r="1361" spans="1:6" x14ac:dyDescent="0.25">
      <c r="A1361" s="34">
        <v>47</v>
      </c>
      <c r="B1361" s="33" t="s">
        <v>619</v>
      </c>
      <c r="C1361" s="33" t="s">
        <v>642</v>
      </c>
      <c r="D1361" s="33" t="s">
        <v>630</v>
      </c>
      <c r="E1361" s="33" t="s">
        <v>650</v>
      </c>
      <c r="F1361" s="34">
        <v>92</v>
      </c>
    </row>
    <row r="1362" spans="1:6" x14ac:dyDescent="0.25">
      <c r="A1362" s="34">
        <v>47</v>
      </c>
      <c r="B1362" s="33" t="s">
        <v>619</v>
      </c>
      <c r="C1362" s="33" t="s">
        <v>642</v>
      </c>
      <c r="D1362" s="33" t="s">
        <v>630</v>
      </c>
      <c r="E1362" s="33" t="s">
        <v>651</v>
      </c>
      <c r="F1362" s="33" t="s">
        <v>462</v>
      </c>
    </row>
    <row r="1363" spans="1:6" x14ac:dyDescent="0.25">
      <c r="A1363" s="34">
        <v>47</v>
      </c>
      <c r="B1363" s="33" t="s">
        <v>619</v>
      </c>
      <c r="C1363" s="33" t="s">
        <v>642</v>
      </c>
      <c r="D1363" s="33" t="s">
        <v>630</v>
      </c>
      <c r="E1363" s="33" t="s">
        <v>652</v>
      </c>
      <c r="F1363" s="34">
        <v>92</v>
      </c>
    </row>
    <row r="1364" spans="1:6" x14ac:dyDescent="0.25">
      <c r="A1364" s="34">
        <v>47</v>
      </c>
      <c r="B1364" s="33" t="s">
        <v>619</v>
      </c>
      <c r="C1364" s="33" t="s">
        <v>653</v>
      </c>
      <c r="D1364" s="33" t="s">
        <v>653</v>
      </c>
      <c r="E1364" s="33" t="s">
        <v>654</v>
      </c>
      <c r="F1364" s="34">
        <v>88</v>
      </c>
    </row>
    <row r="1365" spans="1:6" x14ac:dyDescent="0.25">
      <c r="A1365" s="34">
        <v>48</v>
      </c>
      <c r="B1365" s="33" t="s">
        <v>619</v>
      </c>
      <c r="C1365" s="33" t="s">
        <v>620</v>
      </c>
      <c r="D1365" s="33" t="s">
        <v>621</v>
      </c>
      <c r="E1365" s="33" t="s">
        <v>622</v>
      </c>
      <c r="F1365" s="34">
        <v>0</v>
      </c>
    </row>
    <row r="1366" spans="1:6" x14ac:dyDescent="0.25">
      <c r="A1366" s="34">
        <v>48</v>
      </c>
      <c r="B1366" s="33" t="s">
        <v>619</v>
      </c>
      <c r="C1366" s="33" t="s">
        <v>620</v>
      </c>
      <c r="D1366" s="33" t="s">
        <v>621</v>
      </c>
      <c r="E1366" s="33" t="s">
        <v>623</v>
      </c>
      <c r="F1366" s="34">
        <v>0</v>
      </c>
    </row>
    <row r="1367" spans="1:6" x14ac:dyDescent="0.25">
      <c r="A1367" s="34">
        <v>48</v>
      </c>
      <c r="B1367" s="33" t="s">
        <v>619</v>
      </c>
      <c r="C1367" s="33" t="s">
        <v>620</v>
      </c>
      <c r="D1367" s="33" t="s">
        <v>621</v>
      </c>
      <c r="E1367" s="33" t="s">
        <v>624</v>
      </c>
      <c r="F1367" s="34">
        <v>0</v>
      </c>
    </row>
    <row r="1368" spans="1:6" x14ac:dyDescent="0.25">
      <c r="A1368" s="34">
        <v>48</v>
      </c>
      <c r="B1368" s="33" t="s">
        <v>619</v>
      </c>
      <c r="C1368" s="33" t="s">
        <v>620</v>
      </c>
      <c r="D1368" s="33" t="s">
        <v>621</v>
      </c>
      <c r="E1368" s="33" t="s">
        <v>625</v>
      </c>
      <c r="F1368" s="34">
        <v>0</v>
      </c>
    </row>
    <row r="1369" spans="1:6" x14ac:dyDescent="0.25">
      <c r="A1369" s="34">
        <v>48</v>
      </c>
      <c r="B1369" s="33" t="s">
        <v>619</v>
      </c>
      <c r="C1369" s="33" t="s">
        <v>620</v>
      </c>
      <c r="D1369" s="33" t="s">
        <v>621</v>
      </c>
      <c r="E1369" s="33" t="s">
        <v>626</v>
      </c>
      <c r="F1369" s="34">
        <v>0</v>
      </c>
    </row>
    <row r="1370" spans="1:6" x14ac:dyDescent="0.25">
      <c r="A1370" s="34">
        <v>48</v>
      </c>
      <c r="B1370" s="33" t="s">
        <v>619</v>
      </c>
      <c r="C1370" s="33" t="s">
        <v>620</v>
      </c>
      <c r="D1370" s="33" t="s">
        <v>621</v>
      </c>
      <c r="E1370" s="33" t="s">
        <v>627</v>
      </c>
      <c r="F1370" s="34">
        <v>0</v>
      </c>
    </row>
    <row r="1371" spans="1:6" x14ac:dyDescent="0.25">
      <c r="A1371" s="34">
        <v>48</v>
      </c>
      <c r="B1371" s="33" t="s">
        <v>619</v>
      </c>
      <c r="C1371" s="33" t="s">
        <v>620</v>
      </c>
      <c r="D1371" s="33" t="s">
        <v>621</v>
      </c>
      <c r="E1371" s="33" t="s">
        <v>628</v>
      </c>
      <c r="F1371" s="34">
        <v>5</v>
      </c>
    </row>
    <row r="1372" spans="1:6" x14ac:dyDescent="0.25">
      <c r="A1372" s="34">
        <v>48</v>
      </c>
      <c r="B1372" s="33" t="s">
        <v>619</v>
      </c>
      <c r="C1372" s="33" t="s">
        <v>620</v>
      </c>
      <c r="D1372" s="33" t="s">
        <v>621</v>
      </c>
      <c r="E1372" s="33" t="s">
        <v>629</v>
      </c>
      <c r="F1372" s="34">
        <v>28</v>
      </c>
    </row>
    <row r="1373" spans="1:6" x14ac:dyDescent="0.25">
      <c r="A1373" s="34">
        <v>48</v>
      </c>
      <c r="B1373" s="33" t="s">
        <v>619</v>
      </c>
      <c r="C1373" s="33" t="s">
        <v>620</v>
      </c>
      <c r="D1373" s="33" t="s">
        <v>630</v>
      </c>
      <c r="E1373" s="33" t="s">
        <v>631</v>
      </c>
      <c r="F1373" s="34">
        <v>90</v>
      </c>
    </row>
    <row r="1374" spans="1:6" x14ac:dyDescent="0.25">
      <c r="A1374" s="34">
        <v>48</v>
      </c>
      <c r="B1374" s="33" t="s">
        <v>619</v>
      </c>
      <c r="C1374" s="33" t="s">
        <v>620</v>
      </c>
      <c r="D1374" s="33" t="s">
        <v>630</v>
      </c>
      <c r="E1374" s="33" t="s">
        <v>632</v>
      </c>
      <c r="F1374" s="33" t="s">
        <v>462</v>
      </c>
    </row>
    <row r="1375" spans="1:6" x14ac:dyDescent="0.25">
      <c r="A1375" s="34">
        <v>48</v>
      </c>
      <c r="B1375" s="33" t="s">
        <v>619</v>
      </c>
      <c r="C1375" s="33" t="s">
        <v>620</v>
      </c>
      <c r="D1375" s="33" t="s">
        <v>630</v>
      </c>
      <c r="E1375" s="33" t="s">
        <v>633</v>
      </c>
      <c r="F1375" s="34">
        <v>90</v>
      </c>
    </row>
    <row r="1376" spans="1:6" x14ac:dyDescent="0.25">
      <c r="A1376" s="34">
        <v>48</v>
      </c>
      <c r="B1376" s="33" t="s">
        <v>619</v>
      </c>
      <c r="C1376" s="33" t="s">
        <v>634</v>
      </c>
      <c r="D1376" s="33" t="s">
        <v>621</v>
      </c>
      <c r="E1376" s="33" t="s">
        <v>635</v>
      </c>
      <c r="F1376" s="34">
        <v>0</v>
      </c>
    </row>
    <row r="1377" spans="1:6" x14ac:dyDescent="0.25">
      <c r="A1377" s="34">
        <v>48</v>
      </c>
      <c r="B1377" s="33" t="s">
        <v>619</v>
      </c>
      <c r="C1377" s="33" t="s">
        <v>634</v>
      </c>
      <c r="D1377" s="33" t="s">
        <v>621</v>
      </c>
      <c r="E1377" s="33" t="s">
        <v>636</v>
      </c>
      <c r="F1377" s="34">
        <v>0</v>
      </c>
    </row>
    <row r="1378" spans="1:6" x14ac:dyDescent="0.25">
      <c r="A1378" s="34">
        <v>48</v>
      </c>
      <c r="B1378" s="33" t="s">
        <v>619</v>
      </c>
      <c r="C1378" s="33" t="s">
        <v>634</v>
      </c>
      <c r="D1378" s="33" t="s">
        <v>621</v>
      </c>
      <c r="E1378" s="33" t="s">
        <v>637</v>
      </c>
      <c r="F1378" s="34">
        <v>5</v>
      </c>
    </row>
    <row r="1379" spans="1:6" x14ac:dyDescent="0.25">
      <c r="A1379" s="34">
        <v>48</v>
      </c>
      <c r="B1379" s="33" t="s">
        <v>619</v>
      </c>
      <c r="C1379" s="33" t="s">
        <v>634</v>
      </c>
      <c r="D1379" s="33" t="s">
        <v>621</v>
      </c>
      <c r="E1379" s="33" t="s">
        <v>638</v>
      </c>
      <c r="F1379" s="34">
        <v>39</v>
      </c>
    </row>
    <row r="1380" spans="1:6" x14ac:dyDescent="0.25">
      <c r="A1380" s="34">
        <v>48</v>
      </c>
      <c r="B1380" s="33" t="s">
        <v>619</v>
      </c>
      <c r="C1380" s="33" t="s">
        <v>634</v>
      </c>
      <c r="D1380" s="33" t="s">
        <v>630</v>
      </c>
      <c r="E1380" s="33" t="s">
        <v>639</v>
      </c>
      <c r="F1380" s="34">
        <v>85</v>
      </c>
    </row>
    <row r="1381" spans="1:6" x14ac:dyDescent="0.25">
      <c r="A1381" s="34">
        <v>48</v>
      </c>
      <c r="B1381" s="33" t="s">
        <v>619</v>
      </c>
      <c r="C1381" s="33" t="s">
        <v>634</v>
      </c>
      <c r="D1381" s="33" t="s">
        <v>630</v>
      </c>
      <c r="E1381" s="33" t="s">
        <v>640</v>
      </c>
      <c r="F1381" s="33" t="s">
        <v>462</v>
      </c>
    </row>
    <row r="1382" spans="1:6" x14ac:dyDescent="0.25">
      <c r="A1382" s="34">
        <v>48</v>
      </c>
      <c r="B1382" s="33" t="s">
        <v>619</v>
      </c>
      <c r="C1382" s="33" t="s">
        <v>634</v>
      </c>
      <c r="D1382" s="33" t="s">
        <v>630</v>
      </c>
      <c r="E1382" s="33" t="s">
        <v>641</v>
      </c>
      <c r="F1382" s="34">
        <v>85</v>
      </c>
    </row>
    <row r="1383" spans="1:6" x14ac:dyDescent="0.25">
      <c r="A1383" s="34">
        <v>48</v>
      </c>
      <c r="B1383" s="33" t="s">
        <v>619</v>
      </c>
      <c r="C1383" s="33" t="s">
        <v>642</v>
      </c>
      <c r="D1383" s="33" t="s">
        <v>621</v>
      </c>
      <c r="E1383" s="33" t="s">
        <v>643</v>
      </c>
      <c r="F1383" s="34">
        <v>0</v>
      </c>
    </row>
    <row r="1384" spans="1:6" x14ac:dyDescent="0.25">
      <c r="A1384" s="34">
        <v>48</v>
      </c>
      <c r="B1384" s="33" t="s">
        <v>619</v>
      </c>
      <c r="C1384" s="33" t="s">
        <v>642</v>
      </c>
      <c r="D1384" s="33" t="s">
        <v>621</v>
      </c>
      <c r="E1384" s="33" t="s">
        <v>644</v>
      </c>
      <c r="F1384" s="34">
        <v>0</v>
      </c>
    </row>
    <row r="1385" spans="1:6" x14ac:dyDescent="0.25">
      <c r="A1385" s="34">
        <v>48</v>
      </c>
      <c r="B1385" s="33" t="s">
        <v>619</v>
      </c>
      <c r="C1385" s="33" t="s">
        <v>642</v>
      </c>
      <c r="D1385" s="33" t="s">
        <v>621</v>
      </c>
      <c r="E1385" s="33" t="s">
        <v>645</v>
      </c>
      <c r="F1385" s="34">
        <v>0</v>
      </c>
    </row>
    <row r="1386" spans="1:6" x14ac:dyDescent="0.25">
      <c r="A1386" s="34">
        <v>48</v>
      </c>
      <c r="B1386" s="33" t="s">
        <v>619</v>
      </c>
      <c r="C1386" s="33" t="s">
        <v>642</v>
      </c>
      <c r="D1386" s="33" t="s">
        <v>621</v>
      </c>
      <c r="E1386" s="33" t="s">
        <v>646</v>
      </c>
      <c r="F1386" s="34">
        <v>0</v>
      </c>
    </row>
    <row r="1387" spans="1:6" x14ac:dyDescent="0.25">
      <c r="A1387" s="34">
        <v>48</v>
      </c>
      <c r="B1387" s="33" t="s">
        <v>619</v>
      </c>
      <c r="C1387" s="33" t="s">
        <v>642</v>
      </c>
      <c r="D1387" s="33" t="s">
        <v>621</v>
      </c>
      <c r="E1387" s="33" t="s">
        <v>647</v>
      </c>
      <c r="F1387" s="34">
        <v>0</v>
      </c>
    </row>
    <row r="1388" spans="1:6" x14ac:dyDescent="0.25">
      <c r="A1388" s="34">
        <v>48</v>
      </c>
      <c r="B1388" s="33" t="s">
        <v>619</v>
      </c>
      <c r="C1388" s="33" t="s">
        <v>642</v>
      </c>
      <c r="D1388" s="33" t="s">
        <v>621</v>
      </c>
      <c r="E1388" s="33" t="s">
        <v>648</v>
      </c>
      <c r="F1388" s="34">
        <v>0</v>
      </c>
    </row>
    <row r="1389" spans="1:6" x14ac:dyDescent="0.25">
      <c r="A1389" s="34">
        <v>48</v>
      </c>
      <c r="B1389" s="33" t="s">
        <v>619</v>
      </c>
      <c r="C1389" s="33" t="s">
        <v>642</v>
      </c>
      <c r="D1389" s="33" t="s">
        <v>621</v>
      </c>
      <c r="E1389" s="33" t="s">
        <v>649</v>
      </c>
      <c r="F1389" s="34">
        <v>43</v>
      </c>
    </row>
    <row r="1390" spans="1:6" x14ac:dyDescent="0.25">
      <c r="A1390" s="34">
        <v>48</v>
      </c>
      <c r="B1390" s="33" t="s">
        <v>619</v>
      </c>
      <c r="C1390" s="33" t="s">
        <v>642</v>
      </c>
      <c r="D1390" s="33" t="s">
        <v>630</v>
      </c>
      <c r="E1390" s="33" t="s">
        <v>650</v>
      </c>
      <c r="F1390" s="34">
        <v>72</v>
      </c>
    </row>
    <row r="1391" spans="1:6" x14ac:dyDescent="0.25">
      <c r="A1391" s="34">
        <v>48</v>
      </c>
      <c r="B1391" s="33" t="s">
        <v>619</v>
      </c>
      <c r="C1391" s="33" t="s">
        <v>642</v>
      </c>
      <c r="D1391" s="33" t="s">
        <v>630</v>
      </c>
      <c r="E1391" s="33" t="s">
        <v>651</v>
      </c>
      <c r="F1391" s="33" t="s">
        <v>462</v>
      </c>
    </row>
    <row r="1392" spans="1:6" x14ac:dyDescent="0.25">
      <c r="A1392" s="34">
        <v>48</v>
      </c>
      <c r="B1392" s="33" t="s">
        <v>619</v>
      </c>
      <c r="C1392" s="33" t="s">
        <v>642</v>
      </c>
      <c r="D1392" s="33" t="s">
        <v>630</v>
      </c>
      <c r="E1392" s="33" t="s">
        <v>652</v>
      </c>
      <c r="F1392" s="34">
        <v>72</v>
      </c>
    </row>
    <row r="1393" spans="1:6" x14ac:dyDescent="0.25">
      <c r="A1393" s="34">
        <v>48</v>
      </c>
      <c r="B1393" s="33" t="s">
        <v>619</v>
      </c>
      <c r="C1393" s="33" t="s">
        <v>653</v>
      </c>
      <c r="D1393" s="33" t="s">
        <v>653</v>
      </c>
      <c r="E1393" s="33" t="s">
        <v>654</v>
      </c>
      <c r="F1393" s="34">
        <v>72</v>
      </c>
    </row>
    <row r="1394" spans="1:6" x14ac:dyDescent="0.25">
      <c r="A1394" s="34">
        <v>49</v>
      </c>
      <c r="B1394" s="33" t="s">
        <v>619</v>
      </c>
      <c r="C1394" s="33" t="s">
        <v>620</v>
      </c>
      <c r="D1394" s="33" t="s">
        <v>621</v>
      </c>
      <c r="E1394" s="33" t="s">
        <v>622</v>
      </c>
      <c r="F1394" s="34">
        <v>0</v>
      </c>
    </row>
    <row r="1395" spans="1:6" x14ac:dyDescent="0.25">
      <c r="A1395" s="34">
        <v>49</v>
      </c>
      <c r="B1395" s="33" t="s">
        <v>619</v>
      </c>
      <c r="C1395" s="33" t="s">
        <v>620</v>
      </c>
      <c r="D1395" s="33" t="s">
        <v>621</v>
      </c>
      <c r="E1395" s="33" t="s">
        <v>623</v>
      </c>
      <c r="F1395" s="34">
        <v>0</v>
      </c>
    </row>
    <row r="1396" spans="1:6" x14ac:dyDescent="0.25">
      <c r="A1396" s="34">
        <v>49</v>
      </c>
      <c r="B1396" s="33" t="s">
        <v>619</v>
      </c>
      <c r="C1396" s="33" t="s">
        <v>620</v>
      </c>
      <c r="D1396" s="33" t="s">
        <v>621</v>
      </c>
      <c r="E1396" s="33" t="s">
        <v>624</v>
      </c>
      <c r="F1396" s="34">
        <v>0</v>
      </c>
    </row>
    <row r="1397" spans="1:6" x14ac:dyDescent="0.25">
      <c r="A1397" s="34">
        <v>49</v>
      </c>
      <c r="B1397" s="33" t="s">
        <v>619</v>
      </c>
      <c r="C1397" s="33" t="s">
        <v>620</v>
      </c>
      <c r="D1397" s="33" t="s">
        <v>621</v>
      </c>
      <c r="E1397" s="33" t="s">
        <v>625</v>
      </c>
      <c r="F1397" s="34">
        <v>0</v>
      </c>
    </row>
    <row r="1398" spans="1:6" x14ac:dyDescent="0.25">
      <c r="A1398" s="34">
        <v>49</v>
      </c>
      <c r="B1398" s="33" t="s">
        <v>619</v>
      </c>
      <c r="C1398" s="33" t="s">
        <v>620</v>
      </c>
      <c r="D1398" s="33" t="s">
        <v>621</v>
      </c>
      <c r="E1398" s="33" t="s">
        <v>626</v>
      </c>
      <c r="F1398" s="34">
        <v>0</v>
      </c>
    </row>
    <row r="1399" spans="1:6" x14ac:dyDescent="0.25">
      <c r="A1399" s="34">
        <v>49</v>
      </c>
      <c r="B1399" s="33" t="s">
        <v>619</v>
      </c>
      <c r="C1399" s="33" t="s">
        <v>620</v>
      </c>
      <c r="D1399" s="33" t="s">
        <v>621</v>
      </c>
      <c r="E1399" s="33" t="s">
        <v>627</v>
      </c>
      <c r="F1399" s="34">
        <v>0</v>
      </c>
    </row>
    <row r="1400" spans="1:6" x14ac:dyDescent="0.25">
      <c r="A1400" s="34">
        <v>49</v>
      </c>
      <c r="B1400" s="33" t="s">
        <v>619</v>
      </c>
      <c r="C1400" s="33" t="s">
        <v>620</v>
      </c>
      <c r="D1400" s="33" t="s">
        <v>621</v>
      </c>
      <c r="E1400" s="33" t="s">
        <v>628</v>
      </c>
      <c r="F1400" s="34">
        <v>5</v>
      </c>
    </row>
    <row r="1401" spans="1:6" x14ac:dyDescent="0.25">
      <c r="A1401" s="34">
        <v>49</v>
      </c>
      <c r="B1401" s="33" t="s">
        <v>619</v>
      </c>
      <c r="C1401" s="33" t="s">
        <v>620</v>
      </c>
      <c r="D1401" s="33" t="s">
        <v>621</v>
      </c>
      <c r="E1401" s="33" t="s">
        <v>629</v>
      </c>
      <c r="F1401" s="34">
        <v>40</v>
      </c>
    </row>
    <row r="1402" spans="1:6" x14ac:dyDescent="0.25">
      <c r="A1402" s="34">
        <v>49</v>
      </c>
      <c r="B1402" s="33" t="s">
        <v>619</v>
      </c>
      <c r="C1402" s="33" t="s">
        <v>620</v>
      </c>
      <c r="D1402" s="33" t="s">
        <v>630</v>
      </c>
      <c r="E1402" s="33" t="s">
        <v>631</v>
      </c>
      <c r="F1402" s="34">
        <v>60</v>
      </c>
    </row>
    <row r="1403" spans="1:6" x14ac:dyDescent="0.25">
      <c r="A1403" s="34">
        <v>49</v>
      </c>
      <c r="B1403" s="33" t="s">
        <v>619</v>
      </c>
      <c r="C1403" s="33" t="s">
        <v>620</v>
      </c>
      <c r="D1403" s="33" t="s">
        <v>630</v>
      </c>
      <c r="E1403" s="33" t="s">
        <v>632</v>
      </c>
      <c r="F1403" s="33" t="s">
        <v>462</v>
      </c>
    </row>
    <row r="1404" spans="1:6" x14ac:dyDescent="0.25">
      <c r="A1404" s="34">
        <v>49</v>
      </c>
      <c r="B1404" s="33" t="s">
        <v>619</v>
      </c>
      <c r="C1404" s="33" t="s">
        <v>620</v>
      </c>
      <c r="D1404" s="33" t="s">
        <v>630</v>
      </c>
      <c r="E1404" s="33" t="s">
        <v>633</v>
      </c>
      <c r="F1404" s="34">
        <v>60</v>
      </c>
    </row>
    <row r="1405" spans="1:6" x14ac:dyDescent="0.25">
      <c r="A1405" s="34">
        <v>49</v>
      </c>
      <c r="B1405" s="33" t="s">
        <v>619</v>
      </c>
      <c r="C1405" s="33" t="s">
        <v>634</v>
      </c>
      <c r="D1405" s="33" t="s">
        <v>621</v>
      </c>
      <c r="E1405" s="33" t="s">
        <v>635</v>
      </c>
      <c r="F1405" s="34">
        <v>0</v>
      </c>
    </row>
    <row r="1406" spans="1:6" x14ac:dyDescent="0.25">
      <c r="A1406" s="34">
        <v>49</v>
      </c>
      <c r="B1406" s="33" t="s">
        <v>619</v>
      </c>
      <c r="C1406" s="33" t="s">
        <v>634</v>
      </c>
      <c r="D1406" s="33" t="s">
        <v>621</v>
      </c>
      <c r="E1406" s="33" t="s">
        <v>636</v>
      </c>
      <c r="F1406" s="34">
        <v>0</v>
      </c>
    </row>
    <row r="1407" spans="1:6" x14ac:dyDescent="0.25">
      <c r="A1407" s="34">
        <v>49</v>
      </c>
      <c r="B1407" s="33" t="s">
        <v>619</v>
      </c>
      <c r="C1407" s="33" t="s">
        <v>634</v>
      </c>
      <c r="D1407" s="33" t="s">
        <v>621</v>
      </c>
      <c r="E1407" s="33" t="s">
        <v>637</v>
      </c>
      <c r="F1407" s="34">
        <v>0</v>
      </c>
    </row>
    <row r="1408" spans="1:6" x14ac:dyDescent="0.25">
      <c r="A1408" s="34">
        <v>49</v>
      </c>
      <c r="B1408" s="33" t="s">
        <v>619</v>
      </c>
      <c r="C1408" s="33" t="s">
        <v>634</v>
      </c>
      <c r="D1408" s="33" t="s">
        <v>621</v>
      </c>
      <c r="E1408" s="33" t="s">
        <v>638</v>
      </c>
      <c r="F1408" s="34">
        <v>39</v>
      </c>
    </row>
    <row r="1409" spans="1:6" x14ac:dyDescent="0.25">
      <c r="A1409" s="34">
        <v>49</v>
      </c>
      <c r="B1409" s="33" t="s">
        <v>619</v>
      </c>
      <c r="C1409" s="33" t="s">
        <v>634</v>
      </c>
      <c r="D1409" s="33" t="s">
        <v>630</v>
      </c>
      <c r="E1409" s="33" t="s">
        <v>639</v>
      </c>
      <c r="F1409" s="34">
        <v>63</v>
      </c>
    </row>
    <row r="1410" spans="1:6" x14ac:dyDescent="0.25">
      <c r="A1410" s="34">
        <v>49</v>
      </c>
      <c r="B1410" s="33" t="s">
        <v>619</v>
      </c>
      <c r="C1410" s="33" t="s">
        <v>634</v>
      </c>
      <c r="D1410" s="33" t="s">
        <v>630</v>
      </c>
      <c r="E1410" s="33" t="s">
        <v>640</v>
      </c>
      <c r="F1410" s="33" t="s">
        <v>462</v>
      </c>
    </row>
    <row r="1411" spans="1:6" x14ac:dyDescent="0.25">
      <c r="A1411" s="34">
        <v>49</v>
      </c>
      <c r="B1411" s="33" t="s">
        <v>619</v>
      </c>
      <c r="C1411" s="33" t="s">
        <v>634</v>
      </c>
      <c r="D1411" s="33" t="s">
        <v>630</v>
      </c>
      <c r="E1411" s="33" t="s">
        <v>641</v>
      </c>
      <c r="F1411" s="34">
        <v>63</v>
      </c>
    </row>
    <row r="1412" spans="1:6" x14ac:dyDescent="0.25">
      <c r="A1412" s="34">
        <v>49</v>
      </c>
      <c r="B1412" s="33" t="s">
        <v>619</v>
      </c>
      <c r="C1412" s="33" t="s">
        <v>642</v>
      </c>
      <c r="D1412" s="33" t="s">
        <v>621</v>
      </c>
      <c r="E1412" s="33" t="s">
        <v>643</v>
      </c>
      <c r="F1412" s="34">
        <v>0</v>
      </c>
    </row>
    <row r="1413" spans="1:6" x14ac:dyDescent="0.25">
      <c r="A1413" s="34">
        <v>49</v>
      </c>
      <c r="B1413" s="33" t="s">
        <v>619</v>
      </c>
      <c r="C1413" s="33" t="s">
        <v>642</v>
      </c>
      <c r="D1413" s="33" t="s">
        <v>621</v>
      </c>
      <c r="E1413" s="33" t="s">
        <v>644</v>
      </c>
      <c r="F1413" s="34">
        <v>0</v>
      </c>
    </row>
    <row r="1414" spans="1:6" x14ac:dyDescent="0.25">
      <c r="A1414" s="34">
        <v>49</v>
      </c>
      <c r="B1414" s="33" t="s">
        <v>619</v>
      </c>
      <c r="C1414" s="33" t="s">
        <v>642</v>
      </c>
      <c r="D1414" s="33" t="s">
        <v>621</v>
      </c>
      <c r="E1414" s="33" t="s">
        <v>645</v>
      </c>
      <c r="F1414" s="34">
        <v>0</v>
      </c>
    </row>
    <row r="1415" spans="1:6" x14ac:dyDescent="0.25">
      <c r="A1415" s="34">
        <v>49</v>
      </c>
      <c r="B1415" s="33" t="s">
        <v>619</v>
      </c>
      <c r="C1415" s="33" t="s">
        <v>642</v>
      </c>
      <c r="D1415" s="33" t="s">
        <v>621</v>
      </c>
      <c r="E1415" s="33" t="s">
        <v>646</v>
      </c>
      <c r="F1415" s="34">
        <v>0</v>
      </c>
    </row>
    <row r="1416" spans="1:6" x14ac:dyDescent="0.25">
      <c r="A1416" s="34">
        <v>49</v>
      </c>
      <c r="B1416" s="33" t="s">
        <v>619</v>
      </c>
      <c r="C1416" s="33" t="s">
        <v>642</v>
      </c>
      <c r="D1416" s="33" t="s">
        <v>621</v>
      </c>
      <c r="E1416" s="33" t="s">
        <v>647</v>
      </c>
      <c r="F1416" s="34">
        <v>0</v>
      </c>
    </row>
    <row r="1417" spans="1:6" x14ac:dyDescent="0.25">
      <c r="A1417" s="34">
        <v>49</v>
      </c>
      <c r="B1417" s="33" t="s">
        <v>619</v>
      </c>
      <c r="C1417" s="33" t="s">
        <v>642</v>
      </c>
      <c r="D1417" s="33" t="s">
        <v>621</v>
      </c>
      <c r="E1417" s="33" t="s">
        <v>648</v>
      </c>
      <c r="F1417" s="34">
        <v>0</v>
      </c>
    </row>
    <row r="1418" spans="1:6" x14ac:dyDescent="0.25">
      <c r="A1418" s="34">
        <v>49</v>
      </c>
      <c r="B1418" s="33" t="s">
        <v>619</v>
      </c>
      <c r="C1418" s="33" t="s">
        <v>642</v>
      </c>
      <c r="D1418" s="33" t="s">
        <v>621</v>
      </c>
      <c r="E1418" s="33" t="s">
        <v>649</v>
      </c>
      <c r="F1418" s="34">
        <v>44</v>
      </c>
    </row>
    <row r="1419" spans="1:6" x14ac:dyDescent="0.25">
      <c r="A1419" s="34">
        <v>49</v>
      </c>
      <c r="B1419" s="33" t="s">
        <v>619</v>
      </c>
      <c r="C1419" s="33" t="s">
        <v>642</v>
      </c>
      <c r="D1419" s="33" t="s">
        <v>630</v>
      </c>
      <c r="E1419" s="33" t="s">
        <v>650</v>
      </c>
      <c r="F1419" s="34">
        <v>30</v>
      </c>
    </row>
    <row r="1420" spans="1:6" x14ac:dyDescent="0.25">
      <c r="A1420" s="34">
        <v>49</v>
      </c>
      <c r="B1420" s="33" t="s">
        <v>619</v>
      </c>
      <c r="C1420" s="33" t="s">
        <v>642</v>
      </c>
      <c r="D1420" s="33" t="s">
        <v>630</v>
      </c>
      <c r="E1420" s="33" t="s">
        <v>651</v>
      </c>
      <c r="F1420" s="33" t="s">
        <v>462</v>
      </c>
    </row>
    <row r="1421" spans="1:6" x14ac:dyDescent="0.25">
      <c r="A1421" s="34">
        <v>49</v>
      </c>
      <c r="B1421" s="33" t="s">
        <v>619</v>
      </c>
      <c r="C1421" s="33" t="s">
        <v>642</v>
      </c>
      <c r="D1421" s="33" t="s">
        <v>630</v>
      </c>
      <c r="E1421" s="33" t="s">
        <v>652</v>
      </c>
      <c r="F1421" s="34">
        <v>30</v>
      </c>
    </row>
    <row r="1422" spans="1:6" x14ac:dyDescent="0.25">
      <c r="A1422" s="34">
        <v>49</v>
      </c>
      <c r="B1422" s="33" t="s">
        <v>619</v>
      </c>
      <c r="C1422" s="33" t="s">
        <v>653</v>
      </c>
      <c r="D1422" s="33" t="s">
        <v>653</v>
      </c>
      <c r="E1422" s="33" t="s">
        <v>654</v>
      </c>
      <c r="F1422" s="34">
        <v>30</v>
      </c>
    </row>
    <row r="1423" spans="1:6" x14ac:dyDescent="0.25">
      <c r="A1423" s="34">
        <v>50</v>
      </c>
      <c r="B1423" s="33" t="s">
        <v>619</v>
      </c>
      <c r="C1423" s="33" t="s">
        <v>620</v>
      </c>
      <c r="D1423" s="33" t="s">
        <v>621</v>
      </c>
      <c r="E1423" s="33" t="s">
        <v>622</v>
      </c>
      <c r="F1423" s="34">
        <v>1</v>
      </c>
    </row>
    <row r="1424" spans="1:6" x14ac:dyDescent="0.25">
      <c r="A1424" s="34">
        <v>50</v>
      </c>
      <c r="B1424" s="33" t="s">
        <v>619</v>
      </c>
      <c r="C1424" s="33" t="s">
        <v>620</v>
      </c>
      <c r="D1424" s="33" t="s">
        <v>621</v>
      </c>
      <c r="E1424" s="33" t="s">
        <v>623</v>
      </c>
      <c r="F1424" s="34">
        <v>1</v>
      </c>
    </row>
    <row r="1425" spans="1:6" x14ac:dyDescent="0.25">
      <c r="A1425" s="34">
        <v>50</v>
      </c>
      <c r="B1425" s="33" t="s">
        <v>619</v>
      </c>
      <c r="C1425" s="33" t="s">
        <v>620</v>
      </c>
      <c r="D1425" s="33" t="s">
        <v>621</v>
      </c>
      <c r="E1425" s="33" t="s">
        <v>624</v>
      </c>
      <c r="F1425" s="34">
        <v>1</v>
      </c>
    </row>
    <row r="1426" spans="1:6" x14ac:dyDescent="0.25">
      <c r="A1426" s="34">
        <v>50</v>
      </c>
      <c r="B1426" s="33" t="s">
        <v>619</v>
      </c>
      <c r="C1426" s="33" t="s">
        <v>620</v>
      </c>
      <c r="D1426" s="33" t="s">
        <v>621</v>
      </c>
      <c r="E1426" s="33" t="s">
        <v>625</v>
      </c>
      <c r="F1426" s="34">
        <v>0</v>
      </c>
    </row>
    <row r="1427" spans="1:6" x14ac:dyDescent="0.25">
      <c r="A1427" s="34">
        <v>50</v>
      </c>
      <c r="B1427" s="33" t="s">
        <v>619</v>
      </c>
      <c r="C1427" s="33" t="s">
        <v>620</v>
      </c>
      <c r="D1427" s="33" t="s">
        <v>621</v>
      </c>
      <c r="E1427" s="33" t="s">
        <v>626</v>
      </c>
      <c r="F1427" s="34">
        <v>0</v>
      </c>
    </row>
    <row r="1428" spans="1:6" x14ac:dyDescent="0.25">
      <c r="A1428" s="34">
        <v>50</v>
      </c>
      <c r="B1428" s="33" t="s">
        <v>619</v>
      </c>
      <c r="C1428" s="33" t="s">
        <v>620</v>
      </c>
      <c r="D1428" s="33" t="s">
        <v>621</v>
      </c>
      <c r="E1428" s="33" t="s">
        <v>627</v>
      </c>
      <c r="F1428" s="34">
        <v>0</v>
      </c>
    </row>
    <row r="1429" spans="1:6" x14ac:dyDescent="0.25">
      <c r="A1429" s="34">
        <v>50</v>
      </c>
      <c r="B1429" s="33" t="s">
        <v>619</v>
      </c>
      <c r="C1429" s="33" t="s">
        <v>620</v>
      </c>
      <c r="D1429" s="33" t="s">
        <v>621</v>
      </c>
      <c r="E1429" s="33" t="s">
        <v>628</v>
      </c>
      <c r="F1429" s="34">
        <v>5</v>
      </c>
    </row>
    <row r="1430" spans="1:6" x14ac:dyDescent="0.25">
      <c r="A1430" s="34">
        <v>50</v>
      </c>
      <c r="B1430" s="33" t="s">
        <v>619</v>
      </c>
      <c r="C1430" s="33" t="s">
        <v>620</v>
      </c>
      <c r="D1430" s="33" t="s">
        <v>621</v>
      </c>
      <c r="E1430" s="33" t="s">
        <v>629</v>
      </c>
      <c r="F1430" s="34">
        <v>49</v>
      </c>
    </row>
    <row r="1431" spans="1:6" x14ac:dyDescent="0.25">
      <c r="A1431" s="34">
        <v>50</v>
      </c>
      <c r="B1431" s="33" t="s">
        <v>619</v>
      </c>
      <c r="C1431" s="33" t="s">
        <v>620</v>
      </c>
      <c r="D1431" s="33" t="s">
        <v>630</v>
      </c>
      <c r="E1431" s="33" t="s">
        <v>631</v>
      </c>
      <c r="F1431" s="34">
        <v>76</v>
      </c>
    </row>
    <row r="1432" spans="1:6" x14ac:dyDescent="0.25">
      <c r="A1432" s="34">
        <v>50</v>
      </c>
      <c r="B1432" s="33" t="s">
        <v>619</v>
      </c>
      <c r="C1432" s="33" t="s">
        <v>620</v>
      </c>
      <c r="D1432" s="33" t="s">
        <v>630</v>
      </c>
      <c r="E1432" s="33" t="s">
        <v>632</v>
      </c>
      <c r="F1432" s="33" t="s">
        <v>462</v>
      </c>
    </row>
    <row r="1433" spans="1:6" x14ac:dyDescent="0.25">
      <c r="A1433" s="34">
        <v>50</v>
      </c>
      <c r="B1433" s="33" t="s">
        <v>619</v>
      </c>
      <c r="C1433" s="33" t="s">
        <v>620</v>
      </c>
      <c r="D1433" s="33" t="s">
        <v>630</v>
      </c>
      <c r="E1433" s="33" t="s">
        <v>633</v>
      </c>
      <c r="F1433" s="34">
        <v>76</v>
      </c>
    </row>
    <row r="1434" spans="1:6" x14ac:dyDescent="0.25">
      <c r="A1434" s="34">
        <v>50</v>
      </c>
      <c r="B1434" s="33" t="s">
        <v>619</v>
      </c>
      <c r="C1434" s="33" t="s">
        <v>634</v>
      </c>
      <c r="D1434" s="33" t="s">
        <v>621</v>
      </c>
      <c r="E1434" s="33" t="s">
        <v>635</v>
      </c>
      <c r="F1434" s="34">
        <v>0</v>
      </c>
    </row>
    <row r="1435" spans="1:6" x14ac:dyDescent="0.25">
      <c r="A1435" s="34">
        <v>50</v>
      </c>
      <c r="B1435" s="33" t="s">
        <v>619</v>
      </c>
      <c r="C1435" s="33" t="s">
        <v>634</v>
      </c>
      <c r="D1435" s="33" t="s">
        <v>621</v>
      </c>
      <c r="E1435" s="33" t="s">
        <v>636</v>
      </c>
      <c r="F1435" s="34">
        <v>1</v>
      </c>
    </row>
    <row r="1436" spans="1:6" x14ac:dyDescent="0.25">
      <c r="A1436" s="34">
        <v>50</v>
      </c>
      <c r="B1436" s="33" t="s">
        <v>619</v>
      </c>
      <c r="C1436" s="33" t="s">
        <v>634</v>
      </c>
      <c r="D1436" s="33" t="s">
        <v>621</v>
      </c>
      <c r="E1436" s="33" t="s">
        <v>637</v>
      </c>
      <c r="F1436" s="34">
        <v>5</v>
      </c>
    </row>
    <row r="1437" spans="1:6" x14ac:dyDescent="0.25">
      <c r="A1437" s="34">
        <v>50</v>
      </c>
      <c r="B1437" s="33" t="s">
        <v>619</v>
      </c>
      <c r="C1437" s="33" t="s">
        <v>634</v>
      </c>
      <c r="D1437" s="33" t="s">
        <v>621</v>
      </c>
      <c r="E1437" s="33" t="s">
        <v>638</v>
      </c>
      <c r="F1437" s="34">
        <v>40</v>
      </c>
    </row>
    <row r="1438" spans="1:6" x14ac:dyDescent="0.25">
      <c r="A1438" s="34">
        <v>50</v>
      </c>
      <c r="B1438" s="33" t="s">
        <v>619</v>
      </c>
      <c r="C1438" s="33" t="s">
        <v>634</v>
      </c>
      <c r="D1438" s="33" t="s">
        <v>630</v>
      </c>
      <c r="E1438" s="33" t="s">
        <v>639</v>
      </c>
      <c r="F1438" s="34">
        <v>70</v>
      </c>
    </row>
    <row r="1439" spans="1:6" x14ac:dyDescent="0.25">
      <c r="A1439" s="34">
        <v>50</v>
      </c>
      <c r="B1439" s="33" t="s">
        <v>619</v>
      </c>
      <c r="C1439" s="33" t="s">
        <v>634</v>
      </c>
      <c r="D1439" s="33" t="s">
        <v>630</v>
      </c>
      <c r="E1439" s="33" t="s">
        <v>640</v>
      </c>
      <c r="F1439" s="34">
        <v>82</v>
      </c>
    </row>
    <row r="1440" spans="1:6" x14ac:dyDescent="0.25">
      <c r="A1440" s="34">
        <v>50</v>
      </c>
      <c r="B1440" s="33" t="s">
        <v>619</v>
      </c>
      <c r="C1440" s="33" t="s">
        <v>634</v>
      </c>
      <c r="D1440" s="33" t="s">
        <v>630</v>
      </c>
      <c r="E1440" s="33" t="s">
        <v>641</v>
      </c>
      <c r="F1440" s="34">
        <v>82</v>
      </c>
    </row>
    <row r="1441" spans="1:6" x14ac:dyDescent="0.25">
      <c r="A1441" s="34">
        <v>50</v>
      </c>
      <c r="B1441" s="33" t="s">
        <v>619</v>
      </c>
      <c r="C1441" s="33" t="s">
        <v>642</v>
      </c>
      <c r="D1441" s="33" t="s">
        <v>621</v>
      </c>
      <c r="E1441" s="33" t="s">
        <v>643</v>
      </c>
      <c r="F1441" s="34">
        <v>5</v>
      </c>
    </row>
    <row r="1442" spans="1:6" x14ac:dyDescent="0.25">
      <c r="A1442" s="34">
        <v>50</v>
      </c>
      <c r="B1442" s="33" t="s">
        <v>619</v>
      </c>
      <c r="C1442" s="33" t="s">
        <v>642</v>
      </c>
      <c r="D1442" s="33" t="s">
        <v>621</v>
      </c>
      <c r="E1442" s="33" t="s">
        <v>644</v>
      </c>
      <c r="F1442" s="34">
        <v>5</v>
      </c>
    </row>
    <row r="1443" spans="1:6" x14ac:dyDescent="0.25">
      <c r="A1443" s="34">
        <v>50</v>
      </c>
      <c r="B1443" s="33" t="s">
        <v>619</v>
      </c>
      <c r="C1443" s="33" t="s">
        <v>642</v>
      </c>
      <c r="D1443" s="33" t="s">
        <v>621</v>
      </c>
      <c r="E1443" s="33" t="s">
        <v>645</v>
      </c>
      <c r="F1443" s="34">
        <v>5</v>
      </c>
    </row>
    <row r="1444" spans="1:6" x14ac:dyDescent="0.25">
      <c r="A1444" s="34">
        <v>50</v>
      </c>
      <c r="B1444" s="33" t="s">
        <v>619</v>
      </c>
      <c r="C1444" s="33" t="s">
        <v>642</v>
      </c>
      <c r="D1444" s="33" t="s">
        <v>621</v>
      </c>
      <c r="E1444" s="33" t="s">
        <v>646</v>
      </c>
      <c r="F1444" s="34">
        <v>5</v>
      </c>
    </row>
    <row r="1445" spans="1:6" x14ac:dyDescent="0.25">
      <c r="A1445" s="34">
        <v>50</v>
      </c>
      <c r="B1445" s="33" t="s">
        <v>619</v>
      </c>
      <c r="C1445" s="33" t="s">
        <v>642</v>
      </c>
      <c r="D1445" s="33" t="s">
        <v>621</v>
      </c>
      <c r="E1445" s="33" t="s">
        <v>647</v>
      </c>
      <c r="F1445" s="34">
        <v>5</v>
      </c>
    </row>
    <row r="1446" spans="1:6" x14ac:dyDescent="0.25">
      <c r="A1446" s="34">
        <v>50</v>
      </c>
      <c r="B1446" s="33" t="s">
        <v>619</v>
      </c>
      <c r="C1446" s="33" t="s">
        <v>642</v>
      </c>
      <c r="D1446" s="33" t="s">
        <v>621</v>
      </c>
      <c r="E1446" s="33" t="s">
        <v>648</v>
      </c>
      <c r="F1446" s="34">
        <v>5</v>
      </c>
    </row>
    <row r="1447" spans="1:6" x14ac:dyDescent="0.25">
      <c r="A1447" s="34">
        <v>50</v>
      </c>
      <c r="B1447" s="33" t="s">
        <v>619</v>
      </c>
      <c r="C1447" s="33" t="s">
        <v>642</v>
      </c>
      <c r="D1447" s="33" t="s">
        <v>621</v>
      </c>
      <c r="E1447" s="33" t="s">
        <v>649</v>
      </c>
      <c r="F1447" s="34">
        <v>47</v>
      </c>
    </row>
    <row r="1448" spans="1:6" x14ac:dyDescent="0.25">
      <c r="A1448" s="34">
        <v>50</v>
      </c>
      <c r="B1448" s="33" t="s">
        <v>619</v>
      </c>
      <c r="C1448" s="33" t="s">
        <v>642</v>
      </c>
      <c r="D1448" s="33" t="s">
        <v>630</v>
      </c>
      <c r="E1448" s="33" t="s">
        <v>650</v>
      </c>
      <c r="F1448" s="34">
        <v>75</v>
      </c>
    </row>
    <row r="1449" spans="1:6" x14ac:dyDescent="0.25">
      <c r="A1449" s="34">
        <v>50</v>
      </c>
      <c r="B1449" s="33" t="s">
        <v>619</v>
      </c>
      <c r="C1449" s="33" t="s">
        <v>642</v>
      </c>
      <c r="D1449" s="33" t="s">
        <v>630</v>
      </c>
      <c r="E1449" s="33" t="s">
        <v>651</v>
      </c>
      <c r="F1449" s="34">
        <v>82</v>
      </c>
    </row>
    <row r="1450" spans="1:6" x14ac:dyDescent="0.25">
      <c r="A1450" s="34">
        <v>50</v>
      </c>
      <c r="B1450" s="33" t="s">
        <v>619</v>
      </c>
      <c r="C1450" s="33" t="s">
        <v>642</v>
      </c>
      <c r="D1450" s="33" t="s">
        <v>630</v>
      </c>
      <c r="E1450" s="33" t="s">
        <v>652</v>
      </c>
      <c r="F1450" s="34">
        <v>82</v>
      </c>
    </row>
    <row r="1451" spans="1:6" x14ac:dyDescent="0.25">
      <c r="A1451" s="34">
        <v>50</v>
      </c>
      <c r="B1451" s="33" t="s">
        <v>619</v>
      </c>
      <c r="C1451" s="33" t="s">
        <v>653</v>
      </c>
      <c r="D1451" s="33" t="s">
        <v>653</v>
      </c>
      <c r="E1451" s="33" t="s">
        <v>654</v>
      </c>
      <c r="F1451" s="34">
        <v>72</v>
      </c>
    </row>
    <row r="1452" spans="1:6" x14ac:dyDescent="0.25">
      <c r="A1452" s="34">
        <v>51</v>
      </c>
      <c r="B1452" s="33" t="s">
        <v>619</v>
      </c>
      <c r="C1452" s="33" t="s">
        <v>620</v>
      </c>
      <c r="D1452" s="33" t="s">
        <v>621</v>
      </c>
      <c r="E1452" s="33" t="s">
        <v>622</v>
      </c>
      <c r="F1452" s="34">
        <v>1</v>
      </c>
    </row>
    <row r="1453" spans="1:6" x14ac:dyDescent="0.25">
      <c r="A1453" s="34">
        <v>51</v>
      </c>
      <c r="B1453" s="33" t="s">
        <v>619</v>
      </c>
      <c r="C1453" s="33" t="s">
        <v>620</v>
      </c>
      <c r="D1453" s="33" t="s">
        <v>621</v>
      </c>
      <c r="E1453" s="33" t="s">
        <v>623</v>
      </c>
      <c r="F1453" s="34">
        <v>1</v>
      </c>
    </row>
    <row r="1454" spans="1:6" x14ac:dyDescent="0.25">
      <c r="A1454" s="34">
        <v>51</v>
      </c>
      <c r="B1454" s="33" t="s">
        <v>619</v>
      </c>
      <c r="C1454" s="33" t="s">
        <v>620</v>
      </c>
      <c r="D1454" s="33" t="s">
        <v>621</v>
      </c>
      <c r="E1454" s="33" t="s">
        <v>624</v>
      </c>
      <c r="F1454" s="34">
        <v>1</v>
      </c>
    </row>
    <row r="1455" spans="1:6" x14ac:dyDescent="0.25">
      <c r="A1455" s="34">
        <v>51</v>
      </c>
      <c r="B1455" s="33" t="s">
        <v>619</v>
      </c>
      <c r="C1455" s="33" t="s">
        <v>620</v>
      </c>
      <c r="D1455" s="33" t="s">
        <v>621</v>
      </c>
      <c r="E1455" s="33" t="s">
        <v>625</v>
      </c>
      <c r="F1455" s="34">
        <v>1</v>
      </c>
    </row>
    <row r="1456" spans="1:6" x14ac:dyDescent="0.25">
      <c r="A1456" s="34">
        <v>51</v>
      </c>
      <c r="B1456" s="33" t="s">
        <v>619</v>
      </c>
      <c r="C1456" s="33" t="s">
        <v>620</v>
      </c>
      <c r="D1456" s="33" t="s">
        <v>621</v>
      </c>
      <c r="E1456" s="33" t="s">
        <v>626</v>
      </c>
      <c r="F1456" s="34">
        <v>1</v>
      </c>
    </row>
    <row r="1457" spans="1:6" x14ac:dyDescent="0.25">
      <c r="A1457" s="34">
        <v>51</v>
      </c>
      <c r="B1457" s="33" t="s">
        <v>619</v>
      </c>
      <c r="C1457" s="33" t="s">
        <v>620</v>
      </c>
      <c r="D1457" s="33" t="s">
        <v>621</v>
      </c>
      <c r="E1457" s="33" t="s">
        <v>627</v>
      </c>
      <c r="F1457" s="34">
        <v>1</v>
      </c>
    </row>
    <row r="1458" spans="1:6" x14ac:dyDescent="0.25">
      <c r="A1458" s="34">
        <v>51</v>
      </c>
      <c r="B1458" s="33" t="s">
        <v>619</v>
      </c>
      <c r="C1458" s="33" t="s">
        <v>620</v>
      </c>
      <c r="D1458" s="33" t="s">
        <v>621</v>
      </c>
      <c r="E1458" s="33" t="s">
        <v>628</v>
      </c>
      <c r="F1458" s="34">
        <v>5</v>
      </c>
    </row>
    <row r="1459" spans="1:6" x14ac:dyDescent="0.25">
      <c r="A1459" s="34">
        <v>51</v>
      </c>
      <c r="B1459" s="33" t="s">
        <v>619</v>
      </c>
      <c r="C1459" s="33" t="s">
        <v>620</v>
      </c>
      <c r="D1459" s="33" t="s">
        <v>621</v>
      </c>
      <c r="E1459" s="33" t="s">
        <v>629</v>
      </c>
      <c r="F1459" s="34">
        <v>47</v>
      </c>
    </row>
    <row r="1460" spans="1:6" x14ac:dyDescent="0.25">
      <c r="A1460" s="34">
        <v>51</v>
      </c>
      <c r="B1460" s="33" t="s">
        <v>619</v>
      </c>
      <c r="C1460" s="33" t="s">
        <v>620</v>
      </c>
      <c r="D1460" s="33" t="s">
        <v>630</v>
      </c>
      <c r="E1460" s="33" t="s">
        <v>631</v>
      </c>
      <c r="F1460" s="34">
        <v>85</v>
      </c>
    </row>
    <row r="1461" spans="1:6" x14ac:dyDescent="0.25">
      <c r="A1461" s="34">
        <v>51</v>
      </c>
      <c r="B1461" s="33" t="s">
        <v>619</v>
      </c>
      <c r="C1461" s="33" t="s">
        <v>620</v>
      </c>
      <c r="D1461" s="33" t="s">
        <v>630</v>
      </c>
      <c r="E1461" s="33" t="s">
        <v>632</v>
      </c>
      <c r="F1461" s="33" t="s">
        <v>462</v>
      </c>
    </row>
    <row r="1462" spans="1:6" x14ac:dyDescent="0.25">
      <c r="A1462" s="34">
        <v>51</v>
      </c>
      <c r="B1462" s="33" t="s">
        <v>619</v>
      </c>
      <c r="C1462" s="33" t="s">
        <v>620</v>
      </c>
      <c r="D1462" s="33" t="s">
        <v>630</v>
      </c>
      <c r="E1462" s="33" t="s">
        <v>633</v>
      </c>
      <c r="F1462" s="34">
        <v>85</v>
      </c>
    </row>
    <row r="1463" spans="1:6" x14ac:dyDescent="0.25">
      <c r="A1463" s="34">
        <v>51</v>
      </c>
      <c r="B1463" s="33" t="s">
        <v>619</v>
      </c>
      <c r="C1463" s="33" t="s">
        <v>634</v>
      </c>
      <c r="D1463" s="33" t="s">
        <v>621</v>
      </c>
      <c r="E1463" s="33" t="s">
        <v>635</v>
      </c>
      <c r="F1463" s="34">
        <v>1</v>
      </c>
    </row>
    <row r="1464" spans="1:6" x14ac:dyDescent="0.25">
      <c r="A1464" s="34">
        <v>51</v>
      </c>
      <c r="B1464" s="33" t="s">
        <v>619</v>
      </c>
      <c r="C1464" s="33" t="s">
        <v>634</v>
      </c>
      <c r="D1464" s="33" t="s">
        <v>621</v>
      </c>
      <c r="E1464" s="33" t="s">
        <v>636</v>
      </c>
      <c r="F1464" s="34">
        <v>1</v>
      </c>
    </row>
    <row r="1465" spans="1:6" x14ac:dyDescent="0.25">
      <c r="A1465" s="34">
        <v>51</v>
      </c>
      <c r="B1465" s="33" t="s">
        <v>619</v>
      </c>
      <c r="C1465" s="33" t="s">
        <v>634</v>
      </c>
      <c r="D1465" s="33" t="s">
        <v>621</v>
      </c>
      <c r="E1465" s="33" t="s">
        <v>637</v>
      </c>
      <c r="F1465" s="34">
        <v>5</v>
      </c>
    </row>
    <row r="1466" spans="1:6" x14ac:dyDescent="0.25">
      <c r="A1466" s="34">
        <v>51</v>
      </c>
      <c r="B1466" s="33" t="s">
        <v>619</v>
      </c>
      <c r="C1466" s="33" t="s">
        <v>634</v>
      </c>
      <c r="D1466" s="33" t="s">
        <v>621</v>
      </c>
      <c r="E1466" s="33" t="s">
        <v>638</v>
      </c>
      <c r="F1466" s="34">
        <v>50</v>
      </c>
    </row>
    <row r="1467" spans="1:6" x14ac:dyDescent="0.25">
      <c r="A1467" s="34">
        <v>51</v>
      </c>
      <c r="B1467" s="33" t="s">
        <v>619</v>
      </c>
      <c r="C1467" s="33" t="s">
        <v>634</v>
      </c>
      <c r="D1467" s="33" t="s">
        <v>630</v>
      </c>
      <c r="E1467" s="33" t="s">
        <v>639</v>
      </c>
      <c r="F1467" s="34">
        <v>80</v>
      </c>
    </row>
    <row r="1468" spans="1:6" x14ac:dyDescent="0.25">
      <c r="A1468" s="34">
        <v>51</v>
      </c>
      <c r="B1468" s="33" t="s">
        <v>619</v>
      </c>
      <c r="C1468" s="33" t="s">
        <v>634</v>
      </c>
      <c r="D1468" s="33" t="s">
        <v>630</v>
      </c>
      <c r="E1468" s="33" t="s">
        <v>640</v>
      </c>
      <c r="F1468" s="33" t="s">
        <v>462</v>
      </c>
    </row>
    <row r="1469" spans="1:6" x14ac:dyDescent="0.25">
      <c r="A1469" s="34">
        <v>51</v>
      </c>
      <c r="B1469" s="33" t="s">
        <v>619</v>
      </c>
      <c r="C1469" s="33" t="s">
        <v>634</v>
      </c>
      <c r="D1469" s="33" t="s">
        <v>630</v>
      </c>
      <c r="E1469" s="33" t="s">
        <v>641</v>
      </c>
      <c r="F1469" s="34">
        <v>80</v>
      </c>
    </row>
    <row r="1470" spans="1:6" x14ac:dyDescent="0.25">
      <c r="A1470" s="34">
        <v>51</v>
      </c>
      <c r="B1470" s="33" t="s">
        <v>619</v>
      </c>
      <c r="C1470" s="33" t="s">
        <v>642</v>
      </c>
      <c r="D1470" s="33" t="s">
        <v>621</v>
      </c>
      <c r="E1470" s="33" t="s">
        <v>643</v>
      </c>
      <c r="F1470" s="34">
        <v>5</v>
      </c>
    </row>
    <row r="1471" spans="1:6" x14ac:dyDescent="0.25">
      <c r="A1471" s="34">
        <v>51</v>
      </c>
      <c r="B1471" s="33" t="s">
        <v>619</v>
      </c>
      <c r="C1471" s="33" t="s">
        <v>642</v>
      </c>
      <c r="D1471" s="33" t="s">
        <v>621</v>
      </c>
      <c r="E1471" s="33" t="s">
        <v>644</v>
      </c>
      <c r="F1471" s="34">
        <v>5</v>
      </c>
    </row>
    <row r="1472" spans="1:6" x14ac:dyDescent="0.25">
      <c r="A1472" s="34">
        <v>51</v>
      </c>
      <c r="B1472" s="33" t="s">
        <v>619</v>
      </c>
      <c r="C1472" s="33" t="s">
        <v>642</v>
      </c>
      <c r="D1472" s="33" t="s">
        <v>621</v>
      </c>
      <c r="E1472" s="33" t="s">
        <v>645</v>
      </c>
      <c r="F1472" s="34">
        <v>5</v>
      </c>
    </row>
    <row r="1473" spans="1:6" x14ac:dyDescent="0.25">
      <c r="A1473" s="34">
        <v>51</v>
      </c>
      <c r="B1473" s="33" t="s">
        <v>619</v>
      </c>
      <c r="C1473" s="33" t="s">
        <v>642</v>
      </c>
      <c r="D1473" s="33" t="s">
        <v>621</v>
      </c>
      <c r="E1473" s="33" t="s">
        <v>646</v>
      </c>
      <c r="F1473" s="34">
        <v>5</v>
      </c>
    </row>
    <row r="1474" spans="1:6" x14ac:dyDescent="0.25">
      <c r="A1474" s="34">
        <v>51</v>
      </c>
      <c r="B1474" s="33" t="s">
        <v>619</v>
      </c>
      <c r="C1474" s="33" t="s">
        <v>642</v>
      </c>
      <c r="D1474" s="33" t="s">
        <v>621</v>
      </c>
      <c r="E1474" s="33" t="s">
        <v>647</v>
      </c>
      <c r="F1474" s="34">
        <v>5</v>
      </c>
    </row>
    <row r="1475" spans="1:6" x14ac:dyDescent="0.25">
      <c r="A1475" s="34">
        <v>51</v>
      </c>
      <c r="B1475" s="33" t="s">
        <v>619</v>
      </c>
      <c r="C1475" s="33" t="s">
        <v>642</v>
      </c>
      <c r="D1475" s="33" t="s">
        <v>621</v>
      </c>
      <c r="E1475" s="33" t="s">
        <v>648</v>
      </c>
      <c r="F1475" s="34">
        <v>5</v>
      </c>
    </row>
    <row r="1476" spans="1:6" x14ac:dyDescent="0.25">
      <c r="A1476" s="34">
        <v>51</v>
      </c>
      <c r="B1476" s="33" t="s">
        <v>619</v>
      </c>
      <c r="C1476" s="33" t="s">
        <v>642</v>
      </c>
      <c r="D1476" s="33" t="s">
        <v>621</v>
      </c>
      <c r="E1476" s="33" t="s">
        <v>649</v>
      </c>
      <c r="F1476" s="34">
        <v>50</v>
      </c>
    </row>
    <row r="1477" spans="1:6" x14ac:dyDescent="0.25">
      <c r="A1477" s="34">
        <v>51</v>
      </c>
      <c r="B1477" s="33" t="s">
        <v>619</v>
      </c>
      <c r="C1477" s="33" t="s">
        <v>642</v>
      </c>
      <c r="D1477" s="33" t="s">
        <v>630</v>
      </c>
      <c r="E1477" s="33" t="s">
        <v>650</v>
      </c>
      <c r="F1477" s="34">
        <v>85</v>
      </c>
    </row>
    <row r="1478" spans="1:6" x14ac:dyDescent="0.25">
      <c r="A1478" s="34">
        <v>51</v>
      </c>
      <c r="B1478" s="33" t="s">
        <v>619</v>
      </c>
      <c r="C1478" s="33" t="s">
        <v>642</v>
      </c>
      <c r="D1478" s="33" t="s">
        <v>630</v>
      </c>
      <c r="E1478" s="33" t="s">
        <v>651</v>
      </c>
      <c r="F1478" s="33" t="s">
        <v>462</v>
      </c>
    </row>
    <row r="1479" spans="1:6" x14ac:dyDescent="0.25">
      <c r="A1479" s="34">
        <v>51</v>
      </c>
      <c r="B1479" s="33" t="s">
        <v>619</v>
      </c>
      <c r="C1479" s="33" t="s">
        <v>642</v>
      </c>
      <c r="D1479" s="33" t="s">
        <v>630</v>
      </c>
      <c r="E1479" s="33" t="s">
        <v>652</v>
      </c>
      <c r="F1479" s="34">
        <v>85</v>
      </c>
    </row>
    <row r="1480" spans="1:6" x14ac:dyDescent="0.25">
      <c r="A1480" s="34">
        <v>51</v>
      </c>
      <c r="B1480" s="33" t="s">
        <v>619</v>
      </c>
      <c r="C1480" s="33" t="s">
        <v>653</v>
      </c>
      <c r="D1480" s="33" t="s">
        <v>653</v>
      </c>
      <c r="E1480" s="33" t="s">
        <v>654</v>
      </c>
      <c r="F1480" s="34">
        <v>82</v>
      </c>
    </row>
    <row r="1481" spans="1:6" x14ac:dyDescent="0.25">
      <c r="A1481" s="34">
        <v>52</v>
      </c>
      <c r="B1481" s="33" t="s">
        <v>619</v>
      </c>
      <c r="C1481" s="33" t="s">
        <v>620</v>
      </c>
      <c r="D1481" s="33" t="s">
        <v>621</v>
      </c>
      <c r="E1481" s="33" t="s">
        <v>622</v>
      </c>
      <c r="F1481" s="34">
        <v>0</v>
      </c>
    </row>
    <row r="1482" spans="1:6" x14ac:dyDescent="0.25">
      <c r="A1482" s="34">
        <v>52</v>
      </c>
      <c r="B1482" s="33" t="s">
        <v>619</v>
      </c>
      <c r="C1482" s="33" t="s">
        <v>620</v>
      </c>
      <c r="D1482" s="33" t="s">
        <v>621</v>
      </c>
      <c r="E1482" s="33" t="s">
        <v>623</v>
      </c>
      <c r="F1482" s="34">
        <v>0</v>
      </c>
    </row>
    <row r="1483" spans="1:6" x14ac:dyDescent="0.25">
      <c r="A1483" s="34">
        <v>52</v>
      </c>
      <c r="B1483" s="33" t="s">
        <v>619</v>
      </c>
      <c r="C1483" s="33" t="s">
        <v>620</v>
      </c>
      <c r="D1483" s="33" t="s">
        <v>621</v>
      </c>
      <c r="E1483" s="33" t="s">
        <v>624</v>
      </c>
      <c r="F1483" s="34">
        <v>0</v>
      </c>
    </row>
    <row r="1484" spans="1:6" x14ac:dyDescent="0.25">
      <c r="A1484" s="34">
        <v>52</v>
      </c>
      <c r="B1484" s="33" t="s">
        <v>619</v>
      </c>
      <c r="C1484" s="33" t="s">
        <v>620</v>
      </c>
      <c r="D1484" s="33" t="s">
        <v>621</v>
      </c>
      <c r="E1484" s="33" t="s">
        <v>625</v>
      </c>
      <c r="F1484" s="34">
        <v>0</v>
      </c>
    </row>
    <row r="1485" spans="1:6" x14ac:dyDescent="0.25">
      <c r="A1485" s="34">
        <v>52</v>
      </c>
      <c r="B1485" s="33" t="s">
        <v>619</v>
      </c>
      <c r="C1485" s="33" t="s">
        <v>620</v>
      </c>
      <c r="D1485" s="33" t="s">
        <v>621</v>
      </c>
      <c r="E1485" s="33" t="s">
        <v>626</v>
      </c>
      <c r="F1485" s="34">
        <v>0</v>
      </c>
    </row>
    <row r="1486" spans="1:6" x14ac:dyDescent="0.25">
      <c r="A1486" s="34">
        <v>52</v>
      </c>
      <c r="B1486" s="33" t="s">
        <v>619</v>
      </c>
      <c r="C1486" s="33" t="s">
        <v>620</v>
      </c>
      <c r="D1486" s="33" t="s">
        <v>621</v>
      </c>
      <c r="E1486" s="33" t="s">
        <v>627</v>
      </c>
      <c r="F1486" s="34">
        <v>1</v>
      </c>
    </row>
    <row r="1487" spans="1:6" x14ac:dyDescent="0.25">
      <c r="A1487" s="34">
        <v>52</v>
      </c>
      <c r="B1487" s="33" t="s">
        <v>619</v>
      </c>
      <c r="C1487" s="33" t="s">
        <v>620</v>
      </c>
      <c r="D1487" s="33" t="s">
        <v>621</v>
      </c>
      <c r="E1487" s="33" t="s">
        <v>628</v>
      </c>
      <c r="F1487" s="34">
        <v>5</v>
      </c>
    </row>
    <row r="1488" spans="1:6" x14ac:dyDescent="0.25">
      <c r="A1488" s="34">
        <v>52</v>
      </c>
      <c r="B1488" s="33" t="s">
        <v>619</v>
      </c>
      <c r="C1488" s="33" t="s">
        <v>620</v>
      </c>
      <c r="D1488" s="33" t="s">
        <v>621</v>
      </c>
      <c r="E1488" s="33" t="s">
        <v>629</v>
      </c>
      <c r="F1488" s="34">
        <v>49</v>
      </c>
    </row>
    <row r="1489" spans="1:6" x14ac:dyDescent="0.25">
      <c r="A1489" s="34">
        <v>52</v>
      </c>
      <c r="B1489" s="33" t="s">
        <v>619</v>
      </c>
      <c r="C1489" s="33" t="s">
        <v>620</v>
      </c>
      <c r="D1489" s="33" t="s">
        <v>630</v>
      </c>
      <c r="E1489" s="33" t="s">
        <v>631</v>
      </c>
      <c r="F1489" s="34">
        <v>68</v>
      </c>
    </row>
    <row r="1490" spans="1:6" x14ac:dyDescent="0.25">
      <c r="A1490" s="34">
        <v>52</v>
      </c>
      <c r="B1490" s="33" t="s">
        <v>619</v>
      </c>
      <c r="C1490" s="33" t="s">
        <v>620</v>
      </c>
      <c r="D1490" s="33" t="s">
        <v>630</v>
      </c>
      <c r="E1490" s="33" t="s">
        <v>632</v>
      </c>
      <c r="F1490" s="33" t="s">
        <v>462</v>
      </c>
    </row>
    <row r="1491" spans="1:6" x14ac:dyDescent="0.25">
      <c r="A1491" s="34">
        <v>52</v>
      </c>
      <c r="B1491" s="33" t="s">
        <v>619</v>
      </c>
      <c r="C1491" s="33" t="s">
        <v>620</v>
      </c>
      <c r="D1491" s="33" t="s">
        <v>630</v>
      </c>
      <c r="E1491" s="33" t="s">
        <v>633</v>
      </c>
      <c r="F1491" s="34">
        <v>68</v>
      </c>
    </row>
    <row r="1492" spans="1:6" x14ac:dyDescent="0.25">
      <c r="A1492" s="34">
        <v>52</v>
      </c>
      <c r="B1492" s="33" t="s">
        <v>619</v>
      </c>
      <c r="C1492" s="33" t="s">
        <v>634</v>
      </c>
      <c r="D1492" s="33" t="s">
        <v>621</v>
      </c>
      <c r="E1492" s="33" t="s">
        <v>635</v>
      </c>
      <c r="F1492" s="34">
        <v>0</v>
      </c>
    </row>
    <row r="1493" spans="1:6" x14ac:dyDescent="0.25">
      <c r="A1493" s="34">
        <v>52</v>
      </c>
      <c r="B1493" s="33" t="s">
        <v>619</v>
      </c>
      <c r="C1493" s="33" t="s">
        <v>634</v>
      </c>
      <c r="D1493" s="33" t="s">
        <v>621</v>
      </c>
      <c r="E1493" s="33" t="s">
        <v>636</v>
      </c>
      <c r="F1493" s="34">
        <v>0</v>
      </c>
    </row>
    <row r="1494" spans="1:6" x14ac:dyDescent="0.25">
      <c r="A1494" s="34">
        <v>52</v>
      </c>
      <c r="B1494" s="33" t="s">
        <v>619</v>
      </c>
      <c r="C1494" s="33" t="s">
        <v>634</v>
      </c>
      <c r="D1494" s="33" t="s">
        <v>621</v>
      </c>
      <c r="E1494" s="33" t="s">
        <v>637</v>
      </c>
      <c r="F1494" s="34">
        <v>5</v>
      </c>
    </row>
    <row r="1495" spans="1:6" x14ac:dyDescent="0.25">
      <c r="A1495" s="34">
        <v>52</v>
      </c>
      <c r="B1495" s="33" t="s">
        <v>619</v>
      </c>
      <c r="C1495" s="33" t="s">
        <v>634</v>
      </c>
      <c r="D1495" s="33" t="s">
        <v>621</v>
      </c>
      <c r="E1495" s="33" t="s">
        <v>638</v>
      </c>
      <c r="F1495" s="34">
        <v>41</v>
      </c>
    </row>
    <row r="1496" spans="1:6" x14ac:dyDescent="0.25">
      <c r="A1496" s="34">
        <v>52</v>
      </c>
      <c r="B1496" s="33" t="s">
        <v>619</v>
      </c>
      <c r="C1496" s="33" t="s">
        <v>634</v>
      </c>
      <c r="D1496" s="33" t="s">
        <v>630</v>
      </c>
      <c r="E1496" s="33" t="s">
        <v>639</v>
      </c>
      <c r="F1496" s="34">
        <v>66</v>
      </c>
    </row>
    <row r="1497" spans="1:6" x14ac:dyDescent="0.25">
      <c r="A1497" s="34">
        <v>52</v>
      </c>
      <c r="B1497" s="33" t="s">
        <v>619</v>
      </c>
      <c r="C1497" s="33" t="s">
        <v>634</v>
      </c>
      <c r="D1497" s="33" t="s">
        <v>630</v>
      </c>
      <c r="E1497" s="33" t="s">
        <v>640</v>
      </c>
      <c r="F1497" s="33" t="s">
        <v>462</v>
      </c>
    </row>
    <row r="1498" spans="1:6" x14ac:dyDescent="0.25">
      <c r="A1498" s="34">
        <v>52</v>
      </c>
      <c r="B1498" s="33" t="s">
        <v>619</v>
      </c>
      <c r="C1498" s="33" t="s">
        <v>634</v>
      </c>
      <c r="D1498" s="33" t="s">
        <v>630</v>
      </c>
      <c r="E1498" s="33" t="s">
        <v>641</v>
      </c>
      <c r="F1498" s="34">
        <v>66</v>
      </c>
    </row>
    <row r="1499" spans="1:6" x14ac:dyDescent="0.25">
      <c r="A1499" s="34">
        <v>52</v>
      </c>
      <c r="B1499" s="33" t="s">
        <v>619</v>
      </c>
      <c r="C1499" s="33" t="s">
        <v>642</v>
      </c>
      <c r="D1499" s="33" t="s">
        <v>621</v>
      </c>
      <c r="E1499" s="33" t="s">
        <v>643</v>
      </c>
      <c r="F1499" s="34">
        <v>0</v>
      </c>
    </row>
    <row r="1500" spans="1:6" x14ac:dyDescent="0.25">
      <c r="A1500" s="34">
        <v>52</v>
      </c>
      <c r="B1500" s="33" t="s">
        <v>619</v>
      </c>
      <c r="C1500" s="33" t="s">
        <v>642</v>
      </c>
      <c r="D1500" s="33" t="s">
        <v>621</v>
      </c>
      <c r="E1500" s="33" t="s">
        <v>644</v>
      </c>
      <c r="F1500" s="34">
        <v>0</v>
      </c>
    </row>
    <row r="1501" spans="1:6" x14ac:dyDescent="0.25">
      <c r="A1501" s="34">
        <v>52</v>
      </c>
      <c r="B1501" s="33" t="s">
        <v>619</v>
      </c>
      <c r="C1501" s="33" t="s">
        <v>642</v>
      </c>
      <c r="D1501" s="33" t="s">
        <v>621</v>
      </c>
      <c r="E1501" s="33" t="s">
        <v>645</v>
      </c>
      <c r="F1501" s="34">
        <v>0</v>
      </c>
    </row>
    <row r="1502" spans="1:6" x14ac:dyDescent="0.25">
      <c r="A1502" s="34">
        <v>52</v>
      </c>
      <c r="B1502" s="33" t="s">
        <v>619</v>
      </c>
      <c r="C1502" s="33" t="s">
        <v>642</v>
      </c>
      <c r="D1502" s="33" t="s">
        <v>621</v>
      </c>
      <c r="E1502" s="33" t="s">
        <v>646</v>
      </c>
      <c r="F1502" s="34">
        <v>0</v>
      </c>
    </row>
    <row r="1503" spans="1:6" x14ac:dyDescent="0.25">
      <c r="A1503" s="34">
        <v>52</v>
      </c>
      <c r="B1503" s="33" t="s">
        <v>619</v>
      </c>
      <c r="C1503" s="33" t="s">
        <v>642</v>
      </c>
      <c r="D1503" s="33" t="s">
        <v>621</v>
      </c>
      <c r="E1503" s="33" t="s">
        <v>647</v>
      </c>
      <c r="F1503" s="34">
        <v>0</v>
      </c>
    </row>
    <row r="1504" spans="1:6" x14ac:dyDescent="0.25">
      <c r="A1504" s="34">
        <v>52</v>
      </c>
      <c r="B1504" s="33" t="s">
        <v>619</v>
      </c>
      <c r="C1504" s="33" t="s">
        <v>642</v>
      </c>
      <c r="D1504" s="33" t="s">
        <v>621</v>
      </c>
      <c r="E1504" s="33" t="s">
        <v>648</v>
      </c>
      <c r="F1504" s="34">
        <v>0</v>
      </c>
    </row>
    <row r="1505" spans="1:6" x14ac:dyDescent="0.25">
      <c r="A1505" s="34">
        <v>52</v>
      </c>
      <c r="B1505" s="33" t="s">
        <v>619</v>
      </c>
      <c r="C1505" s="33" t="s">
        <v>642</v>
      </c>
      <c r="D1505" s="33" t="s">
        <v>621</v>
      </c>
      <c r="E1505" s="33" t="s">
        <v>649</v>
      </c>
      <c r="F1505" s="34">
        <v>11</v>
      </c>
    </row>
    <row r="1506" spans="1:6" x14ac:dyDescent="0.25">
      <c r="A1506" s="34">
        <v>52</v>
      </c>
      <c r="B1506" s="33" t="s">
        <v>619</v>
      </c>
      <c r="C1506" s="33" t="s">
        <v>642</v>
      </c>
      <c r="D1506" s="33" t="s">
        <v>630</v>
      </c>
      <c r="E1506" s="33" t="s">
        <v>650</v>
      </c>
      <c r="F1506" s="34">
        <v>65</v>
      </c>
    </row>
    <row r="1507" spans="1:6" x14ac:dyDescent="0.25">
      <c r="A1507" s="34">
        <v>52</v>
      </c>
      <c r="B1507" s="33" t="s">
        <v>619</v>
      </c>
      <c r="C1507" s="33" t="s">
        <v>642</v>
      </c>
      <c r="D1507" s="33" t="s">
        <v>630</v>
      </c>
      <c r="E1507" s="33" t="s">
        <v>651</v>
      </c>
      <c r="F1507" s="34">
        <v>62</v>
      </c>
    </row>
    <row r="1508" spans="1:6" x14ac:dyDescent="0.25">
      <c r="A1508" s="34">
        <v>52</v>
      </c>
      <c r="B1508" s="33" t="s">
        <v>619</v>
      </c>
      <c r="C1508" s="33" t="s">
        <v>642</v>
      </c>
      <c r="D1508" s="33" t="s">
        <v>630</v>
      </c>
      <c r="E1508" s="33" t="s">
        <v>652</v>
      </c>
      <c r="F1508" s="34">
        <v>65</v>
      </c>
    </row>
    <row r="1509" spans="1:6" x14ac:dyDescent="0.25">
      <c r="A1509" s="34">
        <v>52</v>
      </c>
      <c r="B1509" s="33" t="s">
        <v>619</v>
      </c>
      <c r="C1509" s="33" t="s">
        <v>653</v>
      </c>
      <c r="D1509" s="33" t="s">
        <v>653</v>
      </c>
      <c r="E1509" s="33" t="s">
        <v>654</v>
      </c>
      <c r="F1509" s="34">
        <v>65</v>
      </c>
    </row>
    <row r="1510" spans="1:6" x14ac:dyDescent="0.25">
      <c r="A1510" s="34">
        <v>53</v>
      </c>
      <c r="B1510" s="33" t="s">
        <v>619</v>
      </c>
      <c r="C1510" s="33" t="s">
        <v>620</v>
      </c>
      <c r="D1510" s="33" t="s">
        <v>621</v>
      </c>
      <c r="E1510" s="33" t="s">
        <v>622</v>
      </c>
      <c r="F1510" s="34">
        <v>1</v>
      </c>
    </row>
    <row r="1511" spans="1:6" x14ac:dyDescent="0.25">
      <c r="A1511" s="34">
        <v>53</v>
      </c>
      <c r="B1511" s="33" t="s">
        <v>619</v>
      </c>
      <c r="C1511" s="33" t="s">
        <v>620</v>
      </c>
      <c r="D1511" s="33" t="s">
        <v>621</v>
      </c>
      <c r="E1511" s="33" t="s">
        <v>623</v>
      </c>
      <c r="F1511" s="34">
        <v>1</v>
      </c>
    </row>
    <row r="1512" spans="1:6" x14ac:dyDescent="0.25">
      <c r="A1512" s="34">
        <v>53</v>
      </c>
      <c r="B1512" s="33" t="s">
        <v>619</v>
      </c>
      <c r="C1512" s="33" t="s">
        <v>620</v>
      </c>
      <c r="D1512" s="33" t="s">
        <v>621</v>
      </c>
      <c r="E1512" s="33" t="s">
        <v>624</v>
      </c>
      <c r="F1512" s="34">
        <v>1</v>
      </c>
    </row>
    <row r="1513" spans="1:6" x14ac:dyDescent="0.25">
      <c r="A1513" s="34">
        <v>53</v>
      </c>
      <c r="B1513" s="33" t="s">
        <v>619</v>
      </c>
      <c r="C1513" s="33" t="s">
        <v>620</v>
      </c>
      <c r="D1513" s="33" t="s">
        <v>621</v>
      </c>
      <c r="E1513" s="33" t="s">
        <v>625</v>
      </c>
      <c r="F1513" s="34">
        <v>1</v>
      </c>
    </row>
    <row r="1514" spans="1:6" x14ac:dyDescent="0.25">
      <c r="A1514" s="34">
        <v>53</v>
      </c>
      <c r="B1514" s="33" t="s">
        <v>619</v>
      </c>
      <c r="C1514" s="33" t="s">
        <v>620</v>
      </c>
      <c r="D1514" s="33" t="s">
        <v>621</v>
      </c>
      <c r="E1514" s="33" t="s">
        <v>626</v>
      </c>
      <c r="F1514" s="34">
        <v>0</v>
      </c>
    </row>
    <row r="1515" spans="1:6" x14ac:dyDescent="0.25">
      <c r="A1515" s="34">
        <v>53</v>
      </c>
      <c r="B1515" s="33" t="s">
        <v>619</v>
      </c>
      <c r="C1515" s="33" t="s">
        <v>620</v>
      </c>
      <c r="D1515" s="33" t="s">
        <v>621</v>
      </c>
      <c r="E1515" s="33" t="s">
        <v>627</v>
      </c>
      <c r="F1515" s="34">
        <v>1</v>
      </c>
    </row>
    <row r="1516" spans="1:6" x14ac:dyDescent="0.25">
      <c r="A1516" s="34">
        <v>53</v>
      </c>
      <c r="B1516" s="33" t="s">
        <v>619</v>
      </c>
      <c r="C1516" s="33" t="s">
        <v>620</v>
      </c>
      <c r="D1516" s="33" t="s">
        <v>621</v>
      </c>
      <c r="E1516" s="63" t="s">
        <v>628</v>
      </c>
      <c r="F1516" s="64"/>
    </row>
    <row r="1517" spans="1:6" x14ac:dyDescent="0.25">
      <c r="A1517" s="34">
        <v>53</v>
      </c>
      <c r="B1517" s="33" t="s">
        <v>619</v>
      </c>
      <c r="C1517" s="33" t="s">
        <v>620</v>
      </c>
      <c r="D1517" s="33" t="s">
        <v>621</v>
      </c>
      <c r="E1517" s="33" t="s">
        <v>629</v>
      </c>
      <c r="F1517" s="34">
        <v>50</v>
      </c>
    </row>
    <row r="1518" spans="1:6" x14ac:dyDescent="0.25">
      <c r="A1518" s="34">
        <v>53</v>
      </c>
      <c r="B1518" s="33" t="s">
        <v>619</v>
      </c>
      <c r="C1518" s="33" t="s">
        <v>620</v>
      </c>
      <c r="D1518" s="33" t="s">
        <v>630</v>
      </c>
      <c r="E1518" s="33" t="s">
        <v>631</v>
      </c>
      <c r="F1518" s="34">
        <v>92</v>
      </c>
    </row>
    <row r="1519" spans="1:6" x14ac:dyDescent="0.25">
      <c r="A1519" s="34">
        <v>53</v>
      </c>
      <c r="B1519" s="33" t="s">
        <v>619</v>
      </c>
      <c r="C1519" s="33" t="s">
        <v>620</v>
      </c>
      <c r="D1519" s="33" t="s">
        <v>630</v>
      </c>
      <c r="E1519" s="33" t="s">
        <v>632</v>
      </c>
      <c r="F1519" s="33" t="s">
        <v>462</v>
      </c>
    </row>
    <row r="1520" spans="1:6" x14ac:dyDescent="0.25">
      <c r="A1520" s="34">
        <v>53</v>
      </c>
      <c r="B1520" s="33" t="s">
        <v>619</v>
      </c>
      <c r="C1520" s="33" t="s">
        <v>620</v>
      </c>
      <c r="D1520" s="33" t="s">
        <v>630</v>
      </c>
      <c r="E1520" s="33" t="s">
        <v>633</v>
      </c>
      <c r="F1520" s="34">
        <v>92</v>
      </c>
    </row>
    <row r="1521" spans="1:6" x14ac:dyDescent="0.25">
      <c r="A1521" s="34">
        <v>53</v>
      </c>
      <c r="B1521" s="33" t="s">
        <v>619</v>
      </c>
      <c r="C1521" s="33" t="s">
        <v>634</v>
      </c>
      <c r="D1521" s="33" t="s">
        <v>621</v>
      </c>
      <c r="E1521" s="33" t="s">
        <v>635</v>
      </c>
      <c r="F1521" s="34">
        <v>1</v>
      </c>
    </row>
    <row r="1522" spans="1:6" x14ac:dyDescent="0.25">
      <c r="A1522" s="34">
        <v>53</v>
      </c>
      <c r="B1522" s="33" t="s">
        <v>619</v>
      </c>
      <c r="C1522" s="33" t="s">
        <v>634</v>
      </c>
      <c r="D1522" s="33" t="s">
        <v>621</v>
      </c>
      <c r="E1522" s="33" t="s">
        <v>636</v>
      </c>
      <c r="F1522" s="34">
        <v>1</v>
      </c>
    </row>
    <row r="1523" spans="1:6" x14ac:dyDescent="0.25">
      <c r="A1523" s="34">
        <v>53</v>
      </c>
      <c r="B1523" s="33" t="s">
        <v>619</v>
      </c>
      <c r="C1523" s="33" t="s">
        <v>634</v>
      </c>
      <c r="D1523" s="33" t="s">
        <v>621</v>
      </c>
      <c r="E1523" s="33" t="s">
        <v>637</v>
      </c>
      <c r="F1523" s="34">
        <v>5</v>
      </c>
    </row>
    <row r="1524" spans="1:6" x14ac:dyDescent="0.25">
      <c r="A1524" s="34">
        <v>53</v>
      </c>
      <c r="B1524" s="33" t="s">
        <v>619</v>
      </c>
      <c r="C1524" s="33" t="s">
        <v>634</v>
      </c>
      <c r="D1524" s="33" t="s">
        <v>621</v>
      </c>
      <c r="E1524" s="33" t="s">
        <v>638</v>
      </c>
      <c r="F1524" s="34">
        <v>39</v>
      </c>
    </row>
    <row r="1525" spans="1:6" x14ac:dyDescent="0.25">
      <c r="A1525" s="34">
        <v>53</v>
      </c>
      <c r="B1525" s="33" t="s">
        <v>619</v>
      </c>
      <c r="C1525" s="33" t="s">
        <v>634</v>
      </c>
      <c r="D1525" s="33" t="s">
        <v>630</v>
      </c>
      <c r="E1525" s="33" t="s">
        <v>639</v>
      </c>
      <c r="F1525" s="34">
        <v>82</v>
      </c>
    </row>
    <row r="1526" spans="1:6" x14ac:dyDescent="0.25">
      <c r="A1526" s="34">
        <v>53</v>
      </c>
      <c r="B1526" s="33" t="s">
        <v>619</v>
      </c>
      <c r="C1526" s="33" t="s">
        <v>634</v>
      </c>
      <c r="D1526" s="33" t="s">
        <v>630</v>
      </c>
      <c r="E1526" s="33" t="s">
        <v>640</v>
      </c>
      <c r="F1526" s="33" t="s">
        <v>462</v>
      </c>
    </row>
    <row r="1527" spans="1:6" x14ac:dyDescent="0.25">
      <c r="A1527" s="34">
        <v>53</v>
      </c>
      <c r="B1527" s="33" t="s">
        <v>619</v>
      </c>
      <c r="C1527" s="33" t="s">
        <v>634</v>
      </c>
      <c r="D1527" s="33" t="s">
        <v>630</v>
      </c>
      <c r="E1527" s="33" t="s">
        <v>641</v>
      </c>
      <c r="F1527" s="34">
        <v>82</v>
      </c>
    </row>
    <row r="1528" spans="1:6" x14ac:dyDescent="0.25">
      <c r="A1528" s="34">
        <v>53</v>
      </c>
      <c r="B1528" s="33" t="s">
        <v>619</v>
      </c>
      <c r="C1528" s="33" t="s">
        <v>642</v>
      </c>
      <c r="D1528" s="33" t="s">
        <v>621</v>
      </c>
      <c r="E1528" s="33" t="s">
        <v>643</v>
      </c>
      <c r="F1528" s="34">
        <v>0</v>
      </c>
    </row>
    <row r="1529" spans="1:6" x14ac:dyDescent="0.25">
      <c r="A1529" s="34">
        <v>53</v>
      </c>
      <c r="B1529" s="33" t="s">
        <v>619</v>
      </c>
      <c r="C1529" s="33" t="s">
        <v>642</v>
      </c>
      <c r="D1529" s="33" t="s">
        <v>621</v>
      </c>
      <c r="E1529" s="33" t="s">
        <v>644</v>
      </c>
      <c r="F1529" s="34">
        <v>4</v>
      </c>
    </row>
    <row r="1530" spans="1:6" x14ac:dyDescent="0.25">
      <c r="A1530" s="34">
        <v>53</v>
      </c>
      <c r="B1530" s="33" t="s">
        <v>619</v>
      </c>
      <c r="C1530" s="33" t="s">
        <v>642</v>
      </c>
      <c r="D1530" s="33" t="s">
        <v>621</v>
      </c>
      <c r="E1530" s="33" t="s">
        <v>645</v>
      </c>
      <c r="F1530" s="34">
        <v>5</v>
      </c>
    </row>
    <row r="1531" spans="1:6" x14ac:dyDescent="0.25">
      <c r="A1531" s="34">
        <v>53</v>
      </c>
      <c r="B1531" s="33" t="s">
        <v>619</v>
      </c>
      <c r="C1531" s="33" t="s">
        <v>642</v>
      </c>
      <c r="D1531" s="33" t="s">
        <v>621</v>
      </c>
      <c r="E1531" s="33" t="s">
        <v>646</v>
      </c>
      <c r="F1531" s="34">
        <v>5</v>
      </c>
    </row>
    <row r="1532" spans="1:6" x14ac:dyDescent="0.25">
      <c r="A1532" s="34">
        <v>53</v>
      </c>
      <c r="B1532" s="33" t="s">
        <v>619</v>
      </c>
      <c r="C1532" s="33" t="s">
        <v>642</v>
      </c>
      <c r="D1532" s="33" t="s">
        <v>621</v>
      </c>
      <c r="E1532" s="33" t="s">
        <v>647</v>
      </c>
      <c r="F1532" s="34">
        <v>5</v>
      </c>
    </row>
    <row r="1533" spans="1:6" x14ac:dyDescent="0.25">
      <c r="A1533" s="34">
        <v>53</v>
      </c>
      <c r="B1533" s="33" t="s">
        <v>619</v>
      </c>
      <c r="C1533" s="33" t="s">
        <v>642</v>
      </c>
      <c r="D1533" s="33" t="s">
        <v>621</v>
      </c>
      <c r="E1533" s="33" t="s">
        <v>648</v>
      </c>
      <c r="F1533" s="34">
        <v>5</v>
      </c>
    </row>
    <row r="1534" spans="1:6" x14ac:dyDescent="0.25">
      <c r="A1534" s="34">
        <v>53</v>
      </c>
      <c r="B1534" s="33" t="s">
        <v>619</v>
      </c>
      <c r="C1534" s="33" t="s">
        <v>642</v>
      </c>
      <c r="D1534" s="33" t="s">
        <v>621</v>
      </c>
      <c r="E1534" s="33" t="s">
        <v>649</v>
      </c>
      <c r="F1534" s="34">
        <v>50</v>
      </c>
    </row>
    <row r="1535" spans="1:6" x14ac:dyDescent="0.25">
      <c r="A1535" s="34">
        <v>53</v>
      </c>
      <c r="B1535" s="33" t="s">
        <v>619</v>
      </c>
      <c r="C1535" s="33" t="s">
        <v>642</v>
      </c>
      <c r="D1535" s="33" t="s">
        <v>630</v>
      </c>
      <c r="E1535" s="33" t="s">
        <v>650</v>
      </c>
      <c r="F1535" s="34">
        <v>78</v>
      </c>
    </row>
    <row r="1536" spans="1:6" x14ac:dyDescent="0.25">
      <c r="A1536" s="34">
        <v>53</v>
      </c>
      <c r="B1536" s="33" t="s">
        <v>619</v>
      </c>
      <c r="C1536" s="33" t="s">
        <v>642</v>
      </c>
      <c r="D1536" s="33" t="s">
        <v>630</v>
      </c>
      <c r="E1536" s="33" t="s">
        <v>651</v>
      </c>
      <c r="F1536" s="34">
        <v>85</v>
      </c>
    </row>
    <row r="1537" spans="1:6" x14ac:dyDescent="0.25">
      <c r="A1537" s="34">
        <v>53</v>
      </c>
      <c r="B1537" s="33" t="s">
        <v>619</v>
      </c>
      <c r="C1537" s="33" t="s">
        <v>642</v>
      </c>
      <c r="D1537" s="33" t="s">
        <v>630</v>
      </c>
      <c r="E1537" s="33" t="s">
        <v>652</v>
      </c>
      <c r="F1537" s="34">
        <v>85</v>
      </c>
    </row>
    <row r="1538" spans="1:6" x14ac:dyDescent="0.25">
      <c r="A1538" s="34">
        <v>53</v>
      </c>
      <c r="B1538" s="33" t="s">
        <v>619</v>
      </c>
      <c r="C1538" s="33" t="s">
        <v>653</v>
      </c>
      <c r="D1538" s="33" t="s">
        <v>653</v>
      </c>
      <c r="E1538" s="33" t="s">
        <v>654</v>
      </c>
      <c r="F1538" s="34">
        <v>85</v>
      </c>
    </row>
    <row r="1539" spans="1:6" x14ac:dyDescent="0.25">
      <c r="A1539" s="34">
        <v>54</v>
      </c>
      <c r="B1539" s="33" t="s">
        <v>619</v>
      </c>
      <c r="C1539" s="33" t="s">
        <v>620</v>
      </c>
      <c r="D1539" s="33" t="s">
        <v>621</v>
      </c>
      <c r="E1539" s="33" t="s">
        <v>622</v>
      </c>
      <c r="F1539" s="34">
        <v>0</v>
      </c>
    </row>
    <row r="1540" spans="1:6" x14ac:dyDescent="0.25">
      <c r="A1540" s="34">
        <v>54</v>
      </c>
      <c r="B1540" s="33" t="s">
        <v>619</v>
      </c>
      <c r="C1540" s="33" t="s">
        <v>620</v>
      </c>
      <c r="D1540" s="33" t="s">
        <v>621</v>
      </c>
      <c r="E1540" s="33" t="s">
        <v>623</v>
      </c>
      <c r="F1540" s="34">
        <v>0</v>
      </c>
    </row>
    <row r="1541" spans="1:6" x14ac:dyDescent="0.25">
      <c r="A1541" s="34">
        <v>54</v>
      </c>
      <c r="B1541" s="33" t="s">
        <v>619</v>
      </c>
      <c r="C1541" s="33" t="s">
        <v>620</v>
      </c>
      <c r="D1541" s="33" t="s">
        <v>621</v>
      </c>
      <c r="E1541" s="33" t="s">
        <v>624</v>
      </c>
      <c r="F1541" s="34">
        <v>0</v>
      </c>
    </row>
    <row r="1542" spans="1:6" x14ac:dyDescent="0.25">
      <c r="A1542" s="34">
        <v>54</v>
      </c>
      <c r="B1542" s="33" t="s">
        <v>619</v>
      </c>
      <c r="C1542" s="33" t="s">
        <v>620</v>
      </c>
      <c r="D1542" s="33" t="s">
        <v>621</v>
      </c>
      <c r="E1542" s="33" t="s">
        <v>625</v>
      </c>
      <c r="F1542" s="34">
        <v>0</v>
      </c>
    </row>
    <row r="1543" spans="1:6" x14ac:dyDescent="0.25">
      <c r="A1543" s="34">
        <v>54</v>
      </c>
      <c r="B1543" s="33" t="s">
        <v>619</v>
      </c>
      <c r="C1543" s="33" t="s">
        <v>620</v>
      </c>
      <c r="D1543" s="33" t="s">
        <v>621</v>
      </c>
      <c r="E1543" s="33" t="s">
        <v>626</v>
      </c>
      <c r="F1543" s="34">
        <v>0</v>
      </c>
    </row>
    <row r="1544" spans="1:6" x14ac:dyDescent="0.25">
      <c r="A1544" s="34">
        <v>54</v>
      </c>
      <c r="B1544" s="33" t="s">
        <v>619</v>
      </c>
      <c r="C1544" s="33" t="s">
        <v>620</v>
      </c>
      <c r="D1544" s="33" t="s">
        <v>621</v>
      </c>
      <c r="E1544" s="33" t="s">
        <v>627</v>
      </c>
      <c r="F1544" s="34">
        <v>0</v>
      </c>
    </row>
    <row r="1545" spans="1:6" x14ac:dyDescent="0.25">
      <c r="A1545" s="34">
        <v>54</v>
      </c>
      <c r="B1545" s="33" t="s">
        <v>619</v>
      </c>
      <c r="C1545" s="33" t="s">
        <v>620</v>
      </c>
      <c r="D1545" s="33" t="s">
        <v>621</v>
      </c>
      <c r="E1545" s="33" t="s">
        <v>628</v>
      </c>
      <c r="F1545" s="34">
        <v>5</v>
      </c>
    </row>
    <row r="1546" spans="1:6" x14ac:dyDescent="0.25">
      <c r="A1546" s="34">
        <v>54</v>
      </c>
      <c r="B1546" s="33" t="s">
        <v>619</v>
      </c>
      <c r="C1546" s="33" t="s">
        <v>620</v>
      </c>
      <c r="D1546" s="33" t="s">
        <v>621</v>
      </c>
      <c r="E1546" s="33" t="s">
        <v>629</v>
      </c>
      <c r="F1546" s="34">
        <v>40</v>
      </c>
    </row>
    <row r="1547" spans="1:6" x14ac:dyDescent="0.25">
      <c r="A1547" s="34">
        <v>54</v>
      </c>
      <c r="B1547" s="33" t="s">
        <v>619</v>
      </c>
      <c r="C1547" s="33" t="s">
        <v>620</v>
      </c>
      <c r="D1547" s="33" t="s">
        <v>630</v>
      </c>
      <c r="E1547" s="33" t="s">
        <v>631</v>
      </c>
      <c r="F1547" s="34">
        <v>60</v>
      </c>
    </row>
    <row r="1548" spans="1:6" x14ac:dyDescent="0.25">
      <c r="A1548" s="34">
        <v>54</v>
      </c>
      <c r="B1548" s="33" t="s">
        <v>619</v>
      </c>
      <c r="C1548" s="33" t="s">
        <v>620</v>
      </c>
      <c r="D1548" s="33" t="s">
        <v>630</v>
      </c>
      <c r="E1548" s="33" t="s">
        <v>632</v>
      </c>
      <c r="F1548" s="33" t="s">
        <v>462</v>
      </c>
    </row>
    <row r="1549" spans="1:6" x14ac:dyDescent="0.25">
      <c r="A1549" s="34">
        <v>54</v>
      </c>
      <c r="B1549" s="33" t="s">
        <v>619</v>
      </c>
      <c r="C1549" s="33" t="s">
        <v>620</v>
      </c>
      <c r="D1549" s="33" t="s">
        <v>630</v>
      </c>
      <c r="E1549" s="33" t="s">
        <v>633</v>
      </c>
      <c r="F1549" s="34">
        <v>60</v>
      </c>
    </row>
    <row r="1550" spans="1:6" x14ac:dyDescent="0.25">
      <c r="A1550" s="34">
        <v>54</v>
      </c>
      <c r="B1550" s="33" t="s">
        <v>619</v>
      </c>
      <c r="C1550" s="33" t="s">
        <v>634</v>
      </c>
      <c r="D1550" s="33" t="s">
        <v>621</v>
      </c>
      <c r="E1550" s="33" t="s">
        <v>635</v>
      </c>
      <c r="F1550" s="34">
        <v>0</v>
      </c>
    </row>
    <row r="1551" spans="1:6" x14ac:dyDescent="0.25">
      <c r="A1551" s="34">
        <v>54</v>
      </c>
      <c r="B1551" s="33" t="s">
        <v>619</v>
      </c>
      <c r="C1551" s="33" t="s">
        <v>634</v>
      </c>
      <c r="D1551" s="33" t="s">
        <v>621</v>
      </c>
      <c r="E1551" s="33" t="s">
        <v>636</v>
      </c>
      <c r="F1551" s="34">
        <v>0</v>
      </c>
    </row>
    <row r="1552" spans="1:6" x14ac:dyDescent="0.25">
      <c r="A1552" s="34">
        <v>54</v>
      </c>
      <c r="B1552" s="33" t="s">
        <v>619</v>
      </c>
      <c r="C1552" s="33" t="s">
        <v>634</v>
      </c>
      <c r="D1552" s="33" t="s">
        <v>621</v>
      </c>
      <c r="E1552" s="33" t="s">
        <v>637</v>
      </c>
      <c r="F1552" s="34">
        <v>4</v>
      </c>
    </row>
    <row r="1553" spans="1:6" x14ac:dyDescent="0.25">
      <c r="A1553" s="34">
        <v>54</v>
      </c>
      <c r="B1553" s="33" t="s">
        <v>619</v>
      </c>
      <c r="C1553" s="33" t="s">
        <v>634</v>
      </c>
      <c r="D1553" s="33" t="s">
        <v>621</v>
      </c>
      <c r="E1553" s="33" t="s">
        <v>638</v>
      </c>
      <c r="F1553" s="34">
        <v>36</v>
      </c>
    </row>
    <row r="1554" spans="1:6" x14ac:dyDescent="0.25">
      <c r="A1554" s="34">
        <v>54</v>
      </c>
      <c r="B1554" s="33" t="s">
        <v>619</v>
      </c>
      <c r="C1554" s="33" t="s">
        <v>634</v>
      </c>
      <c r="D1554" s="33" t="s">
        <v>630</v>
      </c>
      <c r="E1554" s="33" t="s">
        <v>639</v>
      </c>
      <c r="F1554" s="34">
        <v>62</v>
      </c>
    </row>
    <row r="1555" spans="1:6" x14ac:dyDescent="0.25">
      <c r="A1555" s="34">
        <v>54</v>
      </c>
      <c r="B1555" s="33" t="s">
        <v>619</v>
      </c>
      <c r="C1555" s="33" t="s">
        <v>634</v>
      </c>
      <c r="D1555" s="33" t="s">
        <v>630</v>
      </c>
      <c r="E1555" s="33" t="s">
        <v>640</v>
      </c>
      <c r="F1555" s="33" t="s">
        <v>462</v>
      </c>
    </row>
    <row r="1556" spans="1:6" x14ac:dyDescent="0.25">
      <c r="A1556" s="34">
        <v>54</v>
      </c>
      <c r="B1556" s="33" t="s">
        <v>619</v>
      </c>
      <c r="C1556" s="33" t="s">
        <v>634</v>
      </c>
      <c r="D1556" s="33" t="s">
        <v>630</v>
      </c>
      <c r="E1556" s="33" t="s">
        <v>641</v>
      </c>
      <c r="F1556" s="34">
        <v>62</v>
      </c>
    </row>
    <row r="1557" spans="1:6" x14ac:dyDescent="0.25">
      <c r="A1557" s="34">
        <v>54</v>
      </c>
      <c r="B1557" s="33" t="s">
        <v>619</v>
      </c>
      <c r="C1557" s="33" t="s">
        <v>642</v>
      </c>
      <c r="D1557" s="33" t="s">
        <v>621</v>
      </c>
      <c r="E1557" s="33" t="s">
        <v>643</v>
      </c>
      <c r="F1557" s="34">
        <v>0</v>
      </c>
    </row>
    <row r="1558" spans="1:6" x14ac:dyDescent="0.25">
      <c r="A1558" s="34">
        <v>54</v>
      </c>
      <c r="B1558" s="33" t="s">
        <v>619</v>
      </c>
      <c r="C1558" s="33" t="s">
        <v>642</v>
      </c>
      <c r="D1558" s="33" t="s">
        <v>621</v>
      </c>
      <c r="E1558" s="33" t="s">
        <v>644</v>
      </c>
      <c r="F1558" s="34">
        <v>0</v>
      </c>
    </row>
    <row r="1559" spans="1:6" x14ac:dyDescent="0.25">
      <c r="A1559" s="34">
        <v>54</v>
      </c>
      <c r="B1559" s="33" t="s">
        <v>619</v>
      </c>
      <c r="C1559" s="33" t="s">
        <v>642</v>
      </c>
      <c r="D1559" s="33" t="s">
        <v>621</v>
      </c>
      <c r="E1559" s="33" t="s">
        <v>645</v>
      </c>
      <c r="F1559" s="34">
        <v>0</v>
      </c>
    </row>
    <row r="1560" spans="1:6" x14ac:dyDescent="0.25">
      <c r="A1560" s="34">
        <v>54</v>
      </c>
      <c r="B1560" s="33" t="s">
        <v>619</v>
      </c>
      <c r="C1560" s="33" t="s">
        <v>642</v>
      </c>
      <c r="D1560" s="33" t="s">
        <v>621</v>
      </c>
      <c r="E1560" s="33" t="s">
        <v>646</v>
      </c>
      <c r="F1560" s="34">
        <v>0</v>
      </c>
    </row>
    <row r="1561" spans="1:6" x14ac:dyDescent="0.25">
      <c r="A1561" s="34">
        <v>54</v>
      </c>
      <c r="B1561" s="33" t="s">
        <v>619</v>
      </c>
      <c r="C1561" s="33" t="s">
        <v>642</v>
      </c>
      <c r="D1561" s="33" t="s">
        <v>621</v>
      </c>
      <c r="E1561" s="33" t="s">
        <v>647</v>
      </c>
      <c r="F1561" s="34">
        <v>0</v>
      </c>
    </row>
    <row r="1562" spans="1:6" x14ac:dyDescent="0.25">
      <c r="A1562" s="34">
        <v>54</v>
      </c>
      <c r="B1562" s="33" t="s">
        <v>619</v>
      </c>
      <c r="C1562" s="33" t="s">
        <v>642</v>
      </c>
      <c r="D1562" s="33" t="s">
        <v>621</v>
      </c>
      <c r="E1562" s="33" t="s">
        <v>648</v>
      </c>
      <c r="F1562" s="34">
        <v>0</v>
      </c>
    </row>
    <row r="1563" spans="1:6" x14ac:dyDescent="0.25">
      <c r="A1563" s="34">
        <v>54</v>
      </c>
      <c r="B1563" s="33" t="s">
        <v>619</v>
      </c>
      <c r="C1563" s="33" t="s">
        <v>642</v>
      </c>
      <c r="D1563" s="33" t="s">
        <v>621</v>
      </c>
      <c r="E1563" s="33" t="s">
        <v>649</v>
      </c>
      <c r="F1563" s="34">
        <v>11</v>
      </c>
    </row>
    <row r="1564" spans="1:6" x14ac:dyDescent="0.25">
      <c r="A1564" s="34">
        <v>54</v>
      </c>
      <c r="B1564" s="33" t="s">
        <v>619</v>
      </c>
      <c r="C1564" s="33" t="s">
        <v>642</v>
      </c>
      <c r="D1564" s="33" t="s">
        <v>630</v>
      </c>
      <c r="E1564" s="33" t="s">
        <v>650</v>
      </c>
      <c r="F1564" s="34">
        <v>30</v>
      </c>
    </row>
    <row r="1565" spans="1:6" x14ac:dyDescent="0.25">
      <c r="A1565" s="34">
        <v>54</v>
      </c>
      <c r="B1565" s="33" t="s">
        <v>619</v>
      </c>
      <c r="C1565" s="33" t="s">
        <v>642</v>
      </c>
      <c r="D1565" s="33" t="s">
        <v>630</v>
      </c>
      <c r="E1565" s="33" t="s">
        <v>651</v>
      </c>
      <c r="F1565" s="33" t="s">
        <v>462</v>
      </c>
    </row>
    <row r="1566" spans="1:6" x14ac:dyDescent="0.25">
      <c r="A1566" s="34">
        <v>54</v>
      </c>
      <c r="B1566" s="33" t="s">
        <v>619</v>
      </c>
      <c r="C1566" s="33" t="s">
        <v>642</v>
      </c>
      <c r="D1566" s="33" t="s">
        <v>630</v>
      </c>
      <c r="E1566" s="33" t="s">
        <v>652</v>
      </c>
      <c r="F1566" s="34">
        <v>30</v>
      </c>
    </row>
    <row r="1567" spans="1:6" x14ac:dyDescent="0.25">
      <c r="A1567" s="34">
        <v>54</v>
      </c>
      <c r="B1567" s="33" t="s">
        <v>619</v>
      </c>
      <c r="C1567" s="33" t="s">
        <v>653</v>
      </c>
      <c r="D1567" s="33" t="s">
        <v>653</v>
      </c>
      <c r="E1567" s="33" t="s">
        <v>654</v>
      </c>
      <c r="F1567" s="34">
        <v>30</v>
      </c>
    </row>
    <row r="1568" spans="1:6" x14ac:dyDescent="0.25">
      <c r="A1568" s="34">
        <v>55</v>
      </c>
      <c r="B1568" s="33" t="s">
        <v>619</v>
      </c>
      <c r="C1568" s="33" t="s">
        <v>620</v>
      </c>
      <c r="D1568" s="33" t="s">
        <v>621</v>
      </c>
      <c r="E1568" s="33" t="s">
        <v>622</v>
      </c>
      <c r="F1568" s="34">
        <v>1</v>
      </c>
    </row>
    <row r="1569" spans="1:6" x14ac:dyDescent="0.25">
      <c r="A1569" s="34">
        <v>55</v>
      </c>
      <c r="B1569" s="33" t="s">
        <v>619</v>
      </c>
      <c r="C1569" s="33" t="s">
        <v>620</v>
      </c>
      <c r="D1569" s="33" t="s">
        <v>621</v>
      </c>
      <c r="E1569" s="33" t="s">
        <v>623</v>
      </c>
      <c r="F1569" s="34">
        <v>1</v>
      </c>
    </row>
    <row r="1570" spans="1:6" x14ac:dyDescent="0.25">
      <c r="A1570" s="34">
        <v>55</v>
      </c>
      <c r="B1570" s="33" t="s">
        <v>619</v>
      </c>
      <c r="C1570" s="33" t="s">
        <v>620</v>
      </c>
      <c r="D1570" s="33" t="s">
        <v>621</v>
      </c>
      <c r="E1570" s="33" t="s">
        <v>624</v>
      </c>
      <c r="F1570" s="34">
        <v>1</v>
      </c>
    </row>
    <row r="1571" spans="1:6" x14ac:dyDescent="0.25">
      <c r="A1571" s="34">
        <v>55</v>
      </c>
      <c r="B1571" s="33" t="s">
        <v>619</v>
      </c>
      <c r="C1571" s="33" t="s">
        <v>620</v>
      </c>
      <c r="D1571" s="33" t="s">
        <v>621</v>
      </c>
      <c r="E1571" s="33" t="s">
        <v>625</v>
      </c>
      <c r="F1571" s="34">
        <v>0</v>
      </c>
    </row>
    <row r="1572" spans="1:6" x14ac:dyDescent="0.25">
      <c r="A1572" s="34">
        <v>55</v>
      </c>
      <c r="B1572" s="33" t="s">
        <v>619</v>
      </c>
      <c r="C1572" s="33" t="s">
        <v>620</v>
      </c>
      <c r="D1572" s="33" t="s">
        <v>621</v>
      </c>
      <c r="E1572" s="33" t="s">
        <v>626</v>
      </c>
      <c r="F1572" s="34">
        <v>0</v>
      </c>
    </row>
    <row r="1573" spans="1:6" x14ac:dyDescent="0.25">
      <c r="A1573" s="34">
        <v>55</v>
      </c>
      <c r="B1573" s="33" t="s">
        <v>619</v>
      </c>
      <c r="C1573" s="33" t="s">
        <v>620</v>
      </c>
      <c r="D1573" s="33" t="s">
        <v>621</v>
      </c>
      <c r="E1573" s="33" t="s">
        <v>627</v>
      </c>
      <c r="F1573" s="34">
        <v>1</v>
      </c>
    </row>
    <row r="1574" spans="1:6" x14ac:dyDescent="0.25">
      <c r="A1574" s="34">
        <v>55</v>
      </c>
      <c r="B1574" s="33" t="s">
        <v>619</v>
      </c>
      <c r="C1574" s="33" t="s">
        <v>620</v>
      </c>
      <c r="D1574" s="33" t="s">
        <v>621</v>
      </c>
      <c r="E1574" s="33" t="s">
        <v>628</v>
      </c>
      <c r="F1574" s="34">
        <v>5</v>
      </c>
    </row>
    <row r="1575" spans="1:6" x14ac:dyDescent="0.25">
      <c r="A1575" s="34">
        <v>55</v>
      </c>
      <c r="B1575" s="33" t="s">
        <v>619</v>
      </c>
      <c r="C1575" s="33" t="s">
        <v>620</v>
      </c>
      <c r="D1575" s="33" t="s">
        <v>621</v>
      </c>
      <c r="E1575" s="33" t="s">
        <v>629</v>
      </c>
      <c r="F1575" s="34">
        <v>47</v>
      </c>
    </row>
    <row r="1576" spans="1:6" x14ac:dyDescent="0.25">
      <c r="A1576" s="34">
        <v>55</v>
      </c>
      <c r="B1576" s="33" t="s">
        <v>619</v>
      </c>
      <c r="C1576" s="33" t="s">
        <v>620</v>
      </c>
      <c r="D1576" s="33" t="s">
        <v>630</v>
      </c>
      <c r="E1576" s="33" t="s">
        <v>631</v>
      </c>
      <c r="F1576" s="34">
        <v>75</v>
      </c>
    </row>
    <row r="1577" spans="1:6" x14ac:dyDescent="0.25">
      <c r="A1577" s="34">
        <v>55</v>
      </c>
      <c r="B1577" s="33" t="s">
        <v>619</v>
      </c>
      <c r="C1577" s="33" t="s">
        <v>620</v>
      </c>
      <c r="D1577" s="33" t="s">
        <v>630</v>
      </c>
      <c r="E1577" s="33" t="s">
        <v>632</v>
      </c>
      <c r="F1577" s="33" t="s">
        <v>462</v>
      </c>
    </row>
    <row r="1578" spans="1:6" x14ac:dyDescent="0.25">
      <c r="A1578" s="34">
        <v>55</v>
      </c>
      <c r="B1578" s="33" t="s">
        <v>619</v>
      </c>
      <c r="C1578" s="33" t="s">
        <v>620</v>
      </c>
      <c r="D1578" s="33" t="s">
        <v>630</v>
      </c>
      <c r="E1578" s="33" t="s">
        <v>633</v>
      </c>
      <c r="F1578" s="34">
        <v>75</v>
      </c>
    </row>
    <row r="1579" spans="1:6" x14ac:dyDescent="0.25">
      <c r="A1579" s="34">
        <v>55</v>
      </c>
      <c r="B1579" s="33" t="s">
        <v>619</v>
      </c>
      <c r="C1579" s="33" t="s">
        <v>634</v>
      </c>
      <c r="D1579" s="33" t="s">
        <v>621</v>
      </c>
      <c r="E1579" s="33" t="s">
        <v>635</v>
      </c>
      <c r="F1579" s="34">
        <v>1</v>
      </c>
    </row>
    <row r="1580" spans="1:6" x14ac:dyDescent="0.25">
      <c r="A1580" s="34">
        <v>55</v>
      </c>
      <c r="B1580" s="33" t="s">
        <v>619</v>
      </c>
      <c r="C1580" s="33" t="s">
        <v>634</v>
      </c>
      <c r="D1580" s="33" t="s">
        <v>621</v>
      </c>
      <c r="E1580" s="33" t="s">
        <v>636</v>
      </c>
      <c r="F1580" s="34">
        <v>1</v>
      </c>
    </row>
    <row r="1581" spans="1:6" x14ac:dyDescent="0.25">
      <c r="A1581" s="34">
        <v>55</v>
      </c>
      <c r="B1581" s="33" t="s">
        <v>619</v>
      </c>
      <c r="C1581" s="33" t="s">
        <v>634</v>
      </c>
      <c r="D1581" s="33" t="s">
        <v>621</v>
      </c>
      <c r="E1581" s="33" t="s">
        <v>637</v>
      </c>
      <c r="F1581" s="34">
        <v>5</v>
      </c>
    </row>
    <row r="1582" spans="1:6" x14ac:dyDescent="0.25">
      <c r="A1582" s="34">
        <v>55</v>
      </c>
      <c r="B1582" s="33" t="s">
        <v>619</v>
      </c>
      <c r="C1582" s="33" t="s">
        <v>634</v>
      </c>
      <c r="D1582" s="33" t="s">
        <v>621</v>
      </c>
      <c r="E1582" s="33" t="s">
        <v>638</v>
      </c>
      <c r="F1582" s="34">
        <v>43</v>
      </c>
    </row>
    <row r="1583" spans="1:6" x14ac:dyDescent="0.25">
      <c r="A1583" s="34">
        <v>55</v>
      </c>
      <c r="B1583" s="33" t="s">
        <v>619</v>
      </c>
      <c r="C1583" s="33" t="s">
        <v>634</v>
      </c>
      <c r="D1583" s="33" t="s">
        <v>630</v>
      </c>
      <c r="E1583" s="33" t="s">
        <v>639</v>
      </c>
      <c r="F1583" s="34">
        <v>80</v>
      </c>
    </row>
    <row r="1584" spans="1:6" x14ac:dyDescent="0.25">
      <c r="A1584" s="34">
        <v>55</v>
      </c>
      <c r="B1584" s="33" t="s">
        <v>619</v>
      </c>
      <c r="C1584" s="33" t="s">
        <v>634</v>
      </c>
      <c r="D1584" s="33" t="s">
        <v>630</v>
      </c>
      <c r="E1584" s="33" t="s">
        <v>640</v>
      </c>
      <c r="F1584" s="33" t="s">
        <v>462</v>
      </c>
    </row>
    <row r="1585" spans="1:6" x14ac:dyDescent="0.25">
      <c r="A1585" s="34">
        <v>55</v>
      </c>
      <c r="B1585" s="33" t="s">
        <v>619</v>
      </c>
      <c r="C1585" s="33" t="s">
        <v>634</v>
      </c>
      <c r="D1585" s="33" t="s">
        <v>630</v>
      </c>
      <c r="E1585" s="33" t="s">
        <v>641</v>
      </c>
      <c r="F1585" s="34">
        <v>80</v>
      </c>
    </row>
    <row r="1586" spans="1:6" x14ac:dyDescent="0.25">
      <c r="A1586" s="34">
        <v>55</v>
      </c>
      <c r="B1586" s="33" t="s">
        <v>619</v>
      </c>
      <c r="C1586" s="33" t="s">
        <v>642</v>
      </c>
      <c r="D1586" s="33" t="s">
        <v>621</v>
      </c>
      <c r="E1586" s="33" t="s">
        <v>643</v>
      </c>
      <c r="F1586" s="34">
        <v>5</v>
      </c>
    </row>
    <row r="1587" spans="1:6" x14ac:dyDescent="0.25">
      <c r="A1587" s="34">
        <v>55</v>
      </c>
      <c r="B1587" s="33" t="s">
        <v>619</v>
      </c>
      <c r="C1587" s="33" t="s">
        <v>642</v>
      </c>
      <c r="D1587" s="33" t="s">
        <v>621</v>
      </c>
      <c r="E1587" s="33" t="s">
        <v>644</v>
      </c>
      <c r="F1587" s="34">
        <v>5</v>
      </c>
    </row>
    <row r="1588" spans="1:6" x14ac:dyDescent="0.25">
      <c r="A1588" s="34">
        <v>55</v>
      </c>
      <c r="B1588" s="33" t="s">
        <v>619</v>
      </c>
      <c r="C1588" s="33" t="s">
        <v>642</v>
      </c>
      <c r="D1588" s="33" t="s">
        <v>621</v>
      </c>
      <c r="E1588" s="33" t="s">
        <v>645</v>
      </c>
      <c r="F1588" s="34">
        <v>5</v>
      </c>
    </row>
    <row r="1589" spans="1:6" x14ac:dyDescent="0.25">
      <c r="A1589" s="34">
        <v>55</v>
      </c>
      <c r="B1589" s="33" t="s">
        <v>619</v>
      </c>
      <c r="C1589" s="33" t="s">
        <v>642</v>
      </c>
      <c r="D1589" s="33" t="s">
        <v>621</v>
      </c>
      <c r="E1589" s="33" t="s">
        <v>646</v>
      </c>
      <c r="F1589" s="34">
        <v>5</v>
      </c>
    </row>
    <row r="1590" spans="1:6" x14ac:dyDescent="0.25">
      <c r="A1590" s="34">
        <v>55</v>
      </c>
      <c r="B1590" s="33" t="s">
        <v>619</v>
      </c>
      <c r="C1590" s="33" t="s">
        <v>642</v>
      </c>
      <c r="D1590" s="33" t="s">
        <v>621</v>
      </c>
      <c r="E1590" s="33" t="s">
        <v>647</v>
      </c>
      <c r="F1590" s="34">
        <v>5</v>
      </c>
    </row>
    <row r="1591" spans="1:6" x14ac:dyDescent="0.25">
      <c r="A1591" s="34">
        <v>55</v>
      </c>
      <c r="B1591" s="33" t="s">
        <v>619</v>
      </c>
      <c r="C1591" s="33" t="s">
        <v>642</v>
      </c>
      <c r="D1591" s="33" t="s">
        <v>621</v>
      </c>
      <c r="E1591" s="33" t="s">
        <v>648</v>
      </c>
      <c r="F1591" s="34">
        <v>5</v>
      </c>
    </row>
    <row r="1592" spans="1:6" x14ac:dyDescent="0.25">
      <c r="A1592" s="34">
        <v>55</v>
      </c>
      <c r="B1592" s="33" t="s">
        <v>619</v>
      </c>
      <c r="C1592" s="33" t="s">
        <v>642</v>
      </c>
      <c r="D1592" s="33" t="s">
        <v>621</v>
      </c>
      <c r="E1592" s="33" t="s">
        <v>649</v>
      </c>
      <c r="F1592" s="34">
        <v>50</v>
      </c>
    </row>
    <row r="1593" spans="1:6" x14ac:dyDescent="0.25">
      <c r="A1593" s="34">
        <v>55</v>
      </c>
      <c r="B1593" s="33" t="s">
        <v>619</v>
      </c>
      <c r="C1593" s="33" t="s">
        <v>642</v>
      </c>
      <c r="D1593" s="33" t="s">
        <v>630</v>
      </c>
      <c r="E1593" s="33" t="s">
        <v>650</v>
      </c>
      <c r="F1593" s="34">
        <v>78</v>
      </c>
    </row>
    <row r="1594" spans="1:6" x14ac:dyDescent="0.25">
      <c r="A1594" s="34">
        <v>55</v>
      </c>
      <c r="B1594" s="33" t="s">
        <v>619</v>
      </c>
      <c r="C1594" s="33" t="s">
        <v>642</v>
      </c>
      <c r="D1594" s="33" t="s">
        <v>630</v>
      </c>
      <c r="E1594" s="33" t="s">
        <v>651</v>
      </c>
      <c r="F1594" s="33" t="s">
        <v>462</v>
      </c>
    </row>
    <row r="1595" spans="1:6" x14ac:dyDescent="0.25">
      <c r="A1595" s="34">
        <v>55</v>
      </c>
      <c r="B1595" s="33" t="s">
        <v>619</v>
      </c>
      <c r="C1595" s="33" t="s">
        <v>642</v>
      </c>
      <c r="D1595" s="33" t="s">
        <v>630</v>
      </c>
      <c r="E1595" s="33" t="s">
        <v>652</v>
      </c>
      <c r="F1595" s="34">
        <v>78</v>
      </c>
    </row>
    <row r="1596" spans="1:6" x14ac:dyDescent="0.25">
      <c r="A1596" s="34">
        <v>55</v>
      </c>
      <c r="B1596" s="33" t="s">
        <v>619</v>
      </c>
      <c r="C1596" s="33" t="s">
        <v>653</v>
      </c>
      <c r="D1596" s="33" t="s">
        <v>653</v>
      </c>
      <c r="E1596" s="33" t="s">
        <v>654</v>
      </c>
      <c r="F1596" s="34">
        <v>72</v>
      </c>
    </row>
    <row r="1597" spans="1:6" x14ac:dyDescent="0.25">
      <c r="A1597" s="34">
        <v>56</v>
      </c>
      <c r="B1597" s="33" t="s">
        <v>619</v>
      </c>
      <c r="C1597" s="33" t="s">
        <v>620</v>
      </c>
      <c r="D1597" s="33" t="s">
        <v>621</v>
      </c>
      <c r="E1597" s="33" t="s">
        <v>622</v>
      </c>
      <c r="F1597" s="34">
        <v>1</v>
      </c>
    </row>
    <row r="1598" spans="1:6" x14ac:dyDescent="0.25">
      <c r="A1598" s="34">
        <v>56</v>
      </c>
      <c r="B1598" s="33" t="s">
        <v>619</v>
      </c>
      <c r="C1598" s="33" t="s">
        <v>620</v>
      </c>
      <c r="D1598" s="33" t="s">
        <v>621</v>
      </c>
      <c r="E1598" s="33" t="s">
        <v>623</v>
      </c>
      <c r="F1598" s="34">
        <v>1</v>
      </c>
    </row>
    <row r="1599" spans="1:6" x14ac:dyDescent="0.25">
      <c r="A1599" s="34">
        <v>56</v>
      </c>
      <c r="B1599" s="33" t="s">
        <v>619</v>
      </c>
      <c r="C1599" s="33" t="s">
        <v>620</v>
      </c>
      <c r="D1599" s="33" t="s">
        <v>621</v>
      </c>
      <c r="E1599" s="33" t="s">
        <v>624</v>
      </c>
      <c r="F1599" s="34">
        <v>1</v>
      </c>
    </row>
    <row r="1600" spans="1:6" x14ac:dyDescent="0.25">
      <c r="A1600" s="34">
        <v>56</v>
      </c>
      <c r="B1600" s="33" t="s">
        <v>619</v>
      </c>
      <c r="C1600" s="33" t="s">
        <v>620</v>
      </c>
      <c r="D1600" s="33" t="s">
        <v>621</v>
      </c>
      <c r="E1600" s="33" t="s">
        <v>625</v>
      </c>
      <c r="F1600" s="34">
        <v>1</v>
      </c>
    </row>
    <row r="1601" spans="1:6" x14ac:dyDescent="0.25">
      <c r="A1601" s="34">
        <v>56</v>
      </c>
      <c r="B1601" s="33" t="s">
        <v>619</v>
      </c>
      <c r="C1601" s="33" t="s">
        <v>620</v>
      </c>
      <c r="D1601" s="33" t="s">
        <v>621</v>
      </c>
      <c r="E1601" s="33" t="s">
        <v>626</v>
      </c>
      <c r="F1601" s="34">
        <v>0</v>
      </c>
    </row>
    <row r="1602" spans="1:6" x14ac:dyDescent="0.25">
      <c r="A1602" s="34">
        <v>56</v>
      </c>
      <c r="B1602" s="33" t="s">
        <v>619</v>
      </c>
      <c r="C1602" s="33" t="s">
        <v>620</v>
      </c>
      <c r="D1602" s="33" t="s">
        <v>621</v>
      </c>
      <c r="E1602" s="33" t="s">
        <v>627</v>
      </c>
      <c r="F1602" s="34">
        <v>1</v>
      </c>
    </row>
    <row r="1603" spans="1:6" x14ac:dyDescent="0.25">
      <c r="A1603" s="34">
        <v>56</v>
      </c>
      <c r="B1603" s="33" t="s">
        <v>619</v>
      </c>
      <c r="C1603" s="33" t="s">
        <v>620</v>
      </c>
      <c r="D1603" s="33" t="s">
        <v>621</v>
      </c>
      <c r="E1603" s="33" t="s">
        <v>628</v>
      </c>
      <c r="F1603" s="34">
        <v>5</v>
      </c>
    </row>
    <row r="1604" spans="1:6" x14ac:dyDescent="0.25">
      <c r="A1604" s="34">
        <v>56</v>
      </c>
      <c r="B1604" s="33" t="s">
        <v>619</v>
      </c>
      <c r="C1604" s="33" t="s">
        <v>620</v>
      </c>
      <c r="D1604" s="33" t="s">
        <v>621</v>
      </c>
      <c r="E1604" s="33" t="s">
        <v>629</v>
      </c>
      <c r="F1604" s="34">
        <v>50</v>
      </c>
    </row>
    <row r="1605" spans="1:6" x14ac:dyDescent="0.25">
      <c r="A1605" s="34">
        <v>56</v>
      </c>
      <c r="B1605" s="33" t="s">
        <v>619</v>
      </c>
      <c r="C1605" s="33" t="s">
        <v>620</v>
      </c>
      <c r="D1605" s="33" t="s">
        <v>630</v>
      </c>
      <c r="E1605" s="33" t="s">
        <v>631</v>
      </c>
      <c r="F1605" s="34">
        <v>68</v>
      </c>
    </row>
    <row r="1606" spans="1:6" x14ac:dyDescent="0.25">
      <c r="A1606" s="34">
        <v>56</v>
      </c>
      <c r="B1606" s="33" t="s">
        <v>619</v>
      </c>
      <c r="C1606" s="33" t="s">
        <v>620</v>
      </c>
      <c r="D1606" s="33" t="s">
        <v>630</v>
      </c>
      <c r="E1606" s="33" t="s">
        <v>632</v>
      </c>
      <c r="F1606" s="34">
        <v>72</v>
      </c>
    </row>
    <row r="1607" spans="1:6" x14ac:dyDescent="0.25">
      <c r="A1607" s="34">
        <v>56</v>
      </c>
      <c r="B1607" s="33" t="s">
        <v>619</v>
      </c>
      <c r="C1607" s="33" t="s">
        <v>620</v>
      </c>
      <c r="D1607" s="33" t="s">
        <v>630</v>
      </c>
      <c r="E1607" s="33" t="s">
        <v>633</v>
      </c>
      <c r="F1607" s="34">
        <v>68</v>
      </c>
    </row>
    <row r="1608" spans="1:6" x14ac:dyDescent="0.25">
      <c r="A1608" s="34">
        <v>56</v>
      </c>
      <c r="B1608" s="33" t="s">
        <v>619</v>
      </c>
      <c r="C1608" s="33" t="s">
        <v>634</v>
      </c>
      <c r="D1608" s="33" t="s">
        <v>621</v>
      </c>
      <c r="E1608" s="33" t="s">
        <v>635</v>
      </c>
      <c r="F1608" s="34">
        <v>1</v>
      </c>
    </row>
    <row r="1609" spans="1:6" x14ac:dyDescent="0.25">
      <c r="A1609" s="34">
        <v>56</v>
      </c>
      <c r="B1609" s="33" t="s">
        <v>619</v>
      </c>
      <c r="C1609" s="33" t="s">
        <v>634</v>
      </c>
      <c r="D1609" s="33" t="s">
        <v>621</v>
      </c>
      <c r="E1609" s="33" t="s">
        <v>636</v>
      </c>
      <c r="F1609" s="34">
        <v>1</v>
      </c>
    </row>
    <row r="1610" spans="1:6" x14ac:dyDescent="0.25">
      <c r="A1610" s="34">
        <v>56</v>
      </c>
      <c r="B1610" s="33" t="s">
        <v>619</v>
      </c>
      <c r="C1610" s="33" t="s">
        <v>634</v>
      </c>
      <c r="D1610" s="33" t="s">
        <v>621</v>
      </c>
      <c r="E1610" s="33" t="s">
        <v>637</v>
      </c>
      <c r="F1610" s="34">
        <v>5</v>
      </c>
    </row>
    <row r="1611" spans="1:6" x14ac:dyDescent="0.25">
      <c r="A1611" s="34">
        <v>56</v>
      </c>
      <c r="B1611" s="33" t="s">
        <v>619</v>
      </c>
      <c r="C1611" s="33" t="s">
        <v>634</v>
      </c>
      <c r="D1611" s="33" t="s">
        <v>621</v>
      </c>
      <c r="E1611" s="33" t="s">
        <v>638</v>
      </c>
      <c r="F1611" s="34">
        <v>49</v>
      </c>
    </row>
    <row r="1612" spans="1:6" x14ac:dyDescent="0.25">
      <c r="A1612" s="34">
        <v>56</v>
      </c>
      <c r="B1612" s="33" t="s">
        <v>619</v>
      </c>
      <c r="C1612" s="33" t="s">
        <v>634</v>
      </c>
      <c r="D1612" s="33" t="s">
        <v>630</v>
      </c>
      <c r="E1612" s="33" t="s">
        <v>639</v>
      </c>
      <c r="F1612" s="34">
        <v>67</v>
      </c>
    </row>
    <row r="1613" spans="1:6" x14ac:dyDescent="0.25">
      <c r="A1613" s="34">
        <v>56</v>
      </c>
      <c r="B1613" s="33" t="s">
        <v>619</v>
      </c>
      <c r="C1613" s="33" t="s">
        <v>634</v>
      </c>
      <c r="D1613" s="33" t="s">
        <v>630</v>
      </c>
      <c r="E1613" s="33" t="s">
        <v>640</v>
      </c>
      <c r="F1613" s="34">
        <v>72</v>
      </c>
    </row>
    <row r="1614" spans="1:6" x14ac:dyDescent="0.25">
      <c r="A1614" s="34">
        <v>56</v>
      </c>
      <c r="B1614" s="33" t="s">
        <v>619</v>
      </c>
      <c r="C1614" s="33" t="s">
        <v>634</v>
      </c>
      <c r="D1614" s="33" t="s">
        <v>630</v>
      </c>
      <c r="E1614" s="33" t="s">
        <v>641</v>
      </c>
      <c r="F1614" s="34">
        <v>72</v>
      </c>
    </row>
    <row r="1615" spans="1:6" x14ac:dyDescent="0.25">
      <c r="A1615" s="34">
        <v>56</v>
      </c>
      <c r="B1615" s="33" t="s">
        <v>619</v>
      </c>
      <c r="C1615" s="33" t="s">
        <v>642</v>
      </c>
      <c r="D1615" s="33" t="s">
        <v>621</v>
      </c>
      <c r="E1615" s="33" t="s">
        <v>643</v>
      </c>
      <c r="F1615" s="34">
        <v>5</v>
      </c>
    </row>
    <row r="1616" spans="1:6" x14ac:dyDescent="0.25">
      <c r="A1616" s="34">
        <v>56</v>
      </c>
      <c r="B1616" s="33" t="s">
        <v>619</v>
      </c>
      <c r="C1616" s="33" t="s">
        <v>642</v>
      </c>
      <c r="D1616" s="33" t="s">
        <v>621</v>
      </c>
      <c r="E1616" s="33" t="s">
        <v>644</v>
      </c>
      <c r="F1616" s="34">
        <v>5</v>
      </c>
    </row>
    <row r="1617" spans="1:6" x14ac:dyDescent="0.25">
      <c r="A1617" s="34">
        <v>56</v>
      </c>
      <c r="B1617" s="33" t="s">
        <v>619</v>
      </c>
      <c r="C1617" s="33" t="s">
        <v>642</v>
      </c>
      <c r="D1617" s="33" t="s">
        <v>621</v>
      </c>
      <c r="E1617" s="33" t="s">
        <v>645</v>
      </c>
      <c r="F1617" s="34">
        <v>5</v>
      </c>
    </row>
    <row r="1618" spans="1:6" x14ac:dyDescent="0.25">
      <c r="A1618" s="34">
        <v>56</v>
      </c>
      <c r="B1618" s="33" t="s">
        <v>619</v>
      </c>
      <c r="C1618" s="33" t="s">
        <v>642</v>
      </c>
      <c r="D1618" s="33" t="s">
        <v>621</v>
      </c>
      <c r="E1618" s="33" t="s">
        <v>646</v>
      </c>
      <c r="F1618" s="34">
        <v>5</v>
      </c>
    </row>
    <row r="1619" spans="1:6" x14ac:dyDescent="0.25">
      <c r="A1619" s="34">
        <v>56</v>
      </c>
      <c r="B1619" s="33" t="s">
        <v>619</v>
      </c>
      <c r="C1619" s="33" t="s">
        <v>642</v>
      </c>
      <c r="D1619" s="33" t="s">
        <v>621</v>
      </c>
      <c r="E1619" s="33" t="s">
        <v>647</v>
      </c>
      <c r="F1619" s="34">
        <v>5</v>
      </c>
    </row>
    <row r="1620" spans="1:6" x14ac:dyDescent="0.25">
      <c r="A1620" s="34">
        <v>56</v>
      </c>
      <c r="B1620" s="33" t="s">
        <v>619</v>
      </c>
      <c r="C1620" s="33" t="s">
        <v>642</v>
      </c>
      <c r="D1620" s="33" t="s">
        <v>621</v>
      </c>
      <c r="E1620" s="33" t="s">
        <v>648</v>
      </c>
      <c r="F1620" s="34">
        <v>0</v>
      </c>
    </row>
    <row r="1621" spans="1:6" x14ac:dyDescent="0.25">
      <c r="A1621" s="34">
        <v>56</v>
      </c>
      <c r="B1621" s="33" t="s">
        <v>619</v>
      </c>
      <c r="C1621" s="33" t="s">
        <v>642</v>
      </c>
      <c r="D1621" s="33" t="s">
        <v>621</v>
      </c>
      <c r="E1621" s="33" t="s">
        <v>649</v>
      </c>
      <c r="F1621" s="34">
        <v>11</v>
      </c>
    </row>
    <row r="1622" spans="1:6" x14ac:dyDescent="0.25">
      <c r="A1622" s="34">
        <v>56</v>
      </c>
      <c r="B1622" s="33" t="s">
        <v>619</v>
      </c>
      <c r="C1622" s="33" t="s">
        <v>642</v>
      </c>
      <c r="D1622" s="33" t="s">
        <v>630</v>
      </c>
      <c r="E1622" s="33" t="s">
        <v>650</v>
      </c>
      <c r="F1622" s="34">
        <v>62</v>
      </c>
    </row>
    <row r="1623" spans="1:6" x14ac:dyDescent="0.25">
      <c r="A1623" s="34">
        <v>56</v>
      </c>
      <c r="B1623" s="33" t="s">
        <v>619</v>
      </c>
      <c r="C1623" s="33" t="s">
        <v>642</v>
      </c>
      <c r="D1623" s="33" t="s">
        <v>630</v>
      </c>
      <c r="E1623" s="33" t="s">
        <v>651</v>
      </c>
      <c r="F1623" s="34">
        <v>30</v>
      </c>
    </row>
    <row r="1624" spans="1:6" x14ac:dyDescent="0.25">
      <c r="A1624" s="34">
        <v>56</v>
      </c>
      <c r="B1624" s="33" t="s">
        <v>619</v>
      </c>
      <c r="C1624" s="33" t="s">
        <v>642</v>
      </c>
      <c r="D1624" s="33" t="s">
        <v>630</v>
      </c>
      <c r="E1624" s="33" t="s">
        <v>652</v>
      </c>
      <c r="F1624" s="34">
        <v>62</v>
      </c>
    </row>
    <row r="1625" spans="1:6" x14ac:dyDescent="0.25">
      <c r="A1625" s="34">
        <v>56</v>
      </c>
      <c r="B1625" s="33" t="s">
        <v>619</v>
      </c>
      <c r="C1625" s="33" t="s">
        <v>653</v>
      </c>
      <c r="D1625" s="33" t="s">
        <v>653</v>
      </c>
      <c r="E1625" s="33" t="s">
        <v>654</v>
      </c>
      <c r="F1625" s="34">
        <v>72</v>
      </c>
    </row>
    <row r="1626" spans="1:6" x14ac:dyDescent="0.25">
      <c r="A1626" s="34">
        <v>57</v>
      </c>
      <c r="B1626" s="33" t="s">
        <v>619</v>
      </c>
      <c r="C1626" s="33" t="s">
        <v>620</v>
      </c>
      <c r="D1626" s="33" t="s">
        <v>621</v>
      </c>
      <c r="E1626" s="33" t="s">
        <v>622</v>
      </c>
      <c r="F1626" s="34">
        <v>1</v>
      </c>
    </row>
    <row r="1627" spans="1:6" x14ac:dyDescent="0.25">
      <c r="A1627" s="34">
        <v>57</v>
      </c>
      <c r="B1627" s="33" t="s">
        <v>619</v>
      </c>
      <c r="C1627" s="33" t="s">
        <v>620</v>
      </c>
      <c r="D1627" s="33" t="s">
        <v>621</v>
      </c>
      <c r="E1627" s="33" t="s">
        <v>623</v>
      </c>
      <c r="F1627" s="34">
        <v>1</v>
      </c>
    </row>
    <row r="1628" spans="1:6" x14ac:dyDescent="0.25">
      <c r="A1628" s="34">
        <v>57</v>
      </c>
      <c r="B1628" s="33" t="s">
        <v>619</v>
      </c>
      <c r="C1628" s="33" t="s">
        <v>620</v>
      </c>
      <c r="D1628" s="33" t="s">
        <v>621</v>
      </c>
      <c r="E1628" s="33" t="s">
        <v>624</v>
      </c>
      <c r="F1628" s="34">
        <v>1</v>
      </c>
    </row>
    <row r="1629" spans="1:6" x14ac:dyDescent="0.25">
      <c r="A1629" s="34">
        <v>57</v>
      </c>
      <c r="B1629" s="33" t="s">
        <v>619</v>
      </c>
      <c r="C1629" s="33" t="s">
        <v>620</v>
      </c>
      <c r="D1629" s="33" t="s">
        <v>621</v>
      </c>
      <c r="E1629" s="33" t="s">
        <v>625</v>
      </c>
      <c r="F1629" s="34">
        <v>0</v>
      </c>
    </row>
    <row r="1630" spans="1:6" x14ac:dyDescent="0.25">
      <c r="A1630" s="34">
        <v>57</v>
      </c>
      <c r="B1630" s="33" t="s">
        <v>619</v>
      </c>
      <c r="C1630" s="33" t="s">
        <v>620</v>
      </c>
      <c r="D1630" s="33" t="s">
        <v>621</v>
      </c>
      <c r="E1630" s="33" t="s">
        <v>626</v>
      </c>
      <c r="F1630" s="34">
        <v>0</v>
      </c>
    </row>
    <row r="1631" spans="1:6" x14ac:dyDescent="0.25">
      <c r="A1631" s="34">
        <v>57</v>
      </c>
      <c r="B1631" s="33" t="s">
        <v>619</v>
      </c>
      <c r="C1631" s="33" t="s">
        <v>620</v>
      </c>
      <c r="D1631" s="33" t="s">
        <v>621</v>
      </c>
      <c r="E1631" s="33" t="s">
        <v>627</v>
      </c>
      <c r="F1631" s="34">
        <v>1</v>
      </c>
    </row>
    <row r="1632" spans="1:6" x14ac:dyDescent="0.25">
      <c r="A1632" s="34">
        <v>57</v>
      </c>
      <c r="B1632" s="33" t="s">
        <v>619</v>
      </c>
      <c r="C1632" s="33" t="s">
        <v>620</v>
      </c>
      <c r="D1632" s="33" t="s">
        <v>621</v>
      </c>
      <c r="E1632" s="33" t="s">
        <v>628</v>
      </c>
      <c r="F1632" s="34">
        <v>5</v>
      </c>
    </row>
    <row r="1633" spans="1:6" x14ac:dyDescent="0.25">
      <c r="A1633" s="34">
        <v>57</v>
      </c>
      <c r="B1633" s="33" t="s">
        <v>619</v>
      </c>
      <c r="C1633" s="33" t="s">
        <v>620</v>
      </c>
      <c r="D1633" s="33" t="s">
        <v>621</v>
      </c>
      <c r="E1633" s="33" t="s">
        <v>629</v>
      </c>
      <c r="F1633" s="34">
        <v>48</v>
      </c>
    </row>
    <row r="1634" spans="1:6" x14ac:dyDescent="0.25">
      <c r="A1634" s="34">
        <v>57</v>
      </c>
      <c r="B1634" s="33" t="s">
        <v>619</v>
      </c>
      <c r="C1634" s="33" t="s">
        <v>620</v>
      </c>
      <c r="D1634" s="33" t="s">
        <v>630</v>
      </c>
      <c r="E1634" s="33" t="s">
        <v>631</v>
      </c>
      <c r="F1634" s="34">
        <v>66</v>
      </c>
    </row>
    <row r="1635" spans="1:6" x14ac:dyDescent="0.25">
      <c r="A1635" s="34">
        <v>57</v>
      </c>
      <c r="B1635" s="33" t="s">
        <v>619</v>
      </c>
      <c r="C1635" s="33" t="s">
        <v>620</v>
      </c>
      <c r="D1635" s="33" t="s">
        <v>630</v>
      </c>
      <c r="E1635" s="33" t="s">
        <v>632</v>
      </c>
      <c r="F1635" s="34">
        <v>75</v>
      </c>
    </row>
    <row r="1636" spans="1:6" x14ac:dyDescent="0.25">
      <c r="A1636" s="34">
        <v>57</v>
      </c>
      <c r="B1636" s="33" t="s">
        <v>619</v>
      </c>
      <c r="C1636" s="33" t="s">
        <v>620</v>
      </c>
      <c r="D1636" s="33" t="s">
        <v>630</v>
      </c>
      <c r="E1636" s="33" t="s">
        <v>633</v>
      </c>
      <c r="F1636" s="34">
        <v>66</v>
      </c>
    </row>
    <row r="1637" spans="1:6" x14ac:dyDescent="0.25">
      <c r="A1637" s="34">
        <v>57</v>
      </c>
      <c r="B1637" s="33" t="s">
        <v>619</v>
      </c>
      <c r="C1637" s="33" t="s">
        <v>634</v>
      </c>
      <c r="D1637" s="33" t="s">
        <v>621</v>
      </c>
      <c r="E1637" s="33" t="s">
        <v>635</v>
      </c>
      <c r="F1637" s="34">
        <v>0</v>
      </c>
    </row>
    <row r="1638" spans="1:6" x14ac:dyDescent="0.25">
      <c r="A1638" s="34">
        <v>57</v>
      </c>
      <c r="B1638" s="33" t="s">
        <v>619</v>
      </c>
      <c r="C1638" s="33" t="s">
        <v>634</v>
      </c>
      <c r="D1638" s="33" t="s">
        <v>621</v>
      </c>
      <c r="E1638" s="33" t="s">
        <v>636</v>
      </c>
      <c r="F1638" s="34">
        <v>1</v>
      </c>
    </row>
    <row r="1639" spans="1:6" x14ac:dyDescent="0.25">
      <c r="A1639" s="34">
        <v>57</v>
      </c>
      <c r="B1639" s="33" t="s">
        <v>619</v>
      </c>
      <c r="C1639" s="33" t="s">
        <v>634</v>
      </c>
      <c r="D1639" s="33" t="s">
        <v>621</v>
      </c>
      <c r="E1639" s="33" t="s">
        <v>637</v>
      </c>
      <c r="F1639" s="34">
        <v>5</v>
      </c>
    </row>
    <row r="1640" spans="1:6" x14ac:dyDescent="0.25">
      <c r="A1640" s="34">
        <v>57</v>
      </c>
      <c r="B1640" s="33" t="s">
        <v>619</v>
      </c>
      <c r="C1640" s="33" t="s">
        <v>634</v>
      </c>
      <c r="D1640" s="33" t="s">
        <v>621</v>
      </c>
      <c r="E1640" s="33" t="s">
        <v>638</v>
      </c>
      <c r="F1640" s="34">
        <v>40</v>
      </c>
    </row>
    <row r="1641" spans="1:6" x14ac:dyDescent="0.25">
      <c r="A1641" s="34">
        <v>57</v>
      </c>
      <c r="B1641" s="33" t="s">
        <v>619</v>
      </c>
      <c r="C1641" s="33" t="s">
        <v>634</v>
      </c>
      <c r="D1641" s="33" t="s">
        <v>630</v>
      </c>
      <c r="E1641" s="33" t="s">
        <v>639</v>
      </c>
      <c r="F1641" s="34">
        <v>73</v>
      </c>
    </row>
    <row r="1642" spans="1:6" x14ac:dyDescent="0.25">
      <c r="A1642" s="34">
        <v>57</v>
      </c>
      <c r="B1642" s="33" t="s">
        <v>619</v>
      </c>
      <c r="C1642" s="33" t="s">
        <v>634</v>
      </c>
      <c r="D1642" s="33" t="s">
        <v>630</v>
      </c>
      <c r="E1642" s="33" t="s">
        <v>640</v>
      </c>
      <c r="F1642" s="33" t="s">
        <v>462</v>
      </c>
    </row>
    <row r="1643" spans="1:6" x14ac:dyDescent="0.25">
      <c r="A1643" s="34">
        <v>57</v>
      </c>
      <c r="B1643" s="33" t="s">
        <v>619</v>
      </c>
      <c r="C1643" s="33" t="s">
        <v>634</v>
      </c>
      <c r="D1643" s="33" t="s">
        <v>630</v>
      </c>
      <c r="E1643" s="33" t="s">
        <v>641</v>
      </c>
      <c r="F1643" s="34">
        <v>73</v>
      </c>
    </row>
    <row r="1644" spans="1:6" x14ac:dyDescent="0.25">
      <c r="A1644" s="34">
        <v>57</v>
      </c>
      <c r="B1644" s="33" t="s">
        <v>619</v>
      </c>
      <c r="C1644" s="33" t="s">
        <v>642</v>
      </c>
      <c r="D1644" s="33" t="s">
        <v>621</v>
      </c>
      <c r="E1644" s="33" t="s">
        <v>643</v>
      </c>
      <c r="F1644" s="34">
        <v>5</v>
      </c>
    </row>
    <row r="1645" spans="1:6" x14ac:dyDescent="0.25">
      <c r="A1645" s="34">
        <v>57</v>
      </c>
      <c r="B1645" s="33" t="s">
        <v>619</v>
      </c>
      <c r="C1645" s="33" t="s">
        <v>642</v>
      </c>
      <c r="D1645" s="33" t="s">
        <v>621</v>
      </c>
      <c r="E1645" s="33" t="s">
        <v>644</v>
      </c>
      <c r="F1645" s="34">
        <v>5</v>
      </c>
    </row>
    <row r="1646" spans="1:6" x14ac:dyDescent="0.25">
      <c r="A1646" s="34">
        <v>57</v>
      </c>
      <c r="B1646" s="33" t="s">
        <v>619</v>
      </c>
      <c r="C1646" s="33" t="s">
        <v>642</v>
      </c>
      <c r="D1646" s="33" t="s">
        <v>621</v>
      </c>
      <c r="E1646" s="33" t="s">
        <v>645</v>
      </c>
      <c r="F1646" s="34">
        <v>5</v>
      </c>
    </row>
    <row r="1647" spans="1:6" x14ac:dyDescent="0.25">
      <c r="A1647" s="34">
        <v>57</v>
      </c>
      <c r="B1647" s="33" t="s">
        <v>619</v>
      </c>
      <c r="C1647" s="33" t="s">
        <v>642</v>
      </c>
      <c r="D1647" s="33" t="s">
        <v>621</v>
      </c>
      <c r="E1647" s="33" t="s">
        <v>646</v>
      </c>
      <c r="F1647" s="34">
        <v>5</v>
      </c>
    </row>
    <row r="1648" spans="1:6" x14ac:dyDescent="0.25">
      <c r="A1648" s="34">
        <v>57</v>
      </c>
      <c r="B1648" s="33" t="s">
        <v>619</v>
      </c>
      <c r="C1648" s="33" t="s">
        <v>642</v>
      </c>
      <c r="D1648" s="33" t="s">
        <v>621</v>
      </c>
      <c r="E1648" s="33" t="s">
        <v>647</v>
      </c>
      <c r="F1648" s="34">
        <v>0</v>
      </c>
    </row>
    <row r="1649" spans="1:6" x14ac:dyDescent="0.25">
      <c r="A1649" s="34">
        <v>57</v>
      </c>
      <c r="B1649" s="33" t="s">
        <v>619</v>
      </c>
      <c r="C1649" s="33" t="s">
        <v>642</v>
      </c>
      <c r="D1649" s="33" t="s">
        <v>621</v>
      </c>
      <c r="E1649" s="33" t="s">
        <v>648</v>
      </c>
      <c r="F1649" s="34">
        <v>5</v>
      </c>
    </row>
    <row r="1650" spans="1:6" x14ac:dyDescent="0.25">
      <c r="A1650" s="34">
        <v>57</v>
      </c>
      <c r="B1650" s="33" t="s">
        <v>619</v>
      </c>
      <c r="C1650" s="33" t="s">
        <v>642</v>
      </c>
      <c r="D1650" s="33" t="s">
        <v>621</v>
      </c>
      <c r="E1650" s="33" t="s">
        <v>649</v>
      </c>
      <c r="F1650" s="34">
        <v>44</v>
      </c>
    </row>
    <row r="1651" spans="1:6" x14ac:dyDescent="0.25">
      <c r="A1651" s="34">
        <v>57</v>
      </c>
      <c r="B1651" s="33" t="s">
        <v>619</v>
      </c>
      <c r="C1651" s="33" t="s">
        <v>642</v>
      </c>
      <c r="D1651" s="33" t="s">
        <v>630</v>
      </c>
      <c r="E1651" s="33" t="s">
        <v>650</v>
      </c>
      <c r="F1651" s="34">
        <v>72</v>
      </c>
    </row>
    <row r="1652" spans="1:6" x14ac:dyDescent="0.25">
      <c r="A1652" s="34">
        <v>57</v>
      </c>
      <c r="B1652" s="33" t="s">
        <v>619</v>
      </c>
      <c r="C1652" s="33" t="s">
        <v>642</v>
      </c>
      <c r="D1652" s="33" t="s">
        <v>630</v>
      </c>
      <c r="E1652" s="33" t="s">
        <v>651</v>
      </c>
      <c r="F1652" s="34">
        <v>78</v>
      </c>
    </row>
    <row r="1653" spans="1:6" x14ac:dyDescent="0.25">
      <c r="A1653" s="34">
        <v>57</v>
      </c>
      <c r="B1653" s="33" t="s">
        <v>619</v>
      </c>
      <c r="C1653" s="33" t="s">
        <v>642</v>
      </c>
      <c r="D1653" s="33" t="s">
        <v>630</v>
      </c>
      <c r="E1653" s="33" t="s">
        <v>652</v>
      </c>
      <c r="F1653" s="34">
        <v>72</v>
      </c>
    </row>
    <row r="1654" spans="1:6" x14ac:dyDescent="0.25">
      <c r="A1654" s="34">
        <v>57</v>
      </c>
      <c r="B1654" s="33" t="s">
        <v>619</v>
      </c>
      <c r="C1654" s="33" t="s">
        <v>653</v>
      </c>
      <c r="D1654" s="33" t="s">
        <v>653</v>
      </c>
      <c r="E1654" s="33" t="s">
        <v>654</v>
      </c>
      <c r="F1654" s="34">
        <v>72</v>
      </c>
    </row>
    <row r="1655" spans="1:6" x14ac:dyDescent="0.25">
      <c r="A1655" s="34">
        <v>58</v>
      </c>
      <c r="B1655" s="33" t="s">
        <v>619</v>
      </c>
      <c r="C1655" s="33" t="s">
        <v>620</v>
      </c>
      <c r="D1655" s="33" t="s">
        <v>621</v>
      </c>
      <c r="E1655" s="33" t="s">
        <v>622</v>
      </c>
      <c r="F1655" s="34">
        <v>1</v>
      </c>
    </row>
    <row r="1656" spans="1:6" x14ac:dyDescent="0.25">
      <c r="A1656" s="34">
        <v>58</v>
      </c>
      <c r="B1656" s="33" t="s">
        <v>619</v>
      </c>
      <c r="C1656" s="33" t="s">
        <v>620</v>
      </c>
      <c r="D1656" s="33" t="s">
        <v>621</v>
      </c>
      <c r="E1656" s="33" t="s">
        <v>623</v>
      </c>
      <c r="F1656" s="34">
        <v>1</v>
      </c>
    </row>
    <row r="1657" spans="1:6" x14ac:dyDescent="0.25">
      <c r="A1657" s="34">
        <v>58</v>
      </c>
      <c r="B1657" s="33" t="s">
        <v>619</v>
      </c>
      <c r="C1657" s="33" t="s">
        <v>620</v>
      </c>
      <c r="D1657" s="33" t="s">
        <v>621</v>
      </c>
      <c r="E1657" s="33" t="s">
        <v>624</v>
      </c>
      <c r="F1657" s="34">
        <v>1</v>
      </c>
    </row>
    <row r="1658" spans="1:6" x14ac:dyDescent="0.25">
      <c r="A1658" s="34">
        <v>58</v>
      </c>
      <c r="B1658" s="33" t="s">
        <v>619</v>
      </c>
      <c r="C1658" s="33" t="s">
        <v>620</v>
      </c>
      <c r="D1658" s="33" t="s">
        <v>621</v>
      </c>
      <c r="E1658" s="33" t="s">
        <v>625</v>
      </c>
      <c r="F1658" s="34">
        <v>0</v>
      </c>
    </row>
    <row r="1659" spans="1:6" x14ac:dyDescent="0.25">
      <c r="A1659" s="34">
        <v>58</v>
      </c>
      <c r="B1659" s="33" t="s">
        <v>619</v>
      </c>
      <c r="C1659" s="33" t="s">
        <v>620</v>
      </c>
      <c r="D1659" s="33" t="s">
        <v>621</v>
      </c>
      <c r="E1659" s="33" t="s">
        <v>626</v>
      </c>
      <c r="F1659" s="34">
        <v>0</v>
      </c>
    </row>
    <row r="1660" spans="1:6" x14ac:dyDescent="0.25">
      <c r="A1660" s="34">
        <v>58</v>
      </c>
      <c r="B1660" s="33" t="s">
        <v>619</v>
      </c>
      <c r="C1660" s="33" t="s">
        <v>620</v>
      </c>
      <c r="D1660" s="33" t="s">
        <v>621</v>
      </c>
      <c r="E1660" s="33" t="s">
        <v>627</v>
      </c>
      <c r="F1660" s="34">
        <v>1</v>
      </c>
    </row>
    <row r="1661" spans="1:6" x14ac:dyDescent="0.25">
      <c r="A1661" s="34">
        <v>58</v>
      </c>
      <c r="B1661" s="33" t="s">
        <v>619</v>
      </c>
      <c r="C1661" s="33" t="s">
        <v>620</v>
      </c>
      <c r="D1661" s="33" t="s">
        <v>621</v>
      </c>
      <c r="E1661" s="33" t="s">
        <v>628</v>
      </c>
      <c r="F1661" s="34">
        <v>5</v>
      </c>
    </row>
    <row r="1662" spans="1:6" x14ac:dyDescent="0.25">
      <c r="A1662" s="34">
        <v>58</v>
      </c>
      <c r="B1662" s="33" t="s">
        <v>619</v>
      </c>
      <c r="C1662" s="33" t="s">
        <v>620</v>
      </c>
      <c r="D1662" s="33" t="s">
        <v>621</v>
      </c>
      <c r="E1662" s="33" t="s">
        <v>629</v>
      </c>
      <c r="F1662" s="34">
        <v>50</v>
      </c>
    </row>
    <row r="1663" spans="1:6" x14ac:dyDescent="0.25">
      <c r="A1663" s="34">
        <v>58</v>
      </c>
      <c r="B1663" s="33" t="s">
        <v>619</v>
      </c>
      <c r="C1663" s="33" t="s">
        <v>620</v>
      </c>
      <c r="D1663" s="33" t="s">
        <v>630</v>
      </c>
      <c r="E1663" s="33" t="s">
        <v>631</v>
      </c>
      <c r="F1663" s="34">
        <v>75</v>
      </c>
    </row>
    <row r="1664" spans="1:6" x14ac:dyDescent="0.25">
      <c r="A1664" s="34">
        <v>58</v>
      </c>
      <c r="B1664" s="33" t="s">
        <v>619</v>
      </c>
      <c r="C1664" s="33" t="s">
        <v>620</v>
      </c>
      <c r="D1664" s="33" t="s">
        <v>630</v>
      </c>
      <c r="E1664" s="33" t="s">
        <v>632</v>
      </c>
      <c r="F1664" s="34">
        <v>83</v>
      </c>
    </row>
    <row r="1665" spans="1:6" x14ac:dyDescent="0.25">
      <c r="A1665" s="34">
        <v>58</v>
      </c>
      <c r="B1665" s="33" t="s">
        <v>619</v>
      </c>
      <c r="C1665" s="33" t="s">
        <v>620</v>
      </c>
      <c r="D1665" s="33" t="s">
        <v>630</v>
      </c>
      <c r="E1665" s="33" t="s">
        <v>633</v>
      </c>
      <c r="F1665" s="34">
        <v>75</v>
      </c>
    </row>
    <row r="1666" spans="1:6" x14ac:dyDescent="0.25">
      <c r="A1666" s="34">
        <v>58</v>
      </c>
      <c r="B1666" s="33" t="s">
        <v>619</v>
      </c>
      <c r="C1666" s="33" t="s">
        <v>634</v>
      </c>
      <c r="D1666" s="33" t="s">
        <v>621</v>
      </c>
      <c r="E1666" s="33" t="s">
        <v>635</v>
      </c>
      <c r="F1666" s="34">
        <v>1</v>
      </c>
    </row>
    <row r="1667" spans="1:6" x14ac:dyDescent="0.25">
      <c r="A1667" s="34">
        <v>58</v>
      </c>
      <c r="B1667" s="33" t="s">
        <v>619</v>
      </c>
      <c r="C1667" s="33" t="s">
        <v>634</v>
      </c>
      <c r="D1667" s="33" t="s">
        <v>621</v>
      </c>
      <c r="E1667" s="33" t="s">
        <v>636</v>
      </c>
      <c r="F1667" s="34">
        <v>0</v>
      </c>
    </row>
    <row r="1668" spans="1:6" x14ac:dyDescent="0.25">
      <c r="A1668" s="34">
        <v>58</v>
      </c>
      <c r="B1668" s="33" t="s">
        <v>619</v>
      </c>
      <c r="C1668" s="33" t="s">
        <v>634</v>
      </c>
      <c r="D1668" s="33" t="s">
        <v>621</v>
      </c>
      <c r="E1668" s="33" t="s">
        <v>637</v>
      </c>
      <c r="F1668" s="34">
        <v>5</v>
      </c>
    </row>
    <row r="1669" spans="1:6" x14ac:dyDescent="0.25">
      <c r="A1669" s="34">
        <v>58</v>
      </c>
      <c r="B1669" s="33" t="s">
        <v>619</v>
      </c>
      <c r="C1669" s="33" t="s">
        <v>634</v>
      </c>
      <c r="D1669" s="33" t="s">
        <v>621</v>
      </c>
      <c r="E1669" s="33" t="s">
        <v>638</v>
      </c>
      <c r="F1669" s="34">
        <v>39</v>
      </c>
    </row>
    <row r="1670" spans="1:6" x14ac:dyDescent="0.25">
      <c r="A1670" s="34">
        <v>58</v>
      </c>
      <c r="B1670" s="33" t="s">
        <v>619</v>
      </c>
      <c r="C1670" s="33" t="s">
        <v>634</v>
      </c>
      <c r="D1670" s="33" t="s">
        <v>630</v>
      </c>
      <c r="E1670" s="33" t="s">
        <v>639</v>
      </c>
      <c r="F1670" s="34">
        <v>75</v>
      </c>
    </row>
    <row r="1671" spans="1:6" x14ac:dyDescent="0.25">
      <c r="A1671" s="34">
        <v>58</v>
      </c>
      <c r="B1671" s="33" t="s">
        <v>619</v>
      </c>
      <c r="C1671" s="33" t="s">
        <v>634</v>
      </c>
      <c r="D1671" s="33" t="s">
        <v>630</v>
      </c>
      <c r="E1671" s="33" t="s">
        <v>640</v>
      </c>
      <c r="F1671" s="34">
        <v>80</v>
      </c>
    </row>
    <row r="1672" spans="1:6" x14ac:dyDescent="0.25">
      <c r="A1672" s="34">
        <v>58</v>
      </c>
      <c r="B1672" s="33" t="s">
        <v>619</v>
      </c>
      <c r="C1672" s="33" t="s">
        <v>634</v>
      </c>
      <c r="D1672" s="33" t="s">
        <v>630</v>
      </c>
      <c r="E1672" s="33" t="s">
        <v>641</v>
      </c>
      <c r="F1672" s="34">
        <v>80</v>
      </c>
    </row>
    <row r="1673" spans="1:6" x14ac:dyDescent="0.25">
      <c r="A1673" s="34">
        <v>58</v>
      </c>
      <c r="B1673" s="33" t="s">
        <v>619</v>
      </c>
      <c r="C1673" s="33" t="s">
        <v>642</v>
      </c>
      <c r="D1673" s="33" t="s">
        <v>621</v>
      </c>
      <c r="E1673" s="33" t="s">
        <v>643</v>
      </c>
      <c r="F1673" s="34">
        <v>0</v>
      </c>
    </row>
    <row r="1674" spans="1:6" x14ac:dyDescent="0.25">
      <c r="A1674" s="34">
        <v>58</v>
      </c>
      <c r="B1674" s="33" t="s">
        <v>619</v>
      </c>
      <c r="C1674" s="33" t="s">
        <v>642</v>
      </c>
      <c r="D1674" s="33" t="s">
        <v>621</v>
      </c>
      <c r="E1674" s="33" t="s">
        <v>644</v>
      </c>
      <c r="F1674" s="34">
        <v>0</v>
      </c>
    </row>
    <row r="1675" spans="1:6" x14ac:dyDescent="0.25">
      <c r="A1675" s="34">
        <v>58</v>
      </c>
      <c r="B1675" s="33" t="s">
        <v>619</v>
      </c>
      <c r="C1675" s="33" t="s">
        <v>642</v>
      </c>
      <c r="D1675" s="33" t="s">
        <v>621</v>
      </c>
      <c r="E1675" s="33" t="s">
        <v>645</v>
      </c>
      <c r="F1675" s="34">
        <v>0</v>
      </c>
    </row>
    <row r="1676" spans="1:6" x14ac:dyDescent="0.25">
      <c r="A1676" s="34">
        <v>58</v>
      </c>
      <c r="B1676" s="33" t="s">
        <v>619</v>
      </c>
      <c r="C1676" s="33" t="s">
        <v>642</v>
      </c>
      <c r="D1676" s="33" t="s">
        <v>621</v>
      </c>
      <c r="E1676" s="33" t="s">
        <v>646</v>
      </c>
      <c r="F1676" s="34">
        <v>0</v>
      </c>
    </row>
    <row r="1677" spans="1:6" x14ac:dyDescent="0.25">
      <c r="A1677" s="34">
        <v>58</v>
      </c>
      <c r="B1677" s="33" t="s">
        <v>619</v>
      </c>
      <c r="C1677" s="33" t="s">
        <v>642</v>
      </c>
      <c r="D1677" s="33" t="s">
        <v>621</v>
      </c>
      <c r="E1677" s="33" t="s">
        <v>647</v>
      </c>
      <c r="F1677" s="34">
        <v>0</v>
      </c>
    </row>
    <row r="1678" spans="1:6" x14ac:dyDescent="0.25">
      <c r="A1678" s="34">
        <v>58</v>
      </c>
      <c r="B1678" s="33" t="s">
        <v>619</v>
      </c>
      <c r="C1678" s="33" t="s">
        <v>642</v>
      </c>
      <c r="D1678" s="33" t="s">
        <v>621</v>
      </c>
      <c r="E1678" s="33" t="s">
        <v>648</v>
      </c>
      <c r="F1678" s="34">
        <v>0</v>
      </c>
    </row>
    <row r="1679" spans="1:6" x14ac:dyDescent="0.25">
      <c r="A1679" s="34">
        <v>58</v>
      </c>
      <c r="B1679" s="33" t="s">
        <v>619</v>
      </c>
      <c r="C1679" s="33" t="s">
        <v>642</v>
      </c>
      <c r="D1679" s="33" t="s">
        <v>621</v>
      </c>
      <c r="E1679" s="33" t="s">
        <v>649</v>
      </c>
      <c r="F1679" s="34">
        <v>50</v>
      </c>
    </row>
    <row r="1680" spans="1:6" x14ac:dyDescent="0.25">
      <c r="A1680" s="34">
        <v>58</v>
      </c>
      <c r="B1680" s="33" t="s">
        <v>619</v>
      </c>
      <c r="C1680" s="33" t="s">
        <v>642</v>
      </c>
      <c r="D1680" s="33" t="s">
        <v>630</v>
      </c>
      <c r="E1680" s="33" t="s">
        <v>650</v>
      </c>
      <c r="F1680" s="34">
        <v>65</v>
      </c>
    </row>
    <row r="1681" spans="1:6" x14ac:dyDescent="0.25">
      <c r="A1681" s="34">
        <v>58</v>
      </c>
      <c r="B1681" s="33" t="s">
        <v>619</v>
      </c>
      <c r="C1681" s="33" t="s">
        <v>642</v>
      </c>
      <c r="D1681" s="33" t="s">
        <v>630</v>
      </c>
      <c r="E1681" s="33" t="s">
        <v>651</v>
      </c>
      <c r="F1681" s="34">
        <v>68</v>
      </c>
    </row>
    <row r="1682" spans="1:6" x14ac:dyDescent="0.25">
      <c r="A1682" s="34">
        <v>58</v>
      </c>
      <c r="B1682" s="33" t="s">
        <v>619</v>
      </c>
      <c r="C1682" s="33" t="s">
        <v>642</v>
      </c>
      <c r="D1682" s="33" t="s">
        <v>630</v>
      </c>
      <c r="E1682" s="33" t="s">
        <v>652</v>
      </c>
      <c r="F1682" s="34">
        <v>68</v>
      </c>
    </row>
    <row r="1683" spans="1:6" x14ac:dyDescent="0.25">
      <c r="A1683" s="34">
        <v>58</v>
      </c>
      <c r="B1683" s="33" t="s">
        <v>619</v>
      </c>
      <c r="C1683" s="33" t="s">
        <v>653</v>
      </c>
      <c r="D1683" s="33" t="s">
        <v>653</v>
      </c>
      <c r="E1683" s="33" t="s">
        <v>654</v>
      </c>
      <c r="F1683" s="34">
        <v>75</v>
      </c>
    </row>
    <row r="1684" spans="1:6" x14ac:dyDescent="0.25">
      <c r="A1684" s="34">
        <v>59</v>
      </c>
      <c r="B1684" s="33" t="s">
        <v>619</v>
      </c>
      <c r="C1684" s="33" t="s">
        <v>620</v>
      </c>
      <c r="D1684" s="33" t="s">
        <v>621</v>
      </c>
      <c r="E1684" s="33" t="s">
        <v>622</v>
      </c>
      <c r="F1684" s="34">
        <v>1</v>
      </c>
    </row>
    <row r="1685" spans="1:6" x14ac:dyDescent="0.25">
      <c r="A1685" s="34">
        <v>59</v>
      </c>
      <c r="B1685" s="33" t="s">
        <v>619</v>
      </c>
      <c r="C1685" s="33" t="s">
        <v>620</v>
      </c>
      <c r="D1685" s="33" t="s">
        <v>621</v>
      </c>
      <c r="E1685" s="33" t="s">
        <v>623</v>
      </c>
      <c r="F1685" s="34">
        <v>1</v>
      </c>
    </row>
    <row r="1686" spans="1:6" x14ac:dyDescent="0.25">
      <c r="A1686" s="34">
        <v>59</v>
      </c>
      <c r="B1686" s="33" t="s">
        <v>619</v>
      </c>
      <c r="C1686" s="33" t="s">
        <v>620</v>
      </c>
      <c r="D1686" s="33" t="s">
        <v>621</v>
      </c>
      <c r="E1686" s="33" t="s">
        <v>624</v>
      </c>
      <c r="F1686" s="34">
        <v>1</v>
      </c>
    </row>
    <row r="1687" spans="1:6" x14ac:dyDescent="0.25">
      <c r="A1687" s="34">
        <v>59</v>
      </c>
      <c r="B1687" s="33" t="s">
        <v>619</v>
      </c>
      <c r="C1687" s="33" t="s">
        <v>620</v>
      </c>
      <c r="D1687" s="33" t="s">
        <v>621</v>
      </c>
      <c r="E1687" s="33" t="s">
        <v>625</v>
      </c>
      <c r="F1687" s="34">
        <v>0</v>
      </c>
    </row>
    <row r="1688" spans="1:6" x14ac:dyDescent="0.25">
      <c r="A1688" s="34">
        <v>59</v>
      </c>
      <c r="B1688" s="33" t="s">
        <v>619</v>
      </c>
      <c r="C1688" s="33" t="s">
        <v>620</v>
      </c>
      <c r="D1688" s="33" t="s">
        <v>621</v>
      </c>
      <c r="E1688" s="33" t="s">
        <v>626</v>
      </c>
      <c r="F1688" s="34">
        <v>0</v>
      </c>
    </row>
    <row r="1689" spans="1:6" x14ac:dyDescent="0.25">
      <c r="A1689" s="34">
        <v>59</v>
      </c>
      <c r="B1689" s="33" t="s">
        <v>619</v>
      </c>
      <c r="C1689" s="33" t="s">
        <v>620</v>
      </c>
      <c r="D1689" s="33" t="s">
        <v>621</v>
      </c>
      <c r="E1689" s="33" t="s">
        <v>627</v>
      </c>
      <c r="F1689" s="34">
        <v>0</v>
      </c>
    </row>
    <row r="1690" spans="1:6" x14ac:dyDescent="0.25">
      <c r="A1690" s="34">
        <v>59</v>
      </c>
      <c r="B1690" s="33" t="s">
        <v>619</v>
      </c>
      <c r="C1690" s="33" t="s">
        <v>620</v>
      </c>
      <c r="D1690" s="33" t="s">
        <v>621</v>
      </c>
      <c r="E1690" s="33" t="s">
        <v>628</v>
      </c>
      <c r="F1690" s="34">
        <v>5</v>
      </c>
    </row>
    <row r="1691" spans="1:6" x14ac:dyDescent="0.25">
      <c r="A1691" s="34">
        <v>59</v>
      </c>
      <c r="B1691" s="33" t="s">
        <v>619</v>
      </c>
      <c r="C1691" s="33" t="s">
        <v>620</v>
      </c>
      <c r="D1691" s="33" t="s">
        <v>621</v>
      </c>
      <c r="E1691" s="33" t="s">
        <v>629</v>
      </c>
      <c r="F1691" s="34">
        <v>50</v>
      </c>
    </row>
    <row r="1692" spans="1:6" x14ac:dyDescent="0.25">
      <c r="A1692" s="34">
        <v>59</v>
      </c>
      <c r="B1692" s="33" t="s">
        <v>619</v>
      </c>
      <c r="C1692" s="33" t="s">
        <v>620</v>
      </c>
      <c r="D1692" s="33" t="s">
        <v>630</v>
      </c>
      <c r="E1692" s="33" t="s">
        <v>631</v>
      </c>
      <c r="F1692" s="34">
        <v>86</v>
      </c>
    </row>
    <row r="1693" spans="1:6" x14ac:dyDescent="0.25">
      <c r="A1693" s="34">
        <v>59</v>
      </c>
      <c r="B1693" s="33" t="s">
        <v>619</v>
      </c>
      <c r="C1693" s="33" t="s">
        <v>620</v>
      </c>
      <c r="D1693" s="33" t="s">
        <v>630</v>
      </c>
      <c r="E1693" s="33" t="s">
        <v>632</v>
      </c>
      <c r="F1693" s="33" t="s">
        <v>462</v>
      </c>
    </row>
    <row r="1694" spans="1:6" x14ac:dyDescent="0.25">
      <c r="A1694" s="34">
        <v>59</v>
      </c>
      <c r="B1694" s="33" t="s">
        <v>619</v>
      </c>
      <c r="C1694" s="33" t="s">
        <v>620</v>
      </c>
      <c r="D1694" s="33" t="s">
        <v>630</v>
      </c>
      <c r="E1694" s="33" t="s">
        <v>633</v>
      </c>
      <c r="F1694" s="34">
        <v>86</v>
      </c>
    </row>
    <row r="1695" spans="1:6" x14ac:dyDescent="0.25">
      <c r="A1695" s="34">
        <v>59</v>
      </c>
      <c r="B1695" s="33" t="s">
        <v>619</v>
      </c>
      <c r="C1695" s="33" t="s">
        <v>634</v>
      </c>
      <c r="D1695" s="33" t="s">
        <v>621</v>
      </c>
      <c r="E1695" s="33" t="s">
        <v>635</v>
      </c>
      <c r="F1695" s="34">
        <v>0</v>
      </c>
    </row>
    <row r="1696" spans="1:6" x14ac:dyDescent="0.25">
      <c r="A1696" s="34">
        <v>59</v>
      </c>
      <c r="B1696" s="33" t="s">
        <v>619</v>
      </c>
      <c r="C1696" s="33" t="s">
        <v>634</v>
      </c>
      <c r="D1696" s="33" t="s">
        <v>621</v>
      </c>
      <c r="E1696" s="33" t="s">
        <v>636</v>
      </c>
      <c r="F1696" s="34">
        <v>0</v>
      </c>
    </row>
    <row r="1697" spans="1:6" x14ac:dyDescent="0.25">
      <c r="A1697" s="34">
        <v>59</v>
      </c>
      <c r="B1697" s="33" t="s">
        <v>619</v>
      </c>
      <c r="C1697" s="33" t="s">
        <v>634</v>
      </c>
      <c r="D1697" s="33" t="s">
        <v>621</v>
      </c>
      <c r="E1697" s="33" t="s">
        <v>637</v>
      </c>
      <c r="F1697" s="34">
        <v>0</v>
      </c>
    </row>
    <row r="1698" spans="1:6" x14ac:dyDescent="0.25">
      <c r="A1698" s="34">
        <v>59</v>
      </c>
      <c r="B1698" s="33" t="s">
        <v>619</v>
      </c>
      <c r="C1698" s="33" t="s">
        <v>634</v>
      </c>
      <c r="D1698" s="33" t="s">
        <v>621</v>
      </c>
      <c r="E1698" s="33" t="s">
        <v>638</v>
      </c>
      <c r="F1698" s="34">
        <v>34</v>
      </c>
    </row>
    <row r="1699" spans="1:6" x14ac:dyDescent="0.25">
      <c r="A1699" s="34">
        <v>59</v>
      </c>
      <c r="B1699" s="33" t="s">
        <v>619</v>
      </c>
      <c r="C1699" s="33" t="s">
        <v>634</v>
      </c>
      <c r="D1699" s="33" t="s">
        <v>630</v>
      </c>
      <c r="E1699" s="33" t="s">
        <v>639</v>
      </c>
      <c r="F1699" s="34">
        <v>85</v>
      </c>
    </row>
    <row r="1700" spans="1:6" x14ac:dyDescent="0.25">
      <c r="A1700" s="34">
        <v>59</v>
      </c>
      <c r="B1700" s="33" t="s">
        <v>619</v>
      </c>
      <c r="C1700" s="33" t="s">
        <v>634</v>
      </c>
      <c r="D1700" s="33" t="s">
        <v>630</v>
      </c>
      <c r="E1700" s="33" t="s">
        <v>640</v>
      </c>
      <c r="F1700" s="33" t="s">
        <v>462</v>
      </c>
    </row>
    <row r="1701" spans="1:6" x14ac:dyDescent="0.25">
      <c r="A1701" s="34">
        <v>59</v>
      </c>
      <c r="B1701" s="33" t="s">
        <v>619</v>
      </c>
      <c r="C1701" s="33" t="s">
        <v>634</v>
      </c>
      <c r="D1701" s="33" t="s">
        <v>630</v>
      </c>
      <c r="E1701" s="33" t="s">
        <v>641</v>
      </c>
      <c r="F1701" s="34">
        <v>85</v>
      </c>
    </row>
    <row r="1702" spans="1:6" x14ac:dyDescent="0.25">
      <c r="A1702" s="34">
        <v>59</v>
      </c>
      <c r="B1702" s="33" t="s">
        <v>619</v>
      </c>
      <c r="C1702" s="33" t="s">
        <v>642</v>
      </c>
      <c r="D1702" s="33" t="s">
        <v>621</v>
      </c>
      <c r="E1702" s="33" t="s">
        <v>643</v>
      </c>
      <c r="F1702" s="34">
        <v>5</v>
      </c>
    </row>
    <row r="1703" spans="1:6" x14ac:dyDescent="0.25">
      <c r="A1703" s="34">
        <v>59</v>
      </c>
      <c r="B1703" s="33" t="s">
        <v>619</v>
      </c>
      <c r="C1703" s="33" t="s">
        <v>642</v>
      </c>
      <c r="D1703" s="33" t="s">
        <v>621</v>
      </c>
      <c r="E1703" s="33" t="s">
        <v>644</v>
      </c>
      <c r="F1703" s="34">
        <v>5</v>
      </c>
    </row>
    <row r="1704" spans="1:6" x14ac:dyDescent="0.25">
      <c r="A1704" s="34">
        <v>59</v>
      </c>
      <c r="B1704" s="33" t="s">
        <v>619</v>
      </c>
      <c r="C1704" s="33" t="s">
        <v>642</v>
      </c>
      <c r="D1704" s="33" t="s">
        <v>621</v>
      </c>
      <c r="E1704" s="33" t="s">
        <v>645</v>
      </c>
      <c r="F1704" s="34">
        <v>5</v>
      </c>
    </row>
    <row r="1705" spans="1:6" x14ac:dyDescent="0.25">
      <c r="A1705" s="34">
        <v>59</v>
      </c>
      <c r="B1705" s="33" t="s">
        <v>619</v>
      </c>
      <c r="C1705" s="33" t="s">
        <v>642</v>
      </c>
      <c r="D1705" s="33" t="s">
        <v>621</v>
      </c>
      <c r="E1705" s="33" t="s">
        <v>646</v>
      </c>
      <c r="F1705" s="34">
        <v>5</v>
      </c>
    </row>
    <row r="1706" spans="1:6" x14ac:dyDescent="0.25">
      <c r="A1706" s="34">
        <v>59</v>
      </c>
      <c r="B1706" s="33" t="s">
        <v>619</v>
      </c>
      <c r="C1706" s="33" t="s">
        <v>642</v>
      </c>
      <c r="D1706" s="33" t="s">
        <v>621</v>
      </c>
      <c r="E1706" s="33" t="s">
        <v>647</v>
      </c>
      <c r="F1706" s="34">
        <v>5</v>
      </c>
    </row>
    <row r="1707" spans="1:6" x14ac:dyDescent="0.25">
      <c r="A1707" s="34">
        <v>59</v>
      </c>
      <c r="B1707" s="33" t="s">
        <v>619</v>
      </c>
      <c r="C1707" s="33" t="s">
        <v>642</v>
      </c>
      <c r="D1707" s="33" t="s">
        <v>621</v>
      </c>
      <c r="E1707" s="33" t="s">
        <v>648</v>
      </c>
      <c r="F1707" s="34">
        <v>5</v>
      </c>
    </row>
    <row r="1708" spans="1:6" x14ac:dyDescent="0.25">
      <c r="A1708" s="34">
        <v>59</v>
      </c>
      <c r="B1708" s="33" t="s">
        <v>619</v>
      </c>
      <c r="C1708" s="33" t="s">
        <v>642</v>
      </c>
      <c r="D1708" s="33" t="s">
        <v>621</v>
      </c>
      <c r="E1708" s="33" t="s">
        <v>649</v>
      </c>
      <c r="F1708" s="34">
        <v>45</v>
      </c>
    </row>
    <row r="1709" spans="1:6" x14ac:dyDescent="0.25">
      <c r="A1709" s="34">
        <v>59</v>
      </c>
      <c r="B1709" s="33" t="s">
        <v>619</v>
      </c>
      <c r="C1709" s="33" t="s">
        <v>642</v>
      </c>
      <c r="D1709" s="33" t="s">
        <v>630</v>
      </c>
      <c r="E1709" s="33" t="s">
        <v>650</v>
      </c>
      <c r="F1709" s="34">
        <v>85</v>
      </c>
    </row>
    <row r="1710" spans="1:6" x14ac:dyDescent="0.25">
      <c r="A1710" s="34">
        <v>59</v>
      </c>
      <c r="B1710" s="33" t="s">
        <v>619</v>
      </c>
      <c r="C1710" s="33" t="s">
        <v>642</v>
      </c>
      <c r="D1710" s="33" t="s">
        <v>630</v>
      </c>
      <c r="E1710" s="33" t="s">
        <v>651</v>
      </c>
      <c r="F1710" s="33" t="s">
        <v>462</v>
      </c>
    </row>
    <row r="1711" spans="1:6" x14ac:dyDescent="0.25">
      <c r="A1711" s="34">
        <v>59</v>
      </c>
      <c r="B1711" s="33" t="s">
        <v>619</v>
      </c>
      <c r="C1711" s="33" t="s">
        <v>642</v>
      </c>
      <c r="D1711" s="33" t="s">
        <v>630</v>
      </c>
      <c r="E1711" s="33" t="s">
        <v>652</v>
      </c>
      <c r="F1711" s="34">
        <v>85</v>
      </c>
    </row>
    <row r="1712" spans="1:6" x14ac:dyDescent="0.25">
      <c r="A1712" s="34">
        <v>59</v>
      </c>
      <c r="B1712" s="33" t="s">
        <v>619</v>
      </c>
      <c r="C1712" s="33" t="s">
        <v>653</v>
      </c>
      <c r="D1712" s="33" t="s">
        <v>653</v>
      </c>
      <c r="E1712" s="33" t="s">
        <v>654</v>
      </c>
      <c r="F1712" s="34">
        <v>88</v>
      </c>
    </row>
    <row r="1713" spans="1:6" x14ac:dyDescent="0.25">
      <c r="A1713" s="34">
        <v>60</v>
      </c>
      <c r="B1713" s="33" t="s">
        <v>619</v>
      </c>
      <c r="C1713" s="33" t="s">
        <v>620</v>
      </c>
      <c r="D1713" s="33" t="s">
        <v>621</v>
      </c>
      <c r="E1713" s="33" t="s">
        <v>622</v>
      </c>
      <c r="F1713" s="34">
        <v>0</v>
      </c>
    </row>
    <row r="1714" spans="1:6" x14ac:dyDescent="0.25">
      <c r="A1714" s="34">
        <v>60</v>
      </c>
      <c r="B1714" s="33" t="s">
        <v>619</v>
      </c>
      <c r="C1714" s="33" t="s">
        <v>620</v>
      </c>
      <c r="D1714" s="33" t="s">
        <v>621</v>
      </c>
      <c r="E1714" s="33" t="s">
        <v>623</v>
      </c>
      <c r="F1714" s="34">
        <v>0</v>
      </c>
    </row>
    <row r="1715" spans="1:6" x14ac:dyDescent="0.25">
      <c r="A1715" s="34">
        <v>60</v>
      </c>
      <c r="B1715" s="33" t="s">
        <v>619</v>
      </c>
      <c r="C1715" s="33" t="s">
        <v>620</v>
      </c>
      <c r="D1715" s="33" t="s">
        <v>621</v>
      </c>
      <c r="E1715" s="33" t="s">
        <v>624</v>
      </c>
      <c r="F1715" s="34">
        <v>0</v>
      </c>
    </row>
    <row r="1716" spans="1:6" x14ac:dyDescent="0.25">
      <c r="A1716" s="34">
        <v>60</v>
      </c>
      <c r="B1716" s="33" t="s">
        <v>619</v>
      </c>
      <c r="C1716" s="33" t="s">
        <v>620</v>
      </c>
      <c r="D1716" s="33" t="s">
        <v>621</v>
      </c>
      <c r="E1716" s="33" t="s">
        <v>625</v>
      </c>
      <c r="F1716" s="34">
        <v>0</v>
      </c>
    </row>
    <row r="1717" spans="1:6" x14ac:dyDescent="0.25">
      <c r="A1717" s="34">
        <v>60</v>
      </c>
      <c r="B1717" s="33" t="s">
        <v>619</v>
      </c>
      <c r="C1717" s="33" t="s">
        <v>620</v>
      </c>
      <c r="D1717" s="33" t="s">
        <v>621</v>
      </c>
      <c r="E1717" s="33" t="s">
        <v>626</v>
      </c>
      <c r="F1717" s="34">
        <v>0</v>
      </c>
    </row>
    <row r="1718" spans="1:6" x14ac:dyDescent="0.25">
      <c r="A1718" s="34">
        <v>60</v>
      </c>
      <c r="B1718" s="33" t="s">
        <v>619</v>
      </c>
      <c r="C1718" s="33" t="s">
        <v>620</v>
      </c>
      <c r="D1718" s="33" t="s">
        <v>621</v>
      </c>
      <c r="E1718" s="33" t="s">
        <v>627</v>
      </c>
      <c r="F1718" s="34">
        <v>0</v>
      </c>
    </row>
    <row r="1719" spans="1:6" x14ac:dyDescent="0.25">
      <c r="A1719" s="34">
        <v>60</v>
      </c>
      <c r="B1719" s="33" t="s">
        <v>619</v>
      </c>
      <c r="C1719" s="33" t="s">
        <v>620</v>
      </c>
      <c r="D1719" s="33" t="s">
        <v>621</v>
      </c>
      <c r="E1719" s="33" t="s">
        <v>628</v>
      </c>
      <c r="F1719" s="34">
        <v>5</v>
      </c>
    </row>
    <row r="1720" spans="1:6" x14ac:dyDescent="0.25">
      <c r="A1720" s="34">
        <v>60</v>
      </c>
      <c r="B1720" s="33" t="s">
        <v>619</v>
      </c>
      <c r="C1720" s="33" t="s">
        <v>620</v>
      </c>
      <c r="D1720" s="33" t="s">
        <v>621</v>
      </c>
      <c r="E1720" s="33" t="s">
        <v>629</v>
      </c>
      <c r="F1720" s="34">
        <v>43</v>
      </c>
    </row>
    <row r="1721" spans="1:6" x14ac:dyDescent="0.25">
      <c r="A1721" s="34">
        <v>60</v>
      </c>
      <c r="B1721" s="33" t="s">
        <v>619</v>
      </c>
      <c r="C1721" s="33" t="s">
        <v>620</v>
      </c>
      <c r="D1721" s="33" t="s">
        <v>630</v>
      </c>
      <c r="E1721" s="33" t="s">
        <v>631</v>
      </c>
      <c r="F1721" s="34">
        <v>60</v>
      </c>
    </row>
    <row r="1722" spans="1:6" x14ac:dyDescent="0.25">
      <c r="A1722" s="34">
        <v>60</v>
      </c>
      <c r="B1722" s="33" t="s">
        <v>619</v>
      </c>
      <c r="C1722" s="33" t="s">
        <v>620</v>
      </c>
      <c r="D1722" s="33" t="s">
        <v>630</v>
      </c>
      <c r="E1722" s="33" t="s">
        <v>632</v>
      </c>
      <c r="F1722" s="33" t="s">
        <v>462</v>
      </c>
    </row>
    <row r="1723" spans="1:6" x14ac:dyDescent="0.25">
      <c r="A1723" s="34">
        <v>60</v>
      </c>
      <c r="B1723" s="33" t="s">
        <v>619</v>
      </c>
      <c r="C1723" s="33" t="s">
        <v>620</v>
      </c>
      <c r="D1723" s="33" t="s">
        <v>630</v>
      </c>
      <c r="E1723" s="33" t="s">
        <v>633</v>
      </c>
      <c r="F1723" s="34">
        <v>60</v>
      </c>
    </row>
    <row r="1724" spans="1:6" x14ac:dyDescent="0.25">
      <c r="A1724" s="34">
        <v>60</v>
      </c>
      <c r="B1724" s="33" t="s">
        <v>619</v>
      </c>
      <c r="C1724" s="33" t="s">
        <v>634</v>
      </c>
      <c r="D1724" s="33" t="s">
        <v>621</v>
      </c>
      <c r="E1724" s="33" t="s">
        <v>635</v>
      </c>
      <c r="F1724" s="34">
        <v>0</v>
      </c>
    </row>
    <row r="1725" spans="1:6" x14ac:dyDescent="0.25">
      <c r="A1725" s="34">
        <v>60</v>
      </c>
      <c r="B1725" s="33" t="s">
        <v>619</v>
      </c>
      <c r="C1725" s="33" t="s">
        <v>634</v>
      </c>
      <c r="D1725" s="33" t="s">
        <v>621</v>
      </c>
      <c r="E1725" s="33" t="s">
        <v>636</v>
      </c>
      <c r="F1725" s="34">
        <v>0</v>
      </c>
    </row>
    <row r="1726" spans="1:6" x14ac:dyDescent="0.25">
      <c r="A1726" s="34">
        <v>60</v>
      </c>
      <c r="B1726" s="33" t="s">
        <v>619</v>
      </c>
      <c r="C1726" s="33" t="s">
        <v>634</v>
      </c>
      <c r="D1726" s="33" t="s">
        <v>621</v>
      </c>
      <c r="E1726" s="33" t="s">
        <v>637</v>
      </c>
      <c r="F1726" s="34">
        <v>2</v>
      </c>
    </row>
    <row r="1727" spans="1:6" x14ac:dyDescent="0.25">
      <c r="A1727" s="34">
        <v>60</v>
      </c>
      <c r="B1727" s="33" t="s">
        <v>619</v>
      </c>
      <c r="C1727" s="33" t="s">
        <v>634</v>
      </c>
      <c r="D1727" s="33" t="s">
        <v>621</v>
      </c>
      <c r="E1727" s="33" t="s">
        <v>638</v>
      </c>
      <c r="F1727" s="34">
        <v>29</v>
      </c>
    </row>
    <row r="1728" spans="1:6" x14ac:dyDescent="0.25">
      <c r="A1728" s="34">
        <v>60</v>
      </c>
      <c r="B1728" s="33" t="s">
        <v>619</v>
      </c>
      <c r="C1728" s="33" t="s">
        <v>634</v>
      </c>
      <c r="D1728" s="33" t="s">
        <v>630</v>
      </c>
      <c r="E1728" s="33" t="s">
        <v>639</v>
      </c>
      <c r="F1728" s="34">
        <v>65</v>
      </c>
    </row>
    <row r="1729" spans="1:6" x14ac:dyDescent="0.25">
      <c r="A1729" s="34">
        <v>60</v>
      </c>
      <c r="B1729" s="33" t="s">
        <v>619</v>
      </c>
      <c r="C1729" s="33" t="s">
        <v>634</v>
      </c>
      <c r="D1729" s="33" t="s">
        <v>630</v>
      </c>
      <c r="E1729" s="33" t="s">
        <v>640</v>
      </c>
      <c r="F1729" s="33" t="s">
        <v>462</v>
      </c>
    </row>
    <row r="1730" spans="1:6" x14ac:dyDescent="0.25">
      <c r="A1730" s="34">
        <v>60</v>
      </c>
      <c r="B1730" s="33" t="s">
        <v>619</v>
      </c>
      <c r="C1730" s="33" t="s">
        <v>634</v>
      </c>
      <c r="D1730" s="33" t="s">
        <v>630</v>
      </c>
      <c r="E1730" s="33" t="s">
        <v>641</v>
      </c>
      <c r="F1730" s="34">
        <v>65</v>
      </c>
    </row>
    <row r="1731" spans="1:6" x14ac:dyDescent="0.25">
      <c r="A1731" s="34">
        <v>60</v>
      </c>
      <c r="B1731" s="33" t="s">
        <v>619</v>
      </c>
      <c r="C1731" s="33" t="s">
        <v>642</v>
      </c>
      <c r="D1731" s="33" t="s">
        <v>621</v>
      </c>
      <c r="E1731" s="33" t="s">
        <v>643</v>
      </c>
      <c r="F1731" s="34">
        <v>0</v>
      </c>
    </row>
    <row r="1732" spans="1:6" x14ac:dyDescent="0.25">
      <c r="A1732" s="34">
        <v>60</v>
      </c>
      <c r="B1732" s="33" t="s">
        <v>619</v>
      </c>
      <c r="C1732" s="33" t="s">
        <v>642</v>
      </c>
      <c r="D1732" s="33" t="s">
        <v>621</v>
      </c>
      <c r="E1732" s="33" t="s">
        <v>644</v>
      </c>
      <c r="F1732" s="34">
        <v>0</v>
      </c>
    </row>
    <row r="1733" spans="1:6" x14ac:dyDescent="0.25">
      <c r="A1733" s="34">
        <v>60</v>
      </c>
      <c r="B1733" s="33" t="s">
        <v>619</v>
      </c>
      <c r="C1733" s="33" t="s">
        <v>642</v>
      </c>
      <c r="D1733" s="33" t="s">
        <v>621</v>
      </c>
      <c r="E1733" s="33" t="s">
        <v>645</v>
      </c>
      <c r="F1733" s="34">
        <v>0</v>
      </c>
    </row>
    <row r="1734" spans="1:6" x14ac:dyDescent="0.25">
      <c r="A1734" s="34">
        <v>60</v>
      </c>
      <c r="B1734" s="33" t="s">
        <v>619</v>
      </c>
      <c r="C1734" s="33" t="s">
        <v>642</v>
      </c>
      <c r="D1734" s="33" t="s">
        <v>621</v>
      </c>
      <c r="E1734" s="33" t="s">
        <v>646</v>
      </c>
      <c r="F1734" s="34">
        <v>0</v>
      </c>
    </row>
    <row r="1735" spans="1:6" x14ac:dyDescent="0.25">
      <c r="A1735" s="34">
        <v>60</v>
      </c>
      <c r="B1735" s="33" t="s">
        <v>619</v>
      </c>
      <c r="C1735" s="33" t="s">
        <v>642</v>
      </c>
      <c r="D1735" s="33" t="s">
        <v>621</v>
      </c>
      <c r="E1735" s="33" t="s">
        <v>647</v>
      </c>
      <c r="F1735" s="34">
        <v>0</v>
      </c>
    </row>
    <row r="1736" spans="1:6" x14ac:dyDescent="0.25">
      <c r="A1736" s="34">
        <v>60</v>
      </c>
      <c r="B1736" s="33" t="s">
        <v>619</v>
      </c>
      <c r="C1736" s="33" t="s">
        <v>642</v>
      </c>
      <c r="D1736" s="33" t="s">
        <v>621</v>
      </c>
      <c r="E1736" s="33" t="s">
        <v>648</v>
      </c>
      <c r="F1736" s="34">
        <v>0</v>
      </c>
    </row>
    <row r="1737" spans="1:6" x14ac:dyDescent="0.25">
      <c r="A1737" s="34">
        <v>60</v>
      </c>
      <c r="B1737" s="33" t="s">
        <v>619</v>
      </c>
      <c r="C1737" s="33" t="s">
        <v>642</v>
      </c>
      <c r="D1737" s="33" t="s">
        <v>621</v>
      </c>
      <c r="E1737" s="33" t="s">
        <v>649</v>
      </c>
      <c r="F1737" s="34">
        <v>10</v>
      </c>
    </row>
    <row r="1738" spans="1:6" x14ac:dyDescent="0.25">
      <c r="A1738" s="34">
        <v>60</v>
      </c>
      <c r="B1738" s="33" t="s">
        <v>619</v>
      </c>
      <c r="C1738" s="33" t="s">
        <v>642</v>
      </c>
      <c r="D1738" s="33" t="s">
        <v>630</v>
      </c>
      <c r="E1738" s="33" t="s">
        <v>650</v>
      </c>
      <c r="F1738" s="34">
        <v>30</v>
      </c>
    </row>
    <row r="1739" spans="1:6" x14ac:dyDescent="0.25">
      <c r="A1739" s="34">
        <v>60</v>
      </c>
      <c r="B1739" s="33" t="s">
        <v>619</v>
      </c>
      <c r="C1739" s="33" t="s">
        <v>642</v>
      </c>
      <c r="D1739" s="33" t="s">
        <v>630</v>
      </c>
      <c r="E1739" s="33" t="s">
        <v>651</v>
      </c>
      <c r="F1739" s="33" t="s">
        <v>462</v>
      </c>
    </row>
    <row r="1740" spans="1:6" x14ac:dyDescent="0.25">
      <c r="A1740" s="34">
        <v>60</v>
      </c>
      <c r="B1740" s="33" t="s">
        <v>619</v>
      </c>
      <c r="C1740" s="33" t="s">
        <v>642</v>
      </c>
      <c r="D1740" s="33" t="s">
        <v>630</v>
      </c>
      <c r="E1740" s="33" t="s">
        <v>652</v>
      </c>
      <c r="F1740" s="34">
        <v>30</v>
      </c>
    </row>
    <row r="1741" spans="1:6" x14ac:dyDescent="0.25">
      <c r="A1741" s="34">
        <v>60</v>
      </c>
      <c r="B1741" s="33" t="s">
        <v>619</v>
      </c>
      <c r="C1741" s="33" t="s">
        <v>653</v>
      </c>
      <c r="D1741" s="33" t="s">
        <v>653</v>
      </c>
      <c r="E1741" s="33" t="s">
        <v>654</v>
      </c>
      <c r="F1741" s="34">
        <v>62</v>
      </c>
    </row>
    <row r="1742" spans="1:6" x14ac:dyDescent="0.25">
      <c r="A1742" s="34">
        <v>61</v>
      </c>
      <c r="B1742" s="33" t="s">
        <v>619</v>
      </c>
      <c r="C1742" s="33" t="s">
        <v>620</v>
      </c>
      <c r="D1742" s="33" t="s">
        <v>621</v>
      </c>
      <c r="E1742" s="33" t="s">
        <v>622</v>
      </c>
      <c r="F1742" s="34">
        <v>1</v>
      </c>
    </row>
    <row r="1743" spans="1:6" x14ac:dyDescent="0.25">
      <c r="A1743" s="34">
        <v>61</v>
      </c>
      <c r="B1743" s="33" t="s">
        <v>619</v>
      </c>
      <c r="C1743" s="33" t="s">
        <v>620</v>
      </c>
      <c r="D1743" s="33" t="s">
        <v>621</v>
      </c>
      <c r="E1743" s="33" t="s">
        <v>623</v>
      </c>
      <c r="F1743" s="34">
        <v>1</v>
      </c>
    </row>
    <row r="1744" spans="1:6" x14ac:dyDescent="0.25">
      <c r="A1744" s="34">
        <v>61</v>
      </c>
      <c r="B1744" s="33" t="s">
        <v>619</v>
      </c>
      <c r="C1744" s="33" t="s">
        <v>620</v>
      </c>
      <c r="D1744" s="33" t="s">
        <v>621</v>
      </c>
      <c r="E1744" s="33" t="s">
        <v>624</v>
      </c>
      <c r="F1744" s="34">
        <v>1</v>
      </c>
    </row>
    <row r="1745" spans="1:6" x14ac:dyDescent="0.25">
      <c r="A1745" s="34">
        <v>61</v>
      </c>
      <c r="B1745" s="33" t="s">
        <v>619</v>
      </c>
      <c r="C1745" s="33" t="s">
        <v>620</v>
      </c>
      <c r="D1745" s="33" t="s">
        <v>621</v>
      </c>
      <c r="E1745" s="33" t="s">
        <v>625</v>
      </c>
      <c r="F1745" s="34">
        <v>0</v>
      </c>
    </row>
    <row r="1746" spans="1:6" x14ac:dyDescent="0.25">
      <c r="A1746" s="34">
        <v>61</v>
      </c>
      <c r="B1746" s="33" t="s">
        <v>619</v>
      </c>
      <c r="C1746" s="33" t="s">
        <v>620</v>
      </c>
      <c r="D1746" s="33" t="s">
        <v>621</v>
      </c>
      <c r="E1746" s="33" t="s">
        <v>626</v>
      </c>
      <c r="F1746" s="34">
        <v>0</v>
      </c>
    </row>
    <row r="1747" spans="1:6" x14ac:dyDescent="0.25">
      <c r="A1747" s="34">
        <v>61</v>
      </c>
      <c r="B1747" s="33" t="s">
        <v>619</v>
      </c>
      <c r="C1747" s="33" t="s">
        <v>620</v>
      </c>
      <c r="D1747" s="33" t="s">
        <v>621</v>
      </c>
      <c r="E1747" s="33" t="s">
        <v>627</v>
      </c>
      <c r="F1747" s="34">
        <v>0</v>
      </c>
    </row>
    <row r="1748" spans="1:6" x14ac:dyDescent="0.25">
      <c r="A1748" s="34">
        <v>61</v>
      </c>
      <c r="B1748" s="33" t="s">
        <v>619</v>
      </c>
      <c r="C1748" s="33" t="s">
        <v>620</v>
      </c>
      <c r="D1748" s="33" t="s">
        <v>621</v>
      </c>
      <c r="E1748" s="33" t="s">
        <v>628</v>
      </c>
      <c r="F1748" s="34">
        <v>5</v>
      </c>
    </row>
    <row r="1749" spans="1:6" x14ac:dyDescent="0.25">
      <c r="A1749" s="34">
        <v>61</v>
      </c>
      <c r="B1749" s="33" t="s">
        <v>619</v>
      </c>
      <c r="C1749" s="33" t="s">
        <v>620</v>
      </c>
      <c r="D1749" s="33" t="s">
        <v>621</v>
      </c>
      <c r="E1749" s="33" t="s">
        <v>629</v>
      </c>
      <c r="F1749" s="34">
        <v>50</v>
      </c>
    </row>
    <row r="1750" spans="1:6" x14ac:dyDescent="0.25">
      <c r="A1750" s="34">
        <v>61</v>
      </c>
      <c r="B1750" s="33" t="s">
        <v>619</v>
      </c>
      <c r="C1750" s="33" t="s">
        <v>620</v>
      </c>
      <c r="D1750" s="33" t="s">
        <v>630</v>
      </c>
      <c r="E1750" s="33" t="s">
        <v>631</v>
      </c>
      <c r="F1750" s="34">
        <v>88</v>
      </c>
    </row>
    <row r="1751" spans="1:6" x14ac:dyDescent="0.25">
      <c r="A1751" s="34">
        <v>61</v>
      </c>
      <c r="B1751" s="33" t="s">
        <v>619</v>
      </c>
      <c r="C1751" s="33" t="s">
        <v>620</v>
      </c>
      <c r="D1751" s="33" t="s">
        <v>630</v>
      </c>
      <c r="E1751" s="33" t="s">
        <v>632</v>
      </c>
      <c r="F1751" s="33" t="s">
        <v>462</v>
      </c>
    </row>
    <row r="1752" spans="1:6" x14ac:dyDescent="0.25">
      <c r="A1752" s="34">
        <v>61</v>
      </c>
      <c r="B1752" s="33" t="s">
        <v>619</v>
      </c>
      <c r="C1752" s="33" t="s">
        <v>620</v>
      </c>
      <c r="D1752" s="33" t="s">
        <v>630</v>
      </c>
      <c r="E1752" s="33" t="s">
        <v>633</v>
      </c>
      <c r="F1752" s="34">
        <v>88</v>
      </c>
    </row>
    <row r="1753" spans="1:6" x14ac:dyDescent="0.25">
      <c r="A1753" s="34">
        <v>61</v>
      </c>
      <c r="B1753" s="33" t="s">
        <v>619</v>
      </c>
      <c r="C1753" s="33" t="s">
        <v>634</v>
      </c>
      <c r="D1753" s="33" t="s">
        <v>621</v>
      </c>
      <c r="E1753" s="33" t="s">
        <v>635</v>
      </c>
      <c r="F1753" s="34">
        <v>0</v>
      </c>
    </row>
    <row r="1754" spans="1:6" x14ac:dyDescent="0.25">
      <c r="A1754" s="34">
        <v>61</v>
      </c>
      <c r="B1754" s="33" t="s">
        <v>619</v>
      </c>
      <c r="C1754" s="33" t="s">
        <v>634</v>
      </c>
      <c r="D1754" s="33" t="s">
        <v>621</v>
      </c>
      <c r="E1754" s="33" t="s">
        <v>636</v>
      </c>
      <c r="F1754" s="34">
        <v>0</v>
      </c>
    </row>
    <row r="1755" spans="1:6" x14ac:dyDescent="0.25">
      <c r="A1755" s="34">
        <v>61</v>
      </c>
      <c r="B1755" s="33" t="s">
        <v>619</v>
      </c>
      <c r="C1755" s="33" t="s">
        <v>634</v>
      </c>
      <c r="D1755" s="33" t="s">
        <v>621</v>
      </c>
      <c r="E1755" s="33" t="s">
        <v>637</v>
      </c>
      <c r="F1755" s="34">
        <v>5</v>
      </c>
    </row>
    <row r="1756" spans="1:6" x14ac:dyDescent="0.25">
      <c r="A1756" s="34">
        <v>61</v>
      </c>
      <c r="B1756" s="33" t="s">
        <v>619</v>
      </c>
      <c r="C1756" s="33" t="s">
        <v>634</v>
      </c>
      <c r="D1756" s="33" t="s">
        <v>621</v>
      </c>
      <c r="E1756" s="33" t="s">
        <v>638</v>
      </c>
      <c r="F1756" s="34">
        <v>50</v>
      </c>
    </row>
    <row r="1757" spans="1:6" x14ac:dyDescent="0.25">
      <c r="A1757" s="34">
        <v>61</v>
      </c>
      <c r="B1757" s="33" t="s">
        <v>619</v>
      </c>
      <c r="C1757" s="33" t="s">
        <v>634</v>
      </c>
      <c r="D1757" s="33" t="s">
        <v>630</v>
      </c>
      <c r="E1757" s="33" t="s">
        <v>639</v>
      </c>
      <c r="F1757" s="34">
        <v>92</v>
      </c>
    </row>
    <row r="1758" spans="1:6" x14ac:dyDescent="0.25">
      <c r="A1758" s="34">
        <v>61</v>
      </c>
      <c r="B1758" s="33" t="s">
        <v>619</v>
      </c>
      <c r="C1758" s="33" t="s">
        <v>634</v>
      </c>
      <c r="D1758" s="33" t="s">
        <v>630</v>
      </c>
      <c r="E1758" s="33" t="s">
        <v>640</v>
      </c>
      <c r="F1758" s="33" t="s">
        <v>462</v>
      </c>
    </row>
    <row r="1759" spans="1:6" x14ac:dyDescent="0.25">
      <c r="A1759" s="34">
        <v>61</v>
      </c>
      <c r="B1759" s="33" t="s">
        <v>619</v>
      </c>
      <c r="C1759" s="33" t="s">
        <v>634</v>
      </c>
      <c r="D1759" s="33" t="s">
        <v>630</v>
      </c>
      <c r="E1759" s="33" t="s">
        <v>641</v>
      </c>
      <c r="F1759" s="34">
        <v>92</v>
      </c>
    </row>
    <row r="1760" spans="1:6" x14ac:dyDescent="0.25">
      <c r="A1760" s="34">
        <v>61</v>
      </c>
      <c r="B1760" s="33" t="s">
        <v>619</v>
      </c>
      <c r="C1760" s="33" t="s">
        <v>642</v>
      </c>
      <c r="D1760" s="33" t="s">
        <v>621</v>
      </c>
      <c r="E1760" s="33" t="s">
        <v>643</v>
      </c>
      <c r="F1760" s="34">
        <v>5</v>
      </c>
    </row>
    <row r="1761" spans="1:6" x14ac:dyDescent="0.25">
      <c r="A1761" s="34">
        <v>61</v>
      </c>
      <c r="B1761" s="33" t="s">
        <v>619</v>
      </c>
      <c r="C1761" s="33" t="s">
        <v>642</v>
      </c>
      <c r="D1761" s="33" t="s">
        <v>621</v>
      </c>
      <c r="E1761" s="33" t="s">
        <v>644</v>
      </c>
      <c r="F1761" s="34">
        <v>5</v>
      </c>
    </row>
    <row r="1762" spans="1:6" x14ac:dyDescent="0.25">
      <c r="A1762" s="34">
        <v>61</v>
      </c>
      <c r="B1762" s="33" t="s">
        <v>619</v>
      </c>
      <c r="C1762" s="33" t="s">
        <v>642</v>
      </c>
      <c r="D1762" s="33" t="s">
        <v>621</v>
      </c>
      <c r="E1762" s="33" t="s">
        <v>645</v>
      </c>
      <c r="F1762" s="34">
        <v>5</v>
      </c>
    </row>
    <row r="1763" spans="1:6" x14ac:dyDescent="0.25">
      <c r="A1763" s="34">
        <v>61</v>
      </c>
      <c r="B1763" s="33" t="s">
        <v>619</v>
      </c>
      <c r="C1763" s="33" t="s">
        <v>642</v>
      </c>
      <c r="D1763" s="33" t="s">
        <v>621</v>
      </c>
      <c r="E1763" s="33" t="s">
        <v>646</v>
      </c>
      <c r="F1763" s="34">
        <v>5</v>
      </c>
    </row>
    <row r="1764" spans="1:6" x14ac:dyDescent="0.25">
      <c r="A1764" s="34">
        <v>61</v>
      </c>
      <c r="B1764" s="33" t="s">
        <v>619</v>
      </c>
      <c r="C1764" s="33" t="s">
        <v>642</v>
      </c>
      <c r="D1764" s="33" t="s">
        <v>621</v>
      </c>
      <c r="E1764" s="33" t="s">
        <v>647</v>
      </c>
      <c r="F1764" s="34">
        <v>5</v>
      </c>
    </row>
    <row r="1765" spans="1:6" x14ac:dyDescent="0.25">
      <c r="A1765" s="34">
        <v>61</v>
      </c>
      <c r="B1765" s="33" t="s">
        <v>619</v>
      </c>
      <c r="C1765" s="33" t="s">
        <v>642</v>
      </c>
      <c r="D1765" s="33" t="s">
        <v>621</v>
      </c>
      <c r="E1765" s="33" t="s">
        <v>648</v>
      </c>
      <c r="F1765" s="34">
        <v>0</v>
      </c>
    </row>
    <row r="1766" spans="1:6" x14ac:dyDescent="0.25">
      <c r="A1766" s="34">
        <v>61</v>
      </c>
      <c r="B1766" s="33" t="s">
        <v>619</v>
      </c>
      <c r="C1766" s="33" t="s">
        <v>642</v>
      </c>
      <c r="D1766" s="33" t="s">
        <v>621</v>
      </c>
      <c r="E1766" s="33" t="s">
        <v>649</v>
      </c>
      <c r="F1766" s="34">
        <v>50</v>
      </c>
    </row>
    <row r="1767" spans="1:6" x14ac:dyDescent="0.25">
      <c r="A1767" s="34">
        <v>61</v>
      </c>
      <c r="B1767" s="33" t="s">
        <v>619</v>
      </c>
      <c r="C1767" s="33" t="s">
        <v>642</v>
      </c>
      <c r="D1767" s="33" t="s">
        <v>630</v>
      </c>
      <c r="E1767" s="33" t="s">
        <v>650</v>
      </c>
      <c r="F1767" s="34">
        <v>82</v>
      </c>
    </row>
    <row r="1768" spans="1:6" x14ac:dyDescent="0.25">
      <c r="A1768" s="34">
        <v>61</v>
      </c>
      <c r="B1768" s="33" t="s">
        <v>619</v>
      </c>
      <c r="C1768" s="33" t="s">
        <v>642</v>
      </c>
      <c r="D1768" s="33" t="s">
        <v>630</v>
      </c>
      <c r="E1768" s="33" t="s">
        <v>651</v>
      </c>
      <c r="F1768" s="34">
        <v>82</v>
      </c>
    </row>
    <row r="1769" spans="1:6" x14ac:dyDescent="0.25">
      <c r="A1769" s="34">
        <v>61</v>
      </c>
      <c r="B1769" s="33" t="s">
        <v>619</v>
      </c>
      <c r="C1769" s="33" t="s">
        <v>642</v>
      </c>
      <c r="D1769" s="33" t="s">
        <v>630</v>
      </c>
      <c r="E1769" s="33" t="s">
        <v>652</v>
      </c>
      <c r="F1769" s="34">
        <v>82</v>
      </c>
    </row>
    <row r="1770" spans="1:6" x14ac:dyDescent="0.25">
      <c r="A1770" s="34">
        <v>61</v>
      </c>
      <c r="B1770" s="33" t="s">
        <v>619</v>
      </c>
      <c r="C1770" s="33" t="s">
        <v>653</v>
      </c>
      <c r="D1770" s="33" t="s">
        <v>653</v>
      </c>
      <c r="E1770" s="33" t="s">
        <v>654</v>
      </c>
      <c r="F1770" s="34">
        <v>92</v>
      </c>
    </row>
    <row r="1771" spans="1:6" x14ac:dyDescent="0.25">
      <c r="A1771" s="34">
        <v>62</v>
      </c>
      <c r="B1771" s="33" t="s">
        <v>619</v>
      </c>
      <c r="C1771" s="33" t="s">
        <v>620</v>
      </c>
      <c r="D1771" s="33" t="s">
        <v>621</v>
      </c>
      <c r="E1771" s="33" t="s">
        <v>622</v>
      </c>
      <c r="F1771" s="34">
        <v>1</v>
      </c>
    </row>
    <row r="1772" spans="1:6" x14ac:dyDescent="0.25">
      <c r="A1772" s="34">
        <v>62</v>
      </c>
      <c r="B1772" s="33" t="s">
        <v>619</v>
      </c>
      <c r="C1772" s="33" t="s">
        <v>620</v>
      </c>
      <c r="D1772" s="33" t="s">
        <v>621</v>
      </c>
      <c r="E1772" s="33" t="s">
        <v>623</v>
      </c>
      <c r="F1772" s="34">
        <v>1</v>
      </c>
    </row>
    <row r="1773" spans="1:6" x14ac:dyDescent="0.25">
      <c r="A1773" s="34">
        <v>62</v>
      </c>
      <c r="B1773" s="33" t="s">
        <v>619</v>
      </c>
      <c r="C1773" s="33" t="s">
        <v>620</v>
      </c>
      <c r="D1773" s="33" t="s">
        <v>621</v>
      </c>
      <c r="E1773" s="33" t="s">
        <v>624</v>
      </c>
      <c r="F1773" s="34">
        <v>1</v>
      </c>
    </row>
    <row r="1774" spans="1:6" x14ac:dyDescent="0.25">
      <c r="A1774" s="34">
        <v>62</v>
      </c>
      <c r="B1774" s="33" t="s">
        <v>619</v>
      </c>
      <c r="C1774" s="33" t="s">
        <v>620</v>
      </c>
      <c r="D1774" s="33" t="s">
        <v>621</v>
      </c>
      <c r="E1774" s="33" t="s">
        <v>625</v>
      </c>
      <c r="F1774" s="34">
        <v>1</v>
      </c>
    </row>
    <row r="1775" spans="1:6" x14ac:dyDescent="0.25">
      <c r="A1775" s="34">
        <v>62</v>
      </c>
      <c r="B1775" s="33" t="s">
        <v>619</v>
      </c>
      <c r="C1775" s="33" t="s">
        <v>620</v>
      </c>
      <c r="D1775" s="33" t="s">
        <v>621</v>
      </c>
      <c r="E1775" s="33" t="s">
        <v>626</v>
      </c>
      <c r="F1775" s="34">
        <v>1</v>
      </c>
    </row>
    <row r="1776" spans="1:6" x14ac:dyDescent="0.25">
      <c r="A1776" s="34">
        <v>62</v>
      </c>
      <c r="B1776" s="33" t="s">
        <v>619</v>
      </c>
      <c r="C1776" s="33" t="s">
        <v>620</v>
      </c>
      <c r="D1776" s="33" t="s">
        <v>621</v>
      </c>
      <c r="E1776" s="33" t="s">
        <v>627</v>
      </c>
      <c r="F1776" s="34">
        <v>1</v>
      </c>
    </row>
    <row r="1777" spans="1:6" x14ac:dyDescent="0.25">
      <c r="A1777" s="34">
        <v>62</v>
      </c>
      <c r="B1777" s="33" t="s">
        <v>619</v>
      </c>
      <c r="C1777" s="33" t="s">
        <v>620</v>
      </c>
      <c r="D1777" s="33" t="s">
        <v>621</v>
      </c>
      <c r="E1777" s="33" t="s">
        <v>628</v>
      </c>
      <c r="F1777" s="34">
        <v>5</v>
      </c>
    </row>
    <row r="1778" spans="1:6" x14ac:dyDescent="0.25">
      <c r="A1778" s="34">
        <v>62</v>
      </c>
      <c r="B1778" s="33" t="s">
        <v>619</v>
      </c>
      <c r="C1778" s="33" t="s">
        <v>620</v>
      </c>
      <c r="D1778" s="33" t="s">
        <v>621</v>
      </c>
      <c r="E1778" s="33" t="s">
        <v>629</v>
      </c>
      <c r="F1778" s="34">
        <v>48</v>
      </c>
    </row>
    <row r="1779" spans="1:6" x14ac:dyDescent="0.25">
      <c r="A1779" s="34">
        <v>62</v>
      </c>
      <c r="B1779" s="33" t="s">
        <v>619</v>
      </c>
      <c r="C1779" s="33" t="s">
        <v>620</v>
      </c>
      <c r="D1779" s="33" t="s">
        <v>630</v>
      </c>
      <c r="E1779" s="33" t="s">
        <v>631</v>
      </c>
      <c r="F1779" s="34">
        <v>100</v>
      </c>
    </row>
    <row r="1780" spans="1:6" x14ac:dyDescent="0.25">
      <c r="A1780" s="34">
        <v>62</v>
      </c>
      <c r="B1780" s="33" t="s">
        <v>619</v>
      </c>
      <c r="C1780" s="33" t="s">
        <v>620</v>
      </c>
      <c r="D1780" s="33" t="s">
        <v>630</v>
      </c>
      <c r="E1780" s="33" t="s">
        <v>632</v>
      </c>
      <c r="F1780" s="33" t="s">
        <v>462</v>
      </c>
    </row>
    <row r="1781" spans="1:6" x14ac:dyDescent="0.25">
      <c r="A1781" s="34">
        <v>62</v>
      </c>
      <c r="B1781" s="33" t="s">
        <v>619</v>
      </c>
      <c r="C1781" s="33" t="s">
        <v>620</v>
      </c>
      <c r="D1781" s="33" t="s">
        <v>630</v>
      </c>
      <c r="E1781" s="33" t="s">
        <v>633</v>
      </c>
      <c r="F1781" s="34">
        <v>100</v>
      </c>
    </row>
    <row r="1782" spans="1:6" x14ac:dyDescent="0.25">
      <c r="A1782" s="34">
        <v>62</v>
      </c>
      <c r="B1782" s="33" t="s">
        <v>619</v>
      </c>
      <c r="C1782" s="33" t="s">
        <v>634</v>
      </c>
      <c r="D1782" s="33" t="s">
        <v>621</v>
      </c>
      <c r="E1782" s="33" t="s">
        <v>635</v>
      </c>
      <c r="F1782" s="34">
        <v>1</v>
      </c>
    </row>
    <row r="1783" spans="1:6" x14ac:dyDescent="0.25">
      <c r="A1783" s="34">
        <v>62</v>
      </c>
      <c r="B1783" s="33" t="s">
        <v>619</v>
      </c>
      <c r="C1783" s="33" t="s">
        <v>634</v>
      </c>
      <c r="D1783" s="33" t="s">
        <v>621</v>
      </c>
      <c r="E1783" s="33" t="s">
        <v>636</v>
      </c>
      <c r="F1783" s="34">
        <v>1</v>
      </c>
    </row>
    <row r="1784" spans="1:6" x14ac:dyDescent="0.25">
      <c r="A1784" s="34">
        <v>62</v>
      </c>
      <c r="B1784" s="33" t="s">
        <v>619</v>
      </c>
      <c r="C1784" s="33" t="s">
        <v>634</v>
      </c>
      <c r="D1784" s="33" t="s">
        <v>621</v>
      </c>
      <c r="E1784" s="33" t="s">
        <v>637</v>
      </c>
      <c r="F1784" s="34">
        <v>5</v>
      </c>
    </row>
    <row r="1785" spans="1:6" x14ac:dyDescent="0.25">
      <c r="A1785" s="34">
        <v>62</v>
      </c>
      <c r="B1785" s="33" t="s">
        <v>619</v>
      </c>
      <c r="C1785" s="33" t="s">
        <v>634</v>
      </c>
      <c r="D1785" s="33" t="s">
        <v>621</v>
      </c>
      <c r="E1785" s="33" t="s">
        <v>638</v>
      </c>
      <c r="F1785" s="34">
        <v>44</v>
      </c>
    </row>
    <row r="1786" spans="1:6" x14ac:dyDescent="0.25">
      <c r="A1786" s="34">
        <v>62</v>
      </c>
      <c r="B1786" s="33" t="s">
        <v>619</v>
      </c>
      <c r="C1786" s="33" t="s">
        <v>634</v>
      </c>
      <c r="D1786" s="33" t="s">
        <v>630</v>
      </c>
      <c r="E1786" s="33" t="s">
        <v>639</v>
      </c>
      <c r="F1786" s="34">
        <v>95</v>
      </c>
    </row>
    <row r="1787" spans="1:6" x14ac:dyDescent="0.25">
      <c r="A1787" s="34">
        <v>62</v>
      </c>
      <c r="B1787" s="33" t="s">
        <v>619</v>
      </c>
      <c r="C1787" s="33" t="s">
        <v>634</v>
      </c>
      <c r="D1787" s="33" t="s">
        <v>630</v>
      </c>
      <c r="E1787" s="33" t="s">
        <v>640</v>
      </c>
      <c r="F1787" s="33" t="s">
        <v>462</v>
      </c>
    </row>
    <row r="1788" spans="1:6" x14ac:dyDescent="0.25">
      <c r="A1788" s="34">
        <v>62</v>
      </c>
      <c r="B1788" s="33" t="s">
        <v>619</v>
      </c>
      <c r="C1788" s="33" t="s">
        <v>634</v>
      </c>
      <c r="D1788" s="33" t="s">
        <v>630</v>
      </c>
      <c r="E1788" s="33" t="s">
        <v>641</v>
      </c>
      <c r="F1788" s="34">
        <v>95</v>
      </c>
    </row>
    <row r="1789" spans="1:6" x14ac:dyDescent="0.25">
      <c r="A1789" s="34">
        <v>62</v>
      </c>
      <c r="B1789" s="33" t="s">
        <v>619</v>
      </c>
      <c r="C1789" s="33" t="s">
        <v>642</v>
      </c>
      <c r="D1789" s="33" t="s">
        <v>621</v>
      </c>
      <c r="E1789" s="33" t="s">
        <v>643</v>
      </c>
      <c r="F1789" s="34">
        <v>5</v>
      </c>
    </row>
    <row r="1790" spans="1:6" x14ac:dyDescent="0.25">
      <c r="A1790" s="34">
        <v>62</v>
      </c>
      <c r="B1790" s="33" t="s">
        <v>619</v>
      </c>
      <c r="C1790" s="33" t="s">
        <v>642</v>
      </c>
      <c r="D1790" s="33" t="s">
        <v>621</v>
      </c>
      <c r="E1790" s="33" t="s">
        <v>644</v>
      </c>
      <c r="F1790" s="34">
        <v>5</v>
      </c>
    </row>
    <row r="1791" spans="1:6" x14ac:dyDescent="0.25">
      <c r="A1791" s="34">
        <v>62</v>
      </c>
      <c r="B1791" s="33" t="s">
        <v>619</v>
      </c>
      <c r="C1791" s="33" t="s">
        <v>642</v>
      </c>
      <c r="D1791" s="33" t="s">
        <v>621</v>
      </c>
      <c r="E1791" s="33" t="s">
        <v>645</v>
      </c>
      <c r="F1791" s="34">
        <v>5</v>
      </c>
    </row>
    <row r="1792" spans="1:6" x14ac:dyDescent="0.25">
      <c r="A1792" s="34">
        <v>62</v>
      </c>
      <c r="B1792" s="33" t="s">
        <v>619</v>
      </c>
      <c r="C1792" s="33" t="s">
        <v>642</v>
      </c>
      <c r="D1792" s="33" t="s">
        <v>621</v>
      </c>
      <c r="E1792" s="33" t="s">
        <v>646</v>
      </c>
      <c r="F1792" s="34">
        <v>0</v>
      </c>
    </row>
    <row r="1793" spans="1:6" x14ac:dyDescent="0.25">
      <c r="A1793" s="34">
        <v>62</v>
      </c>
      <c r="B1793" s="33" t="s">
        <v>619</v>
      </c>
      <c r="C1793" s="33" t="s">
        <v>642</v>
      </c>
      <c r="D1793" s="33" t="s">
        <v>621</v>
      </c>
      <c r="E1793" s="33" t="s">
        <v>647</v>
      </c>
      <c r="F1793" s="34">
        <v>5</v>
      </c>
    </row>
    <row r="1794" spans="1:6" x14ac:dyDescent="0.25">
      <c r="A1794" s="34">
        <v>62</v>
      </c>
      <c r="B1794" s="33" t="s">
        <v>619</v>
      </c>
      <c r="C1794" s="33" t="s">
        <v>642</v>
      </c>
      <c r="D1794" s="33" t="s">
        <v>621</v>
      </c>
      <c r="E1794" s="33" t="s">
        <v>648</v>
      </c>
      <c r="F1794" s="34">
        <v>0</v>
      </c>
    </row>
    <row r="1795" spans="1:6" x14ac:dyDescent="0.25">
      <c r="A1795" s="34">
        <v>62</v>
      </c>
      <c r="B1795" s="33" t="s">
        <v>619</v>
      </c>
      <c r="C1795" s="33" t="s">
        <v>642</v>
      </c>
      <c r="D1795" s="33" t="s">
        <v>621</v>
      </c>
      <c r="E1795" s="33" t="s">
        <v>649</v>
      </c>
      <c r="F1795" s="34">
        <v>50</v>
      </c>
    </row>
    <row r="1796" spans="1:6" x14ac:dyDescent="0.25">
      <c r="A1796" s="34">
        <v>62</v>
      </c>
      <c r="B1796" s="33" t="s">
        <v>619</v>
      </c>
      <c r="C1796" s="33" t="s">
        <v>642</v>
      </c>
      <c r="D1796" s="33" t="s">
        <v>630</v>
      </c>
      <c r="E1796" s="33" t="s">
        <v>650</v>
      </c>
      <c r="F1796" s="34">
        <v>100</v>
      </c>
    </row>
    <row r="1797" spans="1:6" x14ac:dyDescent="0.25">
      <c r="A1797" s="34">
        <v>62</v>
      </c>
      <c r="B1797" s="33" t="s">
        <v>619</v>
      </c>
      <c r="C1797" s="33" t="s">
        <v>642</v>
      </c>
      <c r="D1797" s="33" t="s">
        <v>630</v>
      </c>
      <c r="E1797" s="33" t="s">
        <v>651</v>
      </c>
      <c r="F1797" s="33" t="s">
        <v>462</v>
      </c>
    </row>
    <row r="1798" spans="1:6" x14ac:dyDescent="0.25">
      <c r="A1798" s="34">
        <v>62</v>
      </c>
      <c r="B1798" s="33" t="s">
        <v>619</v>
      </c>
      <c r="C1798" s="33" t="s">
        <v>642</v>
      </c>
      <c r="D1798" s="33" t="s">
        <v>630</v>
      </c>
      <c r="E1798" s="33" t="s">
        <v>652</v>
      </c>
      <c r="F1798" s="34">
        <v>100</v>
      </c>
    </row>
    <row r="1799" spans="1:6" x14ac:dyDescent="0.25">
      <c r="A1799" s="34">
        <v>62</v>
      </c>
      <c r="B1799" s="33" t="s">
        <v>619</v>
      </c>
      <c r="C1799" s="33" t="s">
        <v>653</v>
      </c>
      <c r="D1799" s="33" t="s">
        <v>653</v>
      </c>
      <c r="E1799" s="33" t="s">
        <v>654</v>
      </c>
      <c r="F1799" s="34">
        <v>92</v>
      </c>
    </row>
    <row r="1800" spans="1:6" x14ac:dyDescent="0.25">
      <c r="A1800" s="34">
        <v>63</v>
      </c>
      <c r="B1800" s="33" t="s">
        <v>619</v>
      </c>
      <c r="C1800" s="33" t="s">
        <v>620</v>
      </c>
      <c r="D1800" s="33" t="s">
        <v>621</v>
      </c>
      <c r="E1800" s="33" t="s">
        <v>622</v>
      </c>
      <c r="F1800" s="34">
        <v>0</v>
      </c>
    </row>
    <row r="1801" spans="1:6" x14ac:dyDescent="0.25">
      <c r="A1801" s="34">
        <v>63</v>
      </c>
      <c r="B1801" s="33" t="s">
        <v>619</v>
      </c>
      <c r="C1801" s="33" t="s">
        <v>620</v>
      </c>
      <c r="D1801" s="33" t="s">
        <v>621</v>
      </c>
      <c r="E1801" s="33" t="s">
        <v>623</v>
      </c>
      <c r="F1801" s="34">
        <v>0</v>
      </c>
    </row>
    <row r="1802" spans="1:6" x14ac:dyDescent="0.25">
      <c r="A1802" s="34">
        <v>63</v>
      </c>
      <c r="B1802" s="33" t="s">
        <v>619</v>
      </c>
      <c r="C1802" s="33" t="s">
        <v>620</v>
      </c>
      <c r="D1802" s="33" t="s">
        <v>621</v>
      </c>
      <c r="E1802" s="33" t="s">
        <v>624</v>
      </c>
      <c r="F1802" s="34">
        <v>0</v>
      </c>
    </row>
    <row r="1803" spans="1:6" x14ac:dyDescent="0.25">
      <c r="A1803" s="34">
        <v>63</v>
      </c>
      <c r="B1803" s="33" t="s">
        <v>619</v>
      </c>
      <c r="C1803" s="33" t="s">
        <v>620</v>
      </c>
      <c r="D1803" s="33" t="s">
        <v>621</v>
      </c>
      <c r="E1803" s="33" t="s">
        <v>625</v>
      </c>
      <c r="F1803" s="34">
        <v>0</v>
      </c>
    </row>
    <row r="1804" spans="1:6" x14ac:dyDescent="0.25">
      <c r="A1804" s="34">
        <v>63</v>
      </c>
      <c r="B1804" s="33" t="s">
        <v>619</v>
      </c>
      <c r="C1804" s="33" t="s">
        <v>620</v>
      </c>
      <c r="D1804" s="33" t="s">
        <v>621</v>
      </c>
      <c r="E1804" s="33" t="s">
        <v>626</v>
      </c>
      <c r="F1804" s="34">
        <v>0</v>
      </c>
    </row>
    <row r="1805" spans="1:6" x14ac:dyDescent="0.25">
      <c r="A1805" s="34">
        <v>63</v>
      </c>
      <c r="B1805" s="33" t="s">
        <v>619</v>
      </c>
      <c r="C1805" s="33" t="s">
        <v>620</v>
      </c>
      <c r="D1805" s="33" t="s">
        <v>621</v>
      </c>
      <c r="E1805" s="33" t="s">
        <v>627</v>
      </c>
      <c r="F1805" s="34">
        <v>0</v>
      </c>
    </row>
    <row r="1806" spans="1:6" x14ac:dyDescent="0.25">
      <c r="A1806" s="34">
        <v>63</v>
      </c>
      <c r="B1806" s="33" t="s">
        <v>619</v>
      </c>
      <c r="C1806" s="33" t="s">
        <v>620</v>
      </c>
      <c r="D1806" s="33" t="s">
        <v>621</v>
      </c>
      <c r="E1806" s="33" t="s">
        <v>628</v>
      </c>
      <c r="F1806" s="34">
        <v>5</v>
      </c>
    </row>
    <row r="1807" spans="1:6" x14ac:dyDescent="0.25">
      <c r="A1807" s="34">
        <v>63</v>
      </c>
      <c r="B1807" s="33" t="s">
        <v>619</v>
      </c>
      <c r="C1807" s="33" t="s">
        <v>620</v>
      </c>
      <c r="D1807" s="33" t="s">
        <v>621</v>
      </c>
      <c r="E1807" s="33" t="s">
        <v>629</v>
      </c>
      <c r="F1807" s="34">
        <v>48</v>
      </c>
    </row>
    <row r="1808" spans="1:6" x14ac:dyDescent="0.25">
      <c r="A1808" s="34">
        <v>63</v>
      </c>
      <c r="B1808" s="33" t="s">
        <v>619</v>
      </c>
      <c r="C1808" s="33" t="s">
        <v>620</v>
      </c>
      <c r="D1808" s="33" t="s">
        <v>630</v>
      </c>
      <c r="E1808" s="33" t="s">
        <v>631</v>
      </c>
      <c r="F1808" s="34">
        <v>62</v>
      </c>
    </row>
    <row r="1809" spans="1:6" x14ac:dyDescent="0.25">
      <c r="A1809" s="34">
        <v>63</v>
      </c>
      <c r="B1809" s="33" t="s">
        <v>619</v>
      </c>
      <c r="C1809" s="33" t="s">
        <v>620</v>
      </c>
      <c r="D1809" s="33" t="s">
        <v>630</v>
      </c>
      <c r="E1809" s="33" t="s">
        <v>632</v>
      </c>
      <c r="F1809" s="33" t="s">
        <v>462</v>
      </c>
    </row>
    <row r="1810" spans="1:6" x14ac:dyDescent="0.25">
      <c r="A1810" s="34">
        <v>63</v>
      </c>
      <c r="B1810" s="33" t="s">
        <v>619</v>
      </c>
      <c r="C1810" s="33" t="s">
        <v>620</v>
      </c>
      <c r="D1810" s="33" t="s">
        <v>630</v>
      </c>
      <c r="E1810" s="33" t="s">
        <v>633</v>
      </c>
      <c r="F1810" s="34">
        <v>62</v>
      </c>
    </row>
    <row r="1811" spans="1:6" x14ac:dyDescent="0.25">
      <c r="A1811" s="34">
        <v>63</v>
      </c>
      <c r="B1811" s="33" t="s">
        <v>619</v>
      </c>
      <c r="C1811" s="33" t="s">
        <v>634</v>
      </c>
      <c r="D1811" s="33" t="s">
        <v>621</v>
      </c>
      <c r="E1811" s="33" t="s">
        <v>635</v>
      </c>
      <c r="F1811" s="34">
        <v>0</v>
      </c>
    </row>
    <row r="1812" spans="1:6" x14ac:dyDescent="0.25">
      <c r="A1812" s="34">
        <v>63</v>
      </c>
      <c r="B1812" s="33" t="s">
        <v>619</v>
      </c>
      <c r="C1812" s="33" t="s">
        <v>634</v>
      </c>
      <c r="D1812" s="33" t="s">
        <v>621</v>
      </c>
      <c r="E1812" s="33" t="s">
        <v>636</v>
      </c>
      <c r="F1812" s="34">
        <v>0</v>
      </c>
    </row>
    <row r="1813" spans="1:6" x14ac:dyDescent="0.25">
      <c r="A1813" s="34">
        <v>63</v>
      </c>
      <c r="B1813" s="33" t="s">
        <v>619</v>
      </c>
      <c r="C1813" s="33" t="s">
        <v>634</v>
      </c>
      <c r="D1813" s="33" t="s">
        <v>621</v>
      </c>
      <c r="E1813" s="33" t="s">
        <v>637</v>
      </c>
      <c r="F1813" s="34">
        <v>3</v>
      </c>
    </row>
    <row r="1814" spans="1:6" x14ac:dyDescent="0.25">
      <c r="A1814" s="34">
        <v>63</v>
      </c>
      <c r="B1814" s="33" t="s">
        <v>619</v>
      </c>
      <c r="C1814" s="33" t="s">
        <v>634</v>
      </c>
      <c r="D1814" s="33" t="s">
        <v>621</v>
      </c>
      <c r="E1814" s="33" t="s">
        <v>638</v>
      </c>
      <c r="F1814" s="34">
        <v>49</v>
      </c>
    </row>
    <row r="1815" spans="1:6" x14ac:dyDescent="0.25">
      <c r="A1815" s="34">
        <v>63</v>
      </c>
      <c r="B1815" s="33" t="s">
        <v>619</v>
      </c>
      <c r="C1815" s="33" t="s">
        <v>634</v>
      </c>
      <c r="D1815" s="33" t="s">
        <v>630</v>
      </c>
      <c r="E1815" s="33" t="s">
        <v>639</v>
      </c>
      <c r="F1815" s="34">
        <v>78</v>
      </c>
    </row>
    <row r="1816" spans="1:6" x14ac:dyDescent="0.25">
      <c r="A1816" s="34">
        <v>63</v>
      </c>
      <c r="B1816" s="33" t="s">
        <v>619</v>
      </c>
      <c r="C1816" s="33" t="s">
        <v>634</v>
      </c>
      <c r="D1816" s="33" t="s">
        <v>630</v>
      </c>
      <c r="E1816" s="33" t="s">
        <v>640</v>
      </c>
      <c r="F1816" s="33" t="s">
        <v>462</v>
      </c>
    </row>
    <row r="1817" spans="1:6" x14ac:dyDescent="0.25">
      <c r="A1817" s="34">
        <v>63</v>
      </c>
      <c r="B1817" s="33" t="s">
        <v>619</v>
      </c>
      <c r="C1817" s="33" t="s">
        <v>634</v>
      </c>
      <c r="D1817" s="33" t="s">
        <v>630</v>
      </c>
      <c r="E1817" s="33" t="s">
        <v>641</v>
      </c>
      <c r="F1817" s="34">
        <v>78</v>
      </c>
    </row>
    <row r="1818" spans="1:6" x14ac:dyDescent="0.25">
      <c r="A1818" s="34">
        <v>63</v>
      </c>
      <c r="B1818" s="33" t="s">
        <v>619</v>
      </c>
      <c r="C1818" s="33" t="s">
        <v>642</v>
      </c>
      <c r="D1818" s="33" t="s">
        <v>621</v>
      </c>
      <c r="E1818" s="33" t="s">
        <v>643</v>
      </c>
      <c r="F1818" s="34">
        <v>0</v>
      </c>
    </row>
    <row r="1819" spans="1:6" x14ac:dyDescent="0.25">
      <c r="A1819" s="34">
        <v>63</v>
      </c>
      <c r="B1819" s="33" t="s">
        <v>619</v>
      </c>
      <c r="C1819" s="33" t="s">
        <v>642</v>
      </c>
      <c r="D1819" s="33" t="s">
        <v>621</v>
      </c>
      <c r="E1819" s="33" t="s">
        <v>644</v>
      </c>
      <c r="F1819" s="34">
        <v>0</v>
      </c>
    </row>
    <row r="1820" spans="1:6" x14ac:dyDescent="0.25">
      <c r="A1820" s="34">
        <v>63</v>
      </c>
      <c r="B1820" s="33" t="s">
        <v>619</v>
      </c>
      <c r="C1820" s="33" t="s">
        <v>642</v>
      </c>
      <c r="D1820" s="33" t="s">
        <v>621</v>
      </c>
      <c r="E1820" s="33" t="s">
        <v>645</v>
      </c>
      <c r="F1820" s="34">
        <v>0</v>
      </c>
    </row>
    <row r="1821" spans="1:6" x14ac:dyDescent="0.25">
      <c r="A1821" s="34">
        <v>63</v>
      </c>
      <c r="B1821" s="33" t="s">
        <v>619</v>
      </c>
      <c r="C1821" s="33" t="s">
        <v>642</v>
      </c>
      <c r="D1821" s="33" t="s">
        <v>621</v>
      </c>
      <c r="E1821" s="33" t="s">
        <v>646</v>
      </c>
      <c r="F1821" s="34">
        <v>0</v>
      </c>
    </row>
    <row r="1822" spans="1:6" x14ac:dyDescent="0.25">
      <c r="A1822" s="34">
        <v>63</v>
      </c>
      <c r="B1822" s="33" t="s">
        <v>619</v>
      </c>
      <c r="C1822" s="33" t="s">
        <v>642</v>
      </c>
      <c r="D1822" s="33" t="s">
        <v>621</v>
      </c>
      <c r="E1822" s="33" t="s">
        <v>647</v>
      </c>
      <c r="F1822" s="34">
        <v>0</v>
      </c>
    </row>
    <row r="1823" spans="1:6" x14ac:dyDescent="0.25">
      <c r="A1823" s="34">
        <v>63</v>
      </c>
      <c r="B1823" s="33" t="s">
        <v>619</v>
      </c>
      <c r="C1823" s="33" t="s">
        <v>642</v>
      </c>
      <c r="D1823" s="33" t="s">
        <v>621</v>
      </c>
      <c r="E1823" s="33" t="s">
        <v>648</v>
      </c>
      <c r="F1823" s="34">
        <v>0</v>
      </c>
    </row>
    <row r="1824" spans="1:6" x14ac:dyDescent="0.25">
      <c r="A1824" s="34">
        <v>63</v>
      </c>
      <c r="B1824" s="33" t="s">
        <v>619</v>
      </c>
      <c r="C1824" s="33" t="s">
        <v>642</v>
      </c>
      <c r="D1824" s="33" t="s">
        <v>621</v>
      </c>
      <c r="E1824" s="33" t="s">
        <v>649</v>
      </c>
      <c r="F1824" s="34">
        <v>50</v>
      </c>
    </row>
    <row r="1825" spans="1:6" x14ac:dyDescent="0.25">
      <c r="A1825" s="34">
        <v>63</v>
      </c>
      <c r="B1825" s="33" t="s">
        <v>619</v>
      </c>
      <c r="C1825" s="33" t="s">
        <v>642</v>
      </c>
      <c r="D1825" s="33" t="s">
        <v>630</v>
      </c>
      <c r="E1825" s="33" t="s">
        <v>650</v>
      </c>
      <c r="F1825" s="34">
        <v>68</v>
      </c>
    </row>
    <row r="1826" spans="1:6" x14ac:dyDescent="0.25">
      <c r="A1826" s="34">
        <v>63</v>
      </c>
      <c r="B1826" s="33" t="s">
        <v>619</v>
      </c>
      <c r="C1826" s="33" t="s">
        <v>642</v>
      </c>
      <c r="D1826" s="33" t="s">
        <v>630</v>
      </c>
      <c r="E1826" s="33" t="s">
        <v>651</v>
      </c>
      <c r="F1826" s="34">
        <v>70</v>
      </c>
    </row>
    <row r="1827" spans="1:6" x14ac:dyDescent="0.25">
      <c r="A1827" s="34">
        <v>63</v>
      </c>
      <c r="B1827" s="33" t="s">
        <v>619</v>
      </c>
      <c r="C1827" s="33" t="s">
        <v>642</v>
      </c>
      <c r="D1827" s="33" t="s">
        <v>630</v>
      </c>
      <c r="E1827" s="33" t="s">
        <v>652</v>
      </c>
      <c r="F1827" s="34">
        <v>70</v>
      </c>
    </row>
    <row r="1828" spans="1:6" x14ac:dyDescent="0.25">
      <c r="A1828" s="34">
        <v>63</v>
      </c>
      <c r="B1828" s="33" t="s">
        <v>619</v>
      </c>
      <c r="C1828" s="33" t="s">
        <v>653</v>
      </c>
      <c r="D1828" s="33" t="s">
        <v>653</v>
      </c>
      <c r="E1828" s="33" t="s">
        <v>654</v>
      </c>
      <c r="F1828" s="34">
        <v>78</v>
      </c>
    </row>
    <row r="1829" spans="1:6" x14ac:dyDescent="0.25">
      <c r="A1829" s="34">
        <v>64</v>
      </c>
      <c r="B1829" s="33" t="s">
        <v>619</v>
      </c>
      <c r="C1829" s="33" t="s">
        <v>620</v>
      </c>
      <c r="D1829" s="33" t="s">
        <v>621</v>
      </c>
      <c r="E1829" s="33" t="s">
        <v>622</v>
      </c>
      <c r="F1829" s="34">
        <v>1</v>
      </c>
    </row>
    <row r="1830" spans="1:6" x14ac:dyDescent="0.25">
      <c r="A1830" s="34">
        <v>64</v>
      </c>
      <c r="B1830" s="33" t="s">
        <v>619</v>
      </c>
      <c r="C1830" s="33" t="s">
        <v>620</v>
      </c>
      <c r="D1830" s="33" t="s">
        <v>621</v>
      </c>
      <c r="E1830" s="33" t="s">
        <v>623</v>
      </c>
      <c r="F1830" s="34">
        <v>1</v>
      </c>
    </row>
    <row r="1831" spans="1:6" x14ac:dyDescent="0.25">
      <c r="A1831" s="34">
        <v>64</v>
      </c>
      <c r="B1831" s="33" t="s">
        <v>619</v>
      </c>
      <c r="C1831" s="33" t="s">
        <v>620</v>
      </c>
      <c r="D1831" s="33" t="s">
        <v>621</v>
      </c>
      <c r="E1831" s="33" t="s">
        <v>624</v>
      </c>
      <c r="F1831" s="34">
        <v>1</v>
      </c>
    </row>
    <row r="1832" spans="1:6" x14ac:dyDescent="0.25">
      <c r="A1832" s="34">
        <v>64</v>
      </c>
      <c r="B1832" s="33" t="s">
        <v>619</v>
      </c>
      <c r="C1832" s="33" t="s">
        <v>620</v>
      </c>
      <c r="D1832" s="33" t="s">
        <v>621</v>
      </c>
      <c r="E1832" s="33" t="s">
        <v>625</v>
      </c>
      <c r="F1832" s="34">
        <v>1</v>
      </c>
    </row>
    <row r="1833" spans="1:6" x14ac:dyDescent="0.25">
      <c r="A1833" s="34">
        <v>64</v>
      </c>
      <c r="B1833" s="33" t="s">
        <v>619</v>
      </c>
      <c r="C1833" s="33" t="s">
        <v>620</v>
      </c>
      <c r="D1833" s="33" t="s">
        <v>621</v>
      </c>
      <c r="E1833" s="33" t="s">
        <v>626</v>
      </c>
      <c r="F1833" s="34">
        <v>1</v>
      </c>
    </row>
    <row r="1834" spans="1:6" x14ac:dyDescent="0.25">
      <c r="A1834" s="34">
        <v>64</v>
      </c>
      <c r="B1834" s="33" t="s">
        <v>619</v>
      </c>
      <c r="C1834" s="33" t="s">
        <v>620</v>
      </c>
      <c r="D1834" s="33" t="s">
        <v>621</v>
      </c>
      <c r="E1834" s="33" t="s">
        <v>627</v>
      </c>
      <c r="F1834" s="34">
        <v>1</v>
      </c>
    </row>
    <row r="1835" spans="1:6" x14ac:dyDescent="0.25">
      <c r="A1835" s="34">
        <v>64</v>
      </c>
      <c r="B1835" s="33" t="s">
        <v>619</v>
      </c>
      <c r="C1835" s="33" t="s">
        <v>620</v>
      </c>
      <c r="D1835" s="33" t="s">
        <v>621</v>
      </c>
      <c r="E1835" s="33" t="s">
        <v>628</v>
      </c>
      <c r="F1835" s="34">
        <v>5</v>
      </c>
    </row>
    <row r="1836" spans="1:6" x14ac:dyDescent="0.25">
      <c r="A1836" s="34">
        <v>64</v>
      </c>
      <c r="B1836" s="33" t="s">
        <v>619</v>
      </c>
      <c r="C1836" s="33" t="s">
        <v>620</v>
      </c>
      <c r="D1836" s="33" t="s">
        <v>621</v>
      </c>
      <c r="E1836" s="33" t="s">
        <v>629</v>
      </c>
      <c r="F1836" s="34">
        <v>48</v>
      </c>
    </row>
    <row r="1837" spans="1:6" x14ac:dyDescent="0.25">
      <c r="A1837" s="34">
        <v>64</v>
      </c>
      <c r="B1837" s="33" t="s">
        <v>619</v>
      </c>
      <c r="C1837" s="33" t="s">
        <v>620</v>
      </c>
      <c r="D1837" s="33" t="s">
        <v>630</v>
      </c>
      <c r="E1837" s="33" t="s">
        <v>631</v>
      </c>
      <c r="F1837" s="34">
        <v>92</v>
      </c>
    </row>
    <row r="1838" spans="1:6" x14ac:dyDescent="0.25">
      <c r="A1838" s="34">
        <v>64</v>
      </c>
      <c r="B1838" s="33" t="s">
        <v>619</v>
      </c>
      <c r="C1838" s="33" t="s">
        <v>620</v>
      </c>
      <c r="D1838" s="33" t="s">
        <v>630</v>
      </c>
      <c r="E1838" s="33" t="s">
        <v>632</v>
      </c>
      <c r="F1838" s="33" t="s">
        <v>462</v>
      </c>
    </row>
    <row r="1839" spans="1:6" x14ac:dyDescent="0.25">
      <c r="A1839" s="34">
        <v>64</v>
      </c>
      <c r="B1839" s="33" t="s">
        <v>619</v>
      </c>
      <c r="C1839" s="33" t="s">
        <v>620</v>
      </c>
      <c r="D1839" s="33" t="s">
        <v>630</v>
      </c>
      <c r="E1839" s="33" t="s">
        <v>633</v>
      </c>
      <c r="F1839" s="34">
        <v>92</v>
      </c>
    </row>
    <row r="1840" spans="1:6" x14ac:dyDescent="0.25">
      <c r="A1840" s="34">
        <v>64</v>
      </c>
      <c r="B1840" s="33" t="s">
        <v>619</v>
      </c>
      <c r="C1840" s="33" t="s">
        <v>634</v>
      </c>
      <c r="D1840" s="33" t="s">
        <v>621</v>
      </c>
      <c r="E1840" s="33" t="s">
        <v>635</v>
      </c>
      <c r="F1840" s="34">
        <v>1</v>
      </c>
    </row>
    <row r="1841" spans="1:6" x14ac:dyDescent="0.25">
      <c r="A1841" s="34">
        <v>64</v>
      </c>
      <c r="B1841" s="33" t="s">
        <v>619</v>
      </c>
      <c r="C1841" s="33" t="s">
        <v>634</v>
      </c>
      <c r="D1841" s="33" t="s">
        <v>621</v>
      </c>
      <c r="E1841" s="33" t="s">
        <v>636</v>
      </c>
      <c r="F1841" s="34">
        <v>1</v>
      </c>
    </row>
    <row r="1842" spans="1:6" x14ac:dyDescent="0.25">
      <c r="A1842" s="34">
        <v>64</v>
      </c>
      <c r="B1842" s="33" t="s">
        <v>619</v>
      </c>
      <c r="C1842" s="33" t="s">
        <v>634</v>
      </c>
      <c r="D1842" s="33" t="s">
        <v>621</v>
      </c>
      <c r="E1842" s="33" t="s">
        <v>637</v>
      </c>
      <c r="F1842" s="34">
        <v>5</v>
      </c>
    </row>
    <row r="1843" spans="1:6" x14ac:dyDescent="0.25">
      <c r="A1843" s="34">
        <v>64</v>
      </c>
      <c r="B1843" s="33" t="s">
        <v>619</v>
      </c>
      <c r="C1843" s="33" t="s">
        <v>634</v>
      </c>
      <c r="D1843" s="33" t="s">
        <v>621</v>
      </c>
      <c r="E1843" s="33" t="s">
        <v>638</v>
      </c>
      <c r="F1843" s="34">
        <v>49</v>
      </c>
    </row>
    <row r="1844" spans="1:6" x14ac:dyDescent="0.25">
      <c r="A1844" s="34">
        <v>64</v>
      </c>
      <c r="B1844" s="33" t="s">
        <v>619</v>
      </c>
      <c r="C1844" s="33" t="s">
        <v>634</v>
      </c>
      <c r="D1844" s="33" t="s">
        <v>630</v>
      </c>
      <c r="E1844" s="33" t="s">
        <v>639</v>
      </c>
      <c r="F1844" s="34">
        <v>88</v>
      </c>
    </row>
    <row r="1845" spans="1:6" x14ac:dyDescent="0.25">
      <c r="A1845" s="34">
        <v>64</v>
      </c>
      <c r="B1845" s="33" t="s">
        <v>619</v>
      </c>
      <c r="C1845" s="33" t="s">
        <v>634</v>
      </c>
      <c r="D1845" s="33" t="s">
        <v>630</v>
      </c>
      <c r="E1845" s="33" t="s">
        <v>640</v>
      </c>
      <c r="F1845" s="33" t="s">
        <v>462</v>
      </c>
    </row>
    <row r="1846" spans="1:6" x14ac:dyDescent="0.25">
      <c r="A1846" s="34">
        <v>64</v>
      </c>
      <c r="B1846" s="33" t="s">
        <v>619</v>
      </c>
      <c r="C1846" s="33" t="s">
        <v>634</v>
      </c>
      <c r="D1846" s="33" t="s">
        <v>630</v>
      </c>
      <c r="E1846" s="33" t="s">
        <v>641</v>
      </c>
      <c r="F1846" s="34">
        <v>88</v>
      </c>
    </row>
    <row r="1847" spans="1:6" x14ac:dyDescent="0.25">
      <c r="A1847" s="34">
        <v>64</v>
      </c>
      <c r="B1847" s="33" t="s">
        <v>619</v>
      </c>
      <c r="C1847" s="33" t="s">
        <v>642</v>
      </c>
      <c r="D1847" s="33" t="s">
        <v>621</v>
      </c>
      <c r="E1847" s="33" t="s">
        <v>643</v>
      </c>
      <c r="F1847" s="34">
        <v>5</v>
      </c>
    </row>
    <row r="1848" spans="1:6" x14ac:dyDescent="0.25">
      <c r="A1848" s="34">
        <v>64</v>
      </c>
      <c r="B1848" s="33" t="s">
        <v>619</v>
      </c>
      <c r="C1848" s="33" t="s">
        <v>642</v>
      </c>
      <c r="D1848" s="33" t="s">
        <v>621</v>
      </c>
      <c r="E1848" s="33" t="s">
        <v>644</v>
      </c>
      <c r="F1848" s="34">
        <v>5</v>
      </c>
    </row>
    <row r="1849" spans="1:6" x14ac:dyDescent="0.25">
      <c r="A1849" s="34">
        <v>64</v>
      </c>
      <c r="B1849" s="33" t="s">
        <v>619</v>
      </c>
      <c r="C1849" s="33" t="s">
        <v>642</v>
      </c>
      <c r="D1849" s="33" t="s">
        <v>621</v>
      </c>
      <c r="E1849" s="33" t="s">
        <v>645</v>
      </c>
      <c r="F1849" s="34">
        <v>5</v>
      </c>
    </row>
    <row r="1850" spans="1:6" x14ac:dyDescent="0.25">
      <c r="A1850" s="34">
        <v>64</v>
      </c>
      <c r="B1850" s="33" t="s">
        <v>619</v>
      </c>
      <c r="C1850" s="33" t="s">
        <v>642</v>
      </c>
      <c r="D1850" s="33" t="s">
        <v>621</v>
      </c>
      <c r="E1850" s="33" t="s">
        <v>646</v>
      </c>
      <c r="F1850" s="34">
        <v>5</v>
      </c>
    </row>
    <row r="1851" spans="1:6" x14ac:dyDescent="0.25">
      <c r="A1851" s="34">
        <v>64</v>
      </c>
      <c r="B1851" s="33" t="s">
        <v>619</v>
      </c>
      <c r="C1851" s="33" t="s">
        <v>642</v>
      </c>
      <c r="D1851" s="33" t="s">
        <v>621</v>
      </c>
      <c r="E1851" s="33" t="s">
        <v>647</v>
      </c>
      <c r="F1851" s="34">
        <v>5</v>
      </c>
    </row>
    <row r="1852" spans="1:6" x14ac:dyDescent="0.25">
      <c r="A1852" s="34">
        <v>64</v>
      </c>
      <c r="B1852" s="33" t="s">
        <v>619</v>
      </c>
      <c r="C1852" s="33" t="s">
        <v>642</v>
      </c>
      <c r="D1852" s="33" t="s">
        <v>621</v>
      </c>
      <c r="E1852" s="33" t="s">
        <v>648</v>
      </c>
      <c r="F1852" s="34">
        <v>5</v>
      </c>
    </row>
    <row r="1853" spans="1:6" x14ac:dyDescent="0.25">
      <c r="A1853" s="34">
        <v>64</v>
      </c>
      <c r="B1853" s="33" t="s">
        <v>619</v>
      </c>
      <c r="C1853" s="33" t="s">
        <v>642</v>
      </c>
      <c r="D1853" s="33" t="s">
        <v>621</v>
      </c>
      <c r="E1853" s="33" t="s">
        <v>649</v>
      </c>
      <c r="F1853" s="34">
        <v>47</v>
      </c>
    </row>
    <row r="1854" spans="1:6" x14ac:dyDescent="0.25">
      <c r="A1854" s="34">
        <v>64</v>
      </c>
      <c r="B1854" s="33" t="s">
        <v>619</v>
      </c>
      <c r="C1854" s="33" t="s">
        <v>642</v>
      </c>
      <c r="D1854" s="33" t="s">
        <v>630</v>
      </c>
      <c r="E1854" s="33" t="s">
        <v>650</v>
      </c>
      <c r="F1854" s="34">
        <v>85</v>
      </c>
    </row>
    <row r="1855" spans="1:6" x14ac:dyDescent="0.25">
      <c r="A1855" s="34">
        <v>64</v>
      </c>
      <c r="B1855" s="33" t="s">
        <v>619</v>
      </c>
      <c r="C1855" s="33" t="s">
        <v>642</v>
      </c>
      <c r="D1855" s="33" t="s">
        <v>630</v>
      </c>
      <c r="E1855" s="33" t="s">
        <v>651</v>
      </c>
      <c r="F1855" s="34">
        <v>95</v>
      </c>
    </row>
    <row r="1856" spans="1:6" x14ac:dyDescent="0.25">
      <c r="A1856" s="34">
        <v>64</v>
      </c>
      <c r="B1856" s="33" t="s">
        <v>619</v>
      </c>
      <c r="C1856" s="33" t="s">
        <v>642</v>
      </c>
      <c r="D1856" s="33" t="s">
        <v>630</v>
      </c>
      <c r="E1856" s="33" t="s">
        <v>652</v>
      </c>
      <c r="F1856" s="34">
        <v>95</v>
      </c>
    </row>
    <row r="1857" spans="1:6" x14ac:dyDescent="0.25">
      <c r="A1857" s="34">
        <v>64</v>
      </c>
      <c r="B1857" s="33" t="s">
        <v>619</v>
      </c>
      <c r="C1857" s="33" t="s">
        <v>653</v>
      </c>
      <c r="D1857" s="33" t="s">
        <v>653</v>
      </c>
      <c r="E1857" s="33" t="s">
        <v>654</v>
      </c>
      <c r="F1857" s="34">
        <v>85</v>
      </c>
    </row>
    <row r="1858" spans="1:6" x14ac:dyDescent="0.25">
      <c r="A1858" s="34">
        <v>65</v>
      </c>
      <c r="B1858" s="33" t="s">
        <v>619</v>
      </c>
      <c r="C1858" s="33" t="s">
        <v>620</v>
      </c>
      <c r="D1858" s="33" t="s">
        <v>621</v>
      </c>
      <c r="E1858" s="33" t="s">
        <v>622</v>
      </c>
      <c r="F1858" s="34">
        <v>1</v>
      </c>
    </row>
    <row r="1859" spans="1:6" x14ac:dyDescent="0.25">
      <c r="A1859" s="34">
        <v>65</v>
      </c>
      <c r="B1859" s="33" t="s">
        <v>619</v>
      </c>
      <c r="C1859" s="33" t="s">
        <v>620</v>
      </c>
      <c r="D1859" s="33" t="s">
        <v>621</v>
      </c>
      <c r="E1859" s="33" t="s">
        <v>623</v>
      </c>
      <c r="F1859" s="34">
        <v>1</v>
      </c>
    </row>
    <row r="1860" spans="1:6" x14ac:dyDescent="0.25">
      <c r="A1860" s="34">
        <v>65</v>
      </c>
      <c r="B1860" s="33" t="s">
        <v>619</v>
      </c>
      <c r="C1860" s="33" t="s">
        <v>620</v>
      </c>
      <c r="D1860" s="33" t="s">
        <v>621</v>
      </c>
      <c r="E1860" s="33" t="s">
        <v>624</v>
      </c>
      <c r="F1860" s="34">
        <v>1</v>
      </c>
    </row>
    <row r="1861" spans="1:6" x14ac:dyDescent="0.25">
      <c r="A1861" s="34">
        <v>65</v>
      </c>
      <c r="B1861" s="33" t="s">
        <v>619</v>
      </c>
      <c r="C1861" s="33" t="s">
        <v>620</v>
      </c>
      <c r="D1861" s="33" t="s">
        <v>621</v>
      </c>
      <c r="E1861" s="33" t="s">
        <v>625</v>
      </c>
      <c r="F1861" s="34">
        <v>1</v>
      </c>
    </row>
    <row r="1862" spans="1:6" x14ac:dyDescent="0.25">
      <c r="A1862" s="34">
        <v>65</v>
      </c>
      <c r="B1862" s="33" t="s">
        <v>619</v>
      </c>
      <c r="C1862" s="33" t="s">
        <v>620</v>
      </c>
      <c r="D1862" s="33" t="s">
        <v>621</v>
      </c>
      <c r="E1862" s="33" t="s">
        <v>626</v>
      </c>
      <c r="F1862" s="34">
        <v>1</v>
      </c>
    </row>
    <row r="1863" spans="1:6" x14ac:dyDescent="0.25">
      <c r="A1863" s="34">
        <v>65</v>
      </c>
      <c r="B1863" s="33" t="s">
        <v>619</v>
      </c>
      <c r="C1863" s="33" t="s">
        <v>620</v>
      </c>
      <c r="D1863" s="33" t="s">
        <v>621</v>
      </c>
      <c r="E1863" s="33" t="s">
        <v>627</v>
      </c>
      <c r="F1863" s="34">
        <v>1</v>
      </c>
    </row>
    <row r="1864" spans="1:6" x14ac:dyDescent="0.25">
      <c r="A1864" s="34">
        <v>65</v>
      </c>
      <c r="B1864" s="33" t="s">
        <v>619</v>
      </c>
      <c r="C1864" s="33" t="s">
        <v>620</v>
      </c>
      <c r="D1864" s="33" t="s">
        <v>621</v>
      </c>
      <c r="E1864" s="33" t="s">
        <v>628</v>
      </c>
      <c r="F1864" s="34">
        <v>5</v>
      </c>
    </row>
    <row r="1865" spans="1:6" x14ac:dyDescent="0.25">
      <c r="A1865" s="34">
        <v>65</v>
      </c>
      <c r="B1865" s="33" t="s">
        <v>619</v>
      </c>
      <c r="C1865" s="33" t="s">
        <v>620</v>
      </c>
      <c r="D1865" s="33" t="s">
        <v>621</v>
      </c>
      <c r="E1865" s="33" t="s">
        <v>629</v>
      </c>
      <c r="F1865" s="34">
        <v>48</v>
      </c>
    </row>
    <row r="1866" spans="1:6" x14ac:dyDescent="0.25">
      <c r="A1866" s="34">
        <v>65</v>
      </c>
      <c r="B1866" s="33" t="s">
        <v>619</v>
      </c>
      <c r="C1866" s="33" t="s">
        <v>620</v>
      </c>
      <c r="D1866" s="33" t="s">
        <v>630</v>
      </c>
      <c r="E1866" s="33" t="s">
        <v>631</v>
      </c>
      <c r="F1866" s="34">
        <v>100</v>
      </c>
    </row>
    <row r="1867" spans="1:6" x14ac:dyDescent="0.25">
      <c r="A1867" s="34">
        <v>65</v>
      </c>
      <c r="B1867" s="33" t="s">
        <v>619</v>
      </c>
      <c r="C1867" s="33" t="s">
        <v>620</v>
      </c>
      <c r="D1867" s="33" t="s">
        <v>630</v>
      </c>
      <c r="E1867" s="33" t="s">
        <v>632</v>
      </c>
      <c r="F1867" s="33" t="s">
        <v>462</v>
      </c>
    </row>
    <row r="1868" spans="1:6" x14ac:dyDescent="0.25">
      <c r="A1868" s="34">
        <v>65</v>
      </c>
      <c r="B1868" s="33" t="s">
        <v>619</v>
      </c>
      <c r="C1868" s="33" t="s">
        <v>620</v>
      </c>
      <c r="D1868" s="33" t="s">
        <v>630</v>
      </c>
      <c r="E1868" s="33" t="s">
        <v>633</v>
      </c>
      <c r="F1868" s="34">
        <v>100</v>
      </c>
    </row>
    <row r="1869" spans="1:6" x14ac:dyDescent="0.25">
      <c r="A1869" s="34">
        <v>65</v>
      </c>
      <c r="B1869" s="33" t="s">
        <v>619</v>
      </c>
      <c r="C1869" s="33" t="s">
        <v>634</v>
      </c>
      <c r="D1869" s="33" t="s">
        <v>621</v>
      </c>
      <c r="E1869" s="33" t="s">
        <v>635</v>
      </c>
      <c r="F1869" s="34">
        <v>1</v>
      </c>
    </row>
    <row r="1870" spans="1:6" x14ac:dyDescent="0.25">
      <c r="A1870" s="34">
        <v>65</v>
      </c>
      <c r="B1870" s="33" t="s">
        <v>619</v>
      </c>
      <c r="C1870" s="33" t="s">
        <v>634</v>
      </c>
      <c r="D1870" s="33" t="s">
        <v>621</v>
      </c>
      <c r="E1870" s="33" t="s">
        <v>636</v>
      </c>
      <c r="F1870" s="34">
        <v>1</v>
      </c>
    </row>
    <row r="1871" spans="1:6" x14ac:dyDescent="0.25">
      <c r="A1871" s="34">
        <v>65</v>
      </c>
      <c r="B1871" s="33" t="s">
        <v>619</v>
      </c>
      <c r="C1871" s="33" t="s">
        <v>634</v>
      </c>
      <c r="D1871" s="33" t="s">
        <v>621</v>
      </c>
      <c r="E1871" s="33" t="s">
        <v>637</v>
      </c>
      <c r="F1871" s="34">
        <v>5</v>
      </c>
    </row>
    <row r="1872" spans="1:6" x14ac:dyDescent="0.25">
      <c r="A1872" s="34">
        <v>65</v>
      </c>
      <c r="B1872" s="33" t="s">
        <v>619</v>
      </c>
      <c r="C1872" s="33" t="s">
        <v>634</v>
      </c>
      <c r="D1872" s="33" t="s">
        <v>621</v>
      </c>
      <c r="E1872" s="33" t="s">
        <v>638</v>
      </c>
      <c r="F1872" s="34">
        <v>50</v>
      </c>
    </row>
    <row r="1873" spans="1:6" x14ac:dyDescent="0.25">
      <c r="A1873" s="34">
        <v>65</v>
      </c>
      <c r="B1873" s="33" t="s">
        <v>619</v>
      </c>
      <c r="C1873" s="33" t="s">
        <v>634</v>
      </c>
      <c r="D1873" s="33" t="s">
        <v>630</v>
      </c>
      <c r="E1873" s="33" t="s">
        <v>639</v>
      </c>
      <c r="F1873" s="34">
        <v>95</v>
      </c>
    </row>
    <row r="1874" spans="1:6" x14ac:dyDescent="0.25">
      <c r="A1874" s="34">
        <v>65</v>
      </c>
      <c r="B1874" s="33" t="s">
        <v>619</v>
      </c>
      <c r="C1874" s="33" t="s">
        <v>634</v>
      </c>
      <c r="D1874" s="33" t="s">
        <v>630</v>
      </c>
      <c r="E1874" s="33" t="s">
        <v>640</v>
      </c>
      <c r="F1874" s="34">
        <v>90</v>
      </c>
    </row>
    <row r="1875" spans="1:6" x14ac:dyDescent="0.25">
      <c r="A1875" s="34">
        <v>65</v>
      </c>
      <c r="B1875" s="33" t="s">
        <v>619</v>
      </c>
      <c r="C1875" s="33" t="s">
        <v>634</v>
      </c>
      <c r="D1875" s="33" t="s">
        <v>630</v>
      </c>
      <c r="E1875" s="33" t="s">
        <v>641</v>
      </c>
      <c r="F1875" s="34">
        <v>95</v>
      </c>
    </row>
    <row r="1876" spans="1:6" x14ac:dyDescent="0.25">
      <c r="A1876" s="34">
        <v>65</v>
      </c>
      <c r="B1876" s="33" t="s">
        <v>619</v>
      </c>
      <c r="C1876" s="33" t="s">
        <v>642</v>
      </c>
      <c r="D1876" s="33" t="s">
        <v>621</v>
      </c>
      <c r="E1876" s="33" t="s">
        <v>643</v>
      </c>
      <c r="F1876" s="34">
        <v>5</v>
      </c>
    </row>
    <row r="1877" spans="1:6" x14ac:dyDescent="0.25">
      <c r="A1877" s="34">
        <v>65</v>
      </c>
      <c r="B1877" s="33" t="s">
        <v>619</v>
      </c>
      <c r="C1877" s="33" t="s">
        <v>642</v>
      </c>
      <c r="D1877" s="33" t="s">
        <v>621</v>
      </c>
      <c r="E1877" s="33" t="s">
        <v>644</v>
      </c>
      <c r="F1877" s="34">
        <v>5</v>
      </c>
    </row>
    <row r="1878" spans="1:6" x14ac:dyDescent="0.25">
      <c r="A1878" s="34">
        <v>65</v>
      </c>
      <c r="B1878" s="33" t="s">
        <v>619</v>
      </c>
      <c r="C1878" s="33" t="s">
        <v>642</v>
      </c>
      <c r="D1878" s="33" t="s">
        <v>621</v>
      </c>
      <c r="E1878" s="33" t="s">
        <v>645</v>
      </c>
      <c r="F1878" s="34">
        <v>5</v>
      </c>
    </row>
    <row r="1879" spans="1:6" x14ac:dyDescent="0.25">
      <c r="A1879" s="34">
        <v>65</v>
      </c>
      <c r="B1879" s="33" t="s">
        <v>619</v>
      </c>
      <c r="C1879" s="33" t="s">
        <v>642</v>
      </c>
      <c r="D1879" s="33" t="s">
        <v>621</v>
      </c>
      <c r="E1879" s="33" t="s">
        <v>646</v>
      </c>
      <c r="F1879" s="34">
        <v>5</v>
      </c>
    </row>
    <row r="1880" spans="1:6" x14ac:dyDescent="0.25">
      <c r="A1880" s="34">
        <v>65</v>
      </c>
      <c r="B1880" s="33" t="s">
        <v>619</v>
      </c>
      <c r="C1880" s="33" t="s">
        <v>642</v>
      </c>
      <c r="D1880" s="33" t="s">
        <v>621</v>
      </c>
      <c r="E1880" s="33" t="s">
        <v>647</v>
      </c>
      <c r="F1880" s="34">
        <v>5</v>
      </c>
    </row>
    <row r="1881" spans="1:6" x14ac:dyDescent="0.25">
      <c r="A1881" s="34">
        <v>65</v>
      </c>
      <c r="B1881" s="33" t="s">
        <v>619</v>
      </c>
      <c r="C1881" s="33" t="s">
        <v>642</v>
      </c>
      <c r="D1881" s="33" t="s">
        <v>621</v>
      </c>
      <c r="E1881" s="33" t="s">
        <v>648</v>
      </c>
      <c r="F1881" s="34">
        <v>5</v>
      </c>
    </row>
    <row r="1882" spans="1:6" x14ac:dyDescent="0.25">
      <c r="A1882" s="34">
        <v>65</v>
      </c>
      <c r="B1882" s="33" t="s">
        <v>619</v>
      </c>
      <c r="C1882" s="33" t="s">
        <v>642</v>
      </c>
      <c r="D1882" s="33" t="s">
        <v>621</v>
      </c>
      <c r="E1882" s="33" t="s">
        <v>649</v>
      </c>
      <c r="F1882" s="34">
        <v>50</v>
      </c>
    </row>
    <row r="1883" spans="1:6" x14ac:dyDescent="0.25">
      <c r="A1883" s="34">
        <v>65</v>
      </c>
      <c r="B1883" s="33" t="s">
        <v>619</v>
      </c>
      <c r="C1883" s="33" t="s">
        <v>642</v>
      </c>
      <c r="D1883" s="33" t="s">
        <v>630</v>
      </c>
      <c r="E1883" s="33" t="s">
        <v>650</v>
      </c>
      <c r="F1883" s="34">
        <v>92</v>
      </c>
    </row>
    <row r="1884" spans="1:6" x14ac:dyDescent="0.25">
      <c r="A1884" s="34">
        <v>65</v>
      </c>
      <c r="B1884" s="33" t="s">
        <v>619</v>
      </c>
      <c r="C1884" s="33" t="s">
        <v>642</v>
      </c>
      <c r="D1884" s="33" t="s">
        <v>630</v>
      </c>
      <c r="E1884" s="33" t="s">
        <v>651</v>
      </c>
      <c r="F1884" s="34">
        <v>92</v>
      </c>
    </row>
    <row r="1885" spans="1:6" x14ac:dyDescent="0.25">
      <c r="A1885" s="34">
        <v>65</v>
      </c>
      <c r="B1885" s="33" t="s">
        <v>619</v>
      </c>
      <c r="C1885" s="33" t="s">
        <v>642</v>
      </c>
      <c r="D1885" s="33" t="s">
        <v>630</v>
      </c>
      <c r="E1885" s="33" t="s">
        <v>652</v>
      </c>
      <c r="F1885" s="34">
        <v>92</v>
      </c>
    </row>
    <row r="1886" spans="1:6" x14ac:dyDescent="0.25">
      <c r="A1886" s="34">
        <v>65</v>
      </c>
      <c r="B1886" s="33" t="s">
        <v>619</v>
      </c>
      <c r="C1886" s="33" t="s">
        <v>653</v>
      </c>
      <c r="D1886" s="33" t="s">
        <v>653</v>
      </c>
      <c r="E1886" s="33" t="s">
        <v>654</v>
      </c>
      <c r="F1886" s="34">
        <v>88</v>
      </c>
    </row>
    <row r="1887" spans="1:6" x14ac:dyDescent="0.25">
      <c r="A1887" s="34">
        <v>66</v>
      </c>
      <c r="B1887" s="33" t="s">
        <v>619</v>
      </c>
      <c r="C1887" s="33" t="s">
        <v>620</v>
      </c>
      <c r="D1887" s="33" t="s">
        <v>621</v>
      </c>
      <c r="E1887" s="33" t="s">
        <v>622</v>
      </c>
      <c r="F1887" s="34">
        <v>0</v>
      </c>
    </row>
    <row r="1888" spans="1:6" x14ac:dyDescent="0.25">
      <c r="A1888" s="34">
        <v>66</v>
      </c>
      <c r="B1888" s="33" t="s">
        <v>619</v>
      </c>
      <c r="C1888" s="33" t="s">
        <v>620</v>
      </c>
      <c r="D1888" s="33" t="s">
        <v>621</v>
      </c>
      <c r="E1888" s="33" t="s">
        <v>623</v>
      </c>
      <c r="F1888" s="34">
        <v>1</v>
      </c>
    </row>
    <row r="1889" spans="1:6" x14ac:dyDescent="0.25">
      <c r="A1889" s="34">
        <v>66</v>
      </c>
      <c r="B1889" s="33" t="s">
        <v>619</v>
      </c>
      <c r="C1889" s="33" t="s">
        <v>620</v>
      </c>
      <c r="D1889" s="33" t="s">
        <v>621</v>
      </c>
      <c r="E1889" s="33" t="s">
        <v>624</v>
      </c>
      <c r="F1889" s="34">
        <v>1</v>
      </c>
    </row>
    <row r="1890" spans="1:6" x14ac:dyDescent="0.25">
      <c r="A1890" s="34">
        <v>66</v>
      </c>
      <c r="B1890" s="33" t="s">
        <v>619</v>
      </c>
      <c r="C1890" s="33" t="s">
        <v>620</v>
      </c>
      <c r="D1890" s="33" t="s">
        <v>621</v>
      </c>
      <c r="E1890" s="33" t="s">
        <v>625</v>
      </c>
      <c r="F1890" s="34">
        <v>0</v>
      </c>
    </row>
    <row r="1891" spans="1:6" x14ac:dyDescent="0.25">
      <c r="A1891" s="34">
        <v>66</v>
      </c>
      <c r="B1891" s="33" t="s">
        <v>619</v>
      </c>
      <c r="C1891" s="33" t="s">
        <v>620</v>
      </c>
      <c r="D1891" s="33" t="s">
        <v>621</v>
      </c>
      <c r="E1891" s="33" t="s">
        <v>626</v>
      </c>
      <c r="F1891" s="34">
        <v>0</v>
      </c>
    </row>
    <row r="1892" spans="1:6" x14ac:dyDescent="0.25">
      <c r="A1892" s="34">
        <v>66</v>
      </c>
      <c r="B1892" s="33" t="s">
        <v>619</v>
      </c>
      <c r="C1892" s="33" t="s">
        <v>620</v>
      </c>
      <c r="D1892" s="33" t="s">
        <v>621</v>
      </c>
      <c r="E1892" s="33" t="s">
        <v>627</v>
      </c>
      <c r="F1892" s="34">
        <v>1</v>
      </c>
    </row>
    <row r="1893" spans="1:6" x14ac:dyDescent="0.25">
      <c r="A1893" s="34">
        <v>66</v>
      </c>
      <c r="B1893" s="33" t="s">
        <v>619</v>
      </c>
      <c r="C1893" s="33" t="s">
        <v>620</v>
      </c>
      <c r="D1893" s="33" t="s">
        <v>621</v>
      </c>
      <c r="E1893" s="33" t="s">
        <v>628</v>
      </c>
      <c r="F1893" s="34">
        <v>5</v>
      </c>
    </row>
    <row r="1894" spans="1:6" x14ac:dyDescent="0.25">
      <c r="A1894" s="34">
        <v>66</v>
      </c>
      <c r="B1894" s="33" t="s">
        <v>619</v>
      </c>
      <c r="C1894" s="33" t="s">
        <v>620</v>
      </c>
      <c r="D1894" s="33" t="s">
        <v>621</v>
      </c>
      <c r="E1894" s="33" t="s">
        <v>629</v>
      </c>
      <c r="F1894" s="34">
        <v>50</v>
      </c>
    </row>
    <row r="1895" spans="1:6" x14ac:dyDescent="0.25">
      <c r="A1895" s="34">
        <v>66</v>
      </c>
      <c r="B1895" s="33" t="s">
        <v>619</v>
      </c>
      <c r="C1895" s="33" t="s">
        <v>620</v>
      </c>
      <c r="D1895" s="33" t="s">
        <v>630</v>
      </c>
      <c r="E1895" s="33" t="s">
        <v>631</v>
      </c>
      <c r="F1895" s="34">
        <v>70</v>
      </c>
    </row>
    <row r="1896" spans="1:6" x14ac:dyDescent="0.25">
      <c r="A1896" s="34">
        <v>66</v>
      </c>
      <c r="B1896" s="33" t="s">
        <v>619</v>
      </c>
      <c r="C1896" s="33" t="s">
        <v>620</v>
      </c>
      <c r="D1896" s="33" t="s">
        <v>630</v>
      </c>
      <c r="E1896" s="33" t="s">
        <v>632</v>
      </c>
      <c r="F1896" s="33" t="s">
        <v>462</v>
      </c>
    </row>
    <row r="1897" spans="1:6" x14ac:dyDescent="0.25">
      <c r="A1897" s="34">
        <v>66</v>
      </c>
      <c r="B1897" s="33" t="s">
        <v>619</v>
      </c>
      <c r="C1897" s="33" t="s">
        <v>620</v>
      </c>
      <c r="D1897" s="33" t="s">
        <v>630</v>
      </c>
      <c r="E1897" s="33" t="s">
        <v>633</v>
      </c>
      <c r="F1897" s="34">
        <v>70</v>
      </c>
    </row>
    <row r="1898" spans="1:6" x14ac:dyDescent="0.25">
      <c r="A1898" s="34">
        <v>66</v>
      </c>
      <c r="B1898" s="33" t="s">
        <v>619</v>
      </c>
      <c r="C1898" s="33" t="s">
        <v>634</v>
      </c>
      <c r="D1898" s="33" t="s">
        <v>621</v>
      </c>
      <c r="E1898" s="33" t="s">
        <v>635</v>
      </c>
      <c r="F1898" s="34">
        <v>1</v>
      </c>
    </row>
    <row r="1899" spans="1:6" x14ac:dyDescent="0.25">
      <c r="A1899" s="34">
        <v>66</v>
      </c>
      <c r="B1899" s="33" t="s">
        <v>619</v>
      </c>
      <c r="C1899" s="33" t="s">
        <v>634</v>
      </c>
      <c r="D1899" s="33" t="s">
        <v>621</v>
      </c>
      <c r="E1899" s="33" t="s">
        <v>636</v>
      </c>
      <c r="F1899" s="34">
        <v>1</v>
      </c>
    </row>
    <row r="1900" spans="1:6" x14ac:dyDescent="0.25">
      <c r="A1900" s="34">
        <v>66</v>
      </c>
      <c r="B1900" s="33" t="s">
        <v>619</v>
      </c>
      <c r="C1900" s="33" t="s">
        <v>634</v>
      </c>
      <c r="D1900" s="33" t="s">
        <v>621</v>
      </c>
      <c r="E1900" s="33" t="s">
        <v>637</v>
      </c>
      <c r="F1900" s="34">
        <v>5</v>
      </c>
    </row>
    <row r="1901" spans="1:6" x14ac:dyDescent="0.25">
      <c r="A1901" s="34">
        <v>66</v>
      </c>
      <c r="B1901" s="33" t="s">
        <v>619</v>
      </c>
      <c r="C1901" s="33" t="s">
        <v>634</v>
      </c>
      <c r="D1901" s="33" t="s">
        <v>621</v>
      </c>
      <c r="E1901" s="33" t="s">
        <v>638</v>
      </c>
      <c r="F1901" s="34">
        <v>50</v>
      </c>
    </row>
    <row r="1902" spans="1:6" x14ac:dyDescent="0.25">
      <c r="A1902" s="34">
        <v>66</v>
      </c>
      <c r="B1902" s="33" t="s">
        <v>619</v>
      </c>
      <c r="C1902" s="33" t="s">
        <v>634</v>
      </c>
      <c r="D1902" s="33" t="s">
        <v>630</v>
      </c>
      <c r="E1902" s="33" t="s">
        <v>639</v>
      </c>
      <c r="F1902" s="34">
        <v>72</v>
      </c>
    </row>
    <row r="1903" spans="1:6" x14ac:dyDescent="0.25">
      <c r="A1903" s="34">
        <v>66</v>
      </c>
      <c r="B1903" s="33" t="s">
        <v>619</v>
      </c>
      <c r="C1903" s="33" t="s">
        <v>634</v>
      </c>
      <c r="D1903" s="33" t="s">
        <v>630</v>
      </c>
      <c r="E1903" s="33" t="s">
        <v>640</v>
      </c>
      <c r="F1903" s="33" t="s">
        <v>462</v>
      </c>
    </row>
    <row r="1904" spans="1:6" x14ac:dyDescent="0.25">
      <c r="A1904" s="34">
        <v>66</v>
      </c>
      <c r="B1904" s="33" t="s">
        <v>619</v>
      </c>
      <c r="C1904" s="33" t="s">
        <v>634</v>
      </c>
      <c r="D1904" s="33" t="s">
        <v>630</v>
      </c>
      <c r="E1904" s="33" t="s">
        <v>641</v>
      </c>
      <c r="F1904" s="34">
        <v>72</v>
      </c>
    </row>
    <row r="1905" spans="1:6" x14ac:dyDescent="0.25">
      <c r="A1905" s="34">
        <v>66</v>
      </c>
      <c r="B1905" s="33" t="s">
        <v>619</v>
      </c>
      <c r="C1905" s="33" t="s">
        <v>642</v>
      </c>
      <c r="D1905" s="33" t="s">
        <v>621</v>
      </c>
      <c r="E1905" s="33" t="s">
        <v>643</v>
      </c>
      <c r="F1905" s="34">
        <v>0</v>
      </c>
    </row>
    <row r="1906" spans="1:6" x14ac:dyDescent="0.25">
      <c r="A1906" s="34">
        <v>66</v>
      </c>
      <c r="B1906" s="33" t="s">
        <v>619</v>
      </c>
      <c r="C1906" s="33" t="s">
        <v>642</v>
      </c>
      <c r="D1906" s="33" t="s">
        <v>621</v>
      </c>
      <c r="E1906" s="33" t="s">
        <v>644</v>
      </c>
      <c r="F1906" s="34">
        <v>5</v>
      </c>
    </row>
    <row r="1907" spans="1:6" x14ac:dyDescent="0.25">
      <c r="A1907" s="34">
        <v>66</v>
      </c>
      <c r="B1907" s="33" t="s">
        <v>619</v>
      </c>
      <c r="C1907" s="33" t="s">
        <v>642</v>
      </c>
      <c r="D1907" s="33" t="s">
        <v>621</v>
      </c>
      <c r="E1907" s="33" t="s">
        <v>645</v>
      </c>
      <c r="F1907" s="34">
        <v>5</v>
      </c>
    </row>
    <row r="1908" spans="1:6" x14ac:dyDescent="0.25">
      <c r="A1908" s="34">
        <v>66</v>
      </c>
      <c r="B1908" s="33" t="s">
        <v>619</v>
      </c>
      <c r="C1908" s="33" t="s">
        <v>642</v>
      </c>
      <c r="D1908" s="33" t="s">
        <v>621</v>
      </c>
      <c r="E1908" s="33" t="s">
        <v>646</v>
      </c>
      <c r="F1908" s="34">
        <v>5</v>
      </c>
    </row>
    <row r="1909" spans="1:6" x14ac:dyDescent="0.25">
      <c r="A1909" s="34">
        <v>66</v>
      </c>
      <c r="B1909" s="33" t="s">
        <v>619</v>
      </c>
      <c r="C1909" s="33" t="s">
        <v>642</v>
      </c>
      <c r="D1909" s="33" t="s">
        <v>621</v>
      </c>
      <c r="E1909" s="33" t="s">
        <v>647</v>
      </c>
      <c r="F1909" s="34">
        <v>0</v>
      </c>
    </row>
    <row r="1910" spans="1:6" x14ac:dyDescent="0.25">
      <c r="A1910" s="34">
        <v>66</v>
      </c>
      <c r="B1910" s="33" t="s">
        <v>619</v>
      </c>
      <c r="C1910" s="33" t="s">
        <v>642</v>
      </c>
      <c r="D1910" s="33" t="s">
        <v>621</v>
      </c>
      <c r="E1910" s="33" t="s">
        <v>648</v>
      </c>
      <c r="F1910" s="34">
        <v>0</v>
      </c>
    </row>
    <row r="1911" spans="1:6" x14ac:dyDescent="0.25">
      <c r="A1911" s="34">
        <v>66</v>
      </c>
      <c r="B1911" s="33" t="s">
        <v>619</v>
      </c>
      <c r="C1911" s="33" t="s">
        <v>642</v>
      </c>
      <c r="D1911" s="33" t="s">
        <v>621</v>
      </c>
      <c r="E1911" s="33" t="s">
        <v>649</v>
      </c>
      <c r="F1911" s="34">
        <v>50</v>
      </c>
    </row>
    <row r="1912" spans="1:6" x14ac:dyDescent="0.25">
      <c r="A1912" s="34">
        <v>66</v>
      </c>
      <c r="B1912" s="33" t="s">
        <v>619</v>
      </c>
      <c r="C1912" s="33" t="s">
        <v>642</v>
      </c>
      <c r="D1912" s="33" t="s">
        <v>630</v>
      </c>
      <c r="E1912" s="33" t="s">
        <v>650</v>
      </c>
      <c r="F1912" s="34">
        <v>75</v>
      </c>
    </row>
    <row r="1913" spans="1:6" x14ac:dyDescent="0.25">
      <c r="A1913" s="34">
        <v>66</v>
      </c>
      <c r="B1913" s="33" t="s">
        <v>619</v>
      </c>
      <c r="C1913" s="33" t="s">
        <v>642</v>
      </c>
      <c r="D1913" s="33" t="s">
        <v>630</v>
      </c>
      <c r="E1913" s="33" t="s">
        <v>651</v>
      </c>
      <c r="F1913" s="33" t="s">
        <v>462</v>
      </c>
    </row>
    <row r="1914" spans="1:6" x14ac:dyDescent="0.25">
      <c r="A1914" s="34">
        <v>66</v>
      </c>
      <c r="B1914" s="33" t="s">
        <v>619</v>
      </c>
      <c r="C1914" s="33" t="s">
        <v>642</v>
      </c>
      <c r="D1914" s="33" t="s">
        <v>630</v>
      </c>
      <c r="E1914" s="33" t="s">
        <v>652</v>
      </c>
      <c r="F1914" s="34">
        <v>75</v>
      </c>
    </row>
    <row r="1915" spans="1:6" x14ac:dyDescent="0.25">
      <c r="A1915" s="34">
        <v>66</v>
      </c>
      <c r="B1915" s="33" t="s">
        <v>619</v>
      </c>
      <c r="C1915" s="33" t="s">
        <v>653</v>
      </c>
      <c r="D1915" s="33" t="s">
        <v>653</v>
      </c>
      <c r="E1915" s="33" t="s">
        <v>654</v>
      </c>
      <c r="F1915" s="34">
        <v>65</v>
      </c>
    </row>
    <row r="1916" spans="1:6" x14ac:dyDescent="0.25">
      <c r="A1916" s="34">
        <v>67</v>
      </c>
      <c r="B1916" s="33" t="s">
        <v>619</v>
      </c>
      <c r="C1916" s="33" t="s">
        <v>620</v>
      </c>
      <c r="D1916" s="33" t="s">
        <v>621</v>
      </c>
      <c r="E1916" s="33" t="s">
        <v>622</v>
      </c>
      <c r="F1916" s="34">
        <v>0</v>
      </c>
    </row>
    <row r="1917" spans="1:6" x14ac:dyDescent="0.25">
      <c r="A1917" s="34">
        <v>67</v>
      </c>
      <c r="B1917" s="33" t="s">
        <v>619</v>
      </c>
      <c r="C1917" s="33" t="s">
        <v>620</v>
      </c>
      <c r="D1917" s="33" t="s">
        <v>621</v>
      </c>
      <c r="E1917" s="33" t="s">
        <v>623</v>
      </c>
      <c r="F1917" s="34">
        <v>0</v>
      </c>
    </row>
    <row r="1918" spans="1:6" x14ac:dyDescent="0.25">
      <c r="A1918" s="34">
        <v>67</v>
      </c>
      <c r="B1918" s="33" t="s">
        <v>619</v>
      </c>
      <c r="C1918" s="33" t="s">
        <v>620</v>
      </c>
      <c r="D1918" s="33" t="s">
        <v>621</v>
      </c>
      <c r="E1918" s="33" t="s">
        <v>624</v>
      </c>
      <c r="F1918" s="34">
        <v>0</v>
      </c>
    </row>
    <row r="1919" spans="1:6" x14ac:dyDescent="0.25">
      <c r="A1919" s="34">
        <v>67</v>
      </c>
      <c r="B1919" s="33" t="s">
        <v>619</v>
      </c>
      <c r="C1919" s="33" t="s">
        <v>620</v>
      </c>
      <c r="D1919" s="33" t="s">
        <v>621</v>
      </c>
      <c r="E1919" s="33" t="s">
        <v>625</v>
      </c>
      <c r="F1919" s="34">
        <v>0</v>
      </c>
    </row>
    <row r="1920" spans="1:6" x14ac:dyDescent="0.25">
      <c r="A1920" s="34">
        <v>67</v>
      </c>
      <c r="B1920" s="33" t="s">
        <v>619</v>
      </c>
      <c r="C1920" s="33" t="s">
        <v>620</v>
      </c>
      <c r="D1920" s="33" t="s">
        <v>621</v>
      </c>
      <c r="E1920" s="33" t="s">
        <v>626</v>
      </c>
      <c r="F1920" s="34">
        <v>0</v>
      </c>
    </row>
    <row r="1921" spans="1:6" x14ac:dyDescent="0.25">
      <c r="A1921" s="34">
        <v>67</v>
      </c>
      <c r="B1921" s="33" t="s">
        <v>619</v>
      </c>
      <c r="C1921" s="33" t="s">
        <v>620</v>
      </c>
      <c r="D1921" s="33" t="s">
        <v>621</v>
      </c>
      <c r="E1921" s="33" t="s">
        <v>627</v>
      </c>
      <c r="F1921" s="34">
        <v>0</v>
      </c>
    </row>
    <row r="1922" spans="1:6" x14ac:dyDescent="0.25">
      <c r="A1922" s="34">
        <v>67</v>
      </c>
      <c r="B1922" s="33" t="s">
        <v>619</v>
      </c>
      <c r="C1922" s="33" t="s">
        <v>620</v>
      </c>
      <c r="D1922" s="33" t="s">
        <v>621</v>
      </c>
      <c r="E1922" s="33" t="s">
        <v>628</v>
      </c>
      <c r="F1922" s="34">
        <v>5</v>
      </c>
    </row>
    <row r="1923" spans="1:6" x14ac:dyDescent="0.25">
      <c r="A1923" s="34">
        <v>67</v>
      </c>
      <c r="B1923" s="33" t="s">
        <v>619</v>
      </c>
      <c r="C1923" s="33" t="s">
        <v>620</v>
      </c>
      <c r="D1923" s="33" t="s">
        <v>621</v>
      </c>
      <c r="E1923" s="33" t="s">
        <v>629</v>
      </c>
      <c r="F1923" s="34">
        <v>39</v>
      </c>
    </row>
    <row r="1924" spans="1:6" x14ac:dyDescent="0.25">
      <c r="A1924" s="34">
        <v>67</v>
      </c>
      <c r="B1924" s="33" t="s">
        <v>619</v>
      </c>
      <c r="C1924" s="33" t="s">
        <v>620</v>
      </c>
      <c r="D1924" s="33" t="s">
        <v>630</v>
      </c>
      <c r="E1924" s="33" t="s">
        <v>631</v>
      </c>
      <c r="F1924" s="34">
        <v>70</v>
      </c>
    </row>
    <row r="1925" spans="1:6" x14ac:dyDescent="0.25">
      <c r="A1925" s="34">
        <v>67</v>
      </c>
      <c r="B1925" s="33" t="s">
        <v>619</v>
      </c>
      <c r="C1925" s="33" t="s">
        <v>620</v>
      </c>
      <c r="D1925" s="33" t="s">
        <v>630</v>
      </c>
      <c r="E1925" s="33" t="s">
        <v>632</v>
      </c>
      <c r="F1925" s="33" t="s">
        <v>462</v>
      </c>
    </row>
    <row r="1926" spans="1:6" x14ac:dyDescent="0.25">
      <c r="A1926" s="34">
        <v>67</v>
      </c>
      <c r="B1926" s="33" t="s">
        <v>619</v>
      </c>
      <c r="C1926" s="33" t="s">
        <v>620</v>
      </c>
      <c r="D1926" s="33" t="s">
        <v>630</v>
      </c>
      <c r="E1926" s="33" t="s">
        <v>633</v>
      </c>
      <c r="F1926" s="34">
        <v>70</v>
      </c>
    </row>
    <row r="1927" spans="1:6" x14ac:dyDescent="0.25">
      <c r="A1927" s="34">
        <v>67</v>
      </c>
      <c r="B1927" s="33" t="s">
        <v>619</v>
      </c>
      <c r="C1927" s="33" t="s">
        <v>634</v>
      </c>
      <c r="D1927" s="33" t="s">
        <v>621</v>
      </c>
      <c r="E1927" s="33" t="s">
        <v>635</v>
      </c>
      <c r="F1927" s="34">
        <v>0</v>
      </c>
    </row>
    <row r="1928" spans="1:6" x14ac:dyDescent="0.25">
      <c r="A1928" s="34">
        <v>67</v>
      </c>
      <c r="B1928" s="33" t="s">
        <v>619</v>
      </c>
      <c r="C1928" s="33" t="s">
        <v>634</v>
      </c>
      <c r="D1928" s="33" t="s">
        <v>621</v>
      </c>
      <c r="E1928" s="33" t="s">
        <v>636</v>
      </c>
      <c r="F1928" s="34">
        <v>0</v>
      </c>
    </row>
    <row r="1929" spans="1:6" x14ac:dyDescent="0.25">
      <c r="A1929" s="34">
        <v>67</v>
      </c>
      <c r="B1929" s="33" t="s">
        <v>619</v>
      </c>
      <c r="C1929" s="33" t="s">
        <v>634</v>
      </c>
      <c r="D1929" s="33" t="s">
        <v>621</v>
      </c>
      <c r="E1929" s="33" t="s">
        <v>637</v>
      </c>
      <c r="F1929" s="34">
        <v>5</v>
      </c>
    </row>
    <row r="1930" spans="1:6" x14ac:dyDescent="0.25">
      <c r="A1930" s="34">
        <v>67</v>
      </c>
      <c r="B1930" s="33" t="s">
        <v>619</v>
      </c>
      <c r="C1930" s="33" t="s">
        <v>634</v>
      </c>
      <c r="D1930" s="33" t="s">
        <v>621</v>
      </c>
      <c r="E1930" s="33" t="s">
        <v>638</v>
      </c>
      <c r="F1930" s="34">
        <v>36</v>
      </c>
    </row>
    <row r="1931" spans="1:6" x14ac:dyDescent="0.25">
      <c r="A1931" s="34">
        <v>67</v>
      </c>
      <c r="B1931" s="33" t="s">
        <v>619</v>
      </c>
      <c r="C1931" s="33" t="s">
        <v>634</v>
      </c>
      <c r="D1931" s="33" t="s">
        <v>630</v>
      </c>
      <c r="E1931" s="33" t="s">
        <v>639</v>
      </c>
      <c r="F1931" s="34">
        <v>65</v>
      </c>
    </row>
    <row r="1932" spans="1:6" x14ac:dyDescent="0.25">
      <c r="A1932" s="34">
        <v>67</v>
      </c>
      <c r="B1932" s="33" t="s">
        <v>619</v>
      </c>
      <c r="C1932" s="33" t="s">
        <v>634</v>
      </c>
      <c r="D1932" s="33" t="s">
        <v>630</v>
      </c>
      <c r="E1932" s="33" t="s">
        <v>640</v>
      </c>
      <c r="F1932" s="34">
        <v>65</v>
      </c>
    </row>
    <row r="1933" spans="1:6" x14ac:dyDescent="0.25">
      <c r="A1933" s="34">
        <v>67</v>
      </c>
      <c r="B1933" s="33" t="s">
        <v>619</v>
      </c>
      <c r="C1933" s="33" t="s">
        <v>634</v>
      </c>
      <c r="D1933" s="33" t="s">
        <v>630</v>
      </c>
      <c r="E1933" s="33" t="s">
        <v>641</v>
      </c>
      <c r="F1933" s="34">
        <v>65</v>
      </c>
    </row>
    <row r="1934" spans="1:6" x14ac:dyDescent="0.25">
      <c r="A1934" s="34">
        <v>67</v>
      </c>
      <c r="B1934" s="33" t="s">
        <v>619</v>
      </c>
      <c r="C1934" s="33" t="s">
        <v>642</v>
      </c>
      <c r="D1934" s="33" t="s">
        <v>621</v>
      </c>
      <c r="E1934" s="33" t="s">
        <v>643</v>
      </c>
      <c r="F1934" s="34">
        <v>0</v>
      </c>
    </row>
    <row r="1935" spans="1:6" x14ac:dyDescent="0.25">
      <c r="A1935" s="34">
        <v>67</v>
      </c>
      <c r="B1935" s="33" t="s">
        <v>619</v>
      </c>
      <c r="C1935" s="33" t="s">
        <v>642</v>
      </c>
      <c r="D1935" s="33" t="s">
        <v>621</v>
      </c>
      <c r="E1935" s="33" t="s">
        <v>644</v>
      </c>
      <c r="F1935" s="34">
        <v>0</v>
      </c>
    </row>
    <row r="1936" spans="1:6" x14ac:dyDescent="0.25">
      <c r="A1936" s="34">
        <v>67</v>
      </c>
      <c r="B1936" s="33" t="s">
        <v>619</v>
      </c>
      <c r="C1936" s="33" t="s">
        <v>642</v>
      </c>
      <c r="D1936" s="33" t="s">
        <v>621</v>
      </c>
      <c r="E1936" s="33" t="s">
        <v>645</v>
      </c>
      <c r="F1936" s="34">
        <v>0</v>
      </c>
    </row>
    <row r="1937" spans="1:6" x14ac:dyDescent="0.25">
      <c r="A1937" s="34">
        <v>67</v>
      </c>
      <c r="B1937" s="33" t="s">
        <v>619</v>
      </c>
      <c r="C1937" s="33" t="s">
        <v>642</v>
      </c>
      <c r="D1937" s="33" t="s">
        <v>621</v>
      </c>
      <c r="E1937" s="33" t="s">
        <v>646</v>
      </c>
      <c r="F1937" s="34">
        <v>0</v>
      </c>
    </row>
    <row r="1938" spans="1:6" x14ac:dyDescent="0.25">
      <c r="A1938" s="34">
        <v>67</v>
      </c>
      <c r="B1938" s="33" t="s">
        <v>619</v>
      </c>
      <c r="C1938" s="33" t="s">
        <v>642</v>
      </c>
      <c r="D1938" s="33" t="s">
        <v>621</v>
      </c>
      <c r="E1938" s="33" t="s">
        <v>647</v>
      </c>
      <c r="F1938" s="34">
        <v>0</v>
      </c>
    </row>
    <row r="1939" spans="1:6" x14ac:dyDescent="0.25">
      <c r="A1939" s="34">
        <v>67</v>
      </c>
      <c r="B1939" s="33" t="s">
        <v>619</v>
      </c>
      <c r="C1939" s="33" t="s">
        <v>642</v>
      </c>
      <c r="D1939" s="33" t="s">
        <v>621</v>
      </c>
      <c r="E1939" s="33" t="s">
        <v>648</v>
      </c>
      <c r="F1939" s="34">
        <v>0</v>
      </c>
    </row>
    <row r="1940" spans="1:6" x14ac:dyDescent="0.25">
      <c r="A1940" s="34">
        <v>67</v>
      </c>
      <c r="B1940" s="33" t="s">
        <v>619</v>
      </c>
      <c r="C1940" s="33" t="s">
        <v>642</v>
      </c>
      <c r="D1940" s="33" t="s">
        <v>621</v>
      </c>
      <c r="E1940" s="33" t="s">
        <v>649</v>
      </c>
      <c r="F1940" s="34">
        <v>39</v>
      </c>
    </row>
    <row r="1941" spans="1:6" x14ac:dyDescent="0.25">
      <c r="A1941" s="34">
        <v>67</v>
      </c>
      <c r="B1941" s="33" t="s">
        <v>619</v>
      </c>
      <c r="C1941" s="33" t="s">
        <v>642</v>
      </c>
      <c r="D1941" s="33" t="s">
        <v>630</v>
      </c>
      <c r="E1941" s="33" t="s">
        <v>650</v>
      </c>
      <c r="F1941" s="34">
        <v>62</v>
      </c>
    </row>
    <row r="1942" spans="1:6" x14ac:dyDescent="0.25">
      <c r="A1942" s="34">
        <v>67</v>
      </c>
      <c r="B1942" s="33" t="s">
        <v>619</v>
      </c>
      <c r="C1942" s="33" t="s">
        <v>642</v>
      </c>
      <c r="D1942" s="33" t="s">
        <v>630</v>
      </c>
      <c r="E1942" s="33" t="s">
        <v>651</v>
      </c>
      <c r="F1942" s="33" t="s">
        <v>462</v>
      </c>
    </row>
    <row r="1943" spans="1:6" x14ac:dyDescent="0.25">
      <c r="A1943" s="34">
        <v>67</v>
      </c>
      <c r="B1943" s="33" t="s">
        <v>619</v>
      </c>
      <c r="C1943" s="33" t="s">
        <v>642</v>
      </c>
      <c r="D1943" s="33" t="s">
        <v>630</v>
      </c>
      <c r="E1943" s="33" t="s">
        <v>652</v>
      </c>
      <c r="F1943" s="34">
        <v>62</v>
      </c>
    </row>
    <row r="1944" spans="1:6" x14ac:dyDescent="0.25">
      <c r="A1944" s="34">
        <v>67</v>
      </c>
      <c r="B1944" s="33" t="s">
        <v>619</v>
      </c>
      <c r="C1944" s="33" t="s">
        <v>653</v>
      </c>
      <c r="D1944" s="33" t="s">
        <v>653</v>
      </c>
      <c r="E1944" s="33" t="s">
        <v>654</v>
      </c>
      <c r="F1944" s="34">
        <v>62</v>
      </c>
    </row>
    <row r="1945" spans="1:6" x14ac:dyDescent="0.25">
      <c r="A1945" s="34">
        <v>68</v>
      </c>
      <c r="B1945" s="33" t="s">
        <v>619</v>
      </c>
      <c r="C1945" s="33" t="s">
        <v>620</v>
      </c>
      <c r="D1945" s="33" t="s">
        <v>621</v>
      </c>
      <c r="E1945" s="33" t="s">
        <v>622</v>
      </c>
      <c r="F1945" s="34">
        <v>0</v>
      </c>
    </row>
    <row r="1946" spans="1:6" x14ac:dyDescent="0.25">
      <c r="A1946" s="34">
        <v>68</v>
      </c>
      <c r="B1946" s="33" t="s">
        <v>619</v>
      </c>
      <c r="C1946" s="33" t="s">
        <v>620</v>
      </c>
      <c r="D1946" s="33" t="s">
        <v>621</v>
      </c>
      <c r="E1946" s="33" t="s">
        <v>623</v>
      </c>
      <c r="F1946" s="34">
        <v>0</v>
      </c>
    </row>
    <row r="1947" spans="1:6" x14ac:dyDescent="0.25">
      <c r="A1947" s="34">
        <v>68</v>
      </c>
      <c r="B1947" s="33" t="s">
        <v>619</v>
      </c>
      <c r="C1947" s="33" t="s">
        <v>620</v>
      </c>
      <c r="D1947" s="33" t="s">
        <v>621</v>
      </c>
      <c r="E1947" s="33" t="s">
        <v>624</v>
      </c>
      <c r="F1947" s="34">
        <v>0</v>
      </c>
    </row>
    <row r="1948" spans="1:6" x14ac:dyDescent="0.25">
      <c r="A1948" s="34">
        <v>68</v>
      </c>
      <c r="B1948" s="33" t="s">
        <v>619</v>
      </c>
      <c r="C1948" s="33" t="s">
        <v>620</v>
      </c>
      <c r="D1948" s="33" t="s">
        <v>621</v>
      </c>
      <c r="E1948" s="33" t="s">
        <v>625</v>
      </c>
      <c r="F1948" s="34">
        <v>0</v>
      </c>
    </row>
    <row r="1949" spans="1:6" x14ac:dyDescent="0.25">
      <c r="A1949" s="34">
        <v>68</v>
      </c>
      <c r="B1949" s="33" t="s">
        <v>619</v>
      </c>
      <c r="C1949" s="33" t="s">
        <v>620</v>
      </c>
      <c r="D1949" s="33" t="s">
        <v>621</v>
      </c>
      <c r="E1949" s="33" t="s">
        <v>626</v>
      </c>
      <c r="F1949" s="34">
        <v>0</v>
      </c>
    </row>
    <row r="1950" spans="1:6" x14ac:dyDescent="0.25">
      <c r="A1950" s="34">
        <v>68</v>
      </c>
      <c r="B1950" s="33" t="s">
        <v>619</v>
      </c>
      <c r="C1950" s="33" t="s">
        <v>620</v>
      </c>
      <c r="D1950" s="33" t="s">
        <v>621</v>
      </c>
      <c r="E1950" s="33" t="s">
        <v>627</v>
      </c>
      <c r="F1950" s="34">
        <v>0</v>
      </c>
    </row>
    <row r="1951" spans="1:6" x14ac:dyDescent="0.25">
      <c r="A1951" s="34">
        <v>68</v>
      </c>
      <c r="B1951" s="33" t="s">
        <v>619</v>
      </c>
      <c r="C1951" s="33" t="s">
        <v>620</v>
      </c>
      <c r="D1951" s="33" t="s">
        <v>621</v>
      </c>
      <c r="E1951" s="33" t="s">
        <v>628</v>
      </c>
      <c r="F1951" s="34">
        <v>5</v>
      </c>
    </row>
    <row r="1952" spans="1:6" x14ac:dyDescent="0.25">
      <c r="A1952" s="34">
        <v>68</v>
      </c>
      <c r="B1952" s="33" t="s">
        <v>619</v>
      </c>
      <c r="C1952" s="33" t="s">
        <v>620</v>
      </c>
      <c r="D1952" s="33" t="s">
        <v>621</v>
      </c>
      <c r="E1952" s="33" t="s">
        <v>629</v>
      </c>
      <c r="F1952" s="34">
        <v>48</v>
      </c>
    </row>
    <row r="1953" spans="1:6" x14ac:dyDescent="0.25">
      <c r="A1953" s="34">
        <v>68</v>
      </c>
      <c r="B1953" s="33" t="s">
        <v>619</v>
      </c>
      <c r="C1953" s="33" t="s">
        <v>620</v>
      </c>
      <c r="D1953" s="33" t="s">
        <v>630</v>
      </c>
      <c r="E1953" s="33" t="s">
        <v>631</v>
      </c>
      <c r="F1953" s="34">
        <v>85</v>
      </c>
    </row>
    <row r="1954" spans="1:6" x14ac:dyDescent="0.25">
      <c r="A1954" s="34">
        <v>68</v>
      </c>
      <c r="B1954" s="33" t="s">
        <v>619</v>
      </c>
      <c r="C1954" s="33" t="s">
        <v>620</v>
      </c>
      <c r="D1954" s="33" t="s">
        <v>630</v>
      </c>
      <c r="E1954" s="33" t="s">
        <v>632</v>
      </c>
      <c r="F1954" s="33" t="s">
        <v>462</v>
      </c>
    </row>
    <row r="1955" spans="1:6" x14ac:dyDescent="0.25">
      <c r="A1955" s="34">
        <v>68</v>
      </c>
      <c r="B1955" s="33" t="s">
        <v>619</v>
      </c>
      <c r="C1955" s="33" t="s">
        <v>620</v>
      </c>
      <c r="D1955" s="33" t="s">
        <v>630</v>
      </c>
      <c r="E1955" s="33" t="s">
        <v>633</v>
      </c>
      <c r="F1955" s="34">
        <v>85</v>
      </c>
    </row>
    <row r="1956" spans="1:6" x14ac:dyDescent="0.25">
      <c r="A1956" s="34">
        <v>68</v>
      </c>
      <c r="B1956" s="33" t="s">
        <v>619</v>
      </c>
      <c r="C1956" s="33" t="s">
        <v>634</v>
      </c>
      <c r="D1956" s="33" t="s">
        <v>621</v>
      </c>
      <c r="E1956" s="33" t="s">
        <v>635</v>
      </c>
      <c r="F1956" s="34">
        <v>0</v>
      </c>
    </row>
    <row r="1957" spans="1:6" x14ac:dyDescent="0.25">
      <c r="A1957" s="34">
        <v>68</v>
      </c>
      <c r="B1957" s="33" t="s">
        <v>619</v>
      </c>
      <c r="C1957" s="33" t="s">
        <v>634</v>
      </c>
      <c r="D1957" s="33" t="s">
        <v>621</v>
      </c>
      <c r="E1957" s="33" t="s">
        <v>636</v>
      </c>
      <c r="F1957" s="34">
        <v>0</v>
      </c>
    </row>
    <row r="1958" spans="1:6" x14ac:dyDescent="0.25">
      <c r="A1958" s="34">
        <v>68</v>
      </c>
      <c r="B1958" s="33" t="s">
        <v>619</v>
      </c>
      <c r="C1958" s="33" t="s">
        <v>634</v>
      </c>
      <c r="D1958" s="33" t="s">
        <v>621</v>
      </c>
      <c r="E1958" s="33" t="s">
        <v>637</v>
      </c>
      <c r="F1958" s="34">
        <v>5</v>
      </c>
    </row>
    <row r="1959" spans="1:6" x14ac:dyDescent="0.25">
      <c r="A1959" s="34">
        <v>68</v>
      </c>
      <c r="B1959" s="33" t="s">
        <v>619</v>
      </c>
      <c r="C1959" s="33" t="s">
        <v>634</v>
      </c>
      <c r="D1959" s="33" t="s">
        <v>621</v>
      </c>
      <c r="E1959" s="33" t="s">
        <v>638</v>
      </c>
      <c r="F1959" s="34">
        <v>38</v>
      </c>
    </row>
    <row r="1960" spans="1:6" x14ac:dyDescent="0.25">
      <c r="A1960" s="34">
        <v>68</v>
      </c>
      <c r="B1960" s="33" t="s">
        <v>619</v>
      </c>
      <c r="C1960" s="33" t="s">
        <v>634</v>
      </c>
      <c r="D1960" s="33" t="s">
        <v>630</v>
      </c>
      <c r="E1960" s="33" t="s">
        <v>639</v>
      </c>
      <c r="F1960" s="34">
        <v>86</v>
      </c>
    </row>
    <row r="1961" spans="1:6" x14ac:dyDescent="0.25">
      <c r="A1961" s="34">
        <v>68</v>
      </c>
      <c r="B1961" s="33" t="s">
        <v>619</v>
      </c>
      <c r="C1961" s="33" t="s">
        <v>634</v>
      </c>
      <c r="D1961" s="33" t="s">
        <v>630</v>
      </c>
      <c r="E1961" s="33" t="s">
        <v>640</v>
      </c>
      <c r="F1961" s="33" t="s">
        <v>462</v>
      </c>
    </row>
    <row r="1962" spans="1:6" x14ac:dyDescent="0.25">
      <c r="A1962" s="34">
        <v>68</v>
      </c>
      <c r="B1962" s="33" t="s">
        <v>619</v>
      </c>
      <c r="C1962" s="33" t="s">
        <v>634</v>
      </c>
      <c r="D1962" s="33" t="s">
        <v>630</v>
      </c>
      <c r="E1962" s="33" t="s">
        <v>641</v>
      </c>
      <c r="F1962" s="34">
        <v>86</v>
      </c>
    </row>
    <row r="1963" spans="1:6" x14ac:dyDescent="0.25">
      <c r="A1963" s="34">
        <v>68</v>
      </c>
      <c r="B1963" s="33" t="s">
        <v>619</v>
      </c>
      <c r="C1963" s="33" t="s">
        <v>642</v>
      </c>
      <c r="D1963" s="33" t="s">
        <v>621</v>
      </c>
      <c r="E1963" s="33" t="s">
        <v>643</v>
      </c>
      <c r="F1963" s="34">
        <v>0</v>
      </c>
    </row>
    <row r="1964" spans="1:6" x14ac:dyDescent="0.25">
      <c r="A1964" s="34">
        <v>68</v>
      </c>
      <c r="B1964" s="33" t="s">
        <v>619</v>
      </c>
      <c r="C1964" s="33" t="s">
        <v>642</v>
      </c>
      <c r="D1964" s="33" t="s">
        <v>621</v>
      </c>
      <c r="E1964" s="33" t="s">
        <v>644</v>
      </c>
      <c r="F1964" s="34">
        <v>0</v>
      </c>
    </row>
    <row r="1965" spans="1:6" x14ac:dyDescent="0.25">
      <c r="A1965" s="34">
        <v>68</v>
      </c>
      <c r="B1965" s="33" t="s">
        <v>619</v>
      </c>
      <c r="C1965" s="33" t="s">
        <v>642</v>
      </c>
      <c r="D1965" s="33" t="s">
        <v>621</v>
      </c>
      <c r="E1965" s="33" t="s">
        <v>645</v>
      </c>
      <c r="F1965" s="34">
        <v>0</v>
      </c>
    </row>
    <row r="1966" spans="1:6" x14ac:dyDescent="0.25">
      <c r="A1966" s="34">
        <v>68</v>
      </c>
      <c r="B1966" s="33" t="s">
        <v>619</v>
      </c>
      <c r="C1966" s="33" t="s">
        <v>642</v>
      </c>
      <c r="D1966" s="33" t="s">
        <v>621</v>
      </c>
      <c r="E1966" s="33" t="s">
        <v>646</v>
      </c>
      <c r="F1966" s="34">
        <v>0</v>
      </c>
    </row>
    <row r="1967" spans="1:6" x14ac:dyDescent="0.25">
      <c r="A1967" s="34">
        <v>68</v>
      </c>
      <c r="B1967" s="33" t="s">
        <v>619</v>
      </c>
      <c r="C1967" s="33" t="s">
        <v>642</v>
      </c>
      <c r="D1967" s="33" t="s">
        <v>621</v>
      </c>
      <c r="E1967" s="33" t="s">
        <v>647</v>
      </c>
      <c r="F1967" s="34">
        <v>0</v>
      </c>
    </row>
    <row r="1968" spans="1:6" x14ac:dyDescent="0.25">
      <c r="A1968" s="34">
        <v>68</v>
      </c>
      <c r="B1968" s="33" t="s">
        <v>619</v>
      </c>
      <c r="C1968" s="33" t="s">
        <v>642</v>
      </c>
      <c r="D1968" s="33" t="s">
        <v>621</v>
      </c>
      <c r="E1968" s="33" t="s">
        <v>648</v>
      </c>
      <c r="F1968" s="34">
        <v>0</v>
      </c>
    </row>
    <row r="1969" spans="1:6" x14ac:dyDescent="0.25">
      <c r="A1969" s="34">
        <v>68</v>
      </c>
      <c r="B1969" s="33" t="s">
        <v>619</v>
      </c>
      <c r="C1969" s="33" t="s">
        <v>642</v>
      </c>
      <c r="D1969" s="33" t="s">
        <v>621</v>
      </c>
      <c r="E1969" s="33" t="s">
        <v>649</v>
      </c>
      <c r="F1969" s="34">
        <v>50</v>
      </c>
    </row>
    <row r="1970" spans="1:6" x14ac:dyDescent="0.25">
      <c r="A1970" s="34">
        <v>68</v>
      </c>
      <c r="B1970" s="33" t="s">
        <v>619</v>
      </c>
      <c r="C1970" s="33" t="s">
        <v>642</v>
      </c>
      <c r="D1970" s="33" t="s">
        <v>630</v>
      </c>
      <c r="E1970" s="33" t="s">
        <v>650</v>
      </c>
      <c r="F1970" s="34">
        <v>62</v>
      </c>
    </row>
    <row r="1971" spans="1:6" x14ac:dyDescent="0.25">
      <c r="A1971" s="34">
        <v>68</v>
      </c>
      <c r="B1971" s="33" t="s">
        <v>619</v>
      </c>
      <c r="C1971" s="33" t="s">
        <v>642</v>
      </c>
      <c r="D1971" s="33" t="s">
        <v>630</v>
      </c>
      <c r="E1971" s="33" t="s">
        <v>651</v>
      </c>
      <c r="F1971" s="33" t="s">
        <v>462</v>
      </c>
    </row>
    <row r="1972" spans="1:6" x14ac:dyDescent="0.25">
      <c r="A1972" s="34">
        <v>68</v>
      </c>
      <c r="B1972" s="33" t="s">
        <v>619</v>
      </c>
      <c r="C1972" s="33" t="s">
        <v>642</v>
      </c>
      <c r="D1972" s="33" t="s">
        <v>630</v>
      </c>
      <c r="E1972" s="33" t="s">
        <v>652</v>
      </c>
      <c r="F1972" s="34">
        <v>62</v>
      </c>
    </row>
    <row r="1973" spans="1:6" x14ac:dyDescent="0.25">
      <c r="A1973" s="34">
        <v>68</v>
      </c>
      <c r="B1973" s="33" t="s">
        <v>619</v>
      </c>
      <c r="C1973" s="33" t="s">
        <v>653</v>
      </c>
      <c r="D1973" s="33" t="s">
        <v>653</v>
      </c>
      <c r="E1973" s="33" t="s">
        <v>654</v>
      </c>
      <c r="F1973" s="34">
        <v>68</v>
      </c>
    </row>
    <row r="1974" spans="1:6" x14ac:dyDescent="0.25">
      <c r="A1974" s="34">
        <v>69</v>
      </c>
      <c r="B1974" s="33" t="s">
        <v>619</v>
      </c>
      <c r="C1974" s="33" t="s">
        <v>620</v>
      </c>
      <c r="D1974" s="33" t="s">
        <v>621</v>
      </c>
      <c r="E1974" s="33" t="s">
        <v>622</v>
      </c>
      <c r="F1974" s="34">
        <v>1</v>
      </c>
    </row>
    <row r="1975" spans="1:6" x14ac:dyDescent="0.25">
      <c r="A1975" s="34">
        <v>69</v>
      </c>
      <c r="B1975" s="33" t="s">
        <v>619</v>
      </c>
      <c r="C1975" s="33" t="s">
        <v>620</v>
      </c>
      <c r="D1975" s="33" t="s">
        <v>621</v>
      </c>
      <c r="E1975" s="33" t="s">
        <v>623</v>
      </c>
      <c r="F1975" s="34">
        <v>1</v>
      </c>
    </row>
    <row r="1976" spans="1:6" x14ac:dyDescent="0.25">
      <c r="A1976" s="34">
        <v>69</v>
      </c>
      <c r="B1976" s="33" t="s">
        <v>619</v>
      </c>
      <c r="C1976" s="33" t="s">
        <v>620</v>
      </c>
      <c r="D1976" s="33" t="s">
        <v>621</v>
      </c>
      <c r="E1976" s="33" t="s">
        <v>624</v>
      </c>
      <c r="F1976" s="34">
        <v>0</v>
      </c>
    </row>
    <row r="1977" spans="1:6" x14ac:dyDescent="0.25">
      <c r="A1977" s="34">
        <v>69</v>
      </c>
      <c r="B1977" s="33" t="s">
        <v>619</v>
      </c>
      <c r="C1977" s="33" t="s">
        <v>620</v>
      </c>
      <c r="D1977" s="33" t="s">
        <v>621</v>
      </c>
      <c r="E1977" s="33" t="s">
        <v>625</v>
      </c>
      <c r="F1977" s="34">
        <v>1</v>
      </c>
    </row>
    <row r="1978" spans="1:6" x14ac:dyDescent="0.25">
      <c r="A1978" s="34">
        <v>69</v>
      </c>
      <c r="B1978" s="33" t="s">
        <v>619</v>
      </c>
      <c r="C1978" s="33" t="s">
        <v>620</v>
      </c>
      <c r="D1978" s="33" t="s">
        <v>621</v>
      </c>
      <c r="E1978" s="33" t="s">
        <v>626</v>
      </c>
      <c r="F1978" s="34">
        <v>0</v>
      </c>
    </row>
    <row r="1979" spans="1:6" x14ac:dyDescent="0.25">
      <c r="A1979" s="34">
        <v>69</v>
      </c>
      <c r="B1979" s="33" t="s">
        <v>619</v>
      </c>
      <c r="C1979" s="33" t="s">
        <v>620</v>
      </c>
      <c r="D1979" s="33" t="s">
        <v>621</v>
      </c>
      <c r="E1979" s="33" t="s">
        <v>627</v>
      </c>
      <c r="F1979" s="34">
        <v>1</v>
      </c>
    </row>
    <row r="1980" spans="1:6" x14ac:dyDescent="0.25">
      <c r="A1980" s="34">
        <v>69</v>
      </c>
      <c r="B1980" s="33" t="s">
        <v>619</v>
      </c>
      <c r="C1980" s="33" t="s">
        <v>620</v>
      </c>
      <c r="D1980" s="33" t="s">
        <v>621</v>
      </c>
      <c r="E1980" s="33" t="s">
        <v>628</v>
      </c>
      <c r="F1980" s="34">
        <v>5</v>
      </c>
    </row>
    <row r="1981" spans="1:6" x14ac:dyDescent="0.25">
      <c r="A1981" s="34">
        <v>69</v>
      </c>
      <c r="B1981" s="33" t="s">
        <v>619</v>
      </c>
      <c r="C1981" s="33" t="s">
        <v>620</v>
      </c>
      <c r="D1981" s="33" t="s">
        <v>621</v>
      </c>
      <c r="E1981" s="33" t="s">
        <v>629</v>
      </c>
      <c r="F1981" s="34">
        <v>48</v>
      </c>
    </row>
    <row r="1982" spans="1:6" x14ac:dyDescent="0.25">
      <c r="A1982" s="34">
        <v>69</v>
      </c>
      <c r="B1982" s="33" t="s">
        <v>619</v>
      </c>
      <c r="C1982" s="33" t="s">
        <v>620</v>
      </c>
      <c r="D1982" s="33" t="s">
        <v>630</v>
      </c>
      <c r="E1982" s="33" t="s">
        <v>631</v>
      </c>
      <c r="F1982" s="34">
        <v>72</v>
      </c>
    </row>
    <row r="1983" spans="1:6" x14ac:dyDescent="0.25">
      <c r="A1983" s="34">
        <v>69</v>
      </c>
      <c r="B1983" s="33" t="s">
        <v>619</v>
      </c>
      <c r="C1983" s="33" t="s">
        <v>620</v>
      </c>
      <c r="D1983" s="33" t="s">
        <v>630</v>
      </c>
      <c r="E1983" s="33" t="s">
        <v>632</v>
      </c>
      <c r="F1983" s="33" t="s">
        <v>462</v>
      </c>
    </row>
    <row r="1984" spans="1:6" x14ac:dyDescent="0.25">
      <c r="A1984" s="34">
        <v>69</v>
      </c>
      <c r="B1984" s="33" t="s">
        <v>619</v>
      </c>
      <c r="C1984" s="33" t="s">
        <v>620</v>
      </c>
      <c r="D1984" s="33" t="s">
        <v>630</v>
      </c>
      <c r="E1984" s="33" t="s">
        <v>633</v>
      </c>
      <c r="F1984" s="34">
        <v>72</v>
      </c>
    </row>
    <row r="1985" spans="1:6" x14ac:dyDescent="0.25">
      <c r="A1985" s="34">
        <v>69</v>
      </c>
      <c r="B1985" s="33" t="s">
        <v>619</v>
      </c>
      <c r="C1985" s="33" t="s">
        <v>634</v>
      </c>
      <c r="D1985" s="33" t="s">
        <v>621</v>
      </c>
      <c r="E1985" s="33" t="s">
        <v>635</v>
      </c>
      <c r="F1985" s="34">
        <v>0</v>
      </c>
    </row>
    <row r="1986" spans="1:6" x14ac:dyDescent="0.25">
      <c r="A1986" s="34">
        <v>69</v>
      </c>
      <c r="B1986" s="33" t="s">
        <v>619</v>
      </c>
      <c r="C1986" s="33" t="s">
        <v>634</v>
      </c>
      <c r="D1986" s="33" t="s">
        <v>621</v>
      </c>
      <c r="E1986" s="33" t="s">
        <v>636</v>
      </c>
      <c r="F1986" s="34">
        <v>0</v>
      </c>
    </row>
    <row r="1987" spans="1:6" x14ac:dyDescent="0.25">
      <c r="A1987" s="34">
        <v>69</v>
      </c>
      <c r="B1987" s="33" t="s">
        <v>619</v>
      </c>
      <c r="C1987" s="33" t="s">
        <v>634</v>
      </c>
      <c r="D1987" s="33" t="s">
        <v>621</v>
      </c>
      <c r="E1987" s="33" t="s">
        <v>637</v>
      </c>
      <c r="F1987" s="34">
        <v>3</v>
      </c>
    </row>
    <row r="1988" spans="1:6" x14ac:dyDescent="0.25">
      <c r="A1988" s="34">
        <v>69</v>
      </c>
      <c r="B1988" s="33" t="s">
        <v>619</v>
      </c>
      <c r="C1988" s="33" t="s">
        <v>634</v>
      </c>
      <c r="D1988" s="33" t="s">
        <v>621</v>
      </c>
      <c r="E1988" s="33" t="s">
        <v>638</v>
      </c>
      <c r="F1988" s="34">
        <v>45</v>
      </c>
    </row>
    <row r="1989" spans="1:6" x14ac:dyDescent="0.25">
      <c r="A1989" s="34">
        <v>69</v>
      </c>
      <c r="B1989" s="33" t="s">
        <v>619</v>
      </c>
      <c r="C1989" s="33" t="s">
        <v>634</v>
      </c>
      <c r="D1989" s="33" t="s">
        <v>630</v>
      </c>
      <c r="E1989" s="33" t="s">
        <v>639</v>
      </c>
      <c r="F1989" s="34">
        <v>63</v>
      </c>
    </row>
    <row r="1990" spans="1:6" x14ac:dyDescent="0.25">
      <c r="A1990" s="34">
        <v>69</v>
      </c>
      <c r="B1990" s="33" t="s">
        <v>619</v>
      </c>
      <c r="C1990" s="33" t="s">
        <v>634</v>
      </c>
      <c r="D1990" s="33" t="s">
        <v>630</v>
      </c>
      <c r="E1990" s="33" t="s">
        <v>640</v>
      </c>
      <c r="F1990" s="34">
        <v>62</v>
      </c>
    </row>
    <row r="1991" spans="1:6" x14ac:dyDescent="0.25">
      <c r="A1991" s="34">
        <v>69</v>
      </c>
      <c r="B1991" s="33" t="s">
        <v>619</v>
      </c>
      <c r="C1991" s="33" t="s">
        <v>634</v>
      </c>
      <c r="D1991" s="33" t="s">
        <v>630</v>
      </c>
      <c r="E1991" s="33" t="s">
        <v>641</v>
      </c>
      <c r="F1991" s="34">
        <v>63</v>
      </c>
    </row>
    <row r="1992" spans="1:6" x14ac:dyDescent="0.25">
      <c r="A1992" s="34">
        <v>69</v>
      </c>
      <c r="B1992" s="33" t="s">
        <v>619</v>
      </c>
      <c r="C1992" s="33" t="s">
        <v>642</v>
      </c>
      <c r="D1992" s="33" t="s">
        <v>621</v>
      </c>
      <c r="E1992" s="33" t="s">
        <v>643</v>
      </c>
      <c r="F1992" s="34">
        <v>0</v>
      </c>
    </row>
    <row r="1993" spans="1:6" x14ac:dyDescent="0.25">
      <c r="A1993" s="34">
        <v>69</v>
      </c>
      <c r="B1993" s="33" t="s">
        <v>619</v>
      </c>
      <c r="C1993" s="33" t="s">
        <v>642</v>
      </c>
      <c r="D1993" s="33" t="s">
        <v>621</v>
      </c>
      <c r="E1993" s="33" t="s">
        <v>644</v>
      </c>
      <c r="F1993" s="34">
        <v>0</v>
      </c>
    </row>
    <row r="1994" spans="1:6" x14ac:dyDescent="0.25">
      <c r="A1994" s="34">
        <v>69</v>
      </c>
      <c r="B1994" s="33" t="s">
        <v>619</v>
      </c>
      <c r="C1994" s="33" t="s">
        <v>642</v>
      </c>
      <c r="D1994" s="33" t="s">
        <v>621</v>
      </c>
      <c r="E1994" s="33" t="s">
        <v>645</v>
      </c>
      <c r="F1994" s="34">
        <v>0</v>
      </c>
    </row>
    <row r="1995" spans="1:6" x14ac:dyDescent="0.25">
      <c r="A1995" s="34">
        <v>69</v>
      </c>
      <c r="B1995" s="33" t="s">
        <v>619</v>
      </c>
      <c r="C1995" s="33" t="s">
        <v>642</v>
      </c>
      <c r="D1995" s="33" t="s">
        <v>621</v>
      </c>
      <c r="E1995" s="33" t="s">
        <v>646</v>
      </c>
      <c r="F1995" s="34">
        <v>0</v>
      </c>
    </row>
    <row r="1996" spans="1:6" x14ac:dyDescent="0.25">
      <c r="A1996" s="34">
        <v>69</v>
      </c>
      <c r="B1996" s="33" t="s">
        <v>619</v>
      </c>
      <c r="C1996" s="33" t="s">
        <v>642</v>
      </c>
      <c r="D1996" s="33" t="s">
        <v>621</v>
      </c>
      <c r="E1996" s="33" t="s">
        <v>647</v>
      </c>
      <c r="F1996" s="34">
        <v>0</v>
      </c>
    </row>
    <row r="1997" spans="1:6" x14ac:dyDescent="0.25">
      <c r="A1997" s="34">
        <v>69</v>
      </c>
      <c r="B1997" s="33" t="s">
        <v>619</v>
      </c>
      <c r="C1997" s="33" t="s">
        <v>642</v>
      </c>
      <c r="D1997" s="33" t="s">
        <v>621</v>
      </c>
      <c r="E1997" s="33" t="s">
        <v>648</v>
      </c>
      <c r="F1997" s="34">
        <v>0</v>
      </c>
    </row>
    <row r="1998" spans="1:6" x14ac:dyDescent="0.25">
      <c r="A1998" s="34">
        <v>69</v>
      </c>
      <c r="B1998" s="33" t="s">
        <v>619</v>
      </c>
      <c r="C1998" s="33" t="s">
        <v>642</v>
      </c>
      <c r="D1998" s="33" t="s">
        <v>621</v>
      </c>
      <c r="E1998" s="33" t="s">
        <v>649</v>
      </c>
      <c r="F1998" s="34">
        <v>50</v>
      </c>
    </row>
    <row r="1999" spans="1:6" x14ac:dyDescent="0.25">
      <c r="A1999" s="34">
        <v>69</v>
      </c>
      <c r="B1999" s="33" t="s">
        <v>619</v>
      </c>
      <c r="C1999" s="33" t="s">
        <v>642</v>
      </c>
      <c r="D1999" s="33" t="s">
        <v>630</v>
      </c>
      <c r="E1999" s="33" t="s">
        <v>650</v>
      </c>
      <c r="F1999" s="34">
        <v>30</v>
      </c>
    </row>
    <row r="2000" spans="1:6" x14ac:dyDescent="0.25">
      <c r="A2000" s="34">
        <v>69</v>
      </c>
      <c r="B2000" s="33" t="s">
        <v>619</v>
      </c>
      <c r="C2000" s="33" t="s">
        <v>642</v>
      </c>
      <c r="D2000" s="33" t="s">
        <v>630</v>
      </c>
      <c r="E2000" s="33" t="s">
        <v>651</v>
      </c>
      <c r="F2000" s="34">
        <v>30</v>
      </c>
    </row>
    <row r="2001" spans="1:6" x14ac:dyDescent="0.25">
      <c r="A2001" s="34">
        <v>69</v>
      </c>
      <c r="B2001" s="33" t="s">
        <v>619</v>
      </c>
      <c r="C2001" s="33" t="s">
        <v>642</v>
      </c>
      <c r="D2001" s="33" t="s">
        <v>630</v>
      </c>
      <c r="E2001" s="33" t="s">
        <v>652</v>
      </c>
      <c r="F2001" s="34">
        <v>30</v>
      </c>
    </row>
    <row r="2002" spans="1:6" x14ac:dyDescent="0.25">
      <c r="A2002" s="34">
        <v>69</v>
      </c>
      <c r="B2002" s="33" t="s">
        <v>619</v>
      </c>
      <c r="C2002" s="33" t="s">
        <v>653</v>
      </c>
      <c r="D2002" s="33" t="s">
        <v>653</v>
      </c>
      <c r="E2002" s="33" t="s">
        <v>654</v>
      </c>
      <c r="F2002" s="34">
        <v>62</v>
      </c>
    </row>
    <row r="2003" spans="1:6" x14ac:dyDescent="0.25">
      <c r="A2003" s="34">
        <v>70</v>
      </c>
      <c r="B2003" s="33" t="s">
        <v>619</v>
      </c>
      <c r="C2003" s="33" t="s">
        <v>620</v>
      </c>
      <c r="D2003" s="33" t="s">
        <v>621</v>
      </c>
      <c r="E2003" s="33" t="s">
        <v>622</v>
      </c>
      <c r="F2003" s="33" t="s">
        <v>462</v>
      </c>
    </row>
    <row r="2004" spans="1:6" x14ac:dyDescent="0.25">
      <c r="A2004" s="34">
        <v>70</v>
      </c>
      <c r="B2004" s="33" t="s">
        <v>619</v>
      </c>
      <c r="C2004" s="33" t="s">
        <v>620</v>
      </c>
      <c r="D2004" s="33" t="s">
        <v>621</v>
      </c>
      <c r="E2004" s="33" t="s">
        <v>623</v>
      </c>
      <c r="F2004" s="33" t="s">
        <v>462</v>
      </c>
    </row>
    <row r="2005" spans="1:6" x14ac:dyDescent="0.25">
      <c r="A2005" s="34">
        <v>70</v>
      </c>
      <c r="B2005" s="33" t="s">
        <v>619</v>
      </c>
      <c r="C2005" s="33" t="s">
        <v>620</v>
      </c>
      <c r="D2005" s="33" t="s">
        <v>621</v>
      </c>
      <c r="E2005" s="33" t="s">
        <v>624</v>
      </c>
      <c r="F2005" s="33" t="s">
        <v>462</v>
      </c>
    </row>
    <row r="2006" spans="1:6" x14ac:dyDescent="0.25">
      <c r="A2006" s="34">
        <v>70</v>
      </c>
      <c r="B2006" s="33" t="s">
        <v>619</v>
      </c>
      <c r="C2006" s="33" t="s">
        <v>620</v>
      </c>
      <c r="D2006" s="33" t="s">
        <v>621</v>
      </c>
      <c r="E2006" s="33" t="s">
        <v>625</v>
      </c>
      <c r="F2006" s="33" t="s">
        <v>462</v>
      </c>
    </row>
    <row r="2007" spans="1:6" x14ac:dyDescent="0.25">
      <c r="A2007" s="34">
        <v>70</v>
      </c>
      <c r="B2007" s="33" t="s">
        <v>619</v>
      </c>
      <c r="C2007" s="33" t="s">
        <v>620</v>
      </c>
      <c r="D2007" s="33" t="s">
        <v>621</v>
      </c>
      <c r="E2007" s="33" t="s">
        <v>626</v>
      </c>
      <c r="F2007" s="33" t="s">
        <v>462</v>
      </c>
    </row>
    <row r="2008" spans="1:6" x14ac:dyDescent="0.25">
      <c r="A2008" s="34">
        <v>70</v>
      </c>
      <c r="B2008" s="33" t="s">
        <v>619</v>
      </c>
      <c r="C2008" s="33" t="s">
        <v>620</v>
      </c>
      <c r="D2008" s="33" t="s">
        <v>621</v>
      </c>
      <c r="E2008" s="33" t="s">
        <v>627</v>
      </c>
      <c r="F2008" s="33" t="s">
        <v>462</v>
      </c>
    </row>
    <row r="2009" spans="1:6" x14ac:dyDescent="0.25">
      <c r="A2009" s="34">
        <v>70</v>
      </c>
      <c r="B2009" s="33" t="s">
        <v>619</v>
      </c>
      <c r="C2009" s="33" t="s">
        <v>620</v>
      </c>
      <c r="D2009" s="33" t="s">
        <v>621</v>
      </c>
      <c r="E2009" s="33" t="s">
        <v>628</v>
      </c>
      <c r="F2009" s="33" t="s">
        <v>462</v>
      </c>
    </row>
    <row r="2010" spans="1:6" x14ac:dyDescent="0.25">
      <c r="A2010" s="34">
        <v>70</v>
      </c>
      <c r="B2010" s="33" t="s">
        <v>619</v>
      </c>
      <c r="C2010" s="33" t="s">
        <v>620</v>
      </c>
      <c r="D2010" s="33" t="s">
        <v>621</v>
      </c>
      <c r="E2010" s="33" t="s">
        <v>629</v>
      </c>
      <c r="F2010" s="33" t="s">
        <v>462</v>
      </c>
    </row>
    <row r="2011" spans="1:6" x14ac:dyDescent="0.25">
      <c r="A2011" s="34">
        <v>70</v>
      </c>
      <c r="B2011" s="33" t="s">
        <v>619</v>
      </c>
      <c r="C2011" s="33" t="s">
        <v>620</v>
      </c>
      <c r="D2011" s="33" t="s">
        <v>630</v>
      </c>
      <c r="E2011" s="33" t="s">
        <v>631</v>
      </c>
      <c r="F2011" s="33" t="s">
        <v>462</v>
      </c>
    </row>
    <row r="2012" spans="1:6" x14ac:dyDescent="0.25">
      <c r="A2012" s="34">
        <v>70</v>
      </c>
      <c r="B2012" s="33" t="s">
        <v>619</v>
      </c>
      <c r="C2012" s="33" t="s">
        <v>620</v>
      </c>
      <c r="D2012" s="33" t="s">
        <v>630</v>
      </c>
      <c r="E2012" s="33" t="s">
        <v>632</v>
      </c>
      <c r="F2012" s="33" t="s">
        <v>462</v>
      </c>
    </row>
    <row r="2013" spans="1:6" x14ac:dyDescent="0.25">
      <c r="A2013" s="34">
        <v>70</v>
      </c>
      <c r="B2013" s="33" t="s">
        <v>619</v>
      </c>
      <c r="C2013" s="33" t="s">
        <v>620</v>
      </c>
      <c r="D2013" s="33" t="s">
        <v>630</v>
      </c>
      <c r="E2013" s="33" t="s">
        <v>633</v>
      </c>
      <c r="F2013" s="33" t="s">
        <v>150</v>
      </c>
    </row>
    <row r="2014" spans="1:6" x14ac:dyDescent="0.25">
      <c r="A2014" s="34">
        <v>70</v>
      </c>
      <c r="B2014" s="33" t="s">
        <v>619</v>
      </c>
      <c r="C2014" s="33" t="s">
        <v>634</v>
      </c>
      <c r="D2014" s="33" t="s">
        <v>621</v>
      </c>
      <c r="E2014" s="33" t="s">
        <v>635</v>
      </c>
      <c r="F2014" s="34">
        <v>0</v>
      </c>
    </row>
    <row r="2015" spans="1:6" x14ac:dyDescent="0.25">
      <c r="A2015" s="34">
        <v>70</v>
      </c>
      <c r="B2015" s="33" t="s">
        <v>619</v>
      </c>
      <c r="C2015" s="33" t="s">
        <v>634</v>
      </c>
      <c r="D2015" s="33" t="s">
        <v>621</v>
      </c>
      <c r="E2015" s="33" t="s">
        <v>636</v>
      </c>
      <c r="F2015" s="34">
        <v>0</v>
      </c>
    </row>
    <row r="2016" spans="1:6" x14ac:dyDescent="0.25">
      <c r="A2016" s="34">
        <v>70</v>
      </c>
      <c r="B2016" s="33" t="s">
        <v>619</v>
      </c>
      <c r="C2016" s="33" t="s">
        <v>634</v>
      </c>
      <c r="D2016" s="33" t="s">
        <v>621</v>
      </c>
      <c r="E2016" s="33" t="s">
        <v>637</v>
      </c>
      <c r="F2016" s="34">
        <v>5</v>
      </c>
    </row>
    <row r="2017" spans="1:6" x14ac:dyDescent="0.25">
      <c r="A2017" s="34">
        <v>70</v>
      </c>
      <c r="B2017" s="33" t="s">
        <v>619</v>
      </c>
      <c r="C2017" s="33" t="s">
        <v>634</v>
      </c>
      <c r="D2017" s="33" t="s">
        <v>621</v>
      </c>
      <c r="E2017" s="33" t="s">
        <v>638</v>
      </c>
      <c r="F2017" s="34">
        <v>46</v>
      </c>
    </row>
    <row r="2018" spans="1:6" x14ac:dyDescent="0.25">
      <c r="A2018" s="34">
        <v>70</v>
      </c>
      <c r="B2018" s="33" t="s">
        <v>619</v>
      </c>
      <c r="C2018" s="33" t="s">
        <v>634</v>
      </c>
      <c r="D2018" s="33" t="s">
        <v>630</v>
      </c>
      <c r="E2018" s="33" t="s">
        <v>639</v>
      </c>
      <c r="F2018" s="34">
        <v>65</v>
      </c>
    </row>
    <row r="2019" spans="1:6" x14ac:dyDescent="0.25">
      <c r="A2019" s="34">
        <v>70</v>
      </c>
      <c r="B2019" s="33" t="s">
        <v>619</v>
      </c>
      <c r="C2019" s="33" t="s">
        <v>634</v>
      </c>
      <c r="D2019" s="33" t="s">
        <v>630</v>
      </c>
      <c r="E2019" s="33" t="s">
        <v>640</v>
      </c>
      <c r="F2019" s="34">
        <v>72</v>
      </c>
    </row>
    <row r="2020" spans="1:6" x14ac:dyDescent="0.25">
      <c r="A2020" s="34">
        <v>70</v>
      </c>
      <c r="B2020" s="33" t="s">
        <v>619</v>
      </c>
      <c r="C2020" s="33" t="s">
        <v>634</v>
      </c>
      <c r="D2020" s="33" t="s">
        <v>630</v>
      </c>
      <c r="E2020" s="33" t="s">
        <v>641</v>
      </c>
      <c r="F2020" s="34">
        <v>72</v>
      </c>
    </row>
    <row r="2021" spans="1:6" x14ac:dyDescent="0.25">
      <c r="A2021" s="34">
        <v>70</v>
      </c>
      <c r="B2021" s="33" t="s">
        <v>619</v>
      </c>
      <c r="C2021" s="33" t="s">
        <v>642</v>
      </c>
      <c r="D2021" s="33" t="s">
        <v>621</v>
      </c>
      <c r="E2021" s="33" t="s">
        <v>643</v>
      </c>
      <c r="F2021" s="34">
        <v>0</v>
      </c>
    </row>
    <row r="2022" spans="1:6" x14ac:dyDescent="0.25">
      <c r="A2022" s="34">
        <v>70</v>
      </c>
      <c r="B2022" s="33" t="s">
        <v>619</v>
      </c>
      <c r="C2022" s="33" t="s">
        <v>642</v>
      </c>
      <c r="D2022" s="33" t="s">
        <v>621</v>
      </c>
      <c r="E2022" s="33" t="s">
        <v>644</v>
      </c>
      <c r="F2022" s="34">
        <v>0</v>
      </c>
    </row>
    <row r="2023" spans="1:6" x14ac:dyDescent="0.25">
      <c r="A2023" s="34">
        <v>70</v>
      </c>
      <c r="B2023" s="33" t="s">
        <v>619</v>
      </c>
      <c r="C2023" s="33" t="s">
        <v>642</v>
      </c>
      <c r="D2023" s="33" t="s">
        <v>621</v>
      </c>
      <c r="E2023" s="33" t="s">
        <v>645</v>
      </c>
      <c r="F2023" s="34">
        <v>0</v>
      </c>
    </row>
    <row r="2024" spans="1:6" x14ac:dyDescent="0.25">
      <c r="A2024" s="34">
        <v>70</v>
      </c>
      <c r="B2024" s="33" t="s">
        <v>619</v>
      </c>
      <c r="C2024" s="33" t="s">
        <v>642</v>
      </c>
      <c r="D2024" s="33" t="s">
        <v>621</v>
      </c>
      <c r="E2024" s="33" t="s">
        <v>646</v>
      </c>
      <c r="F2024" s="34">
        <v>0</v>
      </c>
    </row>
    <row r="2025" spans="1:6" x14ac:dyDescent="0.25">
      <c r="A2025" s="34">
        <v>70</v>
      </c>
      <c r="B2025" s="33" t="s">
        <v>619</v>
      </c>
      <c r="C2025" s="33" t="s">
        <v>642</v>
      </c>
      <c r="D2025" s="33" t="s">
        <v>621</v>
      </c>
      <c r="E2025" s="33" t="s">
        <v>647</v>
      </c>
      <c r="F2025" s="34">
        <v>0</v>
      </c>
    </row>
    <row r="2026" spans="1:6" x14ac:dyDescent="0.25">
      <c r="A2026" s="34">
        <v>70</v>
      </c>
      <c r="B2026" s="33" t="s">
        <v>619</v>
      </c>
      <c r="C2026" s="33" t="s">
        <v>642</v>
      </c>
      <c r="D2026" s="33" t="s">
        <v>621</v>
      </c>
      <c r="E2026" s="33" t="s">
        <v>648</v>
      </c>
      <c r="F2026" s="34">
        <v>0</v>
      </c>
    </row>
    <row r="2027" spans="1:6" x14ac:dyDescent="0.25">
      <c r="A2027" s="34">
        <v>70</v>
      </c>
      <c r="B2027" s="33" t="s">
        <v>619</v>
      </c>
      <c r="C2027" s="33" t="s">
        <v>642</v>
      </c>
      <c r="D2027" s="33" t="s">
        <v>621</v>
      </c>
      <c r="E2027" s="33" t="s">
        <v>649</v>
      </c>
      <c r="F2027" s="34">
        <v>11</v>
      </c>
    </row>
    <row r="2028" spans="1:6" x14ac:dyDescent="0.25">
      <c r="A2028" s="34">
        <v>70</v>
      </c>
      <c r="B2028" s="33" t="s">
        <v>619</v>
      </c>
      <c r="C2028" s="33" t="s">
        <v>642</v>
      </c>
      <c r="D2028" s="33" t="s">
        <v>630</v>
      </c>
      <c r="E2028" s="33" t="s">
        <v>650</v>
      </c>
      <c r="F2028" s="34">
        <v>65</v>
      </c>
    </row>
    <row r="2029" spans="1:6" x14ac:dyDescent="0.25">
      <c r="A2029" s="34">
        <v>70</v>
      </c>
      <c r="B2029" s="33" t="s">
        <v>619</v>
      </c>
      <c r="C2029" s="33" t="s">
        <v>642</v>
      </c>
      <c r="D2029" s="33" t="s">
        <v>630</v>
      </c>
      <c r="E2029" s="33" t="s">
        <v>651</v>
      </c>
      <c r="F2029" s="34">
        <v>65</v>
      </c>
    </row>
    <row r="2030" spans="1:6" x14ac:dyDescent="0.25">
      <c r="A2030" s="34">
        <v>70</v>
      </c>
      <c r="B2030" s="33" t="s">
        <v>619</v>
      </c>
      <c r="C2030" s="33" t="s">
        <v>642</v>
      </c>
      <c r="D2030" s="33" t="s">
        <v>630</v>
      </c>
      <c r="E2030" s="33" t="s">
        <v>652</v>
      </c>
      <c r="F2030" s="34">
        <v>65</v>
      </c>
    </row>
    <row r="2031" spans="1:6" x14ac:dyDescent="0.25">
      <c r="A2031" s="34">
        <v>70</v>
      </c>
      <c r="B2031" s="33" t="s">
        <v>619</v>
      </c>
      <c r="C2031" s="33" t="s">
        <v>653</v>
      </c>
      <c r="D2031" s="33" t="s">
        <v>653</v>
      </c>
      <c r="E2031" s="33" t="s">
        <v>654</v>
      </c>
      <c r="F2031" s="34">
        <v>62</v>
      </c>
    </row>
    <row r="2032" spans="1:6" x14ac:dyDescent="0.25">
      <c r="A2032" s="34">
        <v>71</v>
      </c>
      <c r="B2032" s="33" t="s">
        <v>619</v>
      </c>
      <c r="C2032" s="33" t="s">
        <v>620</v>
      </c>
      <c r="D2032" s="33" t="s">
        <v>621</v>
      </c>
      <c r="E2032" s="33" t="s">
        <v>622</v>
      </c>
      <c r="F2032" s="34">
        <v>0</v>
      </c>
    </row>
    <row r="2033" spans="1:6" x14ac:dyDescent="0.25">
      <c r="A2033" s="34">
        <v>71</v>
      </c>
      <c r="B2033" s="33" t="s">
        <v>619</v>
      </c>
      <c r="C2033" s="33" t="s">
        <v>620</v>
      </c>
      <c r="D2033" s="33" t="s">
        <v>621</v>
      </c>
      <c r="E2033" s="33" t="s">
        <v>623</v>
      </c>
      <c r="F2033" s="34">
        <v>0</v>
      </c>
    </row>
    <row r="2034" spans="1:6" x14ac:dyDescent="0.25">
      <c r="A2034" s="34">
        <v>71</v>
      </c>
      <c r="B2034" s="33" t="s">
        <v>619</v>
      </c>
      <c r="C2034" s="33" t="s">
        <v>620</v>
      </c>
      <c r="D2034" s="33" t="s">
        <v>621</v>
      </c>
      <c r="E2034" s="33" t="s">
        <v>624</v>
      </c>
      <c r="F2034" s="34">
        <v>0</v>
      </c>
    </row>
    <row r="2035" spans="1:6" x14ac:dyDescent="0.25">
      <c r="A2035" s="34">
        <v>71</v>
      </c>
      <c r="B2035" s="33" t="s">
        <v>619</v>
      </c>
      <c r="C2035" s="33" t="s">
        <v>620</v>
      </c>
      <c r="D2035" s="33" t="s">
        <v>621</v>
      </c>
      <c r="E2035" s="33" t="s">
        <v>625</v>
      </c>
      <c r="F2035" s="34">
        <v>0</v>
      </c>
    </row>
    <row r="2036" spans="1:6" x14ac:dyDescent="0.25">
      <c r="A2036" s="34">
        <v>71</v>
      </c>
      <c r="B2036" s="33" t="s">
        <v>619</v>
      </c>
      <c r="C2036" s="33" t="s">
        <v>620</v>
      </c>
      <c r="D2036" s="33" t="s">
        <v>621</v>
      </c>
      <c r="E2036" s="33" t="s">
        <v>626</v>
      </c>
      <c r="F2036" s="34">
        <v>0</v>
      </c>
    </row>
    <row r="2037" spans="1:6" x14ac:dyDescent="0.25">
      <c r="A2037" s="34">
        <v>71</v>
      </c>
      <c r="B2037" s="33" t="s">
        <v>619</v>
      </c>
      <c r="C2037" s="33" t="s">
        <v>620</v>
      </c>
      <c r="D2037" s="33" t="s">
        <v>621</v>
      </c>
      <c r="E2037" s="33" t="s">
        <v>627</v>
      </c>
      <c r="F2037" s="34">
        <v>0</v>
      </c>
    </row>
    <row r="2038" spans="1:6" x14ac:dyDescent="0.25">
      <c r="A2038" s="34">
        <v>71</v>
      </c>
      <c r="B2038" s="33" t="s">
        <v>619</v>
      </c>
      <c r="C2038" s="33" t="s">
        <v>620</v>
      </c>
      <c r="D2038" s="33" t="s">
        <v>621</v>
      </c>
      <c r="E2038" s="33" t="s">
        <v>628</v>
      </c>
      <c r="F2038" s="34">
        <v>0</v>
      </c>
    </row>
    <row r="2039" spans="1:6" x14ac:dyDescent="0.25">
      <c r="A2039" s="34">
        <v>71</v>
      </c>
      <c r="B2039" s="33" t="s">
        <v>619</v>
      </c>
      <c r="C2039" s="33" t="s">
        <v>620</v>
      </c>
      <c r="D2039" s="33" t="s">
        <v>621</v>
      </c>
      <c r="E2039" s="33" t="s">
        <v>629</v>
      </c>
      <c r="F2039" s="34">
        <v>44</v>
      </c>
    </row>
    <row r="2040" spans="1:6" x14ac:dyDescent="0.25">
      <c r="A2040" s="34">
        <v>71</v>
      </c>
      <c r="B2040" s="33" t="s">
        <v>619</v>
      </c>
      <c r="C2040" s="33" t="s">
        <v>620</v>
      </c>
      <c r="D2040" s="33" t="s">
        <v>630</v>
      </c>
      <c r="E2040" s="33" t="s">
        <v>631</v>
      </c>
      <c r="F2040" s="33"/>
    </row>
    <row r="2041" spans="1:6" x14ac:dyDescent="0.25">
      <c r="A2041" s="34">
        <v>71</v>
      </c>
      <c r="B2041" s="33" t="s">
        <v>619</v>
      </c>
      <c r="C2041" s="33" t="s">
        <v>620</v>
      </c>
      <c r="D2041" s="33" t="s">
        <v>630</v>
      </c>
      <c r="E2041" s="33" t="s">
        <v>632</v>
      </c>
      <c r="F2041" s="33" t="s">
        <v>462</v>
      </c>
    </row>
    <row r="2042" spans="1:6" x14ac:dyDescent="0.25">
      <c r="A2042" s="34">
        <v>71</v>
      </c>
      <c r="B2042" s="33" t="s">
        <v>619</v>
      </c>
      <c r="C2042" s="33" t="s">
        <v>620</v>
      </c>
      <c r="D2042" s="33" t="s">
        <v>630</v>
      </c>
      <c r="E2042" s="33" t="s">
        <v>633</v>
      </c>
      <c r="F2042" s="34">
        <v>60</v>
      </c>
    </row>
    <row r="2043" spans="1:6" x14ac:dyDescent="0.25">
      <c r="A2043" s="34">
        <v>71</v>
      </c>
      <c r="B2043" s="33" t="s">
        <v>619</v>
      </c>
      <c r="C2043" s="33" t="s">
        <v>634</v>
      </c>
      <c r="D2043" s="33" t="s">
        <v>621</v>
      </c>
      <c r="E2043" s="33" t="s">
        <v>635</v>
      </c>
      <c r="F2043" s="34">
        <v>1</v>
      </c>
    </row>
    <row r="2044" spans="1:6" x14ac:dyDescent="0.25">
      <c r="A2044" s="34">
        <v>71</v>
      </c>
      <c r="B2044" s="33" t="s">
        <v>619</v>
      </c>
      <c r="C2044" s="33" t="s">
        <v>634</v>
      </c>
      <c r="D2044" s="33" t="s">
        <v>621</v>
      </c>
      <c r="E2044" s="33" t="s">
        <v>636</v>
      </c>
      <c r="F2044" s="34">
        <v>1</v>
      </c>
    </row>
    <row r="2045" spans="1:6" x14ac:dyDescent="0.25">
      <c r="A2045" s="34">
        <v>71</v>
      </c>
      <c r="B2045" s="33" t="s">
        <v>619</v>
      </c>
      <c r="C2045" s="33" t="s">
        <v>634</v>
      </c>
      <c r="D2045" s="33" t="s">
        <v>621</v>
      </c>
      <c r="E2045" s="33" t="s">
        <v>637</v>
      </c>
      <c r="F2045" s="34">
        <v>5</v>
      </c>
    </row>
    <row r="2046" spans="1:6" x14ac:dyDescent="0.25">
      <c r="A2046" s="34">
        <v>71</v>
      </c>
      <c r="B2046" s="33" t="s">
        <v>619</v>
      </c>
      <c r="C2046" s="33" t="s">
        <v>634</v>
      </c>
      <c r="D2046" s="33" t="s">
        <v>621</v>
      </c>
      <c r="E2046" s="33" t="s">
        <v>638</v>
      </c>
      <c r="F2046" s="34">
        <v>41</v>
      </c>
    </row>
    <row r="2047" spans="1:6" x14ac:dyDescent="0.25">
      <c r="A2047" s="34">
        <v>71</v>
      </c>
      <c r="B2047" s="33" t="s">
        <v>619</v>
      </c>
      <c r="C2047" s="33" t="s">
        <v>634</v>
      </c>
      <c r="D2047" s="33" t="s">
        <v>630</v>
      </c>
      <c r="E2047" s="33" t="s">
        <v>639</v>
      </c>
      <c r="F2047" s="34">
        <v>63</v>
      </c>
    </row>
    <row r="2048" spans="1:6" x14ac:dyDescent="0.25">
      <c r="A2048" s="34">
        <v>71</v>
      </c>
      <c r="B2048" s="33" t="s">
        <v>619</v>
      </c>
      <c r="C2048" s="33" t="s">
        <v>634</v>
      </c>
      <c r="D2048" s="33" t="s">
        <v>630</v>
      </c>
      <c r="E2048" s="33" t="s">
        <v>640</v>
      </c>
      <c r="F2048" s="33" t="s">
        <v>462</v>
      </c>
    </row>
    <row r="2049" spans="1:6" x14ac:dyDescent="0.25">
      <c r="A2049" s="34">
        <v>71</v>
      </c>
      <c r="B2049" s="33" t="s">
        <v>619</v>
      </c>
      <c r="C2049" s="33" t="s">
        <v>634</v>
      </c>
      <c r="D2049" s="33" t="s">
        <v>630</v>
      </c>
      <c r="E2049" s="33" t="s">
        <v>641</v>
      </c>
      <c r="F2049" s="34">
        <v>63</v>
      </c>
    </row>
    <row r="2050" spans="1:6" x14ac:dyDescent="0.25">
      <c r="A2050" s="34">
        <v>71</v>
      </c>
      <c r="B2050" s="33" t="s">
        <v>619</v>
      </c>
      <c r="C2050" s="33" t="s">
        <v>642</v>
      </c>
      <c r="D2050" s="33" t="s">
        <v>621</v>
      </c>
      <c r="E2050" s="33" t="s">
        <v>643</v>
      </c>
      <c r="F2050" s="34">
        <v>0</v>
      </c>
    </row>
    <row r="2051" spans="1:6" x14ac:dyDescent="0.25">
      <c r="A2051" s="34">
        <v>71</v>
      </c>
      <c r="B2051" s="33" t="s">
        <v>619</v>
      </c>
      <c r="C2051" s="33" t="s">
        <v>642</v>
      </c>
      <c r="D2051" s="33" t="s">
        <v>621</v>
      </c>
      <c r="E2051" s="33" t="s">
        <v>644</v>
      </c>
      <c r="F2051" s="34">
        <v>0</v>
      </c>
    </row>
    <row r="2052" spans="1:6" x14ac:dyDescent="0.25">
      <c r="A2052" s="34">
        <v>71</v>
      </c>
      <c r="B2052" s="33" t="s">
        <v>619</v>
      </c>
      <c r="C2052" s="33" t="s">
        <v>642</v>
      </c>
      <c r="D2052" s="33" t="s">
        <v>621</v>
      </c>
      <c r="E2052" s="33" t="s">
        <v>645</v>
      </c>
      <c r="F2052" s="34">
        <v>0</v>
      </c>
    </row>
    <row r="2053" spans="1:6" x14ac:dyDescent="0.25">
      <c r="A2053" s="34">
        <v>71</v>
      </c>
      <c r="B2053" s="33" t="s">
        <v>619</v>
      </c>
      <c r="C2053" s="33" t="s">
        <v>642</v>
      </c>
      <c r="D2053" s="33" t="s">
        <v>621</v>
      </c>
      <c r="E2053" s="33" t="s">
        <v>646</v>
      </c>
      <c r="F2053" s="34">
        <v>0</v>
      </c>
    </row>
    <row r="2054" spans="1:6" x14ac:dyDescent="0.25">
      <c r="A2054" s="34">
        <v>71</v>
      </c>
      <c r="B2054" s="33" t="s">
        <v>619</v>
      </c>
      <c r="C2054" s="33" t="s">
        <v>642</v>
      </c>
      <c r="D2054" s="33" t="s">
        <v>621</v>
      </c>
      <c r="E2054" s="33" t="s">
        <v>647</v>
      </c>
      <c r="F2054" s="34">
        <v>0</v>
      </c>
    </row>
    <row r="2055" spans="1:6" x14ac:dyDescent="0.25">
      <c r="A2055" s="34">
        <v>71</v>
      </c>
      <c r="B2055" s="33" t="s">
        <v>619</v>
      </c>
      <c r="C2055" s="33" t="s">
        <v>642</v>
      </c>
      <c r="D2055" s="33" t="s">
        <v>621</v>
      </c>
      <c r="E2055" s="33" t="s">
        <v>648</v>
      </c>
      <c r="F2055" s="34">
        <v>0</v>
      </c>
    </row>
    <row r="2056" spans="1:6" x14ac:dyDescent="0.25">
      <c r="A2056" s="34">
        <v>71</v>
      </c>
      <c r="B2056" s="33" t="s">
        <v>619</v>
      </c>
      <c r="C2056" s="33" t="s">
        <v>642</v>
      </c>
      <c r="D2056" s="33" t="s">
        <v>621</v>
      </c>
      <c r="E2056" s="33" t="s">
        <v>649</v>
      </c>
      <c r="F2056" s="34">
        <v>44</v>
      </c>
    </row>
    <row r="2057" spans="1:6" x14ac:dyDescent="0.25">
      <c r="A2057" s="34">
        <v>71</v>
      </c>
      <c r="B2057" s="33" t="s">
        <v>619</v>
      </c>
      <c r="C2057" s="33" t="s">
        <v>642</v>
      </c>
      <c r="D2057" s="33" t="s">
        <v>630</v>
      </c>
      <c r="E2057" s="33" t="s">
        <v>650</v>
      </c>
      <c r="F2057" s="34">
        <v>68</v>
      </c>
    </row>
    <row r="2058" spans="1:6" x14ac:dyDescent="0.25">
      <c r="A2058" s="34">
        <v>71</v>
      </c>
      <c r="B2058" s="33" t="s">
        <v>619</v>
      </c>
      <c r="C2058" s="33" t="s">
        <v>642</v>
      </c>
      <c r="D2058" s="33" t="s">
        <v>630</v>
      </c>
      <c r="E2058" s="33" t="s">
        <v>651</v>
      </c>
      <c r="F2058" s="33" t="s">
        <v>462</v>
      </c>
    </row>
    <row r="2059" spans="1:6" x14ac:dyDescent="0.25">
      <c r="A2059" s="34">
        <v>71</v>
      </c>
      <c r="B2059" s="33" t="s">
        <v>619</v>
      </c>
      <c r="C2059" s="33" t="s">
        <v>642</v>
      </c>
      <c r="D2059" s="33" t="s">
        <v>630</v>
      </c>
      <c r="E2059" s="33" t="s">
        <v>652</v>
      </c>
      <c r="F2059" s="34">
        <v>68</v>
      </c>
    </row>
    <row r="2060" spans="1:6" x14ac:dyDescent="0.25">
      <c r="A2060" s="34">
        <v>71</v>
      </c>
      <c r="B2060" s="33" t="s">
        <v>619</v>
      </c>
      <c r="C2060" s="33" t="s">
        <v>653</v>
      </c>
      <c r="D2060" s="33" t="s">
        <v>653</v>
      </c>
      <c r="E2060" s="33" t="s">
        <v>654</v>
      </c>
      <c r="F2060" s="34">
        <v>62</v>
      </c>
    </row>
  </sheetData>
  <mergeCells count="2">
    <mergeCell ref="E792:F792"/>
    <mergeCell ref="E1516:F15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58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12.42578125" customWidth="1"/>
    <col min="3" max="3" width="13.42578125" customWidth="1"/>
    <col min="4" max="4" width="17.42578125" customWidth="1"/>
    <col min="5" max="5" width="27" customWidth="1"/>
  </cols>
  <sheetData>
    <row r="1" spans="1:6" x14ac:dyDescent="0.25">
      <c r="A1" s="31" t="s">
        <v>428</v>
      </c>
      <c r="B1" s="31" t="s">
        <v>614</v>
      </c>
      <c r="C1" s="31" t="s">
        <v>615</v>
      </c>
      <c r="D1" s="31" t="s">
        <v>616</v>
      </c>
      <c r="E1" s="31" t="s">
        <v>617</v>
      </c>
      <c r="F1" s="31" t="s">
        <v>618</v>
      </c>
    </row>
    <row r="2" spans="1:6" x14ac:dyDescent="0.25">
      <c r="A2" s="32" t="s">
        <v>655</v>
      </c>
      <c r="B2" s="33" t="s">
        <v>656</v>
      </c>
      <c r="C2" s="33" t="s">
        <v>620</v>
      </c>
      <c r="D2" s="33" t="s">
        <v>621</v>
      </c>
      <c r="E2" s="33" t="s">
        <v>657</v>
      </c>
      <c r="F2" s="34">
        <v>15</v>
      </c>
    </row>
    <row r="3" spans="1:6" x14ac:dyDescent="0.25">
      <c r="A3" s="32" t="s">
        <v>655</v>
      </c>
      <c r="B3" s="33" t="s">
        <v>656</v>
      </c>
      <c r="C3" s="33" t="s">
        <v>620</v>
      </c>
      <c r="D3" s="33" t="s">
        <v>621</v>
      </c>
      <c r="E3" s="33" t="s">
        <v>658</v>
      </c>
      <c r="F3" s="34">
        <v>14</v>
      </c>
    </row>
    <row r="4" spans="1:6" x14ac:dyDescent="0.25">
      <c r="A4" s="32" t="s">
        <v>655</v>
      </c>
      <c r="B4" s="33" t="s">
        <v>656</v>
      </c>
      <c r="C4" s="33" t="s">
        <v>620</v>
      </c>
      <c r="D4" s="33" t="s">
        <v>621</v>
      </c>
      <c r="E4" s="33" t="s">
        <v>629</v>
      </c>
      <c r="F4" s="34">
        <v>42.5</v>
      </c>
    </row>
    <row r="5" spans="1:6" x14ac:dyDescent="0.25">
      <c r="A5" s="32" t="s">
        <v>655</v>
      </c>
      <c r="B5" s="33" t="s">
        <v>656</v>
      </c>
      <c r="C5" s="33" t="s">
        <v>620</v>
      </c>
      <c r="D5" s="33" t="s">
        <v>630</v>
      </c>
      <c r="E5" s="33" t="s">
        <v>631</v>
      </c>
      <c r="F5" s="34">
        <v>85</v>
      </c>
    </row>
    <row r="6" spans="1:6" x14ac:dyDescent="0.25">
      <c r="A6" s="32" t="s">
        <v>655</v>
      </c>
      <c r="B6" s="33" t="s">
        <v>656</v>
      </c>
      <c r="C6" s="33" t="s">
        <v>620</v>
      </c>
      <c r="D6" s="33" t="s">
        <v>630</v>
      </c>
      <c r="E6" s="33" t="s">
        <v>632</v>
      </c>
      <c r="F6" s="33" t="s">
        <v>462</v>
      </c>
    </row>
    <row r="7" spans="1:6" x14ac:dyDescent="0.25">
      <c r="A7" s="32" t="s">
        <v>655</v>
      </c>
      <c r="B7" s="33" t="s">
        <v>656</v>
      </c>
      <c r="C7" s="33" t="s">
        <v>620</v>
      </c>
      <c r="D7" s="33" t="s">
        <v>630</v>
      </c>
      <c r="E7" s="33" t="s">
        <v>633</v>
      </c>
      <c r="F7" s="34">
        <v>85</v>
      </c>
    </row>
    <row r="8" spans="1:6" x14ac:dyDescent="0.25">
      <c r="A8" s="32" t="s">
        <v>655</v>
      </c>
      <c r="B8" s="33" t="s">
        <v>656</v>
      </c>
      <c r="C8" s="33" t="s">
        <v>634</v>
      </c>
      <c r="D8" s="33" t="s">
        <v>621</v>
      </c>
      <c r="E8" s="33" t="s">
        <v>659</v>
      </c>
      <c r="F8" s="34">
        <v>11</v>
      </c>
    </row>
    <row r="9" spans="1:6" x14ac:dyDescent="0.25">
      <c r="A9" s="32" t="s">
        <v>655</v>
      </c>
      <c r="B9" s="33" t="s">
        <v>656</v>
      </c>
      <c r="C9" s="33" t="s">
        <v>634</v>
      </c>
      <c r="D9" s="33" t="s">
        <v>621</v>
      </c>
      <c r="E9" s="33" t="s">
        <v>660</v>
      </c>
      <c r="F9" s="34">
        <v>12</v>
      </c>
    </row>
    <row r="10" spans="1:6" x14ac:dyDescent="0.25">
      <c r="A10" s="32" t="s">
        <v>655</v>
      </c>
      <c r="B10" s="33" t="s">
        <v>656</v>
      </c>
      <c r="C10" s="33" t="s">
        <v>634</v>
      </c>
      <c r="D10" s="33" t="s">
        <v>621</v>
      </c>
      <c r="E10" s="33" t="s">
        <v>638</v>
      </c>
      <c r="F10" s="34">
        <v>44</v>
      </c>
    </row>
    <row r="11" spans="1:6" x14ac:dyDescent="0.25">
      <c r="A11" s="32" t="s">
        <v>655</v>
      </c>
      <c r="B11" s="33" t="s">
        <v>656</v>
      </c>
      <c r="C11" s="33" t="s">
        <v>634</v>
      </c>
      <c r="D11" s="33" t="s">
        <v>630</v>
      </c>
      <c r="E11" s="33" t="s">
        <v>639</v>
      </c>
      <c r="F11" s="34">
        <v>85</v>
      </c>
    </row>
    <row r="12" spans="1:6" x14ac:dyDescent="0.25">
      <c r="A12" s="32" t="s">
        <v>655</v>
      </c>
      <c r="B12" s="33" t="s">
        <v>656</v>
      </c>
      <c r="C12" s="33" t="s">
        <v>634</v>
      </c>
      <c r="D12" s="33" t="s">
        <v>630</v>
      </c>
      <c r="E12" s="33" t="s">
        <v>640</v>
      </c>
      <c r="F12" s="33" t="s">
        <v>462</v>
      </c>
    </row>
    <row r="13" spans="1:6" x14ac:dyDescent="0.25">
      <c r="A13" s="32" t="s">
        <v>655</v>
      </c>
      <c r="B13" s="33" t="s">
        <v>656</v>
      </c>
      <c r="C13" s="33" t="s">
        <v>634</v>
      </c>
      <c r="D13" s="33" t="s">
        <v>630</v>
      </c>
      <c r="E13" s="33" t="s">
        <v>661</v>
      </c>
      <c r="F13" s="34">
        <v>85</v>
      </c>
    </row>
    <row r="14" spans="1:6" x14ac:dyDescent="0.25">
      <c r="A14" s="32" t="s">
        <v>655</v>
      </c>
      <c r="B14" s="33" t="s">
        <v>656</v>
      </c>
      <c r="C14" s="33" t="s">
        <v>642</v>
      </c>
      <c r="D14" s="33" t="s">
        <v>621</v>
      </c>
      <c r="E14" s="33" t="s">
        <v>662</v>
      </c>
      <c r="F14" s="34">
        <v>9.75</v>
      </c>
    </row>
    <row r="15" spans="1:6" x14ac:dyDescent="0.25">
      <c r="A15" s="32" t="s">
        <v>655</v>
      </c>
      <c r="B15" s="33" t="s">
        <v>656</v>
      </c>
      <c r="C15" s="33" t="s">
        <v>642</v>
      </c>
      <c r="D15" s="33" t="s">
        <v>621</v>
      </c>
      <c r="E15" s="33" t="s">
        <v>663</v>
      </c>
      <c r="F15" s="34">
        <v>10</v>
      </c>
    </row>
    <row r="16" spans="1:6" x14ac:dyDescent="0.25">
      <c r="A16" s="32" t="s">
        <v>655</v>
      </c>
      <c r="B16" s="33" t="s">
        <v>656</v>
      </c>
      <c r="C16" s="33" t="s">
        <v>642</v>
      </c>
      <c r="D16" s="33" t="s">
        <v>621</v>
      </c>
      <c r="E16" s="33" t="s">
        <v>664</v>
      </c>
      <c r="F16" s="34">
        <v>11</v>
      </c>
    </row>
    <row r="17" spans="1:6" x14ac:dyDescent="0.25">
      <c r="A17" s="32" t="s">
        <v>655</v>
      </c>
      <c r="B17" s="33" t="s">
        <v>656</v>
      </c>
      <c r="C17" s="33" t="s">
        <v>642</v>
      </c>
      <c r="D17" s="33" t="s">
        <v>621</v>
      </c>
      <c r="E17" s="33" t="s">
        <v>665</v>
      </c>
      <c r="F17" s="34">
        <v>44</v>
      </c>
    </row>
    <row r="18" spans="1:6" x14ac:dyDescent="0.25">
      <c r="A18" s="32" t="s">
        <v>655</v>
      </c>
      <c r="B18" s="33" t="s">
        <v>656</v>
      </c>
      <c r="C18" s="33" t="s">
        <v>642</v>
      </c>
      <c r="D18" s="33" t="s">
        <v>630</v>
      </c>
      <c r="E18" s="33" t="s">
        <v>650</v>
      </c>
      <c r="F18" s="34">
        <v>100</v>
      </c>
    </row>
    <row r="19" spans="1:6" x14ac:dyDescent="0.25">
      <c r="A19" s="32" t="s">
        <v>655</v>
      </c>
      <c r="B19" s="33" t="s">
        <v>656</v>
      </c>
      <c r="C19" s="33" t="s">
        <v>642</v>
      </c>
      <c r="D19" s="33" t="s">
        <v>630</v>
      </c>
      <c r="E19" s="33" t="s">
        <v>651</v>
      </c>
      <c r="F19" s="33" t="s">
        <v>462</v>
      </c>
    </row>
    <row r="20" spans="1:6" x14ac:dyDescent="0.25">
      <c r="A20" s="32" t="s">
        <v>655</v>
      </c>
      <c r="B20" s="33" t="s">
        <v>656</v>
      </c>
      <c r="C20" s="33" t="s">
        <v>642</v>
      </c>
      <c r="D20" s="33" t="s">
        <v>630</v>
      </c>
      <c r="E20" s="33" t="s">
        <v>652</v>
      </c>
      <c r="F20" s="34">
        <v>100</v>
      </c>
    </row>
    <row r="21" spans="1:6" x14ac:dyDescent="0.25">
      <c r="A21" s="32" t="s">
        <v>655</v>
      </c>
      <c r="B21" s="33" t="s">
        <v>656</v>
      </c>
      <c r="C21" s="33" t="s">
        <v>653</v>
      </c>
      <c r="D21" s="33" t="s">
        <v>621</v>
      </c>
      <c r="E21" s="33" t="s">
        <v>666</v>
      </c>
      <c r="F21" s="34">
        <v>22</v>
      </c>
    </row>
    <row r="22" spans="1:6" x14ac:dyDescent="0.25">
      <c r="A22" s="32" t="s">
        <v>655</v>
      </c>
      <c r="B22" s="33" t="s">
        <v>656</v>
      </c>
      <c r="C22" s="33" t="s">
        <v>653</v>
      </c>
      <c r="D22" s="33" t="s">
        <v>621</v>
      </c>
      <c r="E22" s="33" t="s">
        <v>667</v>
      </c>
      <c r="F22" s="34">
        <v>9.0500000000000007</v>
      </c>
    </row>
    <row r="23" spans="1:6" x14ac:dyDescent="0.25">
      <c r="A23" s="32" t="s">
        <v>655</v>
      </c>
      <c r="B23" s="33" t="s">
        <v>656</v>
      </c>
      <c r="C23" s="33" t="s">
        <v>653</v>
      </c>
      <c r="D23" s="33" t="s">
        <v>653</v>
      </c>
      <c r="E23" s="33" t="s">
        <v>668</v>
      </c>
      <c r="F23" s="34">
        <v>5.5</v>
      </c>
    </row>
    <row r="24" spans="1:6" x14ac:dyDescent="0.25">
      <c r="A24" s="32" t="s">
        <v>655</v>
      </c>
      <c r="B24" s="33" t="s">
        <v>656</v>
      </c>
      <c r="C24" s="33" t="s">
        <v>653</v>
      </c>
      <c r="D24" s="33" t="s">
        <v>653</v>
      </c>
      <c r="E24" s="33" t="s">
        <v>669</v>
      </c>
      <c r="F24" s="34">
        <v>95</v>
      </c>
    </row>
    <row r="25" spans="1:6" x14ac:dyDescent="0.25">
      <c r="A25" s="32" t="s">
        <v>655</v>
      </c>
      <c r="B25" s="33" t="s">
        <v>656</v>
      </c>
      <c r="C25" s="33" t="s">
        <v>653</v>
      </c>
      <c r="D25" s="33" t="s">
        <v>653</v>
      </c>
      <c r="E25" s="33" t="s">
        <v>654</v>
      </c>
      <c r="F25" s="34">
        <v>92</v>
      </c>
    </row>
    <row r="26" spans="1:6" x14ac:dyDescent="0.25">
      <c r="A26" s="32" t="s">
        <v>670</v>
      </c>
      <c r="B26" s="33" t="s">
        <v>656</v>
      </c>
      <c r="C26" s="33" t="s">
        <v>620</v>
      </c>
      <c r="D26" s="33" t="s">
        <v>621</v>
      </c>
      <c r="E26" s="33" t="s">
        <v>657</v>
      </c>
      <c r="F26" s="34">
        <v>15</v>
      </c>
    </row>
    <row r="27" spans="1:6" x14ac:dyDescent="0.25">
      <c r="A27" s="32" t="s">
        <v>670</v>
      </c>
      <c r="B27" s="33" t="s">
        <v>656</v>
      </c>
      <c r="C27" s="33" t="s">
        <v>620</v>
      </c>
      <c r="D27" s="33" t="s">
        <v>621</v>
      </c>
      <c r="E27" s="33" t="s">
        <v>658</v>
      </c>
      <c r="F27" s="34">
        <v>0</v>
      </c>
    </row>
    <row r="28" spans="1:6" x14ac:dyDescent="0.25">
      <c r="A28" s="32" t="s">
        <v>670</v>
      </c>
      <c r="B28" s="33" t="s">
        <v>656</v>
      </c>
      <c r="C28" s="33" t="s">
        <v>620</v>
      </c>
      <c r="D28" s="33" t="s">
        <v>621</v>
      </c>
      <c r="E28" s="33" t="s">
        <v>629</v>
      </c>
      <c r="F28" s="34">
        <v>42.5</v>
      </c>
    </row>
    <row r="29" spans="1:6" x14ac:dyDescent="0.25">
      <c r="A29" s="32" t="s">
        <v>670</v>
      </c>
      <c r="B29" s="33" t="s">
        <v>656</v>
      </c>
      <c r="C29" s="33" t="s">
        <v>620</v>
      </c>
      <c r="D29" s="33" t="s">
        <v>630</v>
      </c>
      <c r="E29" s="33" t="s">
        <v>631</v>
      </c>
      <c r="F29" s="34">
        <v>82</v>
      </c>
    </row>
    <row r="30" spans="1:6" x14ac:dyDescent="0.25">
      <c r="A30" s="32" t="s">
        <v>670</v>
      </c>
      <c r="B30" s="33" t="s">
        <v>656</v>
      </c>
      <c r="C30" s="33" t="s">
        <v>620</v>
      </c>
      <c r="D30" s="33" t="s">
        <v>630</v>
      </c>
      <c r="E30" s="33" t="s">
        <v>632</v>
      </c>
      <c r="F30" s="33" t="s">
        <v>462</v>
      </c>
    </row>
    <row r="31" spans="1:6" x14ac:dyDescent="0.25">
      <c r="A31" s="32" t="s">
        <v>670</v>
      </c>
      <c r="B31" s="33" t="s">
        <v>656</v>
      </c>
      <c r="C31" s="33" t="s">
        <v>620</v>
      </c>
      <c r="D31" s="33" t="s">
        <v>630</v>
      </c>
      <c r="E31" s="33" t="s">
        <v>633</v>
      </c>
      <c r="F31" s="34">
        <v>82</v>
      </c>
    </row>
    <row r="32" spans="1:6" x14ac:dyDescent="0.25">
      <c r="A32" s="32" t="s">
        <v>670</v>
      </c>
      <c r="B32" s="33" t="s">
        <v>656</v>
      </c>
      <c r="C32" s="33" t="s">
        <v>634</v>
      </c>
      <c r="D32" s="33" t="s">
        <v>621</v>
      </c>
      <c r="E32" s="33" t="s">
        <v>659</v>
      </c>
      <c r="F32" s="34">
        <v>12</v>
      </c>
    </row>
    <row r="33" spans="1:6" x14ac:dyDescent="0.25">
      <c r="A33" s="32" t="s">
        <v>670</v>
      </c>
      <c r="B33" s="33" t="s">
        <v>656</v>
      </c>
      <c r="C33" s="33" t="s">
        <v>634</v>
      </c>
      <c r="D33" s="33" t="s">
        <v>621</v>
      </c>
      <c r="E33" s="33" t="s">
        <v>660</v>
      </c>
      <c r="F33" s="34">
        <v>12</v>
      </c>
    </row>
    <row r="34" spans="1:6" x14ac:dyDescent="0.25">
      <c r="A34" s="32" t="s">
        <v>670</v>
      </c>
      <c r="B34" s="33" t="s">
        <v>656</v>
      </c>
      <c r="C34" s="33" t="s">
        <v>634</v>
      </c>
      <c r="D34" s="33" t="s">
        <v>621</v>
      </c>
      <c r="E34" s="33" t="s">
        <v>638</v>
      </c>
      <c r="F34" s="34">
        <v>44</v>
      </c>
    </row>
    <row r="35" spans="1:6" x14ac:dyDescent="0.25">
      <c r="A35" s="32" t="s">
        <v>670</v>
      </c>
      <c r="B35" s="33" t="s">
        <v>656</v>
      </c>
      <c r="C35" s="33" t="s">
        <v>634</v>
      </c>
      <c r="D35" s="33" t="s">
        <v>630</v>
      </c>
      <c r="E35" s="33" t="s">
        <v>639</v>
      </c>
      <c r="F35" s="34">
        <v>78</v>
      </c>
    </row>
    <row r="36" spans="1:6" x14ac:dyDescent="0.25">
      <c r="A36" s="32" t="s">
        <v>670</v>
      </c>
      <c r="B36" s="33" t="s">
        <v>656</v>
      </c>
      <c r="C36" s="33" t="s">
        <v>634</v>
      </c>
      <c r="D36" s="33" t="s">
        <v>630</v>
      </c>
      <c r="E36" s="33" t="s">
        <v>640</v>
      </c>
      <c r="F36" s="33" t="s">
        <v>462</v>
      </c>
    </row>
    <row r="37" spans="1:6" x14ac:dyDescent="0.25">
      <c r="A37" s="32" t="s">
        <v>670</v>
      </c>
      <c r="B37" s="33" t="s">
        <v>656</v>
      </c>
      <c r="C37" s="33" t="s">
        <v>634</v>
      </c>
      <c r="D37" s="33" t="s">
        <v>630</v>
      </c>
      <c r="E37" s="33" t="s">
        <v>661</v>
      </c>
      <c r="F37" s="34">
        <v>78</v>
      </c>
    </row>
    <row r="38" spans="1:6" x14ac:dyDescent="0.25">
      <c r="A38" s="32" t="s">
        <v>670</v>
      </c>
      <c r="B38" s="33" t="s">
        <v>656</v>
      </c>
      <c r="C38" s="33" t="s">
        <v>642</v>
      </c>
      <c r="D38" s="33" t="s">
        <v>621</v>
      </c>
      <c r="E38" s="33" t="s">
        <v>662</v>
      </c>
      <c r="F38" s="34">
        <v>9.75</v>
      </c>
    </row>
    <row r="39" spans="1:6" x14ac:dyDescent="0.25">
      <c r="A39" s="32" t="s">
        <v>670</v>
      </c>
      <c r="B39" s="33" t="s">
        <v>656</v>
      </c>
      <c r="C39" s="33" t="s">
        <v>642</v>
      </c>
      <c r="D39" s="33" t="s">
        <v>621</v>
      </c>
      <c r="E39" s="33" t="s">
        <v>663</v>
      </c>
      <c r="F39" s="34">
        <v>9</v>
      </c>
    </row>
    <row r="40" spans="1:6" x14ac:dyDescent="0.25">
      <c r="A40" s="32" t="s">
        <v>670</v>
      </c>
      <c r="B40" s="33" t="s">
        <v>656</v>
      </c>
      <c r="C40" s="33" t="s">
        <v>642</v>
      </c>
      <c r="D40" s="33" t="s">
        <v>621</v>
      </c>
      <c r="E40" s="33" t="s">
        <v>664</v>
      </c>
      <c r="F40" s="34">
        <v>9</v>
      </c>
    </row>
    <row r="41" spans="1:6" x14ac:dyDescent="0.25">
      <c r="A41" s="32" t="s">
        <v>670</v>
      </c>
      <c r="B41" s="33" t="s">
        <v>656</v>
      </c>
      <c r="C41" s="33" t="s">
        <v>642</v>
      </c>
      <c r="D41" s="33" t="s">
        <v>621</v>
      </c>
      <c r="E41" s="33" t="s">
        <v>665</v>
      </c>
      <c r="F41" s="34">
        <v>39</v>
      </c>
    </row>
    <row r="42" spans="1:6" x14ac:dyDescent="0.25">
      <c r="A42" s="32" t="s">
        <v>670</v>
      </c>
      <c r="B42" s="33" t="s">
        <v>656</v>
      </c>
      <c r="C42" s="33" t="s">
        <v>642</v>
      </c>
      <c r="D42" s="33" t="s">
        <v>630</v>
      </c>
      <c r="E42" s="33" t="s">
        <v>650</v>
      </c>
      <c r="F42" s="34">
        <v>75</v>
      </c>
    </row>
    <row r="43" spans="1:6" x14ac:dyDescent="0.25">
      <c r="A43" s="32" t="s">
        <v>670</v>
      </c>
      <c r="B43" s="33" t="s">
        <v>656</v>
      </c>
      <c r="C43" s="33" t="s">
        <v>642</v>
      </c>
      <c r="D43" s="33" t="s">
        <v>630</v>
      </c>
      <c r="E43" s="33" t="s">
        <v>651</v>
      </c>
      <c r="F43" s="33" t="s">
        <v>462</v>
      </c>
    </row>
    <row r="44" spans="1:6" x14ac:dyDescent="0.25">
      <c r="A44" s="32" t="s">
        <v>670</v>
      </c>
      <c r="B44" s="33" t="s">
        <v>656</v>
      </c>
      <c r="C44" s="33" t="s">
        <v>642</v>
      </c>
      <c r="D44" s="33" t="s">
        <v>630</v>
      </c>
      <c r="E44" s="33" t="s">
        <v>652</v>
      </c>
      <c r="F44" s="34">
        <v>75</v>
      </c>
    </row>
    <row r="45" spans="1:6" x14ac:dyDescent="0.25">
      <c r="A45" s="32" t="s">
        <v>670</v>
      </c>
      <c r="B45" s="33" t="s">
        <v>656</v>
      </c>
      <c r="C45" s="33" t="s">
        <v>653</v>
      </c>
      <c r="D45" s="33" t="s">
        <v>621</v>
      </c>
      <c r="E45" s="33" t="s">
        <v>666</v>
      </c>
      <c r="F45" s="34">
        <v>0</v>
      </c>
    </row>
    <row r="46" spans="1:6" x14ac:dyDescent="0.25">
      <c r="A46" s="32" t="s">
        <v>670</v>
      </c>
      <c r="B46" s="33" t="s">
        <v>656</v>
      </c>
      <c r="C46" s="33" t="s">
        <v>653</v>
      </c>
      <c r="D46" s="33" t="s">
        <v>621</v>
      </c>
      <c r="E46" s="33" t="s">
        <v>667</v>
      </c>
      <c r="F46" s="34">
        <v>0</v>
      </c>
    </row>
    <row r="47" spans="1:6" x14ac:dyDescent="0.25">
      <c r="A47" s="32" t="s">
        <v>670</v>
      </c>
      <c r="B47" s="33" t="s">
        <v>656</v>
      </c>
      <c r="C47" s="33" t="s">
        <v>653</v>
      </c>
      <c r="D47" s="33" t="s">
        <v>653</v>
      </c>
      <c r="E47" s="33" t="s">
        <v>668</v>
      </c>
      <c r="F47" s="34">
        <v>0</v>
      </c>
    </row>
    <row r="48" spans="1:6" x14ac:dyDescent="0.25">
      <c r="A48" s="32" t="s">
        <v>670</v>
      </c>
      <c r="B48" s="33" t="s">
        <v>656</v>
      </c>
      <c r="C48" s="33" t="s">
        <v>653</v>
      </c>
      <c r="D48" s="33" t="s">
        <v>653</v>
      </c>
      <c r="E48" s="33" t="s">
        <v>669</v>
      </c>
      <c r="F48" s="34">
        <v>0</v>
      </c>
    </row>
    <row r="49" spans="1:6" x14ac:dyDescent="0.25">
      <c r="A49" s="32" t="s">
        <v>670</v>
      </c>
      <c r="B49" s="33" t="s">
        <v>656</v>
      </c>
      <c r="C49" s="33" t="s">
        <v>653</v>
      </c>
      <c r="D49" s="33" t="s">
        <v>653</v>
      </c>
      <c r="E49" s="33" t="s">
        <v>654</v>
      </c>
      <c r="F49" s="34">
        <v>0</v>
      </c>
    </row>
    <row r="50" spans="1:6" x14ac:dyDescent="0.25">
      <c r="A50" s="32" t="s">
        <v>671</v>
      </c>
      <c r="B50" s="33" t="s">
        <v>656</v>
      </c>
      <c r="C50" s="33" t="s">
        <v>620</v>
      </c>
      <c r="D50" s="33" t="s">
        <v>621</v>
      </c>
      <c r="E50" s="33" t="s">
        <v>657</v>
      </c>
      <c r="F50" s="34">
        <v>14</v>
      </c>
    </row>
    <row r="51" spans="1:6" x14ac:dyDescent="0.25">
      <c r="A51" s="32" t="s">
        <v>671</v>
      </c>
      <c r="B51" s="33" t="s">
        <v>656</v>
      </c>
      <c r="C51" s="33" t="s">
        <v>620</v>
      </c>
      <c r="D51" s="33" t="s">
        <v>621</v>
      </c>
      <c r="E51" s="33" t="s">
        <v>658</v>
      </c>
      <c r="F51" s="34">
        <v>13.75</v>
      </c>
    </row>
    <row r="52" spans="1:6" x14ac:dyDescent="0.25">
      <c r="A52" s="32" t="s">
        <v>671</v>
      </c>
      <c r="B52" s="33" t="s">
        <v>656</v>
      </c>
      <c r="C52" s="33" t="s">
        <v>620</v>
      </c>
      <c r="D52" s="33" t="s">
        <v>621</v>
      </c>
      <c r="E52" s="33" t="s">
        <v>629</v>
      </c>
      <c r="F52" s="34">
        <v>39</v>
      </c>
    </row>
    <row r="53" spans="1:6" x14ac:dyDescent="0.25">
      <c r="A53" s="32" t="s">
        <v>671</v>
      </c>
      <c r="B53" s="33" t="s">
        <v>656</v>
      </c>
      <c r="C53" s="33" t="s">
        <v>620</v>
      </c>
      <c r="D53" s="33" t="s">
        <v>630</v>
      </c>
      <c r="E53" s="33" t="s">
        <v>631</v>
      </c>
      <c r="F53" s="34">
        <v>95</v>
      </c>
    </row>
    <row r="54" spans="1:6" x14ac:dyDescent="0.25">
      <c r="A54" s="32" t="s">
        <v>671</v>
      </c>
      <c r="B54" s="33" t="s">
        <v>656</v>
      </c>
      <c r="C54" s="33" t="s">
        <v>620</v>
      </c>
      <c r="D54" s="33" t="s">
        <v>630</v>
      </c>
      <c r="E54" s="33" t="s">
        <v>632</v>
      </c>
      <c r="F54" s="33" t="s">
        <v>462</v>
      </c>
    </row>
    <row r="55" spans="1:6" x14ac:dyDescent="0.25">
      <c r="A55" s="32" t="s">
        <v>671</v>
      </c>
      <c r="B55" s="33" t="s">
        <v>656</v>
      </c>
      <c r="C55" s="33" t="s">
        <v>620</v>
      </c>
      <c r="D55" s="33" t="s">
        <v>630</v>
      </c>
      <c r="E55" s="33" t="s">
        <v>633</v>
      </c>
      <c r="F55" s="34">
        <v>95</v>
      </c>
    </row>
    <row r="56" spans="1:6" x14ac:dyDescent="0.25">
      <c r="A56" s="32" t="s">
        <v>671</v>
      </c>
      <c r="B56" s="33" t="s">
        <v>656</v>
      </c>
      <c r="C56" s="33" t="s">
        <v>634</v>
      </c>
      <c r="D56" s="33" t="s">
        <v>621</v>
      </c>
      <c r="E56" s="33" t="s">
        <v>659</v>
      </c>
      <c r="F56" s="34">
        <v>15</v>
      </c>
    </row>
    <row r="57" spans="1:6" x14ac:dyDescent="0.25">
      <c r="A57" s="32" t="s">
        <v>671</v>
      </c>
      <c r="B57" s="33" t="s">
        <v>656</v>
      </c>
      <c r="C57" s="33" t="s">
        <v>634</v>
      </c>
      <c r="D57" s="33" t="s">
        <v>621</v>
      </c>
      <c r="E57" s="33" t="s">
        <v>660</v>
      </c>
      <c r="F57" s="34">
        <v>10</v>
      </c>
    </row>
    <row r="58" spans="1:6" x14ac:dyDescent="0.25">
      <c r="A58" s="32" t="s">
        <v>671</v>
      </c>
      <c r="B58" s="33" t="s">
        <v>656</v>
      </c>
      <c r="C58" s="33" t="s">
        <v>634</v>
      </c>
      <c r="D58" s="33" t="s">
        <v>621</v>
      </c>
      <c r="E58" s="33" t="s">
        <v>638</v>
      </c>
      <c r="F58" s="34">
        <v>47.5</v>
      </c>
    </row>
    <row r="59" spans="1:6" x14ac:dyDescent="0.25">
      <c r="A59" s="32" t="s">
        <v>671</v>
      </c>
      <c r="B59" s="33" t="s">
        <v>656</v>
      </c>
      <c r="C59" s="33" t="s">
        <v>634</v>
      </c>
      <c r="D59" s="33" t="s">
        <v>630</v>
      </c>
      <c r="E59" s="33" t="s">
        <v>639</v>
      </c>
      <c r="F59" s="34">
        <v>85</v>
      </c>
    </row>
    <row r="60" spans="1:6" x14ac:dyDescent="0.25">
      <c r="A60" s="32" t="s">
        <v>671</v>
      </c>
      <c r="B60" s="33" t="s">
        <v>656</v>
      </c>
      <c r="C60" s="33" t="s">
        <v>634</v>
      </c>
      <c r="D60" s="33" t="s">
        <v>630</v>
      </c>
      <c r="E60" s="33" t="s">
        <v>640</v>
      </c>
      <c r="F60" s="33" t="s">
        <v>462</v>
      </c>
    </row>
    <row r="61" spans="1:6" x14ac:dyDescent="0.25">
      <c r="A61" s="32" t="s">
        <v>671</v>
      </c>
      <c r="B61" s="33" t="s">
        <v>656</v>
      </c>
      <c r="C61" s="33" t="s">
        <v>634</v>
      </c>
      <c r="D61" s="33" t="s">
        <v>630</v>
      </c>
      <c r="E61" s="33" t="s">
        <v>661</v>
      </c>
      <c r="F61" s="34">
        <v>85</v>
      </c>
    </row>
    <row r="62" spans="1:6" x14ac:dyDescent="0.25">
      <c r="A62" s="32" t="s">
        <v>671</v>
      </c>
      <c r="B62" s="33" t="s">
        <v>656</v>
      </c>
      <c r="C62" s="33" t="s">
        <v>642</v>
      </c>
      <c r="D62" s="33" t="s">
        <v>621</v>
      </c>
      <c r="E62" s="33" t="s">
        <v>662</v>
      </c>
      <c r="F62" s="34">
        <v>9</v>
      </c>
    </row>
    <row r="63" spans="1:6" x14ac:dyDescent="0.25">
      <c r="A63" s="32" t="s">
        <v>671</v>
      </c>
      <c r="B63" s="33" t="s">
        <v>656</v>
      </c>
      <c r="C63" s="33" t="s">
        <v>642</v>
      </c>
      <c r="D63" s="33" t="s">
        <v>621</v>
      </c>
      <c r="E63" s="33" t="s">
        <v>663</v>
      </c>
      <c r="F63" s="34">
        <v>10</v>
      </c>
    </row>
    <row r="64" spans="1:6" x14ac:dyDescent="0.25">
      <c r="A64" s="32" t="s">
        <v>671</v>
      </c>
      <c r="B64" s="33" t="s">
        <v>656</v>
      </c>
      <c r="C64" s="33" t="s">
        <v>642</v>
      </c>
      <c r="D64" s="33" t="s">
        <v>621</v>
      </c>
      <c r="E64" s="33" t="s">
        <v>664</v>
      </c>
      <c r="F64" s="34">
        <v>10</v>
      </c>
    </row>
    <row r="65" spans="1:6" x14ac:dyDescent="0.25">
      <c r="A65" s="32" t="s">
        <v>671</v>
      </c>
      <c r="B65" s="33" t="s">
        <v>656</v>
      </c>
      <c r="C65" s="33" t="s">
        <v>642</v>
      </c>
      <c r="D65" s="33" t="s">
        <v>621</v>
      </c>
      <c r="E65" s="33" t="s">
        <v>665</v>
      </c>
      <c r="F65" s="34">
        <v>41</v>
      </c>
    </row>
    <row r="66" spans="1:6" x14ac:dyDescent="0.25">
      <c r="A66" s="32" t="s">
        <v>671</v>
      </c>
      <c r="B66" s="33" t="s">
        <v>656</v>
      </c>
      <c r="C66" s="33" t="s">
        <v>642</v>
      </c>
      <c r="D66" s="33" t="s">
        <v>630</v>
      </c>
      <c r="E66" s="33" t="s">
        <v>650</v>
      </c>
      <c r="F66" s="34">
        <v>85</v>
      </c>
    </row>
    <row r="67" spans="1:6" x14ac:dyDescent="0.25">
      <c r="A67" s="32" t="s">
        <v>671</v>
      </c>
      <c r="B67" s="33" t="s">
        <v>656</v>
      </c>
      <c r="C67" s="33" t="s">
        <v>642</v>
      </c>
      <c r="D67" s="33" t="s">
        <v>630</v>
      </c>
      <c r="E67" s="33" t="s">
        <v>651</v>
      </c>
      <c r="F67" s="33" t="s">
        <v>462</v>
      </c>
    </row>
    <row r="68" spans="1:6" x14ac:dyDescent="0.25">
      <c r="A68" s="32" t="s">
        <v>671</v>
      </c>
      <c r="B68" s="33" t="s">
        <v>656</v>
      </c>
      <c r="C68" s="33" t="s">
        <v>642</v>
      </c>
      <c r="D68" s="33" t="s">
        <v>630</v>
      </c>
      <c r="E68" s="33" t="s">
        <v>652</v>
      </c>
      <c r="F68" s="34">
        <v>85</v>
      </c>
    </row>
    <row r="69" spans="1:6" x14ac:dyDescent="0.25">
      <c r="A69" s="32" t="s">
        <v>671</v>
      </c>
      <c r="B69" s="33" t="s">
        <v>656</v>
      </c>
      <c r="C69" s="33" t="s">
        <v>653</v>
      </c>
      <c r="D69" s="33" t="s">
        <v>621</v>
      </c>
      <c r="E69" s="33" t="s">
        <v>666</v>
      </c>
      <c r="F69" s="34">
        <v>20</v>
      </c>
    </row>
    <row r="70" spans="1:6" x14ac:dyDescent="0.25">
      <c r="A70" s="32" t="s">
        <v>671</v>
      </c>
      <c r="B70" s="33" t="s">
        <v>656</v>
      </c>
      <c r="C70" s="33" t="s">
        <v>653</v>
      </c>
      <c r="D70" s="33" t="s">
        <v>621</v>
      </c>
      <c r="E70" s="33" t="s">
        <v>667</v>
      </c>
      <c r="F70" s="34">
        <v>8.35</v>
      </c>
    </row>
    <row r="71" spans="1:6" x14ac:dyDescent="0.25">
      <c r="A71" s="32" t="s">
        <v>671</v>
      </c>
      <c r="B71" s="33" t="s">
        <v>656</v>
      </c>
      <c r="C71" s="33" t="s">
        <v>653</v>
      </c>
      <c r="D71" s="33" t="s">
        <v>653</v>
      </c>
      <c r="E71" s="33" t="s">
        <v>668</v>
      </c>
      <c r="F71" s="34">
        <v>21</v>
      </c>
    </row>
    <row r="72" spans="1:6" x14ac:dyDescent="0.25">
      <c r="A72" s="32" t="s">
        <v>671</v>
      </c>
      <c r="B72" s="33" t="s">
        <v>656</v>
      </c>
      <c r="C72" s="33" t="s">
        <v>653</v>
      </c>
      <c r="D72" s="33" t="s">
        <v>653</v>
      </c>
      <c r="E72" s="33" t="s">
        <v>669</v>
      </c>
      <c r="F72" s="34">
        <v>95</v>
      </c>
    </row>
    <row r="73" spans="1:6" x14ac:dyDescent="0.25">
      <c r="A73" s="34">
        <v>74</v>
      </c>
      <c r="B73" s="33" t="s">
        <v>656</v>
      </c>
      <c r="C73" s="33" t="s">
        <v>653</v>
      </c>
      <c r="D73" s="33" t="s">
        <v>653</v>
      </c>
      <c r="E73" s="33" t="s">
        <v>654</v>
      </c>
      <c r="F73" s="34">
        <v>82</v>
      </c>
    </row>
    <row r="74" spans="1:6" x14ac:dyDescent="0.25">
      <c r="A74" s="34">
        <v>75</v>
      </c>
      <c r="B74" s="33" t="s">
        <v>656</v>
      </c>
      <c r="C74" s="33" t="s">
        <v>620</v>
      </c>
      <c r="D74" s="33" t="s">
        <v>621</v>
      </c>
      <c r="E74" s="33" t="s">
        <v>657</v>
      </c>
      <c r="F74" s="34">
        <v>14</v>
      </c>
    </row>
    <row r="75" spans="1:6" x14ac:dyDescent="0.25">
      <c r="A75" s="34">
        <v>75</v>
      </c>
      <c r="B75" s="33" t="s">
        <v>656</v>
      </c>
      <c r="C75" s="33" t="s">
        <v>620</v>
      </c>
      <c r="D75" s="33" t="s">
        <v>621</v>
      </c>
      <c r="E75" s="33" t="s">
        <v>658</v>
      </c>
      <c r="F75" s="34">
        <v>14</v>
      </c>
    </row>
    <row r="76" spans="1:6" x14ac:dyDescent="0.25">
      <c r="A76" s="34">
        <v>75</v>
      </c>
      <c r="B76" s="33" t="s">
        <v>656</v>
      </c>
      <c r="C76" s="33" t="s">
        <v>620</v>
      </c>
      <c r="D76" s="33" t="s">
        <v>621</v>
      </c>
      <c r="E76" s="33" t="s">
        <v>629</v>
      </c>
      <c r="F76" s="34">
        <v>46</v>
      </c>
    </row>
    <row r="77" spans="1:6" x14ac:dyDescent="0.25">
      <c r="A77" s="34">
        <v>75</v>
      </c>
      <c r="B77" s="33" t="s">
        <v>656</v>
      </c>
      <c r="C77" s="33" t="s">
        <v>620</v>
      </c>
      <c r="D77" s="33" t="s">
        <v>630</v>
      </c>
      <c r="E77" s="33" t="s">
        <v>631</v>
      </c>
      <c r="F77" s="34">
        <v>82</v>
      </c>
    </row>
    <row r="78" spans="1:6" x14ac:dyDescent="0.25">
      <c r="A78" s="34">
        <v>75</v>
      </c>
      <c r="B78" s="33" t="s">
        <v>656</v>
      </c>
      <c r="C78" s="33" t="s">
        <v>620</v>
      </c>
      <c r="D78" s="33" t="s">
        <v>630</v>
      </c>
      <c r="E78" s="33" t="s">
        <v>632</v>
      </c>
      <c r="F78" s="33" t="s">
        <v>462</v>
      </c>
    </row>
    <row r="79" spans="1:6" x14ac:dyDescent="0.25">
      <c r="A79" s="34">
        <v>75</v>
      </c>
      <c r="B79" s="33" t="s">
        <v>656</v>
      </c>
      <c r="C79" s="33" t="s">
        <v>620</v>
      </c>
      <c r="D79" s="33" t="s">
        <v>630</v>
      </c>
      <c r="E79" s="33" t="s">
        <v>633</v>
      </c>
      <c r="F79" s="34">
        <v>82</v>
      </c>
    </row>
    <row r="80" spans="1:6" x14ac:dyDescent="0.25">
      <c r="A80" s="34">
        <v>75</v>
      </c>
      <c r="B80" s="33" t="s">
        <v>656</v>
      </c>
      <c r="C80" s="33" t="s">
        <v>634</v>
      </c>
      <c r="D80" s="33" t="s">
        <v>621</v>
      </c>
      <c r="E80" s="33" t="s">
        <v>659</v>
      </c>
      <c r="F80" s="34">
        <v>15</v>
      </c>
    </row>
    <row r="81" spans="1:6" x14ac:dyDescent="0.25">
      <c r="A81" s="34">
        <v>75</v>
      </c>
      <c r="B81" s="33" t="s">
        <v>656</v>
      </c>
      <c r="C81" s="33" t="s">
        <v>634</v>
      </c>
      <c r="D81" s="33" t="s">
        <v>621</v>
      </c>
      <c r="E81" s="33" t="s">
        <v>660</v>
      </c>
      <c r="F81" s="34">
        <v>10</v>
      </c>
    </row>
    <row r="82" spans="1:6" x14ac:dyDescent="0.25">
      <c r="A82" s="34">
        <v>75</v>
      </c>
      <c r="B82" s="33" t="s">
        <v>656</v>
      </c>
      <c r="C82" s="33" t="s">
        <v>634</v>
      </c>
      <c r="D82" s="33" t="s">
        <v>621</v>
      </c>
      <c r="E82" s="33" t="s">
        <v>638</v>
      </c>
      <c r="F82" s="34">
        <v>41</v>
      </c>
    </row>
    <row r="83" spans="1:6" x14ac:dyDescent="0.25">
      <c r="A83" s="34">
        <v>75</v>
      </c>
      <c r="B83" s="33" t="s">
        <v>656</v>
      </c>
      <c r="C83" s="33" t="s">
        <v>634</v>
      </c>
      <c r="D83" s="33" t="s">
        <v>630</v>
      </c>
      <c r="E83" s="33" t="s">
        <v>639</v>
      </c>
      <c r="F83" s="34">
        <v>72</v>
      </c>
    </row>
    <row r="84" spans="1:6" x14ac:dyDescent="0.25">
      <c r="A84" s="34">
        <v>75</v>
      </c>
      <c r="B84" s="33" t="s">
        <v>656</v>
      </c>
      <c r="C84" s="33" t="s">
        <v>634</v>
      </c>
      <c r="D84" s="33" t="s">
        <v>630</v>
      </c>
      <c r="E84" s="33" t="s">
        <v>640</v>
      </c>
      <c r="F84" s="34">
        <v>88</v>
      </c>
    </row>
    <row r="85" spans="1:6" x14ac:dyDescent="0.25">
      <c r="A85" s="34">
        <v>75</v>
      </c>
      <c r="B85" s="33" t="s">
        <v>656</v>
      </c>
      <c r="C85" s="33" t="s">
        <v>634</v>
      </c>
      <c r="D85" s="33" t="s">
        <v>630</v>
      </c>
      <c r="E85" s="33" t="s">
        <v>661</v>
      </c>
      <c r="F85" s="34">
        <v>88</v>
      </c>
    </row>
    <row r="86" spans="1:6" x14ac:dyDescent="0.25">
      <c r="A86" s="34">
        <v>75</v>
      </c>
      <c r="B86" s="33" t="s">
        <v>656</v>
      </c>
      <c r="C86" s="33" t="s">
        <v>642</v>
      </c>
      <c r="D86" s="33" t="s">
        <v>621</v>
      </c>
      <c r="E86" s="33" t="s">
        <v>662</v>
      </c>
      <c r="F86" s="34">
        <v>8.5</v>
      </c>
    </row>
    <row r="87" spans="1:6" x14ac:dyDescent="0.25">
      <c r="A87" s="34">
        <v>75</v>
      </c>
      <c r="B87" s="33" t="s">
        <v>656</v>
      </c>
      <c r="C87" s="33" t="s">
        <v>642</v>
      </c>
      <c r="D87" s="33" t="s">
        <v>621</v>
      </c>
      <c r="E87" s="33" t="s">
        <v>663</v>
      </c>
      <c r="F87" s="34">
        <v>10</v>
      </c>
    </row>
    <row r="88" spans="1:6" x14ac:dyDescent="0.25">
      <c r="A88" s="34">
        <v>75</v>
      </c>
      <c r="B88" s="33" t="s">
        <v>656</v>
      </c>
      <c r="C88" s="33" t="s">
        <v>642</v>
      </c>
      <c r="D88" s="33" t="s">
        <v>621</v>
      </c>
      <c r="E88" s="33" t="s">
        <v>664</v>
      </c>
      <c r="F88" s="34">
        <v>10</v>
      </c>
    </row>
    <row r="89" spans="1:6" x14ac:dyDescent="0.25">
      <c r="A89" s="34">
        <v>75</v>
      </c>
      <c r="B89" s="33" t="s">
        <v>656</v>
      </c>
      <c r="C89" s="33" t="s">
        <v>642</v>
      </c>
      <c r="D89" s="33" t="s">
        <v>621</v>
      </c>
      <c r="E89" s="33" t="s">
        <v>665</v>
      </c>
      <c r="F89" s="34">
        <v>41</v>
      </c>
    </row>
    <row r="90" spans="1:6" x14ac:dyDescent="0.25">
      <c r="A90" s="34">
        <v>75</v>
      </c>
      <c r="B90" s="33" t="s">
        <v>656</v>
      </c>
      <c r="C90" s="33" t="s">
        <v>642</v>
      </c>
      <c r="D90" s="33" t="s">
        <v>630</v>
      </c>
      <c r="E90" s="33" t="s">
        <v>650</v>
      </c>
      <c r="F90" s="34">
        <v>78</v>
      </c>
    </row>
    <row r="91" spans="1:6" x14ac:dyDescent="0.25">
      <c r="A91" s="34">
        <v>75</v>
      </c>
      <c r="B91" s="33" t="s">
        <v>656</v>
      </c>
      <c r="C91" s="33" t="s">
        <v>642</v>
      </c>
      <c r="D91" s="33" t="s">
        <v>630</v>
      </c>
      <c r="E91" s="33" t="s">
        <v>651</v>
      </c>
      <c r="F91" s="34">
        <v>72</v>
      </c>
    </row>
    <row r="92" spans="1:6" x14ac:dyDescent="0.25">
      <c r="A92" s="34">
        <v>75</v>
      </c>
      <c r="B92" s="33" t="s">
        <v>656</v>
      </c>
      <c r="C92" s="33" t="s">
        <v>642</v>
      </c>
      <c r="D92" s="33" t="s">
        <v>630</v>
      </c>
      <c r="E92" s="33" t="s">
        <v>652</v>
      </c>
      <c r="F92" s="34">
        <v>78</v>
      </c>
    </row>
    <row r="93" spans="1:6" x14ac:dyDescent="0.25">
      <c r="A93" s="34">
        <v>75</v>
      </c>
      <c r="B93" s="33" t="s">
        <v>656</v>
      </c>
      <c r="C93" s="33" t="s">
        <v>653</v>
      </c>
      <c r="D93" s="33" t="s">
        <v>621</v>
      </c>
      <c r="E93" s="33" t="s">
        <v>666</v>
      </c>
      <c r="F93" s="34">
        <v>22</v>
      </c>
    </row>
    <row r="94" spans="1:6" x14ac:dyDescent="0.25">
      <c r="A94" s="34">
        <v>75</v>
      </c>
      <c r="B94" s="33" t="s">
        <v>656</v>
      </c>
      <c r="C94" s="33" t="s">
        <v>653</v>
      </c>
      <c r="D94" s="33" t="s">
        <v>621</v>
      </c>
      <c r="E94" s="33" t="s">
        <v>667</v>
      </c>
      <c r="F94" s="34">
        <v>9</v>
      </c>
    </row>
    <row r="95" spans="1:6" x14ac:dyDescent="0.25">
      <c r="A95" s="34">
        <v>75</v>
      </c>
      <c r="B95" s="33" t="s">
        <v>656</v>
      </c>
      <c r="C95" s="33" t="s">
        <v>653</v>
      </c>
      <c r="D95" s="33" t="s">
        <v>653</v>
      </c>
      <c r="E95" s="33" t="s">
        <v>668</v>
      </c>
      <c r="F95" s="34">
        <v>0</v>
      </c>
    </row>
    <row r="96" spans="1:6" x14ac:dyDescent="0.25">
      <c r="A96" s="34">
        <v>75</v>
      </c>
      <c r="B96" s="33" t="s">
        <v>656</v>
      </c>
      <c r="C96" s="33" t="s">
        <v>653</v>
      </c>
      <c r="D96" s="33" t="s">
        <v>653</v>
      </c>
      <c r="E96" s="33" t="s">
        <v>669</v>
      </c>
      <c r="F96" s="34">
        <v>85</v>
      </c>
    </row>
    <row r="97" spans="1:6" x14ac:dyDescent="0.25">
      <c r="A97" s="34">
        <v>75</v>
      </c>
      <c r="B97" s="33" t="s">
        <v>656</v>
      </c>
      <c r="C97" s="33" t="s">
        <v>653</v>
      </c>
      <c r="D97" s="33" t="s">
        <v>653</v>
      </c>
      <c r="E97" s="33" t="s">
        <v>654</v>
      </c>
      <c r="F97" s="34">
        <v>92</v>
      </c>
    </row>
    <row r="98" spans="1:6" x14ac:dyDescent="0.25">
      <c r="A98" s="34">
        <v>76</v>
      </c>
      <c r="B98" s="33" t="s">
        <v>656</v>
      </c>
      <c r="C98" s="33" t="s">
        <v>620</v>
      </c>
      <c r="D98" s="33" t="s">
        <v>621</v>
      </c>
      <c r="E98" s="33" t="s">
        <v>657</v>
      </c>
      <c r="F98" s="33" t="s">
        <v>462</v>
      </c>
    </row>
    <row r="99" spans="1:6" x14ac:dyDescent="0.25">
      <c r="A99" s="34">
        <v>76</v>
      </c>
      <c r="B99" s="33" t="s">
        <v>656</v>
      </c>
      <c r="C99" s="33" t="s">
        <v>620</v>
      </c>
      <c r="D99" s="33" t="s">
        <v>621</v>
      </c>
      <c r="E99" s="33" t="s">
        <v>658</v>
      </c>
      <c r="F99" s="33" t="s">
        <v>462</v>
      </c>
    </row>
    <row r="100" spans="1:6" x14ac:dyDescent="0.25">
      <c r="A100" s="34">
        <v>76</v>
      </c>
      <c r="B100" s="33" t="s">
        <v>656</v>
      </c>
      <c r="C100" s="33" t="s">
        <v>620</v>
      </c>
      <c r="D100" s="33" t="s">
        <v>621</v>
      </c>
      <c r="E100" s="33" t="s">
        <v>629</v>
      </c>
      <c r="F100" s="33" t="s">
        <v>462</v>
      </c>
    </row>
    <row r="101" spans="1:6" x14ac:dyDescent="0.25">
      <c r="A101" s="34">
        <v>76</v>
      </c>
      <c r="B101" s="33" t="s">
        <v>656</v>
      </c>
      <c r="C101" s="33" t="s">
        <v>620</v>
      </c>
      <c r="D101" s="33" t="s">
        <v>630</v>
      </c>
      <c r="E101" s="33" t="s">
        <v>631</v>
      </c>
      <c r="F101" s="34">
        <v>92</v>
      </c>
    </row>
    <row r="102" spans="1:6" x14ac:dyDescent="0.25">
      <c r="A102" s="34">
        <v>76</v>
      </c>
      <c r="B102" s="33" t="s">
        <v>656</v>
      </c>
      <c r="C102" s="33" t="s">
        <v>620</v>
      </c>
      <c r="D102" s="33" t="s">
        <v>630</v>
      </c>
      <c r="E102" s="33" t="s">
        <v>632</v>
      </c>
      <c r="F102" s="33" t="s">
        <v>462</v>
      </c>
    </row>
    <row r="103" spans="1:6" x14ac:dyDescent="0.25">
      <c r="A103" s="34">
        <v>76</v>
      </c>
      <c r="B103" s="33" t="s">
        <v>656</v>
      </c>
      <c r="C103" s="33" t="s">
        <v>620</v>
      </c>
      <c r="D103" s="33" t="s">
        <v>630</v>
      </c>
      <c r="E103" s="33" t="s">
        <v>633</v>
      </c>
      <c r="F103" s="34">
        <v>92</v>
      </c>
    </row>
    <row r="104" spans="1:6" x14ac:dyDescent="0.25">
      <c r="A104" s="34">
        <v>76</v>
      </c>
      <c r="B104" s="33" t="s">
        <v>656</v>
      </c>
      <c r="C104" s="33" t="s">
        <v>634</v>
      </c>
      <c r="D104" s="33" t="s">
        <v>621</v>
      </c>
      <c r="E104" s="33" t="s">
        <v>659</v>
      </c>
      <c r="F104" s="34">
        <v>18</v>
      </c>
    </row>
    <row r="105" spans="1:6" x14ac:dyDescent="0.25">
      <c r="A105" s="34">
        <v>76</v>
      </c>
      <c r="B105" s="33" t="s">
        <v>656</v>
      </c>
      <c r="C105" s="33" t="s">
        <v>634</v>
      </c>
      <c r="D105" s="33" t="s">
        <v>621</v>
      </c>
      <c r="E105" s="33" t="s">
        <v>660</v>
      </c>
      <c r="F105" s="34">
        <v>12</v>
      </c>
    </row>
    <row r="106" spans="1:6" x14ac:dyDescent="0.25">
      <c r="A106" s="34">
        <v>76</v>
      </c>
      <c r="B106" s="33" t="s">
        <v>656</v>
      </c>
      <c r="C106" s="33" t="s">
        <v>634</v>
      </c>
      <c r="D106" s="33" t="s">
        <v>621</v>
      </c>
      <c r="E106" s="33" t="s">
        <v>638</v>
      </c>
      <c r="F106" s="34">
        <v>44</v>
      </c>
    </row>
    <row r="107" spans="1:6" x14ac:dyDescent="0.25">
      <c r="A107" s="34">
        <v>76</v>
      </c>
      <c r="B107" s="33" t="s">
        <v>656</v>
      </c>
      <c r="C107" s="33" t="s">
        <v>634</v>
      </c>
      <c r="D107" s="33" t="s">
        <v>630</v>
      </c>
      <c r="E107" s="33" t="s">
        <v>639</v>
      </c>
      <c r="F107" s="34">
        <v>95</v>
      </c>
    </row>
    <row r="108" spans="1:6" x14ac:dyDescent="0.25">
      <c r="A108" s="34">
        <v>76</v>
      </c>
      <c r="B108" s="33" t="s">
        <v>656</v>
      </c>
      <c r="C108" s="33" t="s">
        <v>634</v>
      </c>
      <c r="D108" s="33" t="s">
        <v>630</v>
      </c>
      <c r="E108" s="33" t="s">
        <v>640</v>
      </c>
      <c r="F108" s="33" t="s">
        <v>462</v>
      </c>
    </row>
    <row r="109" spans="1:6" x14ac:dyDescent="0.25">
      <c r="A109" s="34">
        <v>76</v>
      </c>
      <c r="B109" s="33" t="s">
        <v>656</v>
      </c>
      <c r="C109" s="33" t="s">
        <v>634</v>
      </c>
      <c r="D109" s="33" t="s">
        <v>630</v>
      </c>
      <c r="E109" s="33" t="s">
        <v>661</v>
      </c>
      <c r="F109" s="34">
        <v>95</v>
      </c>
    </row>
    <row r="110" spans="1:6" x14ac:dyDescent="0.25">
      <c r="A110" s="34">
        <v>76</v>
      </c>
      <c r="B110" s="33" t="s">
        <v>656</v>
      </c>
      <c r="C110" s="33" t="s">
        <v>642</v>
      </c>
      <c r="D110" s="33" t="s">
        <v>621</v>
      </c>
      <c r="E110" s="33" t="s">
        <v>662</v>
      </c>
      <c r="F110" s="34">
        <v>10</v>
      </c>
    </row>
    <row r="111" spans="1:6" x14ac:dyDescent="0.25">
      <c r="A111" s="34">
        <v>76</v>
      </c>
      <c r="B111" s="33" t="s">
        <v>656</v>
      </c>
      <c r="C111" s="33" t="s">
        <v>642</v>
      </c>
      <c r="D111" s="33" t="s">
        <v>621</v>
      </c>
      <c r="E111" s="33" t="s">
        <v>663</v>
      </c>
      <c r="F111" s="34">
        <v>10</v>
      </c>
    </row>
    <row r="112" spans="1:6" x14ac:dyDescent="0.25">
      <c r="A112" s="34">
        <v>76</v>
      </c>
      <c r="B112" s="33" t="s">
        <v>656</v>
      </c>
      <c r="C112" s="33" t="s">
        <v>642</v>
      </c>
      <c r="D112" s="33" t="s">
        <v>621</v>
      </c>
      <c r="E112" s="33" t="s">
        <v>664</v>
      </c>
      <c r="F112" s="34">
        <v>11</v>
      </c>
    </row>
    <row r="113" spans="1:6" x14ac:dyDescent="0.25">
      <c r="A113" s="34">
        <v>76</v>
      </c>
      <c r="B113" s="33" t="s">
        <v>656</v>
      </c>
      <c r="C113" s="33" t="s">
        <v>642</v>
      </c>
      <c r="D113" s="33" t="s">
        <v>621</v>
      </c>
      <c r="E113" s="33" t="s">
        <v>665</v>
      </c>
      <c r="F113" s="34">
        <v>46</v>
      </c>
    </row>
    <row r="114" spans="1:6" x14ac:dyDescent="0.25">
      <c r="A114" s="34">
        <v>76</v>
      </c>
      <c r="B114" s="33" t="s">
        <v>656</v>
      </c>
      <c r="C114" s="33" t="s">
        <v>642</v>
      </c>
      <c r="D114" s="33" t="s">
        <v>630</v>
      </c>
      <c r="E114" s="33" t="s">
        <v>650</v>
      </c>
      <c r="F114" s="34">
        <v>100</v>
      </c>
    </row>
    <row r="115" spans="1:6" x14ac:dyDescent="0.25">
      <c r="A115" s="34">
        <v>76</v>
      </c>
      <c r="B115" s="33" t="s">
        <v>656</v>
      </c>
      <c r="C115" s="33" t="s">
        <v>642</v>
      </c>
      <c r="D115" s="33" t="s">
        <v>630</v>
      </c>
      <c r="E115" s="33" t="s">
        <v>651</v>
      </c>
      <c r="F115" s="33" t="s">
        <v>462</v>
      </c>
    </row>
    <row r="116" spans="1:6" x14ac:dyDescent="0.25">
      <c r="A116" s="34">
        <v>76</v>
      </c>
      <c r="B116" s="33" t="s">
        <v>656</v>
      </c>
      <c r="C116" s="33" t="s">
        <v>642</v>
      </c>
      <c r="D116" s="33" t="s">
        <v>630</v>
      </c>
      <c r="E116" s="33" t="s">
        <v>652</v>
      </c>
      <c r="F116" s="34">
        <v>100</v>
      </c>
    </row>
    <row r="117" spans="1:6" x14ac:dyDescent="0.25">
      <c r="A117" s="34">
        <v>76</v>
      </c>
      <c r="B117" s="33" t="s">
        <v>656</v>
      </c>
      <c r="C117" s="33" t="s">
        <v>653</v>
      </c>
      <c r="D117" s="33" t="s">
        <v>621</v>
      </c>
      <c r="E117" s="33" t="s">
        <v>666</v>
      </c>
      <c r="F117" s="34">
        <v>22</v>
      </c>
    </row>
    <row r="118" spans="1:6" x14ac:dyDescent="0.25">
      <c r="A118" s="34">
        <v>76</v>
      </c>
      <c r="B118" s="33" t="s">
        <v>656</v>
      </c>
      <c r="C118" s="33" t="s">
        <v>653</v>
      </c>
      <c r="D118" s="33" t="s">
        <v>621</v>
      </c>
      <c r="E118" s="33" t="s">
        <v>667</v>
      </c>
      <c r="F118" s="34">
        <v>10</v>
      </c>
    </row>
    <row r="119" spans="1:6" x14ac:dyDescent="0.25">
      <c r="A119" s="34">
        <v>76</v>
      </c>
      <c r="B119" s="33" t="s">
        <v>656</v>
      </c>
      <c r="C119" s="33" t="s">
        <v>653</v>
      </c>
      <c r="D119" s="33" t="s">
        <v>653</v>
      </c>
      <c r="E119" s="33" t="s">
        <v>668</v>
      </c>
      <c r="F119" s="34">
        <v>28</v>
      </c>
    </row>
    <row r="120" spans="1:6" x14ac:dyDescent="0.25">
      <c r="A120" s="34">
        <v>76</v>
      </c>
      <c r="B120" s="33" t="s">
        <v>656</v>
      </c>
      <c r="C120" s="33" t="s">
        <v>653</v>
      </c>
      <c r="D120" s="33" t="s">
        <v>653</v>
      </c>
      <c r="E120" s="33" t="s">
        <v>669</v>
      </c>
      <c r="F120" s="34">
        <v>95</v>
      </c>
    </row>
    <row r="121" spans="1:6" x14ac:dyDescent="0.25">
      <c r="A121" s="34">
        <v>76</v>
      </c>
      <c r="B121" s="33" t="s">
        <v>656</v>
      </c>
      <c r="C121" s="33" t="s">
        <v>653</v>
      </c>
      <c r="D121" s="33" t="s">
        <v>653</v>
      </c>
      <c r="E121" s="33" t="s">
        <v>654</v>
      </c>
      <c r="F121" s="34">
        <v>0</v>
      </c>
    </row>
    <row r="122" spans="1:6" x14ac:dyDescent="0.25">
      <c r="A122" s="34">
        <v>77</v>
      </c>
      <c r="B122" s="33" t="s">
        <v>656</v>
      </c>
      <c r="C122" s="33" t="s">
        <v>620</v>
      </c>
      <c r="D122" s="33" t="s">
        <v>621</v>
      </c>
      <c r="E122" s="33" t="s">
        <v>657</v>
      </c>
      <c r="F122" s="34">
        <v>8</v>
      </c>
    </row>
    <row r="123" spans="1:6" x14ac:dyDescent="0.25">
      <c r="A123" s="34">
        <v>77</v>
      </c>
      <c r="B123" s="33" t="s">
        <v>656</v>
      </c>
      <c r="C123" s="33" t="s">
        <v>620</v>
      </c>
      <c r="D123" s="33" t="s">
        <v>621</v>
      </c>
      <c r="E123" s="33" t="s">
        <v>658</v>
      </c>
      <c r="F123" s="34">
        <v>12</v>
      </c>
    </row>
    <row r="124" spans="1:6" x14ac:dyDescent="0.25">
      <c r="A124" s="34">
        <v>77</v>
      </c>
      <c r="B124" s="33" t="s">
        <v>656</v>
      </c>
      <c r="C124" s="33" t="s">
        <v>620</v>
      </c>
      <c r="D124" s="33" t="s">
        <v>621</v>
      </c>
      <c r="E124" s="33" t="s">
        <v>629</v>
      </c>
      <c r="F124" s="34">
        <v>39</v>
      </c>
    </row>
    <row r="125" spans="1:6" x14ac:dyDescent="0.25">
      <c r="A125" s="34">
        <v>77</v>
      </c>
      <c r="B125" s="33" t="s">
        <v>656</v>
      </c>
      <c r="C125" s="33" t="s">
        <v>620</v>
      </c>
      <c r="D125" s="33" t="s">
        <v>630</v>
      </c>
      <c r="E125" s="33" t="s">
        <v>631</v>
      </c>
      <c r="F125" s="34">
        <v>85</v>
      </c>
    </row>
    <row r="126" spans="1:6" x14ac:dyDescent="0.25">
      <c r="A126" s="34">
        <v>77</v>
      </c>
      <c r="B126" s="33" t="s">
        <v>656</v>
      </c>
      <c r="C126" s="33" t="s">
        <v>620</v>
      </c>
      <c r="D126" s="33" t="s">
        <v>630</v>
      </c>
      <c r="E126" s="33" t="s">
        <v>632</v>
      </c>
      <c r="F126" s="33" t="s">
        <v>462</v>
      </c>
    </row>
    <row r="127" spans="1:6" x14ac:dyDescent="0.25">
      <c r="A127" s="34">
        <v>77</v>
      </c>
      <c r="B127" s="33" t="s">
        <v>656</v>
      </c>
      <c r="C127" s="33" t="s">
        <v>620</v>
      </c>
      <c r="D127" s="33" t="s">
        <v>630</v>
      </c>
      <c r="E127" s="33" t="s">
        <v>633</v>
      </c>
      <c r="F127" s="34">
        <v>85</v>
      </c>
    </row>
    <row r="128" spans="1:6" x14ac:dyDescent="0.25">
      <c r="A128" s="34">
        <v>77</v>
      </c>
      <c r="B128" s="33" t="s">
        <v>656</v>
      </c>
      <c r="C128" s="33" t="s">
        <v>634</v>
      </c>
      <c r="D128" s="33" t="s">
        <v>621</v>
      </c>
      <c r="E128" s="33" t="s">
        <v>659</v>
      </c>
      <c r="F128" s="34">
        <v>17</v>
      </c>
    </row>
    <row r="129" spans="1:6" x14ac:dyDescent="0.25">
      <c r="A129" s="34">
        <v>77</v>
      </c>
      <c r="B129" s="33" t="s">
        <v>656</v>
      </c>
      <c r="C129" s="33" t="s">
        <v>634</v>
      </c>
      <c r="D129" s="33" t="s">
        <v>621</v>
      </c>
      <c r="E129" s="33" t="s">
        <v>660</v>
      </c>
      <c r="F129" s="34">
        <v>12</v>
      </c>
    </row>
    <row r="130" spans="1:6" x14ac:dyDescent="0.25">
      <c r="A130" s="34">
        <v>77</v>
      </c>
      <c r="B130" s="33" t="s">
        <v>656</v>
      </c>
      <c r="C130" s="33" t="s">
        <v>634</v>
      </c>
      <c r="D130" s="33" t="s">
        <v>621</v>
      </c>
      <c r="E130" s="33" t="s">
        <v>638</v>
      </c>
      <c r="F130" s="34">
        <v>46</v>
      </c>
    </row>
    <row r="131" spans="1:6" x14ac:dyDescent="0.25">
      <c r="A131" s="34">
        <v>77</v>
      </c>
      <c r="B131" s="33" t="s">
        <v>656</v>
      </c>
      <c r="C131" s="33" t="s">
        <v>634</v>
      </c>
      <c r="D131" s="33" t="s">
        <v>630</v>
      </c>
      <c r="E131" s="33" t="s">
        <v>639</v>
      </c>
      <c r="F131" s="34">
        <v>100</v>
      </c>
    </row>
    <row r="132" spans="1:6" x14ac:dyDescent="0.25">
      <c r="A132" s="34">
        <v>77</v>
      </c>
      <c r="B132" s="33" t="s">
        <v>656</v>
      </c>
      <c r="C132" s="33" t="s">
        <v>634</v>
      </c>
      <c r="D132" s="33" t="s">
        <v>630</v>
      </c>
      <c r="E132" s="33" t="s">
        <v>640</v>
      </c>
      <c r="F132" s="33" t="s">
        <v>462</v>
      </c>
    </row>
    <row r="133" spans="1:6" x14ac:dyDescent="0.25">
      <c r="A133" s="34">
        <v>77</v>
      </c>
      <c r="B133" s="33" t="s">
        <v>656</v>
      </c>
      <c r="C133" s="33" t="s">
        <v>634</v>
      </c>
      <c r="D133" s="33" t="s">
        <v>630</v>
      </c>
      <c r="E133" s="33" t="s">
        <v>661</v>
      </c>
      <c r="F133" s="34">
        <v>100</v>
      </c>
    </row>
    <row r="134" spans="1:6" x14ac:dyDescent="0.25">
      <c r="A134" s="34">
        <v>77</v>
      </c>
      <c r="B134" s="33" t="s">
        <v>656</v>
      </c>
      <c r="C134" s="33" t="s">
        <v>642</v>
      </c>
      <c r="D134" s="33" t="s">
        <v>621</v>
      </c>
      <c r="E134" s="33" t="s">
        <v>662</v>
      </c>
      <c r="F134" s="34">
        <v>9</v>
      </c>
    </row>
    <row r="135" spans="1:6" x14ac:dyDescent="0.25">
      <c r="A135" s="34">
        <v>77</v>
      </c>
      <c r="B135" s="33" t="s">
        <v>656</v>
      </c>
      <c r="C135" s="33" t="s">
        <v>642</v>
      </c>
      <c r="D135" s="33" t="s">
        <v>621</v>
      </c>
      <c r="E135" s="33" t="s">
        <v>663</v>
      </c>
      <c r="F135" s="34">
        <v>10</v>
      </c>
    </row>
    <row r="136" spans="1:6" x14ac:dyDescent="0.25">
      <c r="A136" s="34">
        <v>77</v>
      </c>
      <c r="B136" s="33" t="s">
        <v>656</v>
      </c>
      <c r="C136" s="33" t="s">
        <v>642</v>
      </c>
      <c r="D136" s="33" t="s">
        <v>621</v>
      </c>
      <c r="E136" s="33" t="s">
        <v>664</v>
      </c>
      <c r="F136" s="34">
        <v>9</v>
      </c>
    </row>
    <row r="137" spans="1:6" x14ac:dyDescent="0.25">
      <c r="A137" s="34">
        <v>77</v>
      </c>
      <c r="B137" s="33" t="s">
        <v>656</v>
      </c>
      <c r="C137" s="33" t="s">
        <v>642</v>
      </c>
      <c r="D137" s="33" t="s">
        <v>621</v>
      </c>
      <c r="E137" s="33" t="s">
        <v>665</v>
      </c>
      <c r="F137" s="34">
        <v>42.5</v>
      </c>
    </row>
    <row r="138" spans="1:6" x14ac:dyDescent="0.25">
      <c r="A138" s="34">
        <v>77</v>
      </c>
      <c r="B138" s="33" t="s">
        <v>656</v>
      </c>
      <c r="C138" s="33" t="s">
        <v>642</v>
      </c>
      <c r="D138" s="33" t="s">
        <v>630</v>
      </c>
      <c r="E138" s="33" t="s">
        <v>650</v>
      </c>
      <c r="F138" s="34">
        <v>78</v>
      </c>
    </row>
    <row r="139" spans="1:6" x14ac:dyDescent="0.25">
      <c r="A139" s="34">
        <v>77</v>
      </c>
      <c r="B139" s="33" t="s">
        <v>656</v>
      </c>
      <c r="C139" s="33" t="s">
        <v>642</v>
      </c>
      <c r="D139" s="33" t="s">
        <v>630</v>
      </c>
      <c r="E139" s="33" t="s">
        <v>651</v>
      </c>
      <c r="F139" s="34">
        <v>75</v>
      </c>
    </row>
    <row r="140" spans="1:6" x14ac:dyDescent="0.25">
      <c r="A140" s="34">
        <v>77</v>
      </c>
      <c r="B140" s="33" t="s">
        <v>656</v>
      </c>
      <c r="C140" s="33" t="s">
        <v>642</v>
      </c>
      <c r="D140" s="33" t="s">
        <v>630</v>
      </c>
      <c r="E140" s="33" t="s">
        <v>652</v>
      </c>
      <c r="F140" s="34">
        <v>78</v>
      </c>
    </row>
    <row r="141" spans="1:6" x14ac:dyDescent="0.25">
      <c r="A141" s="34">
        <v>77</v>
      </c>
      <c r="B141" s="33" t="s">
        <v>656</v>
      </c>
      <c r="C141" s="33" t="s">
        <v>653</v>
      </c>
      <c r="D141" s="33" t="s">
        <v>621</v>
      </c>
      <c r="E141" s="33" t="s">
        <v>666</v>
      </c>
      <c r="F141" s="34">
        <v>0</v>
      </c>
    </row>
    <row r="142" spans="1:6" x14ac:dyDescent="0.25">
      <c r="A142" s="34">
        <v>77</v>
      </c>
      <c r="B142" s="33" t="s">
        <v>656</v>
      </c>
      <c r="C142" s="33" t="s">
        <v>653</v>
      </c>
      <c r="D142" s="33" t="s">
        <v>621</v>
      </c>
      <c r="E142" s="33" t="s">
        <v>667</v>
      </c>
      <c r="F142" s="34">
        <v>6</v>
      </c>
    </row>
    <row r="143" spans="1:6" x14ac:dyDescent="0.25">
      <c r="A143" s="34">
        <v>77</v>
      </c>
      <c r="B143" s="33" t="s">
        <v>656</v>
      </c>
      <c r="C143" s="33" t="s">
        <v>653</v>
      </c>
      <c r="D143" s="33" t="s">
        <v>653</v>
      </c>
      <c r="E143" s="33" t="s">
        <v>668</v>
      </c>
      <c r="F143" s="34">
        <v>0</v>
      </c>
    </row>
    <row r="144" spans="1:6" x14ac:dyDescent="0.25">
      <c r="A144" s="34">
        <v>77</v>
      </c>
      <c r="B144" s="33" t="s">
        <v>656</v>
      </c>
      <c r="C144" s="33" t="s">
        <v>653</v>
      </c>
      <c r="D144" s="33" t="s">
        <v>653</v>
      </c>
      <c r="E144" s="33" t="s">
        <v>669</v>
      </c>
      <c r="F144" s="34">
        <v>92</v>
      </c>
    </row>
    <row r="145" spans="1:6" x14ac:dyDescent="0.25">
      <c r="A145" s="34">
        <v>77</v>
      </c>
      <c r="B145" s="33" t="s">
        <v>656</v>
      </c>
      <c r="C145" s="33" t="s">
        <v>653</v>
      </c>
      <c r="D145" s="33" t="s">
        <v>653</v>
      </c>
      <c r="E145" s="33" t="s">
        <v>654</v>
      </c>
      <c r="F145" s="34">
        <v>82</v>
      </c>
    </row>
    <row r="146" spans="1:6" x14ac:dyDescent="0.25">
      <c r="A146" s="34">
        <v>78</v>
      </c>
      <c r="B146" s="33" t="s">
        <v>656</v>
      </c>
      <c r="C146" s="33" t="s">
        <v>620</v>
      </c>
      <c r="D146" s="33" t="s">
        <v>621</v>
      </c>
      <c r="E146" s="33" t="s">
        <v>657</v>
      </c>
      <c r="F146" s="34">
        <v>10</v>
      </c>
    </row>
    <row r="147" spans="1:6" x14ac:dyDescent="0.25">
      <c r="A147" s="34">
        <v>78</v>
      </c>
      <c r="B147" s="33" t="s">
        <v>656</v>
      </c>
      <c r="C147" s="33" t="s">
        <v>620</v>
      </c>
      <c r="D147" s="33" t="s">
        <v>621</v>
      </c>
      <c r="E147" s="33" t="s">
        <v>658</v>
      </c>
      <c r="F147" s="34">
        <v>12</v>
      </c>
    </row>
    <row r="148" spans="1:6" x14ac:dyDescent="0.25">
      <c r="A148" s="34">
        <v>78</v>
      </c>
      <c r="B148" s="33" t="s">
        <v>656</v>
      </c>
      <c r="C148" s="33" t="s">
        <v>620</v>
      </c>
      <c r="D148" s="33" t="s">
        <v>621</v>
      </c>
      <c r="E148" s="33" t="s">
        <v>629</v>
      </c>
      <c r="F148" s="34">
        <v>46</v>
      </c>
    </row>
    <row r="149" spans="1:6" x14ac:dyDescent="0.25">
      <c r="A149" s="34">
        <v>78</v>
      </c>
      <c r="B149" s="33" t="s">
        <v>656</v>
      </c>
      <c r="C149" s="33" t="s">
        <v>620</v>
      </c>
      <c r="D149" s="33" t="s">
        <v>630</v>
      </c>
      <c r="E149" s="33" t="s">
        <v>631</v>
      </c>
      <c r="F149" s="34">
        <v>75</v>
      </c>
    </row>
    <row r="150" spans="1:6" x14ac:dyDescent="0.25">
      <c r="A150" s="34">
        <v>78</v>
      </c>
      <c r="B150" s="33" t="s">
        <v>656</v>
      </c>
      <c r="C150" s="33" t="s">
        <v>620</v>
      </c>
      <c r="D150" s="33" t="s">
        <v>630</v>
      </c>
      <c r="E150" s="33" t="s">
        <v>632</v>
      </c>
      <c r="F150" s="34">
        <v>85</v>
      </c>
    </row>
    <row r="151" spans="1:6" x14ac:dyDescent="0.25">
      <c r="A151" s="34">
        <v>78</v>
      </c>
      <c r="B151" s="33" t="s">
        <v>656</v>
      </c>
      <c r="C151" s="33" t="s">
        <v>620</v>
      </c>
      <c r="D151" s="33" t="s">
        <v>630</v>
      </c>
      <c r="E151" s="33" t="s">
        <v>633</v>
      </c>
      <c r="F151" s="34">
        <v>85</v>
      </c>
    </row>
    <row r="152" spans="1:6" x14ac:dyDescent="0.25">
      <c r="A152" s="34">
        <v>78</v>
      </c>
      <c r="B152" s="33" t="s">
        <v>656</v>
      </c>
      <c r="C152" s="33" t="s">
        <v>634</v>
      </c>
      <c r="D152" s="33" t="s">
        <v>621</v>
      </c>
      <c r="E152" s="33" t="s">
        <v>659</v>
      </c>
      <c r="F152" s="34">
        <v>18</v>
      </c>
    </row>
    <row r="153" spans="1:6" x14ac:dyDescent="0.25">
      <c r="A153" s="34">
        <v>78</v>
      </c>
      <c r="B153" s="33" t="s">
        <v>656</v>
      </c>
      <c r="C153" s="33" t="s">
        <v>634</v>
      </c>
      <c r="D153" s="33" t="s">
        <v>621</v>
      </c>
      <c r="E153" s="33" t="s">
        <v>660</v>
      </c>
      <c r="F153" s="34">
        <v>10</v>
      </c>
    </row>
    <row r="154" spans="1:6" x14ac:dyDescent="0.25">
      <c r="A154" s="34">
        <v>78</v>
      </c>
      <c r="B154" s="33" t="s">
        <v>656</v>
      </c>
      <c r="C154" s="33" t="s">
        <v>634</v>
      </c>
      <c r="D154" s="33" t="s">
        <v>621</v>
      </c>
      <c r="E154" s="33" t="s">
        <v>638</v>
      </c>
      <c r="F154" s="34">
        <v>42.5</v>
      </c>
    </row>
    <row r="155" spans="1:6" x14ac:dyDescent="0.25">
      <c r="A155" s="34">
        <v>78</v>
      </c>
      <c r="B155" s="33" t="s">
        <v>656</v>
      </c>
      <c r="C155" s="33" t="s">
        <v>634</v>
      </c>
      <c r="D155" s="33" t="s">
        <v>630</v>
      </c>
      <c r="E155" s="33" t="s">
        <v>639</v>
      </c>
      <c r="F155" s="34">
        <v>68</v>
      </c>
    </row>
    <row r="156" spans="1:6" x14ac:dyDescent="0.25">
      <c r="A156" s="34">
        <v>78</v>
      </c>
      <c r="B156" s="33" t="s">
        <v>656</v>
      </c>
      <c r="C156" s="33" t="s">
        <v>634</v>
      </c>
      <c r="D156" s="33" t="s">
        <v>630</v>
      </c>
      <c r="E156" s="33" t="s">
        <v>640</v>
      </c>
      <c r="F156" s="34">
        <v>80</v>
      </c>
    </row>
    <row r="157" spans="1:6" x14ac:dyDescent="0.25">
      <c r="A157" s="34">
        <v>78</v>
      </c>
      <c r="B157" s="33" t="s">
        <v>656</v>
      </c>
      <c r="C157" s="33" t="s">
        <v>634</v>
      </c>
      <c r="D157" s="33" t="s">
        <v>630</v>
      </c>
      <c r="E157" s="33" t="s">
        <v>661</v>
      </c>
      <c r="F157" s="34">
        <v>80</v>
      </c>
    </row>
    <row r="158" spans="1:6" x14ac:dyDescent="0.25">
      <c r="A158" s="34">
        <v>78</v>
      </c>
      <c r="B158" s="33" t="s">
        <v>656</v>
      </c>
      <c r="C158" s="33" t="s">
        <v>642</v>
      </c>
      <c r="D158" s="33" t="s">
        <v>621</v>
      </c>
      <c r="E158" s="33" t="s">
        <v>662</v>
      </c>
      <c r="F158" s="34">
        <v>8</v>
      </c>
    </row>
    <row r="159" spans="1:6" x14ac:dyDescent="0.25">
      <c r="A159" s="34">
        <v>78</v>
      </c>
      <c r="B159" s="33" t="s">
        <v>656</v>
      </c>
      <c r="C159" s="33" t="s">
        <v>642</v>
      </c>
      <c r="D159" s="33" t="s">
        <v>621</v>
      </c>
      <c r="E159" s="33" t="s">
        <v>663</v>
      </c>
      <c r="F159" s="34">
        <v>10</v>
      </c>
    </row>
    <row r="160" spans="1:6" x14ac:dyDescent="0.25">
      <c r="A160" s="34">
        <v>78</v>
      </c>
      <c r="B160" s="33" t="s">
        <v>656</v>
      </c>
      <c r="C160" s="33" t="s">
        <v>642</v>
      </c>
      <c r="D160" s="33" t="s">
        <v>621</v>
      </c>
      <c r="E160" s="33" t="s">
        <v>664</v>
      </c>
      <c r="F160" s="34">
        <v>10</v>
      </c>
    </row>
    <row r="161" spans="1:6" x14ac:dyDescent="0.25">
      <c r="A161" s="34">
        <v>78</v>
      </c>
      <c r="B161" s="33" t="s">
        <v>656</v>
      </c>
      <c r="C161" s="33" t="s">
        <v>642</v>
      </c>
      <c r="D161" s="33" t="s">
        <v>621</v>
      </c>
      <c r="E161" s="33" t="s">
        <v>665</v>
      </c>
      <c r="F161" s="34">
        <v>44</v>
      </c>
    </row>
    <row r="162" spans="1:6" x14ac:dyDescent="0.25">
      <c r="A162" s="34">
        <v>78</v>
      </c>
      <c r="B162" s="33" t="s">
        <v>656</v>
      </c>
      <c r="C162" s="33" t="s">
        <v>642</v>
      </c>
      <c r="D162" s="33" t="s">
        <v>630</v>
      </c>
      <c r="E162" s="33" t="s">
        <v>650</v>
      </c>
      <c r="F162" s="34">
        <v>75</v>
      </c>
    </row>
    <row r="163" spans="1:6" x14ac:dyDescent="0.25">
      <c r="A163" s="34">
        <v>78</v>
      </c>
      <c r="B163" s="33" t="s">
        <v>656</v>
      </c>
      <c r="C163" s="33" t="s">
        <v>642</v>
      </c>
      <c r="D163" s="33" t="s">
        <v>630</v>
      </c>
      <c r="E163" s="33" t="s">
        <v>651</v>
      </c>
      <c r="F163" s="34">
        <v>65</v>
      </c>
    </row>
    <row r="164" spans="1:6" x14ac:dyDescent="0.25">
      <c r="A164" s="34">
        <v>78</v>
      </c>
      <c r="B164" s="33" t="s">
        <v>656</v>
      </c>
      <c r="C164" s="33" t="s">
        <v>642</v>
      </c>
      <c r="D164" s="33" t="s">
        <v>630</v>
      </c>
      <c r="E164" s="33" t="s">
        <v>652</v>
      </c>
      <c r="F164" s="34">
        <v>75</v>
      </c>
    </row>
    <row r="165" spans="1:6" x14ac:dyDescent="0.25">
      <c r="A165" s="34">
        <v>78</v>
      </c>
      <c r="B165" s="33" t="s">
        <v>656</v>
      </c>
      <c r="C165" s="33" t="s">
        <v>653</v>
      </c>
      <c r="D165" s="33" t="s">
        <v>621</v>
      </c>
      <c r="E165" s="33" t="s">
        <v>666</v>
      </c>
      <c r="F165" s="34">
        <v>22</v>
      </c>
    </row>
    <row r="166" spans="1:6" x14ac:dyDescent="0.25">
      <c r="A166" s="34">
        <v>78</v>
      </c>
      <c r="B166" s="33" t="s">
        <v>656</v>
      </c>
      <c r="C166" s="33" t="s">
        <v>653</v>
      </c>
      <c r="D166" s="33" t="s">
        <v>621</v>
      </c>
      <c r="E166" s="33" t="s">
        <v>667</v>
      </c>
      <c r="F166" s="34">
        <v>10</v>
      </c>
    </row>
    <row r="167" spans="1:6" x14ac:dyDescent="0.25">
      <c r="A167" s="34">
        <v>78</v>
      </c>
      <c r="B167" s="33" t="s">
        <v>656</v>
      </c>
      <c r="C167" s="33" t="s">
        <v>653</v>
      </c>
      <c r="D167" s="33" t="s">
        <v>653</v>
      </c>
      <c r="E167" s="33" t="s">
        <v>668</v>
      </c>
      <c r="F167" s="34">
        <v>26</v>
      </c>
    </row>
    <row r="168" spans="1:6" x14ac:dyDescent="0.25">
      <c r="A168" s="34">
        <v>78</v>
      </c>
      <c r="B168" s="33" t="s">
        <v>656</v>
      </c>
      <c r="C168" s="33" t="s">
        <v>653</v>
      </c>
      <c r="D168" s="33" t="s">
        <v>653</v>
      </c>
      <c r="E168" s="33" t="s">
        <v>669</v>
      </c>
      <c r="F168" s="34">
        <v>92</v>
      </c>
    </row>
    <row r="169" spans="1:6" x14ac:dyDescent="0.25">
      <c r="A169" s="34">
        <v>78</v>
      </c>
      <c r="B169" s="33" t="s">
        <v>656</v>
      </c>
      <c r="C169" s="33" t="s">
        <v>653</v>
      </c>
      <c r="D169" s="33" t="s">
        <v>653</v>
      </c>
      <c r="E169" s="33" t="s">
        <v>654</v>
      </c>
      <c r="F169" s="34">
        <v>68</v>
      </c>
    </row>
    <row r="170" spans="1:6" x14ac:dyDescent="0.25">
      <c r="A170" s="34">
        <v>79</v>
      </c>
      <c r="B170" s="33" t="s">
        <v>656</v>
      </c>
      <c r="C170" s="33" t="s">
        <v>620</v>
      </c>
      <c r="D170" s="33" t="s">
        <v>621</v>
      </c>
      <c r="E170" s="33" t="s">
        <v>657</v>
      </c>
      <c r="F170" s="34">
        <v>7</v>
      </c>
    </row>
    <row r="171" spans="1:6" x14ac:dyDescent="0.25">
      <c r="A171" s="34">
        <v>79</v>
      </c>
      <c r="B171" s="33" t="s">
        <v>656</v>
      </c>
      <c r="C171" s="33" t="s">
        <v>620</v>
      </c>
      <c r="D171" s="33" t="s">
        <v>621</v>
      </c>
      <c r="E171" s="33" t="s">
        <v>658</v>
      </c>
      <c r="F171" s="34">
        <v>7.5</v>
      </c>
    </row>
    <row r="172" spans="1:6" x14ac:dyDescent="0.25">
      <c r="A172" s="34">
        <v>79</v>
      </c>
      <c r="B172" s="33" t="s">
        <v>656</v>
      </c>
      <c r="C172" s="33" t="s">
        <v>620</v>
      </c>
      <c r="D172" s="33" t="s">
        <v>621</v>
      </c>
      <c r="E172" s="33" t="s">
        <v>629</v>
      </c>
      <c r="F172" s="34">
        <v>44</v>
      </c>
    </row>
    <row r="173" spans="1:6" x14ac:dyDescent="0.25">
      <c r="A173" s="34">
        <v>79</v>
      </c>
      <c r="B173" s="33" t="s">
        <v>656</v>
      </c>
      <c r="C173" s="33" t="s">
        <v>620</v>
      </c>
      <c r="D173" s="33" t="s">
        <v>630</v>
      </c>
      <c r="E173" s="33" t="s">
        <v>631</v>
      </c>
      <c r="F173" s="34">
        <v>65</v>
      </c>
    </row>
    <row r="174" spans="1:6" x14ac:dyDescent="0.25">
      <c r="A174" s="34">
        <v>79</v>
      </c>
      <c r="B174" s="33" t="s">
        <v>656</v>
      </c>
      <c r="C174" s="33" t="s">
        <v>620</v>
      </c>
      <c r="D174" s="33" t="s">
        <v>630</v>
      </c>
      <c r="E174" s="33" t="s">
        <v>632</v>
      </c>
      <c r="F174" s="33" t="s">
        <v>462</v>
      </c>
    </row>
    <row r="175" spans="1:6" x14ac:dyDescent="0.25">
      <c r="A175" s="34">
        <v>79</v>
      </c>
      <c r="B175" s="33" t="s">
        <v>656</v>
      </c>
      <c r="C175" s="33" t="s">
        <v>620</v>
      </c>
      <c r="D175" s="33" t="s">
        <v>630</v>
      </c>
      <c r="E175" s="33" t="s">
        <v>633</v>
      </c>
      <c r="F175" s="34">
        <v>65</v>
      </c>
    </row>
    <row r="176" spans="1:6" x14ac:dyDescent="0.25">
      <c r="A176" s="34">
        <v>79</v>
      </c>
      <c r="B176" s="33" t="s">
        <v>656</v>
      </c>
      <c r="C176" s="33" t="s">
        <v>634</v>
      </c>
      <c r="D176" s="33" t="s">
        <v>621</v>
      </c>
      <c r="E176" s="33" t="s">
        <v>659</v>
      </c>
      <c r="F176" s="34">
        <v>16</v>
      </c>
    </row>
    <row r="177" spans="1:6" x14ac:dyDescent="0.25">
      <c r="A177" s="34">
        <v>79</v>
      </c>
      <c r="B177" s="33" t="s">
        <v>656</v>
      </c>
      <c r="C177" s="33" t="s">
        <v>634</v>
      </c>
      <c r="D177" s="33" t="s">
        <v>621</v>
      </c>
      <c r="E177" s="33" t="s">
        <v>660</v>
      </c>
      <c r="F177" s="34">
        <v>1</v>
      </c>
    </row>
    <row r="178" spans="1:6" x14ac:dyDescent="0.25">
      <c r="A178" s="34">
        <v>79</v>
      </c>
      <c r="B178" s="33" t="s">
        <v>656</v>
      </c>
      <c r="C178" s="33" t="s">
        <v>634</v>
      </c>
      <c r="D178" s="33" t="s">
        <v>621</v>
      </c>
      <c r="E178" s="33" t="s">
        <v>638</v>
      </c>
      <c r="F178" s="34">
        <v>44</v>
      </c>
    </row>
    <row r="179" spans="1:6" x14ac:dyDescent="0.25">
      <c r="A179" s="34">
        <v>79</v>
      </c>
      <c r="B179" s="33" t="s">
        <v>656</v>
      </c>
      <c r="C179" s="33" t="s">
        <v>634</v>
      </c>
      <c r="D179" s="33" t="s">
        <v>630</v>
      </c>
      <c r="E179" s="33" t="s">
        <v>639</v>
      </c>
      <c r="F179" s="34">
        <v>65</v>
      </c>
    </row>
    <row r="180" spans="1:6" x14ac:dyDescent="0.25">
      <c r="A180" s="34">
        <v>79</v>
      </c>
      <c r="B180" s="33" t="s">
        <v>656</v>
      </c>
      <c r="C180" s="33" t="s">
        <v>634</v>
      </c>
      <c r="D180" s="33" t="s">
        <v>630</v>
      </c>
      <c r="E180" s="33" t="s">
        <v>640</v>
      </c>
      <c r="F180" s="33" t="s">
        <v>462</v>
      </c>
    </row>
    <row r="181" spans="1:6" x14ac:dyDescent="0.25">
      <c r="A181" s="34">
        <v>79</v>
      </c>
      <c r="B181" s="33" t="s">
        <v>656</v>
      </c>
      <c r="C181" s="33" t="s">
        <v>634</v>
      </c>
      <c r="D181" s="33" t="s">
        <v>630</v>
      </c>
      <c r="E181" s="33" t="s">
        <v>661</v>
      </c>
      <c r="F181" s="34">
        <v>65</v>
      </c>
    </row>
    <row r="182" spans="1:6" x14ac:dyDescent="0.25">
      <c r="A182" s="34">
        <v>79</v>
      </c>
      <c r="B182" s="33" t="s">
        <v>656</v>
      </c>
      <c r="C182" s="33" t="s">
        <v>642</v>
      </c>
      <c r="D182" s="33" t="s">
        <v>621</v>
      </c>
      <c r="E182" s="33" t="s">
        <v>662</v>
      </c>
      <c r="F182" s="34">
        <v>4</v>
      </c>
    </row>
    <row r="183" spans="1:6" x14ac:dyDescent="0.25">
      <c r="A183" s="34">
        <v>79</v>
      </c>
      <c r="B183" s="33" t="s">
        <v>656</v>
      </c>
      <c r="C183" s="33" t="s">
        <v>642</v>
      </c>
      <c r="D183" s="33" t="s">
        <v>621</v>
      </c>
      <c r="E183" s="33" t="s">
        <v>663</v>
      </c>
      <c r="F183" s="34">
        <v>10</v>
      </c>
    </row>
    <row r="184" spans="1:6" x14ac:dyDescent="0.25">
      <c r="A184" s="34">
        <v>79</v>
      </c>
      <c r="B184" s="33" t="s">
        <v>656</v>
      </c>
      <c r="C184" s="33" t="s">
        <v>642</v>
      </c>
      <c r="D184" s="33" t="s">
        <v>621</v>
      </c>
      <c r="E184" s="33" t="s">
        <v>664</v>
      </c>
      <c r="F184" s="34">
        <v>11</v>
      </c>
    </row>
    <row r="185" spans="1:6" x14ac:dyDescent="0.25">
      <c r="A185" s="34">
        <v>79</v>
      </c>
      <c r="B185" s="33" t="s">
        <v>656</v>
      </c>
      <c r="C185" s="33" t="s">
        <v>642</v>
      </c>
      <c r="D185" s="33" t="s">
        <v>621</v>
      </c>
      <c r="E185" s="33" t="s">
        <v>665</v>
      </c>
      <c r="F185" s="34">
        <v>42.5</v>
      </c>
    </row>
    <row r="186" spans="1:6" x14ac:dyDescent="0.25">
      <c r="A186" s="34">
        <v>79</v>
      </c>
      <c r="B186" s="33" t="s">
        <v>656</v>
      </c>
      <c r="C186" s="33" t="s">
        <v>642</v>
      </c>
      <c r="D186" s="33" t="s">
        <v>630</v>
      </c>
      <c r="E186" s="33" t="s">
        <v>650</v>
      </c>
      <c r="F186" s="34">
        <v>65</v>
      </c>
    </row>
    <row r="187" spans="1:6" x14ac:dyDescent="0.25">
      <c r="A187" s="34">
        <v>79</v>
      </c>
      <c r="B187" s="33" t="s">
        <v>656</v>
      </c>
      <c r="C187" s="33" t="s">
        <v>642</v>
      </c>
      <c r="D187" s="33" t="s">
        <v>630</v>
      </c>
      <c r="E187" s="33" t="s">
        <v>651</v>
      </c>
      <c r="F187" s="33" t="s">
        <v>462</v>
      </c>
    </row>
    <row r="188" spans="1:6" x14ac:dyDescent="0.25">
      <c r="A188" s="34">
        <v>79</v>
      </c>
      <c r="B188" s="33" t="s">
        <v>656</v>
      </c>
      <c r="C188" s="33" t="s">
        <v>642</v>
      </c>
      <c r="D188" s="33" t="s">
        <v>630</v>
      </c>
      <c r="E188" s="33" t="s">
        <v>652</v>
      </c>
      <c r="F188" s="34">
        <v>65</v>
      </c>
    </row>
    <row r="189" spans="1:6" x14ac:dyDescent="0.25">
      <c r="A189" s="34">
        <v>79</v>
      </c>
      <c r="B189" s="33" t="s">
        <v>656</v>
      </c>
      <c r="C189" s="33" t="s">
        <v>653</v>
      </c>
      <c r="D189" s="33" t="s">
        <v>621</v>
      </c>
      <c r="E189" s="33" t="s">
        <v>666</v>
      </c>
      <c r="F189" s="34">
        <v>19.2</v>
      </c>
    </row>
    <row r="190" spans="1:6" x14ac:dyDescent="0.25">
      <c r="A190" s="34">
        <v>79</v>
      </c>
      <c r="B190" s="33" t="s">
        <v>656</v>
      </c>
      <c r="C190" s="33" t="s">
        <v>653</v>
      </c>
      <c r="D190" s="33" t="s">
        <v>621</v>
      </c>
      <c r="E190" s="33" t="s">
        <v>667</v>
      </c>
      <c r="F190" s="34">
        <v>0</v>
      </c>
    </row>
    <row r="191" spans="1:6" x14ac:dyDescent="0.25">
      <c r="A191" s="34">
        <v>79</v>
      </c>
      <c r="B191" s="33" t="s">
        <v>656</v>
      </c>
      <c r="C191" s="33" t="s">
        <v>653</v>
      </c>
      <c r="D191" s="33" t="s">
        <v>653</v>
      </c>
      <c r="E191" s="33" t="s">
        <v>668</v>
      </c>
      <c r="F191" s="34">
        <v>0</v>
      </c>
    </row>
    <row r="192" spans="1:6" x14ac:dyDescent="0.25">
      <c r="A192" s="34">
        <v>79</v>
      </c>
      <c r="B192" s="33" t="s">
        <v>656</v>
      </c>
      <c r="C192" s="33" t="s">
        <v>653</v>
      </c>
      <c r="D192" s="33" t="s">
        <v>653</v>
      </c>
      <c r="E192" s="33" t="s">
        <v>669</v>
      </c>
      <c r="F192" s="34">
        <v>30</v>
      </c>
    </row>
    <row r="193" spans="1:6" x14ac:dyDescent="0.25">
      <c r="A193" s="34">
        <v>79</v>
      </c>
      <c r="B193" s="33" t="s">
        <v>656</v>
      </c>
      <c r="C193" s="33" t="s">
        <v>653</v>
      </c>
      <c r="D193" s="33" t="s">
        <v>653</v>
      </c>
      <c r="E193" s="33" t="s">
        <v>654</v>
      </c>
      <c r="F193" s="34">
        <v>72</v>
      </c>
    </row>
    <row r="194" spans="1:6" x14ac:dyDescent="0.25">
      <c r="A194" s="34">
        <v>80</v>
      </c>
      <c r="B194" s="33" t="s">
        <v>656</v>
      </c>
      <c r="C194" s="33" t="s">
        <v>620</v>
      </c>
      <c r="D194" s="33" t="s">
        <v>621</v>
      </c>
      <c r="E194" s="33" t="s">
        <v>657</v>
      </c>
      <c r="F194" s="34">
        <v>8.5</v>
      </c>
    </row>
    <row r="195" spans="1:6" x14ac:dyDescent="0.25">
      <c r="A195" s="34">
        <v>80</v>
      </c>
      <c r="B195" s="33" t="s">
        <v>656</v>
      </c>
      <c r="C195" s="33" t="s">
        <v>620</v>
      </c>
      <c r="D195" s="33" t="s">
        <v>621</v>
      </c>
      <c r="E195" s="33" t="s">
        <v>658</v>
      </c>
      <c r="F195" s="34">
        <v>5.25</v>
      </c>
    </row>
    <row r="196" spans="1:6" x14ac:dyDescent="0.25">
      <c r="A196" s="34">
        <v>80</v>
      </c>
      <c r="B196" s="33" t="s">
        <v>656</v>
      </c>
      <c r="C196" s="33" t="s">
        <v>620</v>
      </c>
      <c r="D196" s="33" t="s">
        <v>621</v>
      </c>
      <c r="E196" s="33" t="s">
        <v>629</v>
      </c>
      <c r="F196" s="34">
        <v>36</v>
      </c>
    </row>
    <row r="197" spans="1:6" x14ac:dyDescent="0.25">
      <c r="A197" s="34">
        <v>80</v>
      </c>
      <c r="B197" s="33" t="s">
        <v>656</v>
      </c>
      <c r="C197" s="33" t="s">
        <v>620</v>
      </c>
      <c r="D197" s="33" t="s">
        <v>630</v>
      </c>
      <c r="E197" s="33" t="s">
        <v>631</v>
      </c>
      <c r="F197" s="34">
        <v>75</v>
      </c>
    </row>
    <row r="198" spans="1:6" x14ac:dyDescent="0.25">
      <c r="A198" s="34">
        <v>80</v>
      </c>
      <c r="B198" s="33" t="s">
        <v>656</v>
      </c>
      <c r="C198" s="33" t="s">
        <v>620</v>
      </c>
      <c r="D198" s="33" t="s">
        <v>630</v>
      </c>
      <c r="E198" s="33" t="s">
        <v>632</v>
      </c>
      <c r="F198" s="33" t="s">
        <v>462</v>
      </c>
    </row>
    <row r="199" spans="1:6" x14ac:dyDescent="0.25">
      <c r="A199" s="34">
        <v>80</v>
      </c>
      <c r="B199" s="33" t="s">
        <v>656</v>
      </c>
      <c r="C199" s="33" t="s">
        <v>620</v>
      </c>
      <c r="D199" s="33" t="s">
        <v>630</v>
      </c>
      <c r="E199" s="33" t="s">
        <v>633</v>
      </c>
      <c r="F199" s="34">
        <v>75</v>
      </c>
    </row>
    <row r="200" spans="1:6" x14ac:dyDescent="0.25">
      <c r="A200" s="34">
        <v>80</v>
      </c>
      <c r="B200" s="33" t="s">
        <v>656</v>
      </c>
      <c r="C200" s="33" t="s">
        <v>634</v>
      </c>
      <c r="D200" s="33" t="s">
        <v>621</v>
      </c>
      <c r="E200" s="33" t="s">
        <v>659</v>
      </c>
      <c r="F200" s="34">
        <v>13</v>
      </c>
    </row>
    <row r="201" spans="1:6" x14ac:dyDescent="0.25">
      <c r="A201" s="34">
        <v>80</v>
      </c>
      <c r="B201" s="33" t="s">
        <v>656</v>
      </c>
      <c r="C201" s="33" t="s">
        <v>634</v>
      </c>
      <c r="D201" s="33" t="s">
        <v>621</v>
      </c>
      <c r="E201" s="33" t="s">
        <v>660</v>
      </c>
      <c r="F201" s="34">
        <v>12</v>
      </c>
    </row>
    <row r="202" spans="1:6" x14ac:dyDescent="0.25">
      <c r="A202" s="34">
        <v>80</v>
      </c>
      <c r="B202" s="33" t="s">
        <v>656</v>
      </c>
      <c r="C202" s="33" t="s">
        <v>634</v>
      </c>
      <c r="D202" s="33" t="s">
        <v>621</v>
      </c>
      <c r="E202" s="33" t="s">
        <v>638</v>
      </c>
      <c r="F202" s="34">
        <v>41</v>
      </c>
    </row>
    <row r="203" spans="1:6" x14ac:dyDescent="0.25">
      <c r="A203" s="34">
        <v>80</v>
      </c>
      <c r="B203" s="33" t="s">
        <v>656</v>
      </c>
      <c r="C203" s="33" t="s">
        <v>634</v>
      </c>
      <c r="D203" s="33" t="s">
        <v>630</v>
      </c>
      <c r="E203" s="33" t="s">
        <v>639</v>
      </c>
      <c r="F203" s="34">
        <v>68</v>
      </c>
    </row>
    <row r="204" spans="1:6" x14ac:dyDescent="0.25">
      <c r="A204" s="34">
        <v>80</v>
      </c>
      <c r="B204" s="33" t="s">
        <v>656</v>
      </c>
      <c r="C204" s="33" t="s">
        <v>634</v>
      </c>
      <c r="D204" s="33" t="s">
        <v>630</v>
      </c>
      <c r="E204" s="33" t="s">
        <v>640</v>
      </c>
      <c r="F204" s="33" t="s">
        <v>462</v>
      </c>
    </row>
    <row r="205" spans="1:6" x14ac:dyDescent="0.25">
      <c r="A205" s="34">
        <v>80</v>
      </c>
      <c r="B205" s="33" t="s">
        <v>656</v>
      </c>
      <c r="C205" s="33" t="s">
        <v>634</v>
      </c>
      <c r="D205" s="33" t="s">
        <v>630</v>
      </c>
      <c r="E205" s="33" t="s">
        <v>661</v>
      </c>
      <c r="F205" s="34">
        <v>68</v>
      </c>
    </row>
    <row r="206" spans="1:6" x14ac:dyDescent="0.25">
      <c r="A206" s="34">
        <v>80</v>
      </c>
      <c r="B206" s="33" t="s">
        <v>656</v>
      </c>
      <c r="C206" s="33" t="s">
        <v>642</v>
      </c>
      <c r="D206" s="33" t="s">
        <v>621</v>
      </c>
      <c r="E206" s="33" t="s">
        <v>662</v>
      </c>
      <c r="F206" s="34">
        <v>10</v>
      </c>
    </row>
    <row r="207" spans="1:6" x14ac:dyDescent="0.25">
      <c r="A207" s="34">
        <v>80</v>
      </c>
      <c r="B207" s="33" t="s">
        <v>656</v>
      </c>
      <c r="C207" s="33" t="s">
        <v>642</v>
      </c>
      <c r="D207" s="33" t="s">
        <v>621</v>
      </c>
      <c r="E207" s="33" t="s">
        <v>663</v>
      </c>
      <c r="F207" s="34">
        <v>10</v>
      </c>
    </row>
    <row r="208" spans="1:6" x14ac:dyDescent="0.25">
      <c r="A208" s="34">
        <v>80</v>
      </c>
      <c r="B208" s="33" t="s">
        <v>656</v>
      </c>
      <c r="C208" s="33" t="s">
        <v>642</v>
      </c>
      <c r="D208" s="33" t="s">
        <v>621</v>
      </c>
      <c r="E208" s="33" t="s">
        <v>664</v>
      </c>
      <c r="F208" s="34">
        <v>11</v>
      </c>
    </row>
    <row r="209" spans="1:6" x14ac:dyDescent="0.25">
      <c r="A209" s="34">
        <v>80</v>
      </c>
      <c r="B209" s="33" t="s">
        <v>656</v>
      </c>
      <c r="C209" s="33" t="s">
        <v>642</v>
      </c>
      <c r="D209" s="33" t="s">
        <v>621</v>
      </c>
      <c r="E209" s="33" t="s">
        <v>665</v>
      </c>
      <c r="F209" s="34">
        <v>42.5</v>
      </c>
    </row>
    <row r="210" spans="1:6" x14ac:dyDescent="0.25">
      <c r="A210" s="34">
        <v>80</v>
      </c>
      <c r="B210" s="33" t="s">
        <v>656</v>
      </c>
      <c r="C210" s="33" t="s">
        <v>642</v>
      </c>
      <c r="D210" s="33" t="s">
        <v>630</v>
      </c>
      <c r="E210" s="33" t="s">
        <v>650</v>
      </c>
      <c r="F210" s="34">
        <v>68</v>
      </c>
    </row>
    <row r="211" spans="1:6" x14ac:dyDescent="0.25">
      <c r="A211" s="34">
        <v>80</v>
      </c>
      <c r="B211" s="33" t="s">
        <v>656</v>
      </c>
      <c r="C211" s="33" t="s">
        <v>642</v>
      </c>
      <c r="D211" s="33" t="s">
        <v>630</v>
      </c>
      <c r="E211" s="33" t="s">
        <v>651</v>
      </c>
      <c r="F211" s="33" t="s">
        <v>462</v>
      </c>
    </row>
    <row r="212" spans="1:6" x14ac:dyDescent="0.25">
      <c r="A212" s="34">
        <v>80</v>
      </c>
      <c r="B212" s="33" t="s">
        <v>656</v>
      </c>
      <c r="C212" s="33" t="s">
        <v>642</v>
      </c>
      <c r="D212" s="33" t="s">
        <v>630</v>
      </c>
      <c r="E212" s="33" t="s">
        <v>652</v>
      </c>
      <c r="F212" s="34">
        <v>68</v>
      </c>
    </row>
    <row r="213" spans="1:6" x14ac:dyDescent="0.25">
      <c r="A213" s="34">
        <v>80</v>
      </c>
      <c r="B213" s="33" t="s">
        <v>656</v>
      </c>
      <c r="C213" s="33" t="s">
        <v>653</v>
      </c>
      <c r="D213" s="33" t="s">
        <v>621</v>
      </c>
      <c r="E213" s="33" t="s">
        <v>666</v>
      </c>
      <c r="F213" s="34">
        <v>16</v>
      </c>
    </row>
    <row r="214" spans="1:6" x14ac:dyDescent="0.25">
      <c r="A214" s="34">
        <v>80</v>
      </c>
      <c r="B214" s="33" t="s">
        <v>656</v>
      </c>
      <c r="C214" s="33" t="s">
        <v>653</v>
      </c>
      <c r="D214" s="33" t="s">
        <v>621</v>
      </c>
      <c r="E214" s="33" t="s">
        <v>667</v>
      </c>
      <c r="F214" s="34">
        <v>9.25</v>
      </c>
    </row>
    <row r="215" spans="1:6" x14ac:dyDescent="0.25">
      <c r="A215" s="34">
        <v>80</v>
      </c>
      <c r="B215" s="33" t="s">
        <v>656</v>
      </c>
      <c r="C215" s="33" t="s">
        <v>653</v>
      </c>
      <c r="D215" s="33" t="s">
        <v>653</v>
      </c>
      <c r="E215" s="33" t="s">
        <v>668</v>
      </c>
      <c r="F215" s="34">
        <v>24</v>
      </c>
    </row>
    <row r="216" spans="1:6" x14ac:dyDescent="0.25">
      <c r="A216" s="34">
        <v>80</v>
      </c>
      <c r="B216" s="33" t="s">
        <v>656</v>
      </c>
      <c r="C216" s="33" t="s">
        <v>653</v>
      </c>
      <c r="D216" s="33" t="s">
        <v>653</v>
      </c>
      <c r="E216" s="33" t="s">
        <v>669</v>
      </c>
      <c r="F216" s="34">
        <v>78</v>
      </c>
    </row>
    <row r="217" spans="1:6" x14ac:dyDescent="0.25">
      <c r="A217" s="34">
        <v>80</v>
      </c>
      <c r="B217" s="33" t="s">
        <v>656</v>
      </c>
      <c r="C217" s="33" t="s">
        <v>653</v>
      </c>
      <c r="D217" s="33" t="s">
        <v>653</v>
      </c>
      <c r="E217" s="33" t="s">
        <v>654</v>
      </c>
      <c r="F217" s="34">
        <v>73</v>
      </c>
    </row>
    <row r="218" spans="1:6" x14ac:dyDescent="0.25">
      <c r="A218" s="34">
        <v>81</v>
      </c>
      <c r="B218" s="33" t="s">
        <v>656</v>
      </c>
      <c r="C218" s="33" t="s">
        <v>620</v>
      </c>
      <c r="D218" s="33" t="s">
        <v>621</v>
      </c>
      <c r="E218" s="33" t="s">
        <v>657</v>
      </c>
      <c r="F218" s="34">
        <v>14.5</v>
      </c>
    </row>
    <row r="219" spans="1:6" x14ac:dyDescent="0.25">
      <c r="A219" s="34">
        <v>81</v>
      </c>
      <c r="B219" s="33" t="s">
        <v>656</v>
      </c>
      <c r="C219" s="33" t="s">
        <v>620</v>
      </c>
      <c r="D219" s="33" t="s">
        <v>621</v>
      </c>
      <c r="E219" s="33" t="s">
        <v>658</v>
      </c>
      <c r="F219" s="34">
        <v>10</v>
      </c>
    </row>
    <row r="220" spans="1:6" x14ac:dyDescent="0.25">
      <c r="A220" s="34">
        <v>81</v>
      </c>
      <c r="B220" s="33" t="s">
        <v>656</v>
      </c>
      <c r="C220" s="33" t="s">
        <v>620</v>
      </c>
      <c r="D220" s="33" t="s">
        <v>621</v>
      </c>
      <c r="E220" s="33" t="s">
        <v>629</v>
      </c>
      <c r="F220" s="34">
        <v>44</v>
      </c>
    </row>
    <row r="221" spans="1:6" x14ac:dyDescent="0.25">
      <c r="A221" s="34">
        <v>81</v>
      </c>
      <c r="B221" s="33" t="s">
        <v>656</v>
      </c>
      <c r="C221" s="33" t="s">
        <v>620</v>
      </c>
      <c r="D221" s="33" t="s">
        <v>630</v>
      </c>
      <c r="E221" s="33" t="s">
        <v>631</v>
      </c>
      <c r="F221" s="34">
        <v>88</v>
      </c>
    </row>
    <row r="222" spans="1:6" x14ac:dyDescent="0.25">
      <c r="A222" s="34">
        <v>81</v>
      </c>
      <c r="B222" s="33" t="s">
        <v>656</v>
      </c>
      <c r="C222" s="33" t="s">
        <v>620</v>
      </c>
      <c r="D222" s="33" t="s">
        <v>630</v>
      </c>
      <c r="E222" s="33" t="s">
        <v>632</v>
      </c>
      <c r="F222" s="33" t="s">
        <v>462</v>
      </c>
    </row>
    <row r="223" spans="1:6" x14ac:dyDescent="0.25">
      <c r="A223" s="34">
        <v>81</v>
      </c>
      <c r="B223" s="33" t="s">
        <v>656</v>
      </c>
      <c r="C223" s="33" t="s">
        <v>620</v>
      </c>
      <c r="D223" s="33" t="s">
        <v>630</v>
      </c>
      <c r="E223" s="33" t="s">
        <v>633</v>
      </c>
      <c r="F223" s="34">
        <v>88</v>
      </c>
    </row>
    <row r="224" spans="1:6" x14ac:dyDescent="0.25">
      <c r="A224" s="34">
        <v>81</v>
      </c>
      <c r="B224" s="33" t="s">
        <v>656</v>
      </c>
      <c r="C224" s="33" t="s">
        <v>634</v>
      </c>
      <c r="D224" s="33" t="s">
        <v>621</v>
      </c>
      <c r="E224" s="33" t="s">
        <v>659</v>
      </c>
      <c r="F224" s="34">
        <v>15</v>
      </c>
    </row>
    <row r="225" spans="1:6" x14ac:dyDescent="0.25">
      <c r="A225" s="34">
        <v>81</v>
      </c>
      <c r="B225" s="33" t="s">
        <v>656</v>
      </c>
      <c r="C225" s="33" t="s">
        <v>634</v>
      </c>
      <c r="D225" s="33" t="s">
        <v>621</v>
      </c>
      <c r="E225" s="33" t="s">
        <v>660</v>
      </c>
      <c r="F225" s="34">
        <v>10</v>
      </c>
    </row>
    <row r="226" spans="1:6" x14ac:dyDescent="0.25">
      <c r="A226" s="34">
        <v>81</v>
      </c>
      <c r="B226" s="33" t="s">
        <v>656</v>
      </c>
      <c r="C226" s="33" t="s">
        <v>634</v>
      </c>
      <c r="D226" s="33" t="s">
        <v>621</v>
      </c>
      <c r="E226" s="33" t="s">
        <v>638</v>
      </c>
      <c r="F226" s="34">
        <v>47.5</v>
      </c>
    </row>
    <row r="227" spans="1:6" x14ac:dyDescent="0.25">
      <c r="A227" s="34">
        <v>81</v>
      </c>
      <c r="B227" s="33" t="s">
        <v>656</v>
      </c>
      <c r="C227" s="33" t="s">
        <v>634</v>
      </c>
      <c r="D227" s="33" t="s">
        <v>630</v>
      </c>
      <c r="E227" s="33" t="s">
        <v>639</v>
      </c>
      <c r="F227" s="34">
        <v>82</v>
      </c>
    </row>
    <row r="228" spans="1:6" x14ac:dyDescent="0.25">
      <c r="A228" s="34">
        <v>81</v>
      </c>
      <c r="B228" s="33" t="s">
        <v>656</v>
      </c>
      <c r="C228" s="33" t="s">
        <v>634</v>
      </c>
      <c r="D228" s="33" t="s">
        <v>630</v>
      </c>
      <c r="E228" s="33" t="s">
        <v>640</v>
      </c>
      <c r="F228" s="33" t="s">
        <v>462</v>
      </c>
    </row>
    <row r="229" spans="1:6" x14ac:dyDescent="0.25">
      <c r="A229" s="34">
        <v>81</v>
      </c>
      <c r="B229" s="33" t="s">
        <v>656</v>
      </c>
      <c r="C229" s="33" t="s">
        <v>634</v>
      </c>
      <c r="D229" s="33" t="s">
        <v>630</v>
      </c>
      <c r="E229" s="33" t="s">
        <v>661</v>
      </c>
      <c r="F229" s="34">
        <v>82</v>
      </c>
    </row>
    <row r="230" spans="1:6" x14ac:dyDescent="0.25">
      <c r="A230" s="34">
        <v>81</v>
      </c>
      <c r="B230" s="33" t="s">
        <v>656</v>
      </c>
      <c r="C230" s="33" t="s">
        <v>642</v>
      </c>
      <c r="D230" s="33" t="s">
        <v>621</v>
      </c>
      <c r="E230" s="33" t="s">
        <v>662</v>
      </c>
      <c r="F230" s="34">
        <v>10</v>
      </c>
    </row>
    <row r="231" spans="1:6" x14ac:dyDescent="0.25">
      <c r="A231" s="34">
        <v>81</v>
      </c>
      <c r="B231" s="33" t="s">
        <v>656</v>
      </c>
      <c r="C231" s="33" t="s">
        <v>642</v>
      </c>
      <c r="D231" s="33" t="s">
        <v>621</v>
      </c>
      <c r="E231" s="33" t="s">
        <v>663</v>
      </c>
      <c r="F231" s="34">
        <v>10</v>
      </c>
    </row>
    <row r="232" spans="1:6" x14ac:dyDescent="0.25">
      <c r="A232" s="34">
        <v>81</v>
      </c>
      <c r="B232" s="33" t="s">
        <v>656</v>
      </c>
      <c r="C232" s="33" t="s">
        <v>642</v>
      </c>
      <c r="D232" s="33" t="s">
        <v>621</v>
      </c>
      <c r="E232" s="33" t="s">
        <v>664</v>
      </c>
      <c r="F232" s="34">
        <v>0</v>
      </c>
    </row>
    <row r="233" spans="1:6" x14ac:dyDescent="0.25">
      <c r="A233" s="34">
        <v>81</v>
      </c>
      <c r="B233" s="33" t="s">
        <v>656</v>
      </c>
      <c r="C233" s="33" t="s">
        <v>642</v>
      </c>
      <c r="D233" s="33" t="s">
        <v>621</v>
      </c>
      <c r="E233" s="33" t="s">
        <v>665</v>
      </c>
      <c r="F233" s="34">
        <v>44</v>
      </c>
    </row>
    <row r="234" spans="1:6" x14ac:dyDescent="0.25">
      <c r="A234" s="34">
        <v>81</v>
      </c>
      <c r="B234" s="33" t="s">
        <v>656</v>
      </c>
      <c r="C234" s="33" t="s">
        <v>642</v>
      </c>
      <c r="D234" s="33" t="s">
        <v>630</v>
      </c>
      <c r="E234" s="33" t="s">
        <v>650</v>
      </c>
      <c r="F234" s="34">
        <v>84</v>
      </c>
    </row>
    <row r="235" spans="1:6" x14ac:dyDescent="0.25">
      <c r="A235" s="34">
        <v>81</v>
      </c>
      <c r="B235" s="33" t="s">
        <v>656</v>
      </c>
      <c r="C235" s="33" t="s">
        <v>642</v>
      </c>
      <c r="D235" s="33" t="s">
        <v>630</v>
      </c>
      <c r="E235" s="33" t="s">
        <v>651</v>
      </c>
      <c r="F235" s="33" t="s">
        <v>462</v>
      </c>
    </row>
    <row r="236" spans="1:6" x14ac:dyDescent="0.25">
      <c r="A236" s="34">
        <v>81</v>
      </c>
      <c r="B236" s="33" t="s">
        <v>656</v>
      </c>
      <c r="C236" s="33" t="s">
        <v>642</v>
      </c>
      <c r="D236" s="33" t="s">
        <v>630</v>
      </c>
      <c r="E236" s="33" t="s">
        <v>652</v>
      </c>
      <c r="F236" s="34">
        <v>84</v>
      </c>
    </row>
    <row r="237" spans="1:6" x14ac:dyDescent="0.25">
      <c r="A237" s="34">
        <v>81</v>
      </c>
      <c r="B237" s="33" t="s">
        <v>656</v>
      </c>
      <c r="C237" s="33" t="s">
        <v>653</v>
      </c>
      <c r="D237" s="33" t="s">
        <v>621</v>
      </c>
      <c r="E237" s="33" t="s">
        <v>666</v>
      </c>
      <c r="F237" s="34">
        <v>0</v>
      </c>
    </row>
    <row r="238" spans="1:6" x14ac:dyDescent="0.25">
      <c r="A238" s="34">
        <v>81</v>
      </c>
      <c r="B238" s="33" t="s">
        <v>656</v>
      </c>
      <c r="C238" s="33" t="s">
        <v>653</v>
      </c>
      <c r="D238" s="33" t="s">
        <v>621</v>
      </c>
      <c r="E238" s="33" t="s">
        <v>667</v>
      </c>
      <c r="F238" s="34">
        <v>0</v>
      </c>
    </row>
    <row r="239" spans="1:6" x14ac:dyDescent="0.25">
      <c r="A239" s="34">
        <v>81</v>
      </c>
      <c r="B239" s="33" t="s">
        <v>656</v>
      </c>
      <c r="C239" s="33" t="s">
        <v>653</v>
      </c>
      <c r="D239" s="33" t="s">
        <v>653</v>
      </c>
      <c r="E239" s="33" t="s">
        <v>668</v>
      </c>
      <c r="F239" s="34">
        <v>0</v>
      </c>
    </row>
    <row r="240" spans="1:6" x14ac:dyDescent="0.25">
      <c r="A240" s="34">
        <v>81</v>
      </c>
      <c r="B240" s="33" t="s">
        <v>656</v>
      </c>
      <c r="C240" s="33" t="s">
        <v>653</v>
      </c>
      <c r="D240" s="33" t="s">
        <v>653</v>
      </c>
      <c r="E240" s="33" t="s">
        <v>669</v>
      </c>
      <c r="F240" s="34">
        <v>100</v>
      </c>
    </row>
    <row r="241" spans="1:6" x14ac:dyDescent="0.25">
      <c r="A241" s="34">
        <v>81</v>
      </c>
      <c r="B241" s="33" t="s">
        <v>656</v>
      </c>
      <c r="C241" s="33" t="s">
        <v>653</v>
      </c>
      <c r="D241" s="33" t="s">
        <v>653</v>
      </c>
      <c r="E241" s="33" t="s">
        <v>654</v>
      </c>
      <c r="F241" s="34">
        <v>85</v>
      </c>
    </row>
    <row r="242" spans="1:6" x14ac:dyDescent="0.25">
      <c r="A242" s="34">
        <v>82</v>
      </c>
      <c r="B242" s="33" t="s">
        <v>656</v>
      </c>
      <c r="C242" s="33" t="s">
        <v>620</v>
      </c>
      <c r="D242" s="33" t="s">
        <v>621</v>
      </c>
      <c r="E242" s="33" t="s">
        <v>657</v>
      </c>
      <c r="F242" s="34">
        <v>2</v>
      </c>
    </row>
    <row r="243" spans="1:6" x14ac:dyDescent="0.25">
      <c r="A243" s="34">
        <v>82</v>
      </c>
      <c r="B243" s="33" t="s">
        <v>656</v>
      </c>
      <c r="C243" s="33" t="s">
        <v>620</v>
      </c>
      <c r="D243" s="33" t="s">
        <v>621</v>
      </c>
      <c r="E243" s="33" t="s">
        <v>658</v>
      </c>
      <c r="F243" s="34">
        <v>0</v>
      </c>
    </row>
    <row r="244" spans="1:6" x14ac:dyDescent="0.25">
      <c r="A244" s="34">
        <v>82</v>
      </c>
      <c r="B244" s="33" t="s">
        <v>656</v>
      </c>
      <c r="C244" s="33" t="s">
        <v>620</v>
      </c>
      <c r="D244" s="33" t="s">
        <v>621</v>
      </c>
      <c r="E244" s="33" t="s">
        <v>629</v>
      </c>
      <c r="F244" s="34">
        <v>34</v>
      </c>
    </row>
    <row r="245" spans="1:6" x14ac:dyDescent="0.25">
      <c r="A245" s="34">
        <v>82</v>
      </c>
      <c r="B245" s="33" t="s">
        <v>656</v>
      </c>
      <c r="C245" s="33" t="s">
        <v>620</v>
      </c>
      <c r="D245" s="33" t="s">
        <v>630</v>
      </c>
      <c r="E245" s="33" t="s">
        <v>631</v>
      </c>
      <c r="F245" s="34">
        <v>30</v>
      </c>
    </row>
    <row r="246" spans="1:6" x14ac:dyDescent="0.25">
      <c r="A246" s="34">
        <v>82</v>
      </c>
      <c r="B246" s="33" t="s">
        <v>656</v>
      </c>
      <c r="C246" s="33" t="s">
        <v>620</v>
      </c>
      <c r="D246" s="33" t="s">
        <v>630</v>
      </c>
      <c r="E246" s="33" t="s">
        <v>632</v>
      </c>
      <c r="F246" s="33" t="s">
        <v>462</v>
      </c>
    </row>
    <row r="247" spans="1:6" x14ac:dyDescent="0.25">
      <c r="A247" s="34">
        <v>82</v>
      </c>
      <c r="B247" s="33" t="s">
        <v>656</v>
      </c>
      <c r="C247" s="33" t="s">
        <v>620</v>
      </c>
      <c r="D247" s="33" t="s">
        <v>630</v>
      </c>
      <c r="E247" s="33" t="s">
        <v>633</v>
      </c>
      <c r="F247" s="34">
        <v>30</v>
      </c>
    </row>
    <row r="248" spans="1:6" x14ac:dyDescent="0.25">
      <c r="A248" s="34">
        <v>82</v>
      </c>
      <c r="B248" s="33" t="s">
        <v>656</v>
      </c>
      <c r="C248" s="33" t="s">
        <v>634</v>
      </c>
      <c r="D248" s="33" t="s">
        <v>621</v>
      </c>
      <c r="E248" s="33" t="s">
        <v>659</v>
      </c>
      <c r="F248" s="34">
        <v>18</v>
      </c>
    </row>
    <row r="249" spans="1:6" x14ac:dyDescent="0.25">
      <c r="A249" s="34">
        <v>82</v>
      </c>
      <c r="B249" s="33" t="s">
        <v>656</v>
      </c>
      <c r="C249" s="33" t="s">
        <v>634</v>
      </c>
      <c r="D249" s="33" t="s">
        <v>621</v>
      </c>
      <c r="E249" s="33" t="s">
        <v>660</v>
      </c>
      <c r="F249" s="34">
        <v>6</v>
      </c>
    </row>
    <row r="250" spans="1:6" x14ac:dyDescent="0.25">
      <c r="A250" s="34">
        <v>82</v>
      </c>
      <c r="B250" s="33" t="s">
        <v>656</v>
      </c>
      <c r="C250" s="33" t="s">
        <v>634</v>
      </c>
      <c r="D250" s="33" t="s">
        <v>621</v>
      </c>
      <c r="E250" s="33" t="s">
        <v>638</v>
      </c>
      <c r="F250" s="34">
        <v>39</v>
      </c>
    </row>
    <row r="251" spans="1:6" x14ac:dyDescent="0.25">
      <c r="A251" s="34">
        <v>82</v>
      </c>
      <c r="B251" s="33" t="s">
        <v>656</v>
      </c>
      <c r="C251" s="33" t="s">
        <v>634</v>
      </c>
      <c r="D251" s="33" t="s">
        <v>630</v>
      </c>
      <c r="E251" s="33" t="s">
        <v>639</v>
      </c>
      <c r="F251" s="34">
        <v>62</v>
      </c>
    </row>
    <row r="252" spans="1:6" x14ac:dyDescent="0.25">
      <c r="A252" s="34">
        <v>82</v>
      </c>
      <c r="B252" s="33" t="s">
        <v>656</v>
      </c>
      <c r="C252" s="33" t="s">
        <v>634</v>
      </c>
      <c r="D252" s="33" t="s">
        <v>630</v>
      </c>
      <c r="E252" s="33" t="s">
        <v>640</v>
      </c>
      <c r="F252" s="34">
        <v>72</v>
      </c>
    </row>
    <row r="253" spans="1:6" x14ac:dyDescent="0.25">
      <c r="A253" s="34">
        <v>82</v>
      </c>
      <c r="B253" s="33" t="s">
        <v>656</v>
      </c>
      <c r="C253" s="33" t="s">
        <v>634</v>
      </c>
      <c r="D253" s="33" t="s">
        <v>630</v>
      </c>
      <c r="E253" s="33" t="s">
        <v>661</v>
      </c>
      <c r="F253" s="34">
        <v>72</v>
      </c>
    </row>
    <row r="254" spans="1:6" x14ac:dyDescent="0.25">
      <c r="A254" s="34">
        <v>82</v>
      </c>
      <c r="B254" s="33" t="s">
        <v>656</v>
      </c>
      <c r="C254" s="33" t="s">
        <v>642</v>
      </c>
      <c r="D254" s="33" t="s">
        <v>621</v>
      </c>
      <c r="E254" s="33" t="s">
        <v>662</v>
      </c>
      <c r="F254" s="34">
        <v>9</v>
      </c>
    </row>
    <row r="255" spans="1:6" x14ac:dyDescent="0.25">
      <c r="A255" s="34">
        <v>82</v>
      </c>
      <c r="B255" s="33" t="s">
        <v>656</v>
      </c>
      <c r="C255" s="33" t="s">
        <v>642</v>
      </c>
      <c r="D255" s="33" t="s">
        <v>621</v>
      </c>
      <c r="E255" s="33" t="s">
        <v>663</v>
      </c>
      <c r="F255" s="34">
        <v>9</v>
      </c>
    </row>
    <row r="256" spans="1:6" x14ac:dyDescent="0.25">
      <c r="A256" s="34">
        <v>82</v>
      </c>
      <c r="B256" s="33" t="s">
        <v>656</v>
      </c>
      <c r="C256" s="33" t="s">
        <v>642</v>
      </c>
      <c r="D256" s="33" t="s">
        <v>621</v>
      </c>
      <c r="E256" s="33" t="s">
        <v>664</v>
      </c>
      <c r="F256" s="34">
        <v>10</v>
      </c>
    </row>
    <row r="257" spans="1:6" x14ac:dyDescent="0.25">
      <c r="A257" s="34">
        <v>82</v>
      </c>
      <c r="B257" s="33" t="s">
        <v>656</v>
      </c>
      <c r="C257" s="33" t="s">
        <v>642</v>
      </c>
      <c r="D257" s="33" t="s">
        <v>621</v>
      </c>
      <c r="E257" s="33" t="s">
        <v>665</v>
      </c>
      <c r="F257" s="34">
        <v>42.5</v>
      </c>
    </row>
    <row r="258" spans="1:6" x14ac:dyDescent="0.25">
      <c r="A258" s="34">
        <v>82</v>
      </c>
      <c r="B258" s="33" t="s">
        <v>656</v>
      </c>
      <c r="C258" s="33" t="s">
        <v>642</v>
      </c>
      <c r="D258" s="33" t="s">
        <v>630</v>
      </c>
      <c r="E258" s="33" t="s">
        <v>650</v>
      </c>
      <c r="F258" s="34">
        <v>65</v>
      </c>
    </row>
    <row r="259" spans="1:6" x14ac:dyDescent="0.25">
      <c r="A259" s="34">
        <v>82</v>
      </c>
      <c r="B259" s="33" t="s">
        <v>656</v>
      </c>
      <c r="C259" s="33" t="s">
        <v>642</v>
      </c>
      <c r="D259" s="33" t="s">
        <v>630</v>
      </c>
      <c r="E259" s="33" t="s">
        <v>651</v>
      </c>
      <c r="F259" s="34">
        <v>68</v>
      </c>
    </row>
    <row r="260" spans="1:6" x14ac:dyDescent="0.25">
      <c r="A260" s="34">
        <v>82</v>
      </c>
      <c r="B260" s="33" t="s">
        <v>656</v>
      </c>
      <c r="C260" s="33" t="s">
        <v>642</v>
      </c>
      <c r="D260" s="33" t="s">
        <v>630</v>
      </c>
      <c r="E260" s="33" t="s">
        <v>652</v>
      </c>
      <c r="F260" s="34">
        <v>68</v>
      </c>
    </row>
    <row r="261" spans="1:6" x14ac:dyDescent="0.25">
      <c r="A261" s="34">
        <v>82</v>
      </c>
      <c r="B261" s="33" t="s">
        <v>656</v>
      </c>
      <c r="C261" s="33" t="s">
        <v>653</v>
      </c>
      <c r="D261" s="33" t="s">
        <v>621</v>
      </c>
      <c r="E261" s="33" t="s">
        <v>666</v>
      </c>
      <c r="F261" s="34">
        <v>20.2</v>
      </c>
    </row>
    <row r="262" spans="1:6" x14ac:dyDescent="0.25">
      <c r="A262" s="34">
        <v>82</v>
      </c>
      <c r="B262" s="33" t="s">
        <v>656</v>
      </c>
      <c r="C262" s="33" t="s">
        <v>653</v>
      </c>
      <c r="D262" s="33" t="s">
        <v>621</v>
      </c>
      <c r="E262" s="33" t="s">
        <v>667</v>
      </c>
      <c r="F262" s="34">
        <v>1</v>
      </c>
    </row>
    <row r="263" spans="1:6" x14ac:dyDescent="0.25">
      <c r="A263" s="34">
        <v>82</v>
      </c>
      <c r="B263" s="33" t="s">
        <v>656</v>
      </c>
      <c r="C263" s="33" t="s">
        <v>653</v>
      </c>
      <c r="D263" s="33" t="s">
        <v>653</v>
      </c>
      <c r="E263" s="33" t="s">
        <v>668</v>
      </c>
      <c r="F263" s="34">
        <v>26</v>
      </c>
    </row>
    <row r="264" spans="1:6" x14ac:dyDescent="0.25">
      <c r="A264" s="34">
        <v>82</v>
      </c>
      <c r="B264" s="33" t="s">
        <v>656</v>
      </c>
      <c r="C264" s="33" t="s">
        <v>653</v>
      </c>
      <c r="D264" s="33" t="s">
        <v>653</v>
      </c>
      <c r="E264" s="33" t="s">
        <v>669</v>
      </c>
      <c r="F264" s="34">
        <v>82</v>
      </c>
    </row>
    <row r="265" spans="1:6" x14ac:dyDescent="0.25">
      <c r="A265" s="34">
        <v>82</v>
      </c>
      <c r="B265" s="33" t="s">
        <v>656</v>
      </c>
      <c r="C265" s="33" t="s">
        <v>653</v>
      </c>
      <c r="D265" s="33" t="s">
        <v>653</v>
      </c>
      <c r="E265" s="33" t="s">
        <v>654</v>
      </c>
      <c r="F265" s="34">
        <v>65</v>
      </c>
    </row>
    <row r="266" spans="1:6" x14ac:dyDescent="0.25">
      <c r="A266" s="34">
        <v>83</v>
      </c>
      <c r="B266" s="33" t="s">
        <v>656</v>
      </c>
      <c r="C266" s="33" t="s">
        <v>620</v>
      </c>
      <c r="D266" s="33" t="s">
        <v>621</v>
      </c>
      <c r="E266" s="33" t="s">
        <v>657</v>
      </c>
      <c r="F266" s="34">
        <v>15</v>
      </c>
    </row>
    <row r="267" spans="1:6" x14ac:dyDescent="0.25">
      <c r="A267" s="34">
        <v>83</v>
      </c>
      <c r="B267" s="33" t="s">
        <v>656</v>
      </c>
      <c r="C267" s="33" t="s">
        <v>620</v>
      </c>
      <c r="D267" s="33" t="s">
        <v>621</v>
      </c>
      <c r="E267" s="33" t="s">
        <v>658</v>
      </c>
      <c r="F267" s="34">
        <v>10.75</v>
      </c>
    </row>
    <row r="268" spans="1:6" x14ac:dyDescent="0.25">
      <c r="A268" s="34">
        <v>83</v>
      </c>
      <c r="B268" s="33" t="s">
        <v>656</v>
      </c>
      <c r="C268" s="33" t="s">
        <v>620</v>
      </c>
      <c r="D268" s="33" t="s">
        <v>621</v>
      </c>
      <c r="E268" s="33" t="s">
        <v>629</v>
      </c>
      <c r="F268" s="34">
        <v>37.5</v>
      </c>
    </row>
    <row r="269" spans="1:6" x14ac:dyDescent="0.25">
      <c r="A269" s="34">
        <v>83</v>
      </c>
      <c r="B269" s="33" t="s">
        <v>656</v>
      </c>
      <c r="C269" s="33" t="s">
        <v>620</v>
      </c>
      <c r="D269" s="33" t="s">
        <v>630</v>
      </c>
      <c r="E269" s="33" t="s">
        <v>631</v>
      </c>
      <c r="F269" s="34">
        <v>82</v>
      </c>
    </row>
    <row r="270" spans="1:6" x14ac:dyDescent="0.25">
      <c r="A270" s="34">
        <v>83</v>
      </c>
      <c r="B270" s="33" t="s">
        <v>656</v>
      </c>
      <c r="C270" s="33" t="s">
        <v>620</v>
      </c>
      <c r="D270" s="33" t="s">
        <v>630</v>
      </c>
      <c r="E270" s="33" t="s">
        <v>632</v>
      </c>
      <c r="F270" s="33" t="s">
        <v>462</v>
      </c>
    </row>
    <row r="271" spans="1:6" x14ac:dyDescent="0.25">
      <c r="A271" s="34">
        <v>83</v>
      </c>
      <c r="B271" s="33" t="s">
        <v>656</v>
      </c>
      <c r="C271" s="33" t="s">
        <v>620</v>
      </c>
      <c r="D271" s="33" t="s">
        <v>630</v>
      </c>
      <c r="E271" s="33" t="s">
        <v>633</v>
      </c>
      <c r="F271" s="34">
        <v>82</v>
      </c>
    </row>
    <row r="272" spans="1:6" x14ac:dyDescent="0.25">
      <c r="A272" s="34">
        <v>83</v>
      </c>
      <c r="B272" s="33" t="s">
        <v>656</v>
      </c>
      <c r="C272" s="33" t="s">
        <v>634</v>
      </c>
      <c r="D272" s="33" t="s">
        <v>621</v>
      </c>
      <c r="E272" s="33" t="s">
        <v>659</v>
      </c>
      <c r="F272" s="34">
        <v>16</v>
      </c>
    </row>
    <row r="273" spans="1:6" x14ac:dyDescent="0.25">
      <c r="A273" s="34">
        <v>83</v>
      </c>
      <c r="B273" s="33" t="s">
        <v>656</v>
      </c>
      <c r="C273" s="33" t="s">
        <v>634</v>
      </c>
      <c r="D273" s="33" t="s">
        <v>621</v>
      </c>
      <c r="E273" s="33" t="s">
        <v>660</v>
      </c>
      <c r="F273" s="34">
        <v>12</v>
      </c>
    </row>
    <row r="274" spans="1:6" x14ac:dyDescent="0.25">
      <c r="A274" s="34">
        <v>83</v>
      </c>
      <c r="B274" s="33" t="s">
        <v>656</v>
      </c>
      <c r="C274" s="33" t="s">
        <v>634</v>
      </c>
      <c r="D274" s="33" t="s">
        <v>621</v>
      </c>
      <c r="E274" s="33" t="s">
        <v>638</v>
      </c>
      <c r="F274" s="34">
        <v>41</v>
      </c>
    </row>
    <row r="275" spans="1:6" x14ac:dyDescent="0.25">
      <c r="A275" s="34">
        <v>83</v>
      </c>
      <c r="B275" s="33" t="s">
        <v>656</v>
      </c>
      <c r="C275" s="33" t="s">
        <v>634</v>
      </c>
      <c r="D275" s="33" t="s">
        <v>630</v>
      </c>
      <c r="E275" s="33" t="s">
        <v>639</v>
      </c>
      <c r="F275" s="34">
        <v>72</v>
      </c>
    </row>
    <row r="276" spans="1:6" x14ac:dyDescent="0.25">
      <c r="A276" s="34">
        <v>83</v>
      </c>
      <c r="B276" s="33" t="s">
        <v>656</v>
      </c>
      <c r="C276" s="33" t="s">
        <v>634</v>
      </c>
      <c r="D276" s="33" t="s">
        <v>630</v>
      </c>
      <c r="E276" s="33" t="s">
        <v>640</v>
      </c>
      <c r="F276" s="33" t="s">
        <v>462</v>
      </c>
    </row>
    <row r="277" spans="1:6" x14ac:dyDescent="0.25">
      <c r="A277" s="34">
        <v>83</v>
      </c>
      <c r="B277" s="33" t="s">
        <v>656</v>
      </c>
      <c r="C277" s="33" t="s">
        <v>634</v>
      </c>
      <c r="D277" s="33" t="s">
        <v>630</v>
      </c>
      <c r="E277" s="33" t="s">
        <v>661</v>
      </c>
      <c r="F277" s="34">
        <v>72</v>
      </c>
    </row>
    <row r="278" spans="1:6" x14ac:dyDescent="0.25">
      <c r="A278" s="34">
        <v>83</v>
      </c>
      <c r="B278" s="33" t="s">
        <v>656</v>
      </c>
      <c r="C278" s="33" t="s">
        <v>642</v>
      </c>
      <c r="D278" s="33" t="s">
        <v>621</v>
      </c>
      <c r="E278" s="33" t="s">
        <v>662</v>
      </c>
      <c r="F278" s="34">
        <v>7</v>
      </c>
    </row>
    <row r="279" spans="1:6" x14ac:dyDescent="0.25">
      <c r="A279" s="34">
        <v>83</v>
      </c>
      <c r="B279" s="33" t="s">
        <v>656</v>
      </c>
      <c r="C279" s="33" t="s">
        <v>642</v>
      </c>
      <c r="D279" s="33" t="s">
        <v>621</v>
      </c>
      <c r="E279" s="33" t="s">
        <v>663</v>
      </c>
      <c r="F279" s="34">
        <v>10</v>
      </c>
    </row>
    <row r="280" spans="1:6" x14ac:dyDescent="0.25">
      <c r="A280" s="34">
        <v>83</v>
      </c>
      <c r="B280" s="33" t="s">
        <v>656</v>
      </c>
      <c r="C280" s="33" t="s">
        <v>642</v>
      </c>
      <c r="D280" s="33" t="s">
        <v>621</v>
      </c>
      <c r="E280" s="33" t="s">
        <v>664</v>
      </c>
      <c r="F280" s="34">
        <v>11</v>
      </c>
    </row>
    <row r="281" spans="1:6" x14ac:dyDescent="0.25">
      <c r="A281" s="34">
        <v>83</v>
      </c>
      <c r="B281" s="33" t="s">
        <v>656</v>
      </c>
      <c r="C281" s="33" t="s">
        <v>642</v>
      </c>
      <c r="D281" s="33" t="s">
        <v>621</v>
      </c>
      <c r="E281" s="33" t="s">
        <v>665</v>
      </c>
      <c r="F281" s="34">
        <v>42.5</v>
      </c>
    </row>
    <row r="282" spans="1:6" x14ac:dyDescent="0.25">
      <c r="A282" s="34">
        <v>83</v>
      </c>
      <c r="B282" s="33" t="s">
        <v>656</v>
      </c>
      <c r="C282" s="33" t="s">
        <v>642</v>
      </c>
      <c r="D282" s="33" t="s">
        <v>630</v>
      </c>
      <c r="E282" s="33" t="s">
        <v>650</v>
      </c>
      <c r="F282" s="34">
        <v>85</v>
      </c>
    </row>
    <row r="283" spans="1:6" x14ac:dyDescent="0.25">
      <c r="A283" s="34">
        <v>83</v>
      </c>
      <c r="B283" s="33" t="s">
        <v>656</v>
      </c>
      <c r="C283" s="33" t="s">
        <v>642</v>
      </c>
      <c r="D283" s="33" t="s">
        <v>630</v>
      </c>
      <c r="E283" s="33" t="s">
        <v>651</v>
      </c>
      <c r="F283" s="33" t="s">
        <v>462</v>
      </c>
    </row>
    <row r="284" spans="1:6" x14ac:dyDescent="0.25">
      <c r="A284" s="34">
        <v>83</v>
      </c>
      <c r="B284" s="33" t="s">
        <v>656</v>
      </c>
      <c r="C284" s="33" t="s">
        <v>642</v>
      </c>
      <c r="D284" s="33" t="s">
        <v>630</v>
      </c>
      <c r="E284" s="33" t="s">
        <v>652</v>
      </c>
      <c r="F284" s="34">
        <v>85</v>
      </c>
    </row>
    <row r="285" spans="1:6" x14ac:dyDescent="0.25">
      <c r="A285" s="34">
        <v>83</v>
      </c>
      <c r="B285" s="33" t="s">
        <v>656</v>
      </c>
      <c r="C285" s="33" t="s">
        <v>653</v>
      </c>
      <c r="D285" s="33" t="s">
        <v>621</v>
      </c>
      <c r="E285" s="33" t="s">
        <v>666</v>
      </c>
      <c r="F285" s="34">
        <v>0</v>
      </c>
    </row>
    <row r="286" spans="1:6" x14ac:dyDescent="0.25">
      <c r="A286" s="34">
        <v>83</v>
      </c>
      <c r="B286" s="33" t="s">
        <v>656</v>
      </c>
      <c r="C286" s="33" t="s">
        <v>653</v>
      </c>
      <c r="D286" s="33" t="s">
        <v>621</v>
      </c>
      <c r="E286" s="33" t="s">
        <v>667</v>
      </c>
      <c r="F286" s="34">
        <v>0</v>
      </c>
    </row>
    <row r="287" spans="1:6" x14ac:dyDescent="0.25">
      <c r="A287" s="34">
        <v>83</v>
      </c>
      <c r="B287" s="33" t="s">
        <v>656</v>
      </c>
      <c r="C287" s="33" t="s">
        <v>653</v>
      </c>
      <c r="D287" s="33" t="s">
        <v>653</v>
      </c>
      <c r="E287" s="33" t="s">
        <v>668</v>
      </c>
      <c r="F287" s="34">
        <v>0</v>
      </c>
    </row>
    <row r="288" spans="1:6" x14ac:dyDescent="0.25">
      <c r="A288" s="34">
        <v>83</v>
      </c>
      <c r="B288" s="33" t="s">
        <v>656</v>
      </c>
      <c r="C288" s="33" t="s">
        <v>653</v>
      </c>
      <c r="D288" s="33" t="s">
        <v>653</v>
      </c>
      <c r="E288" s="33" t="s">
        <v>669</v>
      </c>
      <c r="F288" s="34">
        <v>0</v>
      </c>
    </row>
    <row r="289" spans="1:6" x14ac:dyDescent="0.25">
      <c r="A289" s="34">
        <v>83</v>
      </c>
      <c r="B289" s="33" t="s">
        <v>656</v>
      </c>
      <c r="C289" s="33" t="s">
        <v>653</v>
      </c>
      <c r="D289" s="33" t="s">
        <v>653</v>
      </c>
      <c r="E289" s="33" t="s">
        <v>654</v>
      </c>
      <c r="F289" s="34">
        <v>85</v>
      </c>
    </row>
    <row r="290" spans="1:6" x14ac:dyDescent="0.25">
      <c r="A290" s="34">
        <v>84</v>
      </c>
      <c r="B290" s="33" t="s">
        <v>656</v>
      </c>
      <c r="C290" s="33" t="s">
        <v>620</v>
      </c>
      <c r="D290" s="33" t="s">
        <v>621</v>
      </c>
      <c r="E290" s="33" t="s">
        <v>657</v>
      </c>
      <c r="F290" s="34">
        <v>4</v>
      </c>
    </row>
    <row r="291" spans="1:6" x14ac:dyDescent="0.25">
      <c r="A291" s="34">
        <v>84</v>
      </c>
      <c r="B291" s="33" t="s">
        <v>656</v>
      </c>
      <c r="C291" s="33" t="s">
        <v>620</v>
      </c>
      <c r="D291" s="33" t="s">
        <v>621</v>
      </c>
      <c r="E291" s="33" t="s">
        <v>658</v>
      </c>
      <c r="F291" s="34">
        <v>4</v>
      </c>
    </row>
    <row r="292" spans="1:6" x14ac:dyDescent="0.25">
      <c r="A292" s="34">
        <v>84</v>
      </c>
      <c r="B292" s="33" t="s">
        <v>656</v>
      </c>
      <c r="C292" s="33" t="s">
        <v>620</v>
      </c>
      <c r="D292" s="33" t="s">
        <v>621</v>
      </c>
      <c r="E292" s="33" t="s">
        <v>629</v>
      </c>
      <c r="F292" s="34">
        <v>36</v>
      </c>
    </row>
    <row r="293" spans="1:6" x14ac:dyDescent="0.25">
      <c r="A293" s="34">
        <v>84</v>
      </c>
      <c r="B293" s="33" t="s">
        <v>656</v>
      </c>
      <c r="C293" s="33" t="s">
        <v>620</v>
      </c>
      <c r="D293" s="33" t="s">
        <v>630</v>
      </c>
      <c r="E293" s="33" t="s">
        <v>631</v>
      </c>
      <c r="F293" s="34">
        <v>83</v>
      </c>
    </row>
    <row r="294" spans="1:6" x14ac:dyDescent="0.25">
      <c r="A294" s="34">
        <v>84</v>
      </c>
      <c r="B294" s="33" t="s">
        <v>656</v>
      </c>
      <c r="C294" s="33" t="s">
        <v>620</v>
      </c>
      <c r="D294" s="33" t="s">
        <v>630</v>
      </c>
      <c r="E294" s="33" t="s">
        <v>632</v>
      </c>
      <c r="F294" s="33" t="s">
        <v>462</v>
      </c>
    </row>
    <row r="295" spans="1:6" x14ac:dyDescent="0.25">
      <c r="A295" s="34">
        <v>84</v>
      </c>
      <c r="B295" s="33" t="s">
        <v>656</v>
      </c>
      <c r="C295" s="33" t="s">
        <v>620</v>
      </c>
      <c r="D295" s="33" t="s">
        <v>630</v>
      </c>
      <c r="E295" s="33" t="s">
        <v>633</v>
      </c>
      <c r="F295" s="34">
        <v>83</v>
      </c>
    </row>
    <row r="296" spans="1:6" x14ac:dyDescent="0.25">
      <c r="A296" s="34">
        <v>84</v>
      </c>
      <c r="B296" s="33" t="s">
        <v>656</v>
      </c>
      <c r="C296" s="33" t="s">
        <v>634</v>
      </c>
      <c r="D296" s="33" t="s">
        <v>621</v>
      </c>
      <c r="E296" s="33" t="s">
        <v>659</v>
      </c>
      <c r="F296" s="34">
        <v>7</v>
      </c>
    </row>
    <row r="297" spans="1:6" x14ac:dyDescent="0.25">
      <c r="A297" s="34">
        <v>84</v>
      </c>
      <c r="B297" s="33" t="s">
        <v>656</v>
      </c>
      <c r="C297" s="33" t="s">
        <v>634</v>
      </c>
      <c r="D297" s="33" t="s">
        <v>621</v>
      </c>
      <c r="E297" s="33" t="s">
        <v>660</v>
      </c>
      <c r="F297" s="34">
        <v>0</v>
      </c>
    </row>
    <row r="298" spans="1:6" x14ac:dyDescent="0.25">
      <c r="A298" s="34">
        <v>84</v>
      </c>
      <c r="B298" s="33" t="s">
        <v>656</v>
      </c>
      <c r="C298" s="33" t="s">
        <v>634</v>
      </c>
      <c r="D298" s="33" t="s">
        <v>621</v>
      </c>
      <c r="E298" s="33" t="s">
        <v>638</v>
      </c>
      <c r="F298" s="34">
        <v>42.5</v>
      </c>
    </row>
    <row r="299" spans="1:6" x14ac:dyDescent="0.25">
      <c r="A299" s="34">
        <v>84</v>
      </c>
      <c r="B299" s="33" t="s">
        <v>656</v>
      </c>
      <c r="C299" s="33" t="s">
        <v>634</v>
      </c>
      <c r="D299" s="33" t="s">
        <v>630</v>
      </c>
      <c r="E299" s="33" t="s">
        <v>639</v>
      </c>
      <c r="F299" s="34">
        <v>65</v>
      </c>
    </row>
    <row r="300" spans="1:6" x14ac:dyDescent="0.25">
      <c r="A300" s="34">
        <v>84</v>
      </c>
      <c r="B300" s="33" t="s">
        <v>656</v>
      </c>
      <c r="C300" s="33" t="s">
        <v>634</v>
      </c>
      <c r="D300" s="33" t="s">
        <v>630</v>
      </c>
      <c r="E300" s="33" t="s">
        <v>640</v>
      </c>
      <c r="F300" s="34">
        <v>68</v>
      </c>
    </row>
    <row r="301" spans="1:6" x14ac:dyDescent="0.25">
      <c r="A301" s="34">
        <v>84</v>
      </c>
      <c r="B301" s="33" t="s">
        <v>656</v>
      </c>
      <c r="C301" s="33" t="s">
        <v>634</v>
      </c>
      <c r="D301" s="33" t="s">
        <v>630</v>
      </c>
      <c r="E301" s="33" t="s">
        <v>661</v>
      </c>
      <c r="F301" s="34">
        <v>68</v>
      </c>
    </row>
    <row r="302" spans="1:6" x14ac:dyDescent="0.25">
      <c r="A302" s="34">
        <v>84</v>
      </c>
      <c r="B302" s="33" t="s">
        <v>656</v>
      </c>
      <c r="C302" s="33" t="s">
        <v>642</v>
      </c>
      <c r="D302" s="33" t="s">
        <v>621</v>
      </c>
      <c r="E302" s="33" t="s">
        <v>662</v>
      </c>
      <c r="F302" s="34">
        <v>6</v>
      </c>
    </row>
    <row r="303" spans="1:6" x14ac:dyDescent="0.25">
      <c r="A303" s="34">
        <v>84</v>
      </c>
      <c r="B303" s="33" t="s">
        <v>656</v>
      </c>
      <c r="C303" s="33" t="s">
        <v>642</v>
      </c>
      <c r="D303" s="33" t="s">
        <v>621</v>
      </c>
      <c r="E303" s="33" t="s">
        <v>663</v>
      </c>
      <c r="F303" s="34">
        <v>10</v>
      </c>
    </row>
    <row r="304" spans="1:6" x14ac:dyDescent="0.25">
      <c r="A304" s="34">
        <v>84</v>
      </c>
      <c r="B304" s="33" t="s">
        <v>656</v>
      </c>
      <c r="C304" s="33" t="s">
        <v>642</v>
      </c>
      <c r="D304" s="33" t="s">
        <v>621</v>
      </c>
      <c r="E304" s="33" t="s">
        <v>664</v>
      </c>
      <c r="F304" s="34">
        <v>8</v>
      </c>
    </row>
    <row r="305" spans="1:6" x14ac:dyDescent="0.25">
      <c r="A305" s="34">
        <v>84</v>
      </c>
      <c r="B305" s="33" t="s">
        <v>656</v>
      </c>
      <c r="C305" s="33" t="s">
        <v>642</v>
      </c>
      <c r="D305" s="33" t="s">
        <v>621</v>
      </c>
      <c r="E305" s="33" t="s">
        <v>665</v>
      </c>
      <c r="F305" s="34">
        <v>39</v>
      </c>
    </row>
    <row r="306" spans="1:6" x14ac:dyDescent="0.25">
      <c r="A306" s="34">
        <v>84</v>
      </c>
      <c r="B306" s="33" t="s">
        <v>656</v>
      </c>
      <c r="C306" s="33" t="s">
        <v>642</v>
      </c>
      <c r="D306" s="33" t="s">
        <v>630</v>
      </c>
      <c r="E306" s="33" t="s">
        <v>650</v>
      </c>
      <c r="F306" s="34">
        <v>78</v>
      </c>
    </row>
    <row r="307" spans="1:6" x14ac:dyDescent="0.25">
      <c r="A307" s="34">
        <v>84</v>
      </c>
      <c r="B307" s="33" t="s">
        <v>656</v>
      </c>
      <c r="C307" s="33" t="s">
        <v>642</v>
      </c>
      <c r="D307" s="33" t="s">
        <v>630</v>
      </c>
      <c r="E307" s="33" t="s">
        <v>651</v>
      </c>
      <c r="F307" s="33" t="s">
        <v>462</v>
      </c>
    </row>
    <row r="308" spans="1:6" x14ac:dyDescent="0.25">
      <c r="A308" s="34">
        <v>84</v>
      </c>
      <c r="B308" s="33" t="s">
        <v>656</v>
      </c>
      <c r="C308" s="33" t="s">
        <v>642</v>
      </c>
      <c r="D308" s="33" t="s">
        <v>630</v>
      </c>
      <c r="E308" s="33" t="s">
        <v>652</v>
      </c>
      <c r="F308" s="34">
        <v>78</v>
      </c>
    </row>
    <row r="309" spans="1:6" x14ac:dyDescent="0.25">
      <c r="A309" s="34">
        <v>84</v>
      </c>
      <c r="B309" s="33" t="s">
        <v>656</v>
      </c>
      <c r="C309" s="33" t="s">
        <v>653</v>
      </c>
      <c r="D309" s="33" t="s">
        <v>621</v>
      </c>
      <c r="E309" s="33" t="s">
        <v>666</v>
      </c>
      <c r="F309" s="34">
        <v>21</v>
      </c>
    </row>
    <row r="310" spans="1:6" x14ac:dyDescent="0.25">
      <c r="A310" s="34">
        <v>84</v>
      </c>
      <c r="B310" s="33" t="s">
        <v>656</v>
      </c>
      <c r="C310" s="33" t="s">
        <v>653</v>
      </c>
      <c r="D310" s="33" t="s">
        <v>621</v>
      </c>
      <c r="E310" s="33" t="s">
        <v>667</v>
      </c>
      <c r="F310" s="34">
        <v>0</v>
      </c>
    </row>
    <row r="311" spans="1:6" x14ac:dyDescent="0.25">
      <c r="A311" s="34">
        <v>84</v>
      </c>
      <c r="B311" s="33" t="s">
        <v>656</v>
      </c>
      <c r="C311" s="33" t="s">
        <v>653</v>
      </c>
      <c r="D311" s="33" t="s">
        <v>653</v>
      </c>
      <c r="E311" s="33" t="s">
        <v>668</v>
      </c>
      <c r="F311" s="34">
        <v>0</v>
      </c>
    </row>
    <row r="312" spans="1:6" x14ac:dyDescent="0.25">
      <c r="A312" s="34">
        <v>84</v>
      </c>
      <c r="B312" s="33" t="s">
        <v>656</v>
      </c>
      <c r="C312" s="33" t="s">
        <v>653</v>
      </c>
      <c r="D312" s="33" t="s">
        <v>653</v>
      </c>
      <c r="E312" s="33" t="s">
        <v>669</v>
      </c>
      <c r="F312" s="34">
        <v>88</v>
      </c>
    </row>
    <row r="313" spans="1:6" x14ac:dyDescent="0.25">
      <c r="A313" s="34">
        <v>84</v>
      </c>
      <c r="B313" s="33" t="s">
        <v>656</v>
      </c>
      <c r="C313" s="33" t="s">
        <v>653</v>
      </c>
      <c r="D313" s="33" t="s">
        <v>653</v>
      </c>
      <c r="E313" s="33" t="s">
        <v>654</v>
      </c>
      <c r="F313" s="34">
        <v>62</v>
      </c>
    </row>
    <row r="314" spans="1:6" x14ac:dyDescent="0.25">
      <c r="A314" s="34">
        <v>85</v>
      </c>
      <c r="B314" s="33" t="s">
        <v>656</v>
      </c>
      <c r="C314" s="33" t="s">
        <v>620</v>
      </c>
      <c r="D314" s="33" t="s">
        <v>621</v>
      </c>
      <c r="E314" s="33" t="s">
        <v>657</v>
      </c>
      <c r="F314" s="34">
        <v>15</v>
      </c>
    </row>
    <row r="315" spans="1:6" x14ac:dyDescent="0.25">
      <c r="A315" s="34">
        <v>85</v>
      </c>
      <c r="B315" s="33" t="s">
        <v>656</v>
      </c>
      <c r="C315" s="33" t="s">
        <v>620</v>
      </c>
      <c r="D315" s="33" t="s">
        <v>621</v>
      </c>
      <c r="E315" s="33" t="s">
        <v>658</v>
      </c>
      <c r="F315" s="34">
        <v>14</v>
      </c>
    </row>
    <row r="316" spans="1:6" x14ac:dyDescent="0.25">
      <c r="A316" s="34">
        <v>85</v>
      </c>
      <c r="B316" s="33" t="s">
        <v>656</v>
      </c>
      <c r="C316" s="33" t="s">
        <v>620</v>
      </c>
      <c r="D316" s="33" t="s">
        <v>621</v>
      </c>
      <c r="E316" s="33" t="s">
        <v>629</v>
      </c>
      <c r="F316" s="34">
        <v>46</v>
      </c>
    </row>
    <row r="317" spans="1:6" x14ac:dyDescent="0.25">
      <c r="A317" s="34">
        <v>85</v>
      </c>
      <c r="B317" s="33" t="s">
        <v>656</v>
      </c>
      <c r="C317" s="33" t="s">
        <v>620</v>
      </c>
      <c r="D317" s="33" t="s">
        <v>630</v>
      </c>
      <c r="E317" s="33" t="s">
        <v>631</v>
      </c>
      <c r="F317" s="34">
        <v>92</v>
      </c>
    </row>
    <row r="318" spans="1:6" x14ac:dyDescent="0.25">
      <c r="A318" s="34">
        <v>85</v>
      </c>
      <c r="B318" s="33" t="s">
        <v>656</v>
      </c>
      <c r="C318" s="33" t="s">
        <v>620</v>
      </c>
      <c r="D318" s="33" t="s">
        <v>630</v>
      </c>
      <c r="E318" s="33" t="s">
        <v>632</v>
      </c>
      <c r="F318" s="33" t="s">
        <v>462</v>
      </c>
    </row>
    <row r="319" spans="1:6" x14ac:dyDescent="0.25">
      <c r="A319" s="34">
        <v>85</v>
      </c>
      <c r="B319" s="33" t="s">
        <v>656</v>
      </c>
      <c r="C319" s="33" t="s">
        <v>620</v>
      </c>
      <c r="D319" s="33" t="s">
        <v>630</v>
      </c>
      <c r="E319" s="33" t="s">
        <v>633</v>
      </c>
      <c r="F319" s="34">
        <v>92</v>
      </c>
    </row>
    <row r="320" spans="1:6" x14ac:dyDescent="0.25">
      <c r="A320" s="34">
        <v>85</v>
      </c>
      <c r="B320" s="33" t="s">
        <v>656</v>
      </c>
      <c r="C320" s="33" t="s">
        <v>634</v>
      </c>
      <c r="D320" s="33" t="s">
        <v>621</v>
      </c>
      <c r="E320" s="33" t="s">
        <v>659</v>
      </c>
      <c r="F320" s="34">
        <v>18</v>
      </c>
    </row>
    <row r="321" spans="1:6" x14ac:dyDescent="0.25">
      <c r="A321" s="34">
        <v>85</v>
      </c>
      <c r="B321" s="33" t="s">
        <v>656</v>
      </c>
      <c r="C321" s="33" t="s">
        <v>634</v>
      </c>
      <c r="D321" s="33" t="s">
        <v>621</v>
      </c>
      <c r="E321" s="33" t="s">
        <v>660</v>
      </c>
      <c r="F321" s="34">
        <v>12</v>
      </c>
    </row>
    <row r="322" spans="1:6" x14ac:dyDescent="0.25">
      <c r="A322" s="34">
        <v>85</v>
      </c>
      <c r="B322" s="33" t="s">
        <v>656</v>
      </c>
      <c r="C322" s="33" t="s">
        <v>634</v>
      </c>
      <c r="D322" s="33" t="s">
        <v>621</v>
      </c>
      <c r="E322" s="33" t="s">
        <v>638</v>
      </c>
      <c r="F322" s="34">
        <v>44</v>
      </c>
    </row>
    <row r="323" spans="1:6" x14ac:dyDescent="0.25">
      <c r="A323" s="34">
        <v>85</v>
      </c>
      <c r="B323" s="33" t="s">
        <v>656</v>
      </c>
      <c r="C323" s="33" t="s">
        <v>634</v>
      </c>
      <c r="D323" s="33" t="s">
        <v>630</v>
      </c>
      <c r="E323" s="33" t="s">
        <v>639</v>
      </c>
      <c r="F323" s="34">
        <v>95</v>
      </c>
    </row>
    <row r="324" spans="1:6" x14ac:dyDescent="0.25">
      <c r="A324" s="34">
        <v>85</v>
      </c>
      <c r="B324" s="33" t="s">
        <v>656</v>
      </c>
      <c r="C324" s="33" t="s">
        <v>634</v>
      </c>
      <c r="D324" s="33" t="s">
        <v>630</v>
      </c>
      <c r="E324" s="33" t="s">
        <v>640</v>
      </c>
      <c r="F324" s="33" t="s">
        <v>462</v>
      </c>
    </row>
    <row r="325" spans="1:6" x14ac:dyDescent="0.25">
      <c r="A325" s="34">
        <v>85</v>
      </c>
      <c r="B325" s="33" t="s">
        <v>656</v>
      </c>
      <c r="C325" s="33" t="s">
        <v>634</v>
      </c>
      <c r="D325" s="33" t="s">
        <v>630</v>
      </c>
      <c r="E325" s="33" t="s">
        <v>661</v>
      </c>
      <c r="F325" s="34">
        <v>95</v>
      </c>
    </row>
    <row r="326" spans="1:6" x14ac:dyDescent="0.25">
      <c r="A326" s="34">
        <v>85</v>
      </c>
      <c r="B326" s="33" t="s">
        <v>656</v>
      </c>
      <c r="C326" s="33" t="s">
        <v>642</v>
      </c>
      <c r="D326" s="33" t="s">
        <v>621</v>
      </c>
      <c r="E326" s="33" t="s">
        <v>662</v>
      </c>
      <c r="F326" s="34">
        <v>10</v>
      </c>
    </row>
    <row r="327" spans="1:6" x14ac:dyDescent="0.25">
      <c r="A327" s="34">
        <v>85</v>
      </c>
      <c r="B327" s="33" t="s">
        <v>656</v>
      </c>
      <c r="C327" s="33" t="s">
        <v>642</v>
      </c>
      <c r="D327" s="33" t="s">
        <v>621</v>
      </c>
      <c r="E327" s="33" t="s">
        <v>663</v>
      </c>
      <c r="F327" s="34">
        <v>9</v>
      </c>
    </row>
    <row r="328" spans="1:6" x14ac:dyDescent="0.25">
      <c r="A328" s="34">
        <v>85</v>
      </c>
      <c r="B328" s="33" t="s">
        <v>656</v>
      </c>
      <c r="C328" s="33" t="s">
        <v>642</v>
      </c>
      <c r="D328" s="33" t="s">
        <v>621</v>
      </c>
      <c r="E328" s="33" t="s">
        <v>664</v>
      </c>
      <c r="F328" s="34">
        <v>11</v>
      </c>
    </row>
    <row r="329" spans="1:6" x14ac:dyDescent="0.25">
      <c r="A329" s="34">
        <v>85</v>
      </c>
      <c r="B329" s="33" t="s">
        <v>656</v>
      </c>
      <c r="C329" s="33" t="s">
        <v>642</v>
      </c>
      <c r="D329" s="33" t="s">
        <v>621</v>
      </c>
      <c r="E329" s="33" t="s">
        <v>665</v>
      </c>
      <c r="F329" s="34">
        <v>44</v>
      </c>
    </row>
    <row r="330" spans="1:6" x14ac:dyDescent="0.25">
      <c r="A330" s="34">
        <v>85</v>
      </c>
      <c r="B330" s="33" t="s">
        <v>656</v>
      </c>
      <c r="C330" s="33" t="s">
        <v>642</v>
      </c>
      <c r="D330" s="33" t="s">
        <v>630</v>
      </c>
      <c r="E330" s="33" t="s">
        <v>650</v>
      </c>
      <c r="F330" s="34">
        <v>100</v>
      </c>
    </row>
    <row r="331" spans="1:6" x14ac:dyDescent="0.25">
      <c r="A331" s="34">
        <v>85</v>
      </c>
      <c r="B331" s="33" t="s">
        <v>656</v>
      </c>
      <c r="C331" s="33" t="s">
        <v>642</v>
      </c>
      <c r="D331" s="33" t="s">
        <v>630</v>
      </c>
      <c r="E331" s="33" t="s">
        <v>651</v>
      </c>
      <c r="F331" s="33" t="s">
        <v>462</v>
      </c>
    </row>
    <row r="332" spans="1:6" x14ac:dyDescent="0.25">
      <c r="A332" s="34">
        <v>85</v>
      </c>
      <c r="B332" s="33" t="s">
        <v>656</v>
      </c>
      <c r="C332" s="33" t="s">
        <v>642</v>
      </c>
      <c r="D332" s="33" t="s">
        <v>630</v>
      </c>
      <c r="E332" s="33" t="s">
        <v>652</v>
      </c>
      <c r="F332" s="34">
        <v>100</v>
      </c>
    </row>
    <row r="333" spans="1:6" x14ac:dyDescent="0.25">
      <c r="A333" s="34">
        <v>85</v>
      </c>
      <c r="B333" s="33" t="s">
        <v>656</v>
      </c>
      <c r="C333" s="33" t="s">
        <v>653</v>
      </c>
      <c r="D333" s="33" t="s">
        <v>621</v>
      </c>
      <c r="E333" s="33" t="s">
        <v>666</v>
      </c>
      <c r="F333" s="34">
        <v>22</v>
      </c>
    </row>
    <row r="334" spans="1:6" x14ac:dyDescent="0.25">
      <c r="A334" s="34">
        <v>85</v>
      </c>
      <c r="B334" s="33" t="s">
        <v>656</v>
      </c>
      <c r="C334" s="33" t="s">
        <v>653</v>
      </c>
      <c r="D334" s="33" t="s">
        <v>621</v>
      </c>
      <c r="E334" s="33" t="s">
        <v>667</v>
      </c>
      <c r="F334" s="34">
        <v>10</v>
      </c>
    </row>
    <row r="335" spans="1:6" x14ac:dyDescent="0.25">
      <c r="A335" s="34">
        <v>85</v>
      </c>
      <c r="B335" s="33" t="s">
        <v>656</v>
      </c>
      <c r="C335" s="33" t="s">
        <v>653</v>
      </c>
      <c r="D335" s="33" t="s">
        <v>653</v>
      </c>
      <c r="E335" s="33" t="s">
        <v>668</v>
      </c>
      <c r="F335" s="34">
        <v>23</v>
      </c>
    </row>
    <row r="336" spans="1:6" x14ac:dyDescent="0.25">
      <c r="A336" s="34">
        <v>85</v>
      </c>
      <c r="B336" s="33" t="s">
        <v>656</v>
      </c>
      <c r="C336" s="33" t="s">
        <v>653</v>
      </c>
      <c r="D336" s="33" t="s">
        <v>653</v>
      </c>
      <c r="E336" s="33" t="s">
        <v>669</v>
      </c>
      <c r="F336" s="34">
        <v>95</v>
      </c>
    </row>
    <row r="337" spans="1:6" x14ac:dyDescent="0.25">
      <c r="A337" s="34">
        <v>85</v>
      </c>
      <c r="B337" s="33" t="s">
        <v>656</v>
      </c>
      <c r="C337" s="33" t="s">
        <v>653</v>
      </c>
      <c r="D337" s="33" t="s">
        <v>653</v>
      </c>
      <c r="E337" s="33" t="s">
        <v>654</v>
      </c>
      <c r="F337" s="34">
        <v>92</v>
      </c>
    </row>
    <row r="338" spans="1:6" x14ac:dyDescent="0.25">
      <c r="A338" s="34">
        <v>86</v>
      </c>
      <c r="B338" s="33" t="s">
        <v>656</v>
      </c>
      <c r="C338" s="33" t="s">
        <v>620</v>
      </c>
      <c r="D338" s="33" t="s">
        <v>621</v>
      </c>
      <c r="E338" s="33" t="s">
        <v>657</v>
      </c>
      <c r="F338" s="34">
        <v>13</v>
      </c>
    </row>
    <row r="339" spans="1:6" x14ac:dyDescent="0.25">
      <c r="A339" s="34">
        <v>86</v>
      </c>
      <c r="B339" s="33" t="s">
        <v>656</v>
      </c>
      <c r="C339" s="33" t="s">
        <v>620</v>
      </c>
      <c r="D339" s="33" t="s">
        <v>621</v>
      </c>
      <c r="E339" s="33" t="s">
        <v>658</v>
      </c>
      <c r="F339" s="34">
        <v>14.5</v>
      </c>
    </row>
    <row r="340" spans="1:6" x14ac:dyDescent="0.25">
      <c r="A340" s="34">
        <v>86</v>
      </c>
      <c r="B340" s="33" t="s">
        <v>656</v>
      </c>
      <c r="C340" s="33" t="s">
        <v>620</v>
      </c>
      <c r="D340" s="33" t="s">
        <v>621</v>
      </c>
      <c r="E340" s="33" t="s">
        <v>629</v>
      </c>
      <c r="F340" s="34">
        <v>46</v>
      </c>
    </row>
    <row r="341" spans="1:6" x14ac:dyDescent="0.25">
      <c r="A341" s="34">
        <v>86</v>
      </c>
      <c r="B341" s="33" t="s">
        <v>656</v>
      </c>
      <c r="C341" s="33" t="s">
        <v>620</v>
      </c>
      <c r="D341" s="33" t="s">
        <v>630</v>
      </c>
      <c r="E341" s="33" t="s">
        <v>631</v>
      </c>
      <c r="F341" s="34">
        <v>80</v>
      </c>
    </row>
    <row r="342" spans="1:6" x14ac:dyDescent="0.25">
      <c r="A342" s="34">
        <v>86</v>
      </c>
      <c r="B342" s="33" t="s">
        <v>656</v>
      </c>
      <c r="C342" s="33" t="s">
        <v>620</v>
      </c>
      <c r="D342" s="33" t="s">
        <v>630</v>
      </c>
      <c r="E342" s="33" t="s">
        <v>632</v>
      </c>
      <c r="F342" s="33" t="s">
        <v>462</v>
      </c>
    </row>
    <row r="343" spans="1:6" x14ac:dyDescent="0.25">
      <c r="A343" s="34">
        <v>86</v>
      </c>
      <c r="B343" s="33" t="s">
        <v>656</v>
      </c>
      <c r="C343" s="33" t="s">
        <v>620</v>
      </c>
      <c r="D343" s="33" t="s">
        <v>630</v>
      </c>
      <c r="E343" s="33" t="s">
        <v>633</v>
      </c>
      <c r="F343" s="34">
        <v>80</v>
      </c>
    </row>
    <row r="344" spans="1:6" x14ac:dyDescent="0.25">
      <c r="A344" s="34">
        <v>86</v>
      </c>
      <c r="B344" s="33" t="s">
        <v>656</v>
      </c>
      <c r="C344" s="33" t="s">
        <v>634</v>
      </c>
      <c r="D344" s="33" t="s">
        <v>621</v>
      </c>
      <c r="E344" s="33" t="s">
        <v>659</v>
      </c>
      <c r="F344" s="34">
        <v>9</v>
      </c>
    </row>
    <row r="345" spans="1:6" x14ac:dyDescent="0.25">
      <c r="A345" s="34">
        <v>86</v>
      </c>
      <c r="B345" s="33" t="s">
        <v>656</v>
      </c>
      <c r="C345" s="33" t="s">
        <v>634</v>
      </c>
      <c r="D345" s="33" t="s">
        <v>621</v>
      </c>
      <c r="E345" s="33" t="s">
        <v>660</v>
      </c>
      <c r="F345" s="34">
        <v>0</v>
      </c>
    </row>
    <row r="346" spans="1:6" x14ac:dyDescent="0.25">
      <c r="A346" s="34">
        <v>86</v>
      </c>
      <c r="B346" s="33" t="s">
        <v>656</v>
      </c>
      <c r="C346" s="33" t="s">
        <v>634</v>
      </c>
      <c r="D346" s="33" t="s">
        <v>621</v>
      </c>
      <c r="E346" s="33" t="s">
        <v>638</v>
      </c>
      <c r="F346" s="34">
        <v>44</v>
      </c>
    </row>
    <row r="347" spans="1:6" x14ac:dyDescent="0.25">
      <c r="A347" s="34">
        <v>86</v>
      </c>
      <c r="B347" s="33" t="s">
        <v>656</v>
      </c>
      <c r="C347" s="33" t="s">
        <v>634</v>
      </c>
      <c r="D347" s="33" t="s">
        <v>630</v>
      </c>
      <c r="E347" s="33" t="s">
        <v>639</v>
      </c>
      <c r="F347" s="34">
        <v>68</v>
      </c>
    </row>
    <row r="348" spans="1:6" x14ac:dyDescent="0.25">
      <c r="A348" s="34">
        <v>86</v>
      </c>
      <c r="B348" s="33" t="s">
        <v>656</v>
      </c>
      <c r="C348" s="33" t="s">
        <v>634</v>
      </c>
      <c r="D348" s="33" t="s">
        <v>630</v>
      </c>
      <c r="E348" s="33" t="s">
        <v>640</v>
      </c>
      <c r="F348" s="34">
        <v>65</v>
      </c>
    </row>
    <row r="349" spans="1:6" x14ac:dyDescent="0.25">
      <c r="A349" s="34">
        <v>86</v>
      </c>
      <c r="B349" s="33" t="s">
        <v>656</v>
      </c>
      <c r="C349" s="33" t="s">
        <v>634</v>
      </c>
      <c r="D349" s="33" t="s">
        <v>630</v>
      </c>
      <c r="E349" s="33" t="s">
        <v>661</v>
      </c>
      <c r="F349" s="34">
        <v>68</v>
      </c>
    </row>
    <row r="350" spans="1:6" x14ac:dyDescent="0.25">
      <c r="A350" s="34">
        <v>86</v>
      </c>
      <c r="B350" s="33" t="s">
        <v>656</v>
      </c>
      <c r="C350" s="33" t="s">
        <v>642</v>
      </c>
      <c r="D350" s="33" t="s">
        <v>621</v>
      </c>
      <c r="E350" s="33" t="s">
        <v>662</v>
      </c>
      <c r="F350" s="34">
        <v>9</v>
      </c>
    </row>
    <row r="351" spans="1:6" x14ac:dyDescent="0.25">
      <c r="A351" s="34">
        <v>86</v>
      </c>
      <c r="B351" s="33" t="s">
        <v>656</v>
      </c>
      <c r="C351" s="33" t="s">
        <v>642</v>
      </c>
      <c r="D351" s="33" t="s">
        <v>621</v>
      </c>
      <c r="E351" s="33" t="s">
        <v>663</v>
      </c>
      <c r="F351" s="34">
        <v>9</v>
      </c>
    </row>
    <row r="352" spans="1:6" x14ac:dyDescent="0.25">
      <c r="A352" s="34">
        <v>86</v>
      </c>
      <c r="B352" s="33" t="s">
        <v>656</v>
      </c>
      <c r="C352" s="33" t="s">
        <v>642</v>
      </c>
      <c r="D352" s="33" t="s">
        <v>621</v>
      </c>
      <c r="E352" s="33" t="s">
        <v>664</v>
      </c>
      <c r="F352" s="34">
        <v>11</v>
      </c>
    </row>
    <row r="353" spans="1:6" x14ac:dyDescent="0.25">
      <c r="A353" s="34">
        <v>86</v>
      </c>
      <c r="B353" s="33" t="s">
        <v>656</v>
      </c>
      <c r="C353" s="33" t="s">
        <v>642</v>
      </c>
      <c r="D353" s="33" t="s">
        <v>621</v>
      </c>
      <c r="E353" s="33" t="s">
        <v>665</v>
      </c>
      <c r="F353" s="34">
        <v>0</v>
      </c>
    </row>
    <row r="354" spans="1:6" x14ac:dyDescent="0.25">
      <c r="A354" s="34">
        <v>86</v>
      </c>
      <c r="B354" s="33" t="s">
        <v>656</v>
      </c>
      <c r="C354" s="33" t="s">
        <v>642</v>
      </c>
      <c r="D354" s="33" t="s">
        <v>630</v>
      </c>
      <c r="E354" s="33" t="s">
        <v>650</v>
      </c>
      <c r="F354" s="34">
        <v>65</v>
      </c>
    </row>
    <row r="355" spans="1:6" x14ac:dyDescent="0.25">
      <c r="A355" s="34">
        <v>86</v>
      </c>
      <c r="B355" s="33" t="s">
        <v>656</v>
      </c>
      <c r="C355" s="33" t="s">
        <v>642</v>
      </c>
      <c r="D355" s="33" t="s">
        <v>630</v>
      </c>
      <c r="E355" s="33" t="s">
        <v>651</v>
      </c>
      <c r="F355" s="33" t="s">
        <v>462</v>
      </c>
    </row>
    <row r="356" spans="1:6" x14ac:dyDescent="0.25">
      <c r="A356" s="34">
        <v>86</v>
      </c>
      <c r="B356" s="33" t="s">
        <v>656</v>
      </c>
      <c r="C356" s="33" t="s">
        <v>642</v>
      </c>
      <c r="D356" s="33" t="s">
        <v>630</v>
      </c>
      <c r="E356" s="33" t="s">
        <v>652</v>
      </c>
      <c r="F356" s="34">
        <v>65</v>
      </c>
    </row>
    <row r="357" spans="1:6" x14ac:dyDescent="0.25">
      <c r="A357" s="34">
        <v>86</v>
      </c>
      <c r="B357" s="33" t="s">
        <v>656</v>
      </c>
      <c r="C357" s="33" t="s">
        <v>653</v>
      </c>
      <c r="D357" s="33" t="s">
        <v>621</v>
      </c>
      <c r="E357" s="33" t="s">
        <v>666</v>
      </c>
      <c r="F357" s="34">
        <v>22</v>
      </c>
    </row>
    <row r="358" spans="1:6" x14ac:dyDescent="0.25">
      <c r="A358" s="34">
        <v>86</v>
      </c>
      <c r="B358" s="33" t="s">
        <v>656</v>
      </c>
      <c r="C358" s="33" t="s">
        <v>653</v>
      </c>
      <c r="D358" s="33" t="s">
        <v>621</v>
      </c>
      <c r="E358" s="33" t="s">
        <v>667</v>
      </c>
      <c r="F358" s="34">
        <v>9</v>
      </c>
    </row>
    <row r="359" spans="1:6" x14ac:dyDescent="0.25">
      <c r="A359" s="34">
        <v>86</v>
      </c>
      <c r="B359" s="33" t="s">
        <v>656</v>
      </c>
      <c r="C359" s="33" t="s">
        <v>653</v>
      </c>
      <c r="D359" s="33" t="s">
        <v>653</v>
      </c>
      <c r="E359" s="33" t="s">
        <v>668</v>
      </c>
      <c r="F359" s="34">
        <v>0</v>
      </c>
    </row>
    <row r="360" spans="1:6" x14ac:dyDescent="0.25">
      <c r="A360" s="34">
        <v>86</v>
      </c>
      <c r="B360" s="33" t="s">
        <v>656</v>
      </c>
      <c r="C360" s="33" t="s">
        <v>653</v>
      </c>
      <c r="D360" s="33" t="s">
        <v>653</v>
      </c>
      <c r="E360" s="33" t="s">
        <v>669</v>
      </c>
      <c r="F360" s="34">
        <v>82</v>
      </c>
    </row>
    <row r="361" spans="1:6" x14ac:dyDescent="0.25">
      <c r="A361" s="34">
        <v>86</v>
      </c>
      <c r="B361" s="33" t="s">
        <v>656</v>
      </c>
      <c r="C361" s="33" t="s">
        <v>653</v>
      </c>
      <c r="D361" s="33" t="s">
        <v>653</v>
      </c>
      <c r="E361" s="33" t="s">
        <v>654</v>
      </c>
      <c r="F361" s="34">
        <v>72</v>
      </c>
    </row>
    <row r="362" spans="1:6" x14ac:dyDescent="0.25">
      <c r="A362" s="34">
        <v>87</v>
      </c>
      <c r="B362" s="33" t="s">
        <v>656</v>
      </c>
      <c r="C362" s="33" t="s">
        <v>620</v>
      </c>
      <c r="D362" s="33" t="s">
        <v>621</v>
      </c>
      <c r="E362" s="33" t="s">
        <v>657</v>
      </c>
      <c r="F362" s="33" t="s">
        <v>462</v>
      </c>
    </row>
    <row r="363" spans="1:6" x14ac:dyDescent="0.25">
      <c r="A363" s="34">
        <v>87</v>
      </c>
      <c r="B363" s="33" t="s">
        <v>656</v>
      </c>
      <c r="C363" s="33" t="s">
        <v>620</v>
      </c>
      <c r="D363" s="33" t="s">
        <v>621</v>
      </c>
      <c r="E363" s="33" t="s">
        <v>658</v>
      </c>
      <c r="F363" s="33" t="s">
        <v>462</v>
      </c>
    </row>
    <row r="364" spans="1:6" x14ac:dyDescent="0.25">
      <c r="A364" s="34">
        <v>87</v>
      </c>
      <c r="B364" s="33" t="s">
        <v>656</v>
      </c>
      <c r="C364" s="33" t="s">
        <v>620</v>
      </c>
      <c r="D364" s="33" t="s">
        <v>621</v>
      </c>
      <c r="E364" s="33" t="s">
        <v>629</v>
      </c>
      <c r="F364" s="33" t="s">
        <v>462</v>
      </c>
    </row>
    <row r="365" spans="1:6" x14ac:dyDescent="0.25">
      <c r="A365" s="34">
        <v>87</v>
      </c>
      <c r="B365" s="33" t="s">
        <v>656</v>
      </c>
      <c r="C365" s="33" t="s">
        <v>620</v>
      </c>
      <c r="D365" s="33" t="s">
        <v>630</v>
      </c>
      <c r="E365" s="33" t="s">
        <v>631</v>
      </c>
      <c r="F365" s="34">
        <v>92</v>
      </c>
    </row>
    <row r="366" spans="1:6" x14ac:dyDescent="0.25">
      <c r="A366" s="34">
        <v>87</v>
      </c>
      <c r="B366" s="33" t="s">
        <v>656</v>
      </c>
      <c r="C366" s="33" t="s">
        <v>620</v>
      </c>
      <c r="D366" s="33" t="s">
        <v>630</v>
      </c>
      <c r="E366" s="33" t="s">
        <v>632</v>
      </c>
      <c r="F366" s="33" t="s">
        <v>462</v>
      </c>
    </row>
    <row r="367" spans="1:6" x14ac:dyDescent="0.25">
      <c r="A367" s="34">
        <v>87</v>
      </c>
      <c r="B367" s="33" t="s">
        <v>656</v>
      </c>
      <c r="C367" s="33" t="s">
        <v>620</v>
      </c>
      <c r="D367" s="33" t="s">
        <v>630</v>
      </c>
      <c r="E367" s="33" t="s">
        <v>633</v>
      </c>
      <c r="F367" s="34">
        <v>92</v>
      </c>
    </row>
    <row r="368" spans="1:6" x14ac:dyDescent="0.25">
      <c r="A368" s="34">
        <v>87</v>
      </c>
      <c r="B368" s="33" t="s">
        <v>656</v>
      </c>
      <c r="C368" s="33" t="s">
        <v>634</v>
      </c>
      <c r="D368" s="33" t="s">
        <v>621</v>
      </c>
      <c r="E368" s="33" t="s">
        <v>659</v>
      </c>
      <c r="F368" s="34">
        <v>18</v>
      </c>
    </row>
    <row r="369" spans="1:6" x14ac:dyDescent="0.25">
      <c r="A369" s="34">
        <v>87</v>
      </c>
      <c r="B369" s="33" t="s">
        <v>656</v>
      </c>
      <c r="C369" s="33" t="s">
        <v>634</v>
      </c>
      <c r="D369" s="33" t="s">
        <v>621</v>
      </c>
      <c r="E369" s="33" t="s">
        <v>660</v>
      </c>
      <c r="F369" s="34">
        <v>12</v>
      </c>
    </row>
    <row r="370" spans="1:6" x14ac:dyDescent="0.25">
      <c r="A370" s="34">
        <v>87</v>
      </c>
      <c r="B370" s="33" t="s">
        <v>656</v>
      </c>
      <c r="C370" s="33" t="s">
        <v>634</v>
      </c>
      <c r="D370" s="33" t="s">
        <v>621</v>
      </c>
      <c r="E370" s="33" t="s">
        <v>638</v>
      </c>
      <c r="F370" s="34">
        <v>50</v>
      </c>
    </row>
    <row r="371" spans="1:6" x14ac:dyDescent="0.25">
      <c r="A371" s="34">
        <v>87</v>
      </c>
      <c r="B371" s="33" t="s">
        <v>656</v>
      </c>
      <c r="C371" s="33" t="s">
        <v>634</v>
      </c>
      <c r="D371" s="33" t="s">
        <v>630</v>
      </c>
      <c r="E371" s="33" t="s">
        <v>639</v>
      </c>
      <c r="F371" s="34">
        <v>95</v>
      </c>
    </row>
    <row r="372" spans="1:6" x14ac:dyDescent="0.25">
      <c r="A372" s="34">
        <v>87</v>
      </c>
      <c r="B372" s="33" t="s">
        <v>656</v>
      </c>
      <c r="C372" s="33" t="s">
        <v>634</v>
      </c>
      <c r="D372" s="33" t="s">
        <v>630</v>
      </c>
      <c r="E372" s="33" t="s">
        <v>640</v>
      </c>
      <c r="F372" s="33" t="s">
        <v>462</v>
      </c>
    </row>
    <row r="373" spans="1:6" x14ac:dyDescent="0.25">
      <c r="A373" s="34">
        <v>87</v>
      </c>
      <c r="B373" s="33" t="s">
        <v>656</v>
      </c>
      <c r="C373" s="33" t="s">
        <v>634</v>
      </c>
      <c r="D373" s="33" t="s">
        <v>630</v>
      </c>
      <c r="E373" s="33" t="s">
        <v>661</v>
      </c>
      <c r="F373" s="34">
        <v>95</v>
      </c>
    </row>
    <row r="374" spans="1:6" x14ac:dyDescent="0.25">
      <c r="A374" s="34">
        <v>87</v>
      </c>
      <c r="B374" s="33" t="s">
        <v>656</v>
      </c>
      <c r="C374" s="33" t="s">
        <v>642</v>
      </c>
      <c r="D374" s="33" t="s">
        <v>621</v>
      </c>
      <c r="E374" s="33" t="s">
        <v>662</v>
      </c>
      <c r="F374" s="34">
        <v>10</v>
      </c>
    </row>
    <row r="375" spans="1:6" x14ac:dyDescent="0.25">
      <c r="A375" s="34">
        <v>87</v>
      </c>
      <c r="B375" s="33" t="s">
        <v>656</v>
      </c>
      <c r="C375" s="33" t="s">
        <v>642</v>
      </c>
      <c r="D375" s="33" t="s">
        <v>621</v>
      </c>
      <c r="E375" s="33" t="s">
        <v>663</v>
      </c>
      <c r="F375" s="34">
        <v>10</v>
      </c>
    </row>
    <row r="376" spans="1:6" x14ac:dyDescent="0.25">
      <c r="A376" s="34">
        <v>87</v>
      </c>
      <c r="B376" s="33" t="s">
        <v>656</v>
      </c>
      <c r="C376" s="33" t="s">
        <v>642</v>
      </c>
      <c r="D376" s="33" t="s">
        <v>621</v>
      </c>
      <c r="E376" s="33" t="s">
        <v>664</v>
      </c>
      <c r="F376" s="34">
        <v>11</v>
      </c>
    </row>
    <row r="377" spans="1:6" x14ac:dyDescent="0.25">
      <c r="A377" s="34">
        <v>87</v>
      </c>
      <c r="B377" s="33" t="s">
        <v>656</v>
      </c>
      <c r="C377" s="33" t="s">
        <v>642</v>
      </c>
      <c r="D377" s="33" t="s">
        <v>621</v>
      </c>
      <c r="E377" s="33" t="s">
        <v>665</v>
      </c>
      <c r="F377" s="34">
        <v>39</v>
      </c>
    </row>
    <row r="378" spans="1:6" x14ac:dyDescent="0.25">
      <c r="A378" s="34">
        <v>87</v>
      </c>
      <c r="B378" s="33" t="s">
        <v>656</v>
      </c>
      <c r="C378" s="33" t="s">
        <v>642</v>
      </c>
      <c r="D378" s="33" t="s">
        <v>630</v>
      </c>
      <c r="E378" s="33" t="s">
        <v>650</v>
      </c>
      <c r="F378" s="34">
        <v>75</v>
      </c>
    </row>
    <row r="379" spans="1:6" x14ac:dyDescent="0.25">
      <c r="A379" s="34">
        <v>87</v>
      </c>
      <c r="B379" s="33" t="s">
        <v>656</v>
      </c>
      <c r="C379" s="33" t="s">
        <v>642</v>
      </c>
      <c r="D379" s="33" t="s">
        <v>630</v>
      </c>
      <c r="E379" s="33" t="s">
        <v>651</v>
      </c>
      <c r="F379" s="34">
        <v>85</v>
      </c>
    </row>
    <row r="380" spans="1:6" x14ac:dyDescent="0.25">
      <c r="A380" s="34">
        <v>87</v>
      </c>
      <c r="B380" s="33" t="s">
        <v>656</v>
      </c>
      <c r="C380" s="33" t="s">
        <v>642</v>
      </c>
      <c r="D380" s="33" t="s">
        <v>630</v>
      </c>
      <c r="E380" s="33" t="s">
        <v>652</v>
      </c>
      <c r="F380" s="34">
        <v>82</v>
      </c>
    </row>
    <row r="381" spans="1:6" x14ac:dyDescent="0.25">
      <c r="A381" s="34">
        <v>87</v>
      </c>
      <c r="B381" s="33" t="s">
        <v>656</v>
      </c>
      <c r="C381" s="33" t="s">
        <v>653</v>
      </c>
      <c r="D381" s="33" t="s">
        <v>621</v>
      </c>
      <c r="E381" s="33" t="s">
        <v>666</v>
      </c>
      <c r="F381" s="34">
        <v>22</v>
      </c>
    </row>
    <row r="382" spans="1:6" x14ac:dyDescent="0.25">
      <c r="A382" s="34">
        <v>87</v>
      </c>
      <c r="B382" s="33" t="s">
        <v>656</v>
      </c>
      <c r="C382" s="33" t="s">
        <v>653</v>
      </c>
      <c r="D382" s="33" t="s">
        <v>621</v>
      </c>
      <c r="E382" s="33" t="s">
        <v>667</v>
      </c>
      <c r="F382" s="34">
        <v>10</v>
      </c>
    </row>
    <row r="383" spans="1:6" x14ac:dyDescent="0.25">
      <c r="A383" s="34">
        <v>87</v>
      </c>
      <c r="B383" s="33" t="s">
        <v>656</v>
      </c>
      <c r="C383" s="33" t="s">
        <v>653</v>
      </c>
      <c r="D383" s="33" t="s">
        <v>653</v>
      </c>
      <c r="E383" s="33" t="s">
        <v>668</v>
      </c>
      <c r="F383" s="34">
        <v>27</v>
      </c>
    </row>
    <row r="384" spans="1:6" x14ac:dyDescent="0.25">
      <c r="A384" s="34">
        <v>87</v>
      </c>
      <c r="B384" s="33" t="s">
        <v>656</v>
      </c>
      <c r="C384" s="33" t="s">
        <v>653</v>
      </c>
      <c r="D384" s="33" t="s">
        <v>653</v>
      </c>
      <c r="E384" s="33" t="s">
        <v>669</v>
      </c>
      <c r="F384" s="34">
        <v>100</v>
      </c>
    </row>
    <row r="385" spans="1:6" x14ac:dyDescent="0.25">
      <c r="A385" s="34">
        <v>87</v>
      </c>
      <c r="B385" s="33" t="s">
        <v>656</v>
      </c>
      <c r="C385" s="33" t="s">
        <v>653</v>
      </c>
      <c r="D385" s="33" t="s">
        <v>653</v>
      </c>
      <c r="E385" s="33" t="s">
        <v>654</v>
      </c>
      <c r="F385" s="34">
        <v>83</v>
      </c>
    </row>
    <row r="386" spans="1:6" x14ac:dyDescent="0.25">
      <c r="A386" s="34">
        <v>88</v>
      </c>
      <c r="B386" s="33" t="s">
        <v>656</v>
      </c>
      <c r="C386" s="33" t="s">
        <v>620</v>
      </c>
      <c r="D386" s="33" t="s">
        <v>621</v>
      </c>
      <c r="E386" s="33" t="s">
        <v>657</v>
      </c>
      <c r="F386" s="33" t="s">
        <v>462</v>
      </c>
    </row>
    <row r="387" spans="1:6" x14ac:dyDescent="0.25">
      <c r="A387" s="34">
        <v>88</v>
      </c>
      <c r="B387" s="33" t="s">
        <v>656</v>
      </c>
      <c r="C387" s="33" t="s">
        <v>620</v>
      </c>
      <c r="D387" s="33" t="s">
        <v>621</v>
      </c>
      <c r="E387" s="33" t="s">
        <v>658</v>
      </c>
      <c r="F387" s="33" t="s">
        <v>462</v>
      </c>
    </row>
    <row r="388" spans="1:6" x14ac:dyDescent="0.25">
      <c r="A388" s="34">
        <v>88</v>
      </c>
      <c r="B388" s="33" t="s">
        <v>656</v>
      </c>
      <c r="C388" s="33" t="s">
        <v>620</v>
      </c>
      <c r="D388" s="33" t="s">
        <v>621</v>
      </c>
      <c r="E388" s="33" t="s">
        <v>629</v>
      </c>
      <c r="F388" s="33" t="s">
        <v>462</v>
      </c>
    </row>
    <row r="389" spans="1:6" x14ac:dyDescent="0.25">
      <c r="A389" s="34">
        <v>88</v>
      </c>
      <c r="B389" s="33" t="s">
        <v>656</v>
      </c>
      <c r="C389" s="33" t="s">
        <v>620</v>
      </c>
      <c r="D389" s="33" t="s">
        <v>630</v>
      </c>
      <c r="E389" s="33" t="s">
        <v>631</v>
      </c>
      <c r="F389" s="34">
        <v>62</v>
      </c>
    </row>
    <row r="390" spans="1:6" x14ac:dyDescent="0.25">
      <c r="A390" s="34">
        <v>88</v>
      </c>
      <c r="B390" s="33" t="s">
        <v>656</v>
      </c>
      <c r="C390" s="33" t="s">
        <v>620</v>
      </c>
      <c r="D390" s="33" t="s">
        <v>630</v>
      </c>
      <c r="E390" s="33" t="s">
        <v>632</v>
      </c>
      <c r="F390" s="33" t="s">
        <v>462</v>
      </c>
    </row>
    <row r="391" spans="1:6" x14ac:dyDescent="0.25">
      <c r="A391" s="34">
        <v>88</v>
      </c>
      <c r="B391" s="33" t="s">
        <v>656</v>
      </c>
      <c r="C391" s="33" t="s">
        <v>620</v>
      </c>
      <c r="D391" s="33" t="s">
        <v>630</v>
      </c>
      <c r="E391" s="33" t="s">
        <v>633</v>
      </c>
      <c r="F391" s="34">
        <v>62</v>
      </c>
    </row>
    <row r="392" spans="1:6" x14ac:dyDescent="0.25">
      <c r="A392" s="34">
        <v>88</v>
      </c>
      <c r="B392" s="33" t="s">
        <v>656</v>
      </c>
      <c r="C392" s="33" t="s">
        <v>634</v>
      </c>
      <c r="D392" s="33" t="s">
        <v>621</v>
      </c>
      <c r="E392" s="33" t="s">
        <v>659</v>
      </c>
      <c r="F392" s="34">
        <v>17</v>
      </c>
    </row>
    <row r="393" spans="1:6" x14ac:dyDescent="0.25">
      <c r="A393" s="34">
        <v>88</v>
      </c>
      <c r="B393" s="33" t="s">
        <v>656</v>
      </c>
      <c r="C393" s="33" t="s">
        <v>634</v>
      </c>
      <c r="D393" s="33" t="s">
        <v>621</v>
      </c>
      <c r="E393" s="33" t="s">
        <v>660</v>
      </c>
      <c r="F393" s="34">
        <v>9</v>
      </c>
    </row>
    <row r="394" spans="1:6" x14ac:dyDescent="0.25">
      <c r="A394" s="34">
        <v>88</v>
      </c>
      <c r="B394" s="33" t="s">
        <v>656</v>
      </c>
      <c r="C394" s="33" t="s">
        <v>634</v>
      </c>
      <c r="D394" s="33" t="s">
        <v>621</v>
      </c>
      <c r="E394" s="33" t="s">
        <v>638</v>
      </c>
      <c r="F394" s="34">
        <v>50</v>
      </c>
    </row>
    <row r="395" spans="1:6" x14ac:dyDescent="0.25">
      <c r="A395" s="34">
        <v>88</v>
      </c>
      <c r="B395" s="33" t="s">
        <v>656</v>
      </c>
      <c r="C395" s="33" t="s">
        <v>634</v>
      </c>
      <c r="D395" s="33" t="s">
        <v>630</v>
      </c>
      <c r="E395" s="33" t="s">
        <v>639</v>
      </c>
      <c r="F395" s="34">
        <v>30</v>
      </c>
    </row>
    <row r="396" spans="1:6" x14ac:dyDescent="0.25">
      <c r="A396" s="34">
        <v>88</v>
      </c>
      <c r="B396" s="33" t="s">
        <v>656</v>
      </c>
      <c r="C396" s="33" t="s">
        <v>634</v>
      </c>
      <c r="D396" s="33" t="s">
        <v>630</v>
      </c>
      <c r="E396" s="33" t="s">
        <v>640</v>
      </c>
      <c r="F396" s="33" t="s">
        <v>462</v>
      </c>
    </row>
    <row r="397" spans="1:6" x14ac:dyDescent="0.25">
      <c r="A397" s="34">
        <v>88</v>
      </c>
      <c r="B397" s="33" t="s">
        <v>656</v>
      </c>
      <c r="C397" s="33" t="s">
        <v>634</v>
      </c>
      <c r="D397" s="33" t="s">
        <v>630</v>
      </c>
      <c r="E397" s="33" t="s">
        <v>661</v>
      </c>
      <c r="F397" s="34">
        <v>30</v>
      </c>
    </row>
    <row r="398" spans="1:6" x14ac:dyDescent="0.25">
      <c r="A398" s="34">
        <v>88</v>
      </c>
      <c r="B398" s="33" t="s">
        <v>656</v>
      </c>
      <c r="C398" s="33" t="s">
        <v>642</v>
      </c>
      <c r="D398" s="33" t="s">
        <v>621</v>
      </c>
      <c r="E398" s="33" t="s">
        <v>662</v>
      </c>
      <c r="F398" s="34">
        <v>8</v>
      </c>
    </row>
    <row r="399" spans="1:6" x14ac:dyDescent="0.25">
      <c r="A399" s="34">
        <v>88</v>
      </c>
      <c r="B399" s="33" t="s">
        <v>656</v>
      </c>
      <c r="C399" s="33" t="s">
        <v>642</v>
      </c>
      <c r="D399" s="33" t="s">
        <v>621</v>
      </c>
      <c r="E399" s="33" t="s">
        <v>663</v>
      </c>
      <c r="F399" s="34">
        <v>10</v>
      </c>
    </row>
    <row r="400" spans="1:6" x14ac:dyDescent="0.25">
      <c r="A400" s="34">
        <v>88</v>
      </c>
      <c r="B400" s="33" t="s">
        <v>656</v>
      </c>
      <c r="C400" s="33" t="s">
        <v>642</v>
      </c>
      <c r="D400" s="33" t="s">
        <v>621</v>
      </c>
      <c r="E400" s="33" t="s">
        <v>664</v>
      </c>
      <c r="F400" s="34">
        <v>8</v>
      </c>
    </row>
    <row r="401" spans="1:6" x14ac:dyDescent="0.25">
      <c r="A401" s="34">
        <v>88</v>
      </c>
      <c r="B401" s="33" t="s">
        <v>656</v>
      </c>
      <c r="C401" s="33" t="s">
        <v>642</v>
      </c>
      <c r="D401" s="33" t="s">
        <v>621</v>
      </c>
      <c r="E401" s="33" t="s">
        <v>665</v>
      </c>
      <c r="F401" s="34">
        <v>41</v>
      </c>
    </row>
    <row r="402" spans="1:6" x14ac:dyDescent="0.25">
      <c r="A402" s="34">
        <v>88</v>
      </c>
      <c r="B402" s="33" t="s">
        <v>656</v>
      </c>
      <c r="C402" s="33" t="s">
        <v>642</v>
      </c>
      <c r="D402" s="33" t="s">
        <v>630</v>
      </c>
      <c r="E402" s="33" t="s">
        <v>650</v>
      </c>
      <c r="F402" s="34">
        <v>72</v>
      </c>
    </row>
    <row r="403" spans="1:6" x14ac:dyDescent="0.25">
      <c r="A403" s="34">
        <v>88</v>
      </c>
      <c r="B403" s="33" t="s">
        <v>656</v>
      </c>
      <c r="C403" s="33" t="s">
        <v>642</v>
      </c>
      <c r="D403" s="33" t="s">
        <v>630</v>
      </c>
      <c r="E403" s="33" t="s">
        <v>651</v>
      </c>
      <c r="F403" s="33" t="s">
        <v>462</v>
      </c>
    </row>
    <row r="404" spans="1:6" x14ac:dyDescent="0.25">
      <c r="A404" s="34">
        <v>88</v>
      </c>
      <c r="B404" s="33" t="s">
        <v>656</v>
      </c>
      <c r="C404" s="33" t="s">
        <v>642</v>
      </c>
      <c r="D404" s="33" t="s">
        <v>630</v>
      </c>
      <c r="E404" s="33" t="s">
        <v>652</v>
      </c>
      <c r="F404" s="34">
        <v>72</v>
      </c>
    </row>
    <row r="405" spans="1:6" x14ac:dyDescent="0.25">
      <c r="A405" s="34">
        <v>88</v>
      </c>
      <c r="B405" s="33" t="s">
        <v>656</v>
      </c>
      <c r="C405" s="33" t="s">
        <v>653</v>
      </c>
      <c r="D405" s="33" t="s">
        <v>621</v>
      </c>
      <c r="E405" s="33" t="s">
        <v>666</v>
      </c>
      <c r="F405" s="34">
        <v>22</v>
      </c>
    </row>
    <row r="406" spans="1:6" x14ac:dyDescent="0.25">
      <c r="A406" s="34">
        <v>88</v>
      </c>
      <c r="B406" s="33" t="s">
        <v>656</v>
      </c>
      <c r="C406" s="33" t="s">
        <v>653</v>
      </c>
      <c r="D406" s="33" t="s">
        <v>621</v>
      </c>
      <c r="E406" s="33" t="s">
        <v>667</v>
      </c>
      <c r="F406" s="34">
        <v>2</v>
      </c>
    </row>
    <row r="407" spans="1:6" x14ac:dyDescent="0.25">
      <c r="A407" s="34">
        <v>88</v>
      </c>
      <c r="B407" s="33" t="s">
        <v>656</v>
      </c>
      <c r="C407" s="33" t="s">
        <v>653</v>
      </c>
      <c r="D407" s="33" t="s">
        <v>653</v>
      </c>
      <c r="E407" s="33" t="s">
        <v>668</v>
      </c>
      <c r="F407" s="34">
        <v>0</v>
      </c>
    </row>
    <row r="408" spans="1:6" x14ac:dyDescent="0.25">
      <c r="A408" s="34">
        <v>88</v>
      </c>
      <c r="B408" s="33" t="s">
        <v>656</v>
      </c>
      <c r="C408" s="33" t="s">
        <v>653</v>
      </c>
      <c r="D408" s="33" t="s">
        <v>653</v>
      </c>
      <c r="E408" s="33" t="s">
        <v>669</v>
      </c>
      <c r="F408" s="34">
        <v>78</v>
      </c>
    </row>
    <row r="409" spans="1:6" x14ac:dyDescent="0.25">
      <c r="A409" s="34">
        <v>88</v>
      </c>
      <c r="B409" s="33" t="s">
        <v>656</v>
      </c>
      <c r="C409" s="33" t="s">
        <v>653</v>
      </c>
      <c r="D409" s="33" t="s">
        <v>653</v>
      </c>
      <c r="E409" s="33" t="s">
        <v>654</v>
      </c>
      <c r="F409" s="34">
        <v>30</v>
      </c>
    </row>
    <row r="410" spans="1:6" x14ac:dyDescent="0.25">
      <c r="A410" s="34">
        <v>89</v>
      </c>
      <c r="B410" s="33" t="s">
        <v>656</v>
      </c>
      <c r="C410" s="33" t="s">
        <v>620</v>
      </c>
      <c r="D410" s="33" t="s">
        <v>621</v>
      </c>
      <c r="E410" s="33" t="s">
        <v>657</v>
      </c>
      <c r="F410" s="34">
        <v>14.5</v>
      </c>
    </row>
    <row r="411" spans="1:6" x14ac:dyDescent="0.25">
      <c r="A411" s="34">
        <v>89</v>
      </c>
      <c r="B411" s="33" t="s">
        <v>656</v>
      </c>
      <c r="C411" s="33" t="s">
        <v>620</v>
      </c>
      <c r="D411" s="33" t="s">
        <v>621</v>
      </c>
      <c r="E411" s="33" t="s">
        <v>658</v>
      </c>
      <c r="F411" s="34">
        <v>13.25</v>
      </c>
    </row>
    <row r="412" spans="1:6" x14ac:dyDescent="0.25">
      <c r="A412" s="34">
        <v>89</v>
      </c>
      <c r="B412" s="33" t="s">
        <v>656</v>
      </c>
      <c r="C412" s="33" t="s">
        <v>620</v>
      </c>
      <c r="D412" s="33" t="s">
        <v>621</v>
      </c>
      <c r="E412" s="33" t="s">
        <v>629</v>
      </c>
      <c r="F412" s="34">
        <v>44</v>
      </c>
    </row>
    <row r="413" spans="1:6" x14ac:dyDescent="0.25">
      <c r="A413" s="34">
        <v>89</v>
      </c>
      <c r="B413" s="33" t="s">
        <v>656</v>
      </c>
      <c r="C413" s="33" t="s">
        <v>620</v>
      </c>
      <c r="D413" s="33" t="s">
        <v>630</v>
      </c>
      <c r="E413" s="33" t="s">
        <v>631</v>
      </c>
      <c r="F413" s="34">
        <v>95</v>
      </c>
    </row>
    <row r="414" spans="1:6" x14ac:dyDescent="0.25">
      <c r="A414" s="34">
        <v>89</v>
      </c>
      <c r="B414" s="33" t="s">
        <v>656</v>
      </c>
      <c r="C414" s="33" t="s">
        <v>620</v>
      </c>
      <c r="D414" s="33" t="s">
        <v>630</v>
      </c>
      <c r="E414" s="33" t="s">
        <v>632</v>
      </c>
      <c r="F414" s="33" t="s">
        <v>462</v>
      </c>
    </row>
    <row r="415" spans="1:6" x14ac:dyDescent="0.25">
      <c r="A415" s="34">
        <v>89</v>
      </c>
      <c r="B415" s="33" t="s">
        <v>656</v>
      </c>
      <c r="C415" s="33" t="s">
        <v>620</v>
      </c>
      <c r="D415" s="33" t="s">
        <v>630</v>
      </c>
      <c r="E415" s="33" t="s">
        <v>633</v>
      </c>
      <c r="F415" s="34">
        <v>95</v>
      </c>
    </row>
    <row r="416" spans="1:6" x14ac:dyDescent="0.25">
      <c r="A416" s="34">
        <v>89</v>
      </c>
      <c r="B416" s="33" t="s">
        <v>656</v>
      </c>
      <c r="C416" s="33" t="s">
        <v>634</v>
      </c>
      <c r="D416" s="33" t="s">
        <v>621</v>
      </c>
      <c r="E416" s="33" t="s">
        <v>659</v>
      </c>
      <c r="F416" s="34">
        <v>18</v>
      </c>
    </row>
    <row r="417" spans="1:6" x14ac:dyDescent="0.25">
      <c r="A417" s="34">
        <v>89</v>
      </c>
      <c r="B417" s="33" t="s">
        <v>656</v>
      </c>
      <c r="C417" s="33" t="s">
        <v>634</v>
      </c>
      <c r="D417" s="33" t="s">
        <v>621</v>
      </c>
      <c r="E417" s="33" t="s">
        <v>660</v>
      </c>
      <c r="F417" s="34">
        <v>12</v>
      </c>
    </row>
    <row r="418" spans="1:6" x14ac:dyDescent="0.25">
      <c r="A418" s="34">
        <v>89</v>
      </c>
      <c r="B418" s="33" t="s">
        <v>656</v>
      </c>
      <c r="C418" s="33" t="s">
        <v>634</v>
      </c>
      <c r="D418" s="33" t="s">
        <v>621</v>
      </c>
      <c r="E418" s="33" t="s">
        <v>638</v>
      </c>
      <c r="F418" s="34">
        <v>46</v>
      </c>
    </row>
    <row r="419" spans="1:6" x14ac:dyDescent="0.25">
      <c r="A419" s="34">
        <v>89</v>
      </c>
      <c r="B419" s="33" t="s">
        <v>656</v>
      </c>
      <c r="C419" s="33" t="s">
        <v>634</v>
      </c>
      <c r="D419" s="33" t="s">
        <v>630</v>
      </c>
      <c r="E419" s="33" t="s">
        <v>639</v>
      </c>
      <c r="F419" s="34">
        <v>95</v>
      </c>
    </row>
    <row r="420" spans="1:6" x14ac:dyDescent="0.25">
      <c r="A420" s="34">
        <v>89</v>
      </c>
      <c r="B420" s="33" t="s">
        <v>656</v>
      </c>
      <c r="C420" s="33" t="s">
        <v>634</v>
      </c>
      <c r="D420" s="33" t="s">
        <v>630</v>
      </c>
      <c r="E420" s="33" t="s">
        <v>640</v>
      </c>
      <c r="F420" s="33" t="s">
        <v>462</v>
      </c>
    </row>
    <row r="421" spans="1:6" x14ac:dyDescent="0.25">
      <c r="A421" s="34">
        <v>89</v>
      </c>
      <c r="B421" s="33" t="s">
        <v>656</v>
      </c>
      <c r="C421" s="33" t="s">
        <v>634</v>
      </c>
      <c r="D421" s="33" t="s">
        <v>630</v>
      </c>
      <c r="E421" s="33" t="s">
        <v>661</v>
      </c>
      <c r="F421" s="34">
        <v>95</v>
      </c>
    </row>
    <row r="422" spans="1:6" x14ac:dyDescent="0.25">
      <c r="A422" s="34">
        <v>89</v>
      </c>
      <c r="B422" s="33" t="s">
        <v>656</v>
      </c>
      <c r="C422" s="33" t="s">
        <v>642</v>
      </c>
      <c r="D422" s="33" t="s">
        <v>621</v>
      </c>
      <c r="E422" s="33" t="s">
        <v>662</v>
      </c>
      <c r="F422" s="34">
        <v>9</v>
      </c>
    </row>
    <row r="423" spans="1:6" x14ac:dyDescent="0.25">
      <c r="A423" s="34">
        <v>89</v>
      </c>
      <c r="B423" s="33" t="s">
        <v>656</v>
      </c>
      <c r="C423" s="33" t="s">
        <v>642</v>
      </c>
      <c r="D423" s="33" t="s">
        <v>621</v>
      </c>
      <c r="E423" s="33" t="s">
        <v>663</v>
      </c>
      <c r="F423" s="34">
        <v>10</v>
      </c>
    </row>
    <row r="424" spans="1:6" x14ac:dyDescent="0.25">
      <c r="A424" s="34">
        <v>89</v>
      </c>
      <c r="B424" s="33" t="s">
        <v>656</v>
      </c>
      <c r="C424" s="33" t="s">
        <v>642</v>
      </c>
      <c r="D424" s="33" t="s">
        <v>621</v>
      </c>
      <c r="E424" s="33" t="s">
        <v>664</v>
      </c>
      <c r="F424" s="34">
        <v>11</v>
      </c>
    </row>
    <row r="425" spans="1:6" x14ac:dyDescent="0.25">
      <c r="A425" s="34">
        <v>89</v>
      </c>
      <c r="B425" s="33" t="s">
        <v>656</v>
      </c>
      <c r="C425" s="33" t="s">
        <v>642</v>
      </c>
      <c r="D425" s="33" t="s">
        <v>621</v>
      </c>
      <c r="E425" s="33" t="s">
        <v>665</v>
      </c>
      <c r="F425" s="34">
        <v>46</v>
      </c>
    </row>
    <row r="426" spans="1:6" x14ac:dyDescent="0.25">
      <c r="A426" s="34">
        <v>89</v>
      </c>
      <c r="B426" s="33" t="s">
        <v>656</v>
      </c>
      <c r="C426" s="33" t="s">
        <v>642</v>
      </c>
      <c r="D426" s="33" t="s">
        <v>630</v>
      </c>
      <c r="E426" s="33" t="s">
        <v>650</v>
      </c>
      <c r="F426" s="34">
        <v>82</v>
      </c>
    </row>
    <row r="427" spans="1:6" x14ac:dyDescent="0.25">
      <c r="A427" s="34">
        <v>89</v>
      </c>
      <c r="B427" s="33" t="s">
        <v>656</v>
      </c>
      <c r="C427" s="33" t="s">
        <v>642</v>
      </c>
      <c r="D427" s="33" t="s">
        <v>630</v>
      </c>
      <c r="E427" s="33" t="s">
        <v>651</v>
      </c>
      <c r="F427" s="34">
        <v>85</v>
      </c>
    </row>
    <row r="428" spans="1:6" x14ac:dyDescent="0.25">
      <c r="A428" s="34">
        <v>89</v>
      </c>
      <c r="B428" s="33" t="s">
        <v>656</v>
      </c>
      <c r="C428" s="33" t="s">
        <v>642</v>
      </c>
      <c r="D428" s="33" t="s">
        <v>630</v>
      </c>
      <c r="E428" s="33" t="s">
        <v>652</v>
      </c>
      <c r="F428" s="34">
        <v>85</v>
      </c>
    </row>
    <row r="429" spans="1:6" x14ac:dyDescent="0.25">
      <c r="A429" s="34">
        <v>89</v>
      </c>
      <c r="B429" s="33" t="s">
        <v>656</v>
      </c>
      <c r="C429" s="33" t="s">
        <v>653</v>
      </c>
      <c r="D429" s="33" t="s">
        <v>621</v>
      </c>
      <c r="E429" s="33" t="s">
        <v>666</v>
      </c>
      <c r="F429" s="34">
        <v>22</v>
      </c>
    </row>
    <row r="430" spans="1:6" x14ac:dyDescent="0.25">
      <c r="A430" s="34">
        <v>89</v>
      </c>
      <c r="B430" s="33" t="s">
        <v>656</v>
      </c>
      <c r="C430" s="33" t="s">
        <v>653</v>
      </c>
      <c r="D430" s="33" t="s">
        <v>621</v>
      </c>
      <c r="E430" s="33" t="s">
        <v>667</v>
      </c>
      <c r="F430" s="34">
        <v>9</v>
      </c>
    </row>
    <row r="431" spans="1:6" x14ac:dyDescent="0.25">
      <c r="A431" s="34">
        <v>89</v>
      </c>
      <c r="B431" s="33" t="s">
        <v>656</v>
      </c>
      <c r="C431" s="33" t="s">
        <v>653</v>
      </c>
      <c r="D431" s="33" t="s">
        <v>653</v>
      </c>
      <c r="E431" s="33" t="s">
        <v>668</v>
      </c>
      <c r="F431" s="34">
        <v>21</v>
      </c>
    </row>
    <row r="432" spans="1:6" x14ac:dyDescent="0.25">
      <c r="A432" s="34">
        <v>89</v>
      </c>
      <c r="B432" s="33" t="s">
        <v>656</v>
      </c>
      <c r="C432" s="33" t="s">
        <v>653</v>
      </c>
      <c r="D432" s="33" t="s">
        <v>653</v>
      </c>
      <c r="E432" s="33" t="s">
        <v>669</v>
      </c>
      <c r="F432" s="34">
        <v>95</v>
      </c>
    </row>
    <row r="433" spans="1:6" x14ac:dyDescent="0.25">
      <c r="A433" s="34">
        <v>89</v>
      </c>
      <c r="B433" s="33" t="s">
        <v>656</v>
      </c>
      <c r="C433" s="33" t="s">
        <v>653</v>
      </c>
      <c r="D433" s="33" t="s">
        <v>653</v>
      </c>
      <c r="E433" s="33" t="s">
        <v>654</v>
      </c>
      <c r="F433" s="34">
        <v>100</v>
      </c>
    </row>
    <row r="434" spans="1:6" x14ac:dyDescent="0.25">
      <c r="A434" s="34">
        <v>90</v>
      </c>
      <c r="B434" s="33" t="s">
        <v>656</v>
      </c>
      <c r="C434" s="33" t="s">
        <v>620</v>
      </c>
      <c r="D434" s="33" t="s">
        <v>621</v>
      </c>
      <c r="E434" s="33" t="s">
        <v>657</v>
      </c>
      <c r="F434" s="34">
        <v>13.5</v>
      </c>
    </row>
    <row r="435" spans="1:6" x14ac:dyDescent="0.25">
      <c r="A435" s="34">
        <v>90</v>
      </c>
      <c r="B435" s="33" t="s">
        <v>656</v>
      </c>
      <c r="C435" s="33" t="s">
        <v>620</v>
      </c>
      <c r="D435" s="33" t="s">
        <v>621</v>
      </c>
      <c r="E435" s="33" t="s">
        <v>658</v>
      </c>
      <c r="F435" s="34">
        <v>15</v>
      </c>
    </row>
    <row r="436" spans="1:6" x14ac:dyDescent="0.25">
      <c r="A436" s="34">
        <v>90</v>
      </c>
      <c r="B436" s="33" t="s">
        <v>656</v>
      </c>
      <c r="C436" s="33" t="s">
        <v>620</v>
      </c>
      <c r="D436" s="33" t="s">
        <v>621</v>
      </c>
      <c r="E436" s="33" t="s">
        <v>629</v>
      </c>
      <c r="F436" s="34">
        <v>46</v>
      </c>
    </row>
    <row r="437" spans="1:6" x14ac:dyDescent="0.25">
      <c r="A437" s="34">
        <v>90</v>
      </c>
      <c r="B437" s="33" t="s">
        <v>656</v>
      </c>
      <c r="C437" s="33" t="s">
        <v>620</v>
      </c>
      <c r="D437" s="33" t="s">
        <v>630</v>
      </c>
      <c r="E437" s="33" t="s">
        <v>631</v>
      </c>
      <c r="F437" s="34">
        <v>85</v>
      </c>
    </row>
    <row r="438" spans="1:6" x14ac:dyDescent="0.25">
      <c r="A438" s="34">
        <v>90</v>
      </c>
      <c r="B438" s="33" t="s">
        <v>656</v>
      </c>
      <c r="C438" s="33" t="s">
        <v>620</v>
      </c>
      <c r="D438" s="33" t="s">
        <v>630</v>
      </c>
      <c r="E438" s="33" t="s">
        <v>632</v>
      </c>
      <c r="F438" s="33" t="s">
        <v>462</v>
      </c>
    </row>
    <row r="439" spans="1:6" x14ac:dyDescent="0.25">
      <c r="A439" s="34">
        <v>90</v>
      </c>
      <c r="B439" s="33" t="s">
        <v>656</v>
      </c>
      <c r="C439" s="33" t="s">
        <v>620</v>
      </c>
      <c r="D439" s="33" t="s">
        <v>630</v>
      </c>
      <c r="E439" s="33" t="s">
        <v>633</v>
      </c>
      <c r="F439" s="34">
        <v>85</v>
      </c>
    </row>
    <row r="440" spans="1:6" x14ac:dyDescent="0.25">
      <c r="A440" s="34">
        <v>90</v>
      </c>
      <c r="B440" s="33" t="s">
        <v>656</v>
      </c>
      <c r="C440" s="33" t="s">
        <v>634</v>
      </c>
      <c r="D440" s="33" t="s">
        <v>621</v>
      </c>
      <c r="E440" s="33" t="s">
        <v>659</v>
      </c>
      <c r="F440" s="34">
        <v>17</v>
      </c>
    </row>
    <row r="441" spans="1:6" x14ac:dyDescent="0.25">
      <c r="A441" s="34">
        <v>90</v>
      </c>
      <c r="B441" s="33" t="s">
        <v>656</v>
      </c>
      <c r="C441" s="33" t="s">
        <v>634</v>
      </c>
      <c r="D441" s="33" t="s">
        <v>621</v>
      </c>
      <c r="E441" s="33" t="s">
        <v>660</v>
      </c>
      <c r="F441" s="34">
        <v>12</v>
      </c>
    </row>
    <row r="442" spans="1:6" x14ac:dyDescent="0.25">
      <c r="A442" s="34">
        <v>90</v>
      </c>
      <c r="B442" s="33" t="s">
        <v>656</v>
      </c>
      <c r="C442" s="33" t="s">
        <v>634</v>
      </c>
      <c r="D442" s="33" t="s">
        <v>621</v>
      </c>
      <c r="E442" s="33" t="s">
        <v>638</v>
      </c>
      <c r="F442" s="34">
        <v>42.5</v>
      </c>
    </row>
    <row r="443" spans="1:6" x14ac:dyDescent="0.25">
      <c r="A443" s="34">
        <v>90</v>
      </c>
      <c r="B443" s="33" t="s">
        <v>656</v>
      </c>
      <c r="C443" s="33" t="s">
        <v>634</v>
      </c>
      <c r="D443" s="33" t="s">
        <v>630</v>
      </c>
      <c r="E443" s="33" t="s">
        <v>639</v>
      </c>
      <c r="F443" s="34">
        <v>78</v>
      </c>
    </row>
    <row r="444" spans="1:6" x14ac:dyDescent="0.25">
      <c r="A444" s="34">
        <v>90</v>
      </c>
      <c r="B444" s="33" t="s">
        <v>656</v>
      </c>
      <c r="C444" s="33" t="s">
        <v>634</v>
      </c>
      <c r="D444" s="33" t="s">
        <v>630</v>
      </c>
      <c r="E444" s="33" t="s">
        <v>640</v>
      </c>
      <c r="F444" s="33" t="s">
        <v>462</v>
      </c>
    </row>
    <row r="445" spans="1:6" x14ac:dyDescent="0.25">
      <c r="A445" s="34">
        <v>90</v>
      </c>
      <c r="B445" s="33" t="s">
        <v>656</v>
      </c>
      <c r="C445" s="33" t="s">
        <v>634</v>
      </c>
      <c r="D445" s="33" t="s">
        <v>630</v>
      </c>
      <c r="E445" s="33" t="s">
        <v>661</v>
      </c>
      <c r="F445" s="34">
        <v>78</v>
      </c>
    </row>
    <row r="446" spans="1:6" x14ac:dyDescent="0.25">
      <c r="A446" s="34">
        <v>90</v>
      </c>
      <c r="B446" s="33" t="s">
        <v>656</v>
      </c>
      <c r="C446" s="33" t="s">
        <v>642</v>
      </c>
      <c r="D446" s="33" t="s">
        <v>621</v>
      </c>
      <c r="E446" s="33" t="s">
        <v>662</v>
      </c>
      <c r="F446" s="34">
        <v>10</v>
      </c>
    </row>
    <row r="447" spans="1:6" x14ac:dyDescent="0.25">
      <c r="A447" s="34">
        <v>90</v>
      </c>
      <c r="B447" s="33" t="s">
        <v>656</v>
      </c>
      <c r="C447" s="33" t="s">
        <v>642</v>
      </c>
      <c r="D447" s="33" t="s">
        <v>621</v>
      </c>
      <c r="E447" s="33" t="s">
        <v>663</v>
      </c>
      <c r="F447" s="34">
        <v>9</v>
      </c>
    </row>
    <row r="448" spans="1:6" x14ac:dyDescent="0.25">
      <c r="A448" s="34">
        <v>90</v>
      </c>
      <c r="B448" s="33" t="s">
        <v>656</v>
      </c>
      <c r="C448" s="33" t="s">
        <v>642</v>
      </c>
      <c r="D448" s="33" t="s">
        <v>621</v>
      </c>
      <c r="E448" s="33" t="s">
        <v>664</v>
      </c>
      <c r="F448" s="34">
        <v>11</v>
      </c>
    </row>
    <row r="449" spans="1:6" x14ac:dyDescent="0.25">
      <c r="A449" s="34">
        <v>90</v>
      </c>
      <c r="B449" s="33" t="s">
        <v>656</v>
      </c>
      <c r="C449" s="33" t="s">
        <v>642</v>
      </c>
      <c r="D449" s="33" t="s">
        <v>621</v>
      </c>
      <c r="E449" s="33" t="s">
        <v>665</v>
      </c>
      <c r="F449" s="34">
        <v>42.5</v>
      </c>
    </row>
    <row r="450" spans="1:6" x14ac:dyDescent="0.25">
      <c r="A450" s="34">
        <v>90</v>
      </c>
      <c r="B450" s="33" t="s">
        <v>656</v>
      </c>
      <c r="C450" s="33" t="s">
        <v>642</v>
      </c>
      <c r="D450" s="33" t="s">
        <v>630</v>
      </c>
      <c r="E450" s="33" t="s">
        <v>650</v>
      </c>
      <c r="F450" s="34">
        <v>82</v>
      </c>
    </row>
    <row r="451" spans="1:6" x14ac:dyDescent="0.25">
      <c r="A451" s="34">
        <v>90</v>
      </c>
      <c r="B451" s="33" t="s">
        <v>656</v>
      </c>
      <c r="C451" s="33" t="s">
        <v>642</v>
      </c>
      <c r="D451" s="33" t="s">
        <v>630</v>
      </c>
      <c r="E451" s="33" t="s">
        <v>651</v>
      </c>
      <c r="F451" s="33" t="s">
        <v>462</v>
      </c>
    </row>
    <row r="452" spans="1:6" x14ac:dyDescent="0.25">
      <c r="A452" s="34">
        <v>90</v>
      </c>
      <c r="B452" s="33" t="s">
        <v>656</v>
      </c>
      <c r="C452" s="33" t="s">
        <v>642</v>
      </c>
      <c r="D452" s="33" t="s">
        <v>630</v>
      </c>
      <c r="E452" s="33" t="s">
        <v>652</v>
      </c>
      <c r="F452" s="34">
        <v>82</v>
      </c>
    </row>
    <row r="453" spans="1:6" x14ac:dyDescent="0.25">
      <c r="A453" s="34">
        <v>90</v>
      </c>
      <c r="B453" s="33" t="s">
        <v>656</v>
      </c>
      <c r="C453" s="33" t="s">
        <v>653</v>
      </c>
      <c r="D453" s="33" t="s">
        <v>621</v>
      </c>
      <c r="E453" s="33" t="s">
        <v>666</v>
      </c>
      <c r="F453" s="34">
        <v>22</v>
      </c>
    </row>
    <row r="454" spans="1:6" x14ac:dyDescent="0.25">
      <c r="A454" s="34">
        <v>90</v>
      </c>
      <c r="B454" s="33" t="s">
        <v>656</v>
      </c>
      <c r="C454" s="33" t="s">
        <v>653</v>
      </c>
      <c r="D454" s="33" t="s">
        <v>621</v>
      </c>
      <c r="E454" s="33" t="s">
        <v>667</v>
      </c>
      <c r="F454" s="34">
        <v>9</v>
      </c>
    </row>
    <row r="455" spans="1:6" x14ac:dyDescent="0.25">
      <c r="A455" s="34">
        <v>90</v>
      </c>
      <c r="B455" s="33" t="s">
        <v>656</v>
      </c>
      <c r="C455" s="33" t="s">
        <v>653</v>
      </c>
      <c r="D455" s="33" t="s">
        <v>653</v>
      </c>
      <c r="E455" s="33" t="s">
        <v>668</v>
      </c>
      <c r="F455" s="34">
        <v>0</v>
      </c>
    </row>
    <row r="456" spans="1:6" x14ac:dyDescent="0.25">
      <c r="A456" s="34">
        <v>90</v>
      </c>
      <c r="B456" s="33" t="s">
        <v>656</v>
      </c>
      <c r="C456" s="33" t="s">
        <v>653</v>
      </c>
      <c r="D456" s="33" t="s">
        <v>653</v>
      </c>
      <c r="E456" s="33" t="s">
        <v>669</v>
      </c>
      <c r="F456" s="34">
        <v>95</v>
      </c>
    </row>
    <row r="457" spans="1:6" x14ac:dyDescent="0.25">
      <c r="A457" s="34">
        <v>90</v>
      </c>
      <c r="B457" s="33" t="s">
        <v>656</v>
      </c>
      <c r="C457" s="33" t="s">
        <v>653</v>
      </c>
      <c r="D457" s="33" t="s">
        <v>653</v>
      </c>
      <c r="E457" s="33" t="s">
        <v>654</v>
      </c>
      <c r="F457" s="34">
        <v>82</v>
      </c>
    </row>
    <row r="458" spans="1:6" x14ac:dyDescent="0.25">
      <c r="A458" s="34">
        <v>91</v>
      </c>
      <c r="B458" s="33" t="s">
        <v>656</v>
      </c>
      <c r="C458" s="33" t="s">
        <v>620</v>
      </c>
      <c r="D458" s="33" t="s">
        <v>621</v>
      </c>
      <c r="E458" s="33" t="s">
        <v>657</v>
      </c>
      <c r="F458" s="34">
        <v>15</v>
      </c>
    </row>
    <row r="459" spans="1:6" x14ac:dyDescent="0.25">
      <c r="A459" s="34">
        <v>91</v>
      </c>
      <c r="B459" s="33" t="s">
        <v>656</v>
      </c>
      <c r="C459" s="33" t="s">
        <v>620</v>
      </c>
      <c r="D459" s="33" t="s">
        <v>621</v>
      </c>
      <c r="E459" s="33" t="s">
        <v>658</v>
      </c>
      <c r="F459" s="34">
        <v>13</v>
      </c>
    </row>
    <row r="460" spans="1:6" x14ac:dyDescent="0.25">
      <c r="A460" s="34">
        <v>91</v>
      </c>
      <c r="B460" s="33" t="s">
        <v>656</v>
      </c>
      <c r="C460" s="33" t="s">
        <v>620</v>
      </c>
      <c r="D460" s="33" t="s">
        <v>621</v>
      </c>
      <c r="E460" s="33" t="s">
        <v>629</v>
      </c>
      <c r="F460" s="34">
        <v>46</v>
      </c>
    </row>
    <row r="461" spans="1:6" x14ac:dyDescent="0.25">
      <c r="A461" s="34">
        <v>91</v>
      </c>
      <c r="B461" s="33" t="s">
        <v>656</v>
      </c>
      <c r="C461" s="33" t="s">
        <v>620</v>
      </c>
      <c r="D461" s="33" t="s">
        <v>630</v>
      </c>
      <c r="E461" s="33" t="s">
        <v>631</v>
      </c>
      <c r="F461" s="34">
        <v>92</v>
      </c>
    </row>
    <row r="462" spans="1:6" x14ac:dyDescent="0.25">
      <c r="A462" s="34">
        <v>91</v>
      </c>
      <c r="B462" s="33" t="s">
        <v>656</v>
      </c>
      <c r="C462" s="33" t="s">
        <v>620</v>
      </c>
      <c r="D462" s="33" t="s">
        <v>630</v>
      </c>
      <c r="E462" s="33" t="s">
        <v>632</v>
      </c>
      <c r="F462" s="33" t="s">
        <v>462</v>
      </c>
    </row>
    <row r="463" spans="1:6" x14ac:dyDescent="0.25">
      <c r="A463" s="34">
        <v>91</v>
      </c>
      <c r="B463" s="33" t="s">
        <v>656</v>
      </c>
      <c r="C463" s="33" t="s">
        <v>620</v>
      </c>
      <c r="D463" s="33" t="s">
        <v>630</v>
      </c>
      <c r="E463" s="33" t="s">
        <v>633</v>
      </c>
      <c r="F463" s="34">
        <v>92</v>
      </c>
    </row>
    <row r="464" spans="1:6" x14ac:dyDescent="0.25">
      <c r="A464" s="34">
        <v>91</v>
      </c>
      <c r="B464" s="33" t="s">
        <v>656</v>
      </c>
      <c r="C464" s="33" t="s">
        <v>634</v>
      </c>
      <c r="D464" s="33" t="s">
        <v>621</v>
      </c>
      <c r="E464" s="33" t="s">
        <v>659</v>
      </c>
      <c r="F464" s="34">
        <v>18</v>
      </c>
    </row>
    <row r="465" spans="1:6" x14ac:dyDescent="0.25">
      <c r="A465" s="34">
        <v>91</v>
      </c>
      <c r="B465" s="33" t="s">
        <v>656</v>
      </c>
      <c r="C465" s="33" t="s">
        <v>634</v>
      </c>
      <c r="D465" s="33" t="s">
        <v>621</v>
      </c>
      <c r="E465" s="33" t="s">
        <v>660</v>
      </c>
      <c r="F465" s="34">
        <v>12</v>
      </c>
    </row>
    <row r="466" spans="1:6" x14ac:dyDescent="0.25">
      <c r="A466" s="34">
        <v>91</v>
      </c>
      <c r="B466" s="33" t="s">
        <v>656</v>
      </c>
      <c r="C466" s="33" t="s">
        <v>634</v>
      </c>
      <c r="D466" s="33" t="s">
        <v>621</v>
      </c>
      <c r="E466" s="33" t="s">
        <v>638</v>
      </c>
      <c r="F466" s="34">
        <v>42.5</v>
      </c>
    </row>
    <row r="467" spans="1:6" x14ac:dyDescent="0.25">
      <c r="A467" s="34">
        <v>91</v>
      </c>
      <c r="B467" s="33" t="s">
        <v>656</v>
      </c>
      <c r="C467" s="33" t="s">
        <v>634</v>
      </c>
      <c r="D467" s="33" t="s">
        <v>630</v>
      </c>
      <c r="E467" s="33" t="s">
        <v>639</v>
      </c>
      <c r="F467" s="34">
        <v>82</v>
      </c>
    </row>
    <row r="468" spans="1:6" x14ac:dyDescent="0.25">
      <c r="A468" s="34">
        <v>91</v>
      </c>
      <c r="B468" s="33" t="s">
        <v>656</v>
      </c>
      <c r="C468" s="33" t="s">
        <v>634</v>
      </c>
      <c r="D468" s="33" t="s">
        <v>630</v>
      </c>
      <c r="E468" s="33" t="s">
        <v>640</v>
      </c>
      <c r="F468" s="33" t="s">
        <v>462</v>
      </c>
    </row>
    <row r="469" spans="1:6" x14ac:dyDescent="0.25">
      <c r="A469" s="34">
        <v>91</v>
      </c>
      <c r="B469" s="33" t="s">
        <v>656</v>
      </c>
      <c r="C469" s="33" t="s">
        <v>634</v>
      </c>
      <c r="D469" s="33" t="s">
        <v>630</v>
      </c>
      <c r="E469" s="33" t="s">
        <v>661</v>
      </c>
      <c r="F469" s="34">
        <v>82</v>
      </c>
    </row>
    <row r="470" spans="1:6" x14ac:dyDescent="0.25">
      <c r="A470" s="34">
        <v>91</v>
      </c>
      <c r="B470" s="33" t="s">
        <v>656</v>
      </c>
      <c r="C470" s="33" t="s">
        <v>642</v>
      </c>
      <c r="D470" s="33" t="s">
        <v>621</v>
      </c>
      <c r="E470" s="33" t="s">
        <v>662</v>
      </c>
      <c r="F470" s="34">
        <v>7.75</v>
      </c>
    </row>
    <row r="471" spans="1:6" x14ac:dyDescent="0.25">
      <c r="A471" s="34">
        <v>91</v>
      </c>
      <c r="B471" s="33" t="s">
        <v>656</v>
      </c>
      <c r="C471" s="33" t="s">
        <v>642</v>
      </c>
      <c r="D471" s="33" t="s">
        <v>621</v>
      </c>
      <c r="E471" s="33" t="s">
        <v>663</v>
      </c>
      <c r="F471" s="34">
        <v>9</v>
      </c>
    </row>
    <row r="472" spans="1:6" x14ac:dyDescent="0.25">
      <c r="A472" s="34">
        <v>91</v>
      </c>
      <c r="B472" s="33" t="s">
        <v>656</v>
      </c>
      <c r="C472" s="33" t="s">
        <v>642</v>
      </c>
      <c r="D472" s="33" t="s">
        <v>621</v>
      </c>
      <c r="E472" s="33" t="s">
        <v>664</v>
      </c>
      <c r="F472" s="34">
        <v>10</v>
      </c>
    </row>
    <row r="473" spans="1:6" x14ac:dyDescent="0.25">
      <c r="A473" s="34">
        <v>91</v>
      </c>
      <c r="B473" s="33" t="s">
        <v>656</v>
      </c>
      <c r="C473" s="33" t="s">
        <v>642</v>
      </c>
      <c r="D473" s="33" t="s">
        <v>621</v>
      </c>
      <c r="E473" s="33" t="s">
        <v>665</v>
      </c>
      <c r="F473" s="34">
        <v>44</v>
      </c>
    </row>
    <row r="474" spans="1:6" x14ac:dyDescent="0.25">
      <c r="A474" s="34">
        <v>91</v>
      </c>
      <c r="B474" s="33" t="s">
        <v>656</v>
      </c>
      <c r="C474" s="33" t="s">
        <v>642</v>
      </c>
      <c r="D474" s="33" t="s">
        <v>630</v>
      </c>
      <c r="E474" s="33" t="s">
        <v>650</v>
      </c>
      <c r="F474" s="34">
        <v>75</v>
      </c>
    </row>
    <row r="475" spans="1:6" x14ac:dyDescent="0.25">
      <c r="A475" s="34">
        <v>91</v>
      </c>
      <c r="B475" s="33" t="s">
        <v>656</v>
      </c>
      <c r="C475" s="33" t="s">
        <v>642</v>
      </c>
      <c r="D475" s="33" t="s">
        <v>630</v>
      </c>
      <c r="E475" s="33" t="s">
        <v>651</v>
      </c>
      <c r="F475" s="34">
        <v>82</v>
      </c>
    </row>
    <row r="476" spans="1:6" x14ac:dyDescent="0.25">
      <c r="A476" s="34">
        <v>91</v>
      </c>
      <c r="B476" s="33" t="s">
        <v>656</v>
      </c>
      <c r="C476" s="33" t="s">
        <v>642</v>
      </c>
      <c r="D476" s="33" t="s">
        <v>630</v>
      </c>
      <c r="E476" s="33" t="s">
        <v>652</v>
      </c>
      <c r="F476" s="34">
        <v>82</v>
      </c>
    </row>
    <row r="477" spans="1:6" x14ac:dyDescent="0.25">
      <c r="A477" s="34">
        <v>91</v>
      </c>
      <c r="B477" s="33" t="s">
        <v>656</v>
      </c>
      <c r="C477" s="33" t="s">
        <v>653</v>
      </c>
      <c r="D477" s="33" t="s">
        <v>621</v>
      </c>
      <c r="E477" s="33" t="s">
        <v>666</v>
      </c>
      <c r="F477" s="34">
        <v>19.8</v>
      </c>
    </row>
    <row r="478" spans="1:6" x14ac:dyDescent="0.25">
      <c r="A478" s="34">
        <v>91</v>
      </c>
      <c r="B478" s="33" t="s">
        <v>656</v>
      </c>
      <c r="C478" s="33" t="s">
        <v>653</v>
      </c>
      <c r="D478" s="33" t="s">
        <v>621</v>
      </c>
      <c r="E478" s="33" t="s">
        <v>667</v>
      </c>
      <c r="F478" s="34">
        <v>9</v>
      </c>
    </row>
    <row r="479" spans="1:6" x14ac:dyDescent="0.25">
      <c r="A479" s="34">
        <v>91</v>
      </c>
      <c r="B479" s="33" t="s">
        <v>656</v>
      </c>
      <c r="C479" s="33" t="s">
        <v>653</v>
      </c>
      <c r="D479" s="33" t="s">
        <v>653</v>
      </c>
      <c r="E479" s="33" t="s">
        <v>668</v>
      </c>
      <c r="F479" s="34">
        <v>23.5</v>
      </c>
    </row>
    <row r="480" spans="1:6" x14ac:dyDescent="0.25">
      <c r="A480" s="34">
        <v>91</v>
      </c>
      <c r="B480" s="33" t="s">
        <v>656</v>
      </c>
      <c r="C480" s="33" t="s">
        <v>653</v>
      </c>
      <c r="D480" s="33" t="s">
        <v>653</v>
      </c>
      <c r="E480" s="33" t="s">
        <v>669</v>
      </c>
      <c r="F480" s="34">
        <v>88</v>
      </c>
    </row>
    <row r="481" spans="1:6" x14ac:dyDescent="0.25">
      <c r="A481" s="34">
        <v>91</v>
      </c>
      <c r="B481" s="33" t="s">
        <v>656</v>
      </c>
      <c r="C481" s="33" t="s">
        <v>653</v>
      </c>
      <c r="D481" s="33" t="s">
        <v>653</v>
      </c>
      <c r="E481" s="33" t="s">
        <v>654</v>
      </c>
      <c r="F481" s="34">
        <v>88</v>
      </c>
    </row>
    <row r="482" spans="1:6" x14ac:dyDescent="0.25">
      <c r="A482" s="34">
        <v>92</v>
      </c>
      <c r="B482" s="33" t="s">
        <v>656</v>
      </c>
      <c r="C482" s="33" t="s">
        <v>620</v>
      </c>
      <c r="D482" s="33" t="s">
        <v>621</v>
      </c>
      <c r="E482" s="33" t="s">
        <v>657</v>
      </c>
      <c r="F482" s="34">
        <v>15</v>
      </c>
    </row>
    <row r="483" spans="1:6" x14ac:dyDescent="0.25">
      <c r="A483" s="34">
        <v>92</v>
      </c>
      <c r="B483" s="33" t="s">
        <v>656</v>
      </c>
      <c r="C483" s="33" t="s">
        <v>620</v>
      </c>
      <c r="D483" s="33" t="s">
        <v>621</v>
      </c>
      <c r="E483" s="33" t="s">
        <v>658</v>
      </c>
      <c r="F483" s="34">
        <v>14</v>
      </c>
    </row>
    <row r="484" spans="1:6" x14ac:dyDescent="0.25">
      <c r="A484" s="34">
        <v>92</v>
      </c>
      <c r="B484" s="33" t="s">
        <v>656</v>
      </c>
      <c r="C484" s="33" t="s">
        <v>620</v>
      </c>
      <c r="D484" s="33" t="s">
        <v>621</v>
      </c>
      <c r="E484" s="33" t="s">
        <v>629</v>
      </c>
      <c r="F484" s="34">
        <v>46</v>
      </c>
    </row>
    <row r="485" spans="1:6" x14ac:dyDescent="0.25">
      <c r="A485" s="34">
        <v>92</v>
      </c>
      <c r="B485" s="33" t="s">
        <v>656</v>
      </c>
      <c r="C485" s="33" t="s">
        <v>620</v>
      </c>
      <c r="D485" s="33" t="s">
        <v>630</v>
      </c>
      <c r="E485" s="33" t="s">
        <v>631</v>
      </c>
      <c r="F485" s="34">
        <v>95</v>
      </c>
    </row>
    <row r="486" spans="1:6" x14ac:dyDescent="0.25">
      <c r="A486" s="34">
        <v>92</v>
      </c>
      <c r="B486" s="33" t="s">
        <v>656</v>
      </c>
      <c r="C486" s="33" t="s">
        <v>620</v>
      </c>
      <c r="D486" s="33" t="s">
        <v>630</v>
      </c>
      <c r="E486" s="33" t="s">
        <v>632</v>
      </c>
      <c r="F486" s="33" t="s">
        <v>462</v>
      </c>
    </row>
    <row r="487" spans="1:6" x14ac:dyDescent="0.25">
      <c r="A487" s="34">
        <v>92</v>
      </c>
      <c r="B487" s="33" t="s">
        <v>656</v>
      </c>
      <c r="C487" s="33" t="s">
        <v>620</v>
      </c>
      <c r="D487" s="33" t="s">
        <v>630</v>
      </c>
      <c r="E487" s="33" t="s">
        <v>633</v>
      </c>
      <c r="F487" s="34">
        <v>95</v>
      </c>
    </row>
    <row r="488" spans="1:6" x14ac:dyDescent="0.25">
      <c r="A488" s="34">
        <v>92</v>
      </c>
      <c r="B488" s="33" t="s">
        <v>656</v>
      </c>
      <c r="C488" s="33" t="s">
        <v>634</v>
      </c>
      <c r="D488" s="33" t="s">
        <v>621</v>
      </c>
      <c r="E488" s="33" t="s">
        <v>659</v>
      </c>
      <c r="F488" s="34">
        <v>18</v>
      </c>
    </row>
    <row r="489" spans="1:6" x14ac:dyDescent="0.25">
      <c r="A489" s="34">
        <v>92</v>
      </c>
      <c r="B489" s="33" t="s">
        <v>656</v>
      </c>
      <c r="C489" s="33" t="s">
        <v>634</v>
      </c>
      <c r="D489" s="33" t="s">
        <v>621</v>
      </c>
      <c r="E489" s="33" t="s">
        <v>660</v>
      </c>
      <c r="F489" s="34">
        <v>12</v>
      </c>
    </row>
    <row r="490" spans="1:6" x14ac:dyDescent="0.25">
      <c r="A490" s="34">
        <v>92</v>
      </c>
      <c r="B490" s="33" t="s">
        <v>656</v>
      </c>
      <c r="C490" s="33" t="s">
        <v>634</v>
      </c>
      <c r="D490" s="33" t="s">
        <v>621</v>
      </c>
      <c r="E490" s="33" t="s">
        <v>638</v>
      </c>
      <c r="F490" s="34">
        <v>47.5</v>
      </c>
    </row>
    <row r="491" spans="1:6" x14ac:dyDescent="0.25">
      <c r="A491" s="34">
        <v>92</v>
      </c>
      <c r="B491" s="33" t="s">
        <v>656</v>
      </c>
      <c r="C491" s="33" t="s">
        <v>634</v>
      </c>
      <c r="D491" s="33" t="s">
        <v>630</v>
      </c>
      <c r="E491" s="33" t="s">
        <v>639</v>
      </c>
      <c r="F491" s="34">
        <v>88</v>
      </c>
    </row>
    <row r="492" spans="1:6" x14ac:dyDescent="0.25">
      <c r="A492" s="34">
        <v>92</v>
      </c>
      <c r="B492" s="33" t="s">
        <v>656</v>
      </c>
      <c r="C492" s="33" t="s">
        <v>634</v>
      </c>
      <c r="D492" s="33" t="s">
        <v>630</v>
      </c>
      <c r="E492" s="33" t="s">
        <v>640</v>
      </c>
      <c r="F492" s="33" t="s">
        <v>462</v>
      </c>
    </row>
    <row r="493" spans="1:6" x14ac:dyDescent="0.25">
      <c r="A493" s="34">
        <v>92</v>
      </c>
      <c r="B493" s="33" t="s">
        <v>656</v>
      </c>
      <c r="C493" s="33" t="s">
        <v>634</v>
      </c>
      <c r="D493" s="33" t="s">
        <v>630</v>
      </c>
      <c r="E493" s="33" t="s">
        <v>661</v>
      </c>
      <c r="F493" s="34">
        <v>88</v>
      </c>
    </row>
    <row r="494" spans="1:6" x14ac:dyDescent="0.25">
      <c r="A494" s="34">
        <v>92</v>
      </c>
      <c r="B494" s="33" t="s">
        <v>656</v>
      </c>
      <c r="C494" s="33" t="s">
        <v>642</v>
      </c>
      <c r="D494" s="33" t="s">
        <v>621</v>
      </c>
      <c r="E494" s="33" t="s">
        <v>662</v>
      </c>
      <c r="F494" s="34">
        <v>10</v>
      </c>
    </row>
    <row r="495" spans="1:6" x14ac:dyDescent="0.25">
      <c r="A495" s="34">
        <v>92</v>
      </c>
      <c r="B495" s="33" t="s">
        <v>656</v>
      </c>
      <c r="C495" s="33" t="s">
        <v>642</v>
      </c>
      <c r="D495" s="33" t="s">
        <v>621</v>
      </c>
      <c r="E495" s="33" t="s">
        <v>663</v>
      </c>
      <c r="F495" s="34">
        <v>10</v>
      </c>
    </row>
    <row r="496" spans="1:6" x14ac:dyDescent="0.25">
      <c r="A496" s="34">
        <v>92</v>
      </c>
      <c r="B496" s="33" t="s">
        <v>656</v>
      </c>
      <c r="C496" s="33" t="s">
        <v>642</v>
      </c>
      <c r="D496" s="33" t="s">
        <v>621</v>
      </c>
      <c r="E496" s="33" t="s">
        <v>664</v>
      </c>
      <c r="F496" s="34">
        <v>11</v>
      </c>
    </row>
    <row r="497" spans="1:6" x14ac:dyDescent="0.25">
      <c r="A497" s="34">
        <v>92</v>
      </c>
      <c r="B497" s="33" t="s">
        <v>656</v>
      </c>
      <c r="C497" s="33" t="s">
        <v>642</v>
      </c>
      <c r="D497" s="33" t="s">
        <v>621</v>
      </c>
      <c r="E497" s="33" t="s">
        <v>665</v>
      </c>
      <c r="F497" s="34">
        <v>42.5</v>
      </c>
    </row>
    <row r="498" spans="1:6" x14ac:dyDescent="0.25">
      <c r="A498" s="34">
        <v>92</v>
      </c>
      <c r="B498" s="33" t="s">
        <v>656</v>
      </c>
      <c r="C498" s="33" t="s">
        <v>642</v>
      </c>
      <c r="D498" s="33" t="s">
        <v>630</v>
      </c>
      <c r="E498" s="33" t="s">
        <v>650</v>
      </c>
      <c r="F498" s="34">
        <v>82</v>
      </c>
    </row>
    <row r="499" spans="1:6" x14ac:dyDescent="0.25">
      <c r="A499" s="34">
        <v>92</v>
      </c>
      <c r="B499" s="33" t="s">
        <v>656</v>
      </c>
      <c r="C499" s="33" t="s">
        <v>642</v>
      </c>
      <c r="D499" s="33" t="s">
        <v>630</v>
      </c>
      <c r="E499" s="33" t="s">
        <v>651</v>
      </c>
      <c r="F499" s="33" t="s">
        <v>462</v>
      </c>
    </row>
    <row r="500" spans="1:6" x14ac:dyDescent="0.25">
      <c r="A500" s="34">
        <v>92</v>
      </c>
      <c r="B500" s="33" t="s">
        <v>656</v>
      </c>
      <c r="C500" s="33" t="s">
        <v>642</v>
      </c>
      <c r="D500" s="33" t="s">
        <v>630</v>
      </c>
      <c r="E500" s="33" t="s">
        <v>652</v>
      </c>
      <c r="F500" s="34">
        <v>82</v>
      </c>
    </row>
    <row r="501" spans="1:6" x14ac:dyDescent="0.25">
      <c r="A501" s="34">
        <v>92</v>
      </c>
      <c r="B501" s="33" t="s">
        <v>656</v>
      </c>
      <c r="C501" s="33" t="s">
        <v>653</v>
      </c>
      <c r="D501" s="33" t="s">
        <v>621</v>
      </c>
      <c r="E501" s="33" t="s">
        <v>666</v>
      </c>
      <c r="F501" s="34">
        <v>22</v>
      </c>
    </row>
    <row r="502" spans="1:6" x14ac:dyDescent="0.25">
      <c r="A502" s="34">
        <v>92</v>
      </c>
      <c r="B502" s="33" t="s">
        <v>656</v>
      </c>
      <c r="C502" s="33" t="s">
        <v>653</v>
      </c>
      <c r="D502" s="33" t="s">
        <v>621</v>
      </c>
      <c r="E502" s="33" t="s">
        <v>667</v>
      </c>
      <c r="F502" s="34">
        <v>10</v>
      </c>
    </row>
    <row r="503" spans="1:6" x14ac:dyDescent="0.25">
      <c r="A503" s="34">
        <v>92</v>
      </c>
      <c r="B503" s="33" t="s">
        <v>656</v>
      </c>
      <c r="C503" s="33" t="s">
        <v>653</v>
      </c>
      <c r="D503" s="33" t="s">
        <v>653</v>
      </c>
      <c r="E503" s="33" t="s">
        <v>668</v>
      </c>
      <c r="F503" s="34">
        <v>28</v>
      </c>
    </row>
    <row r="504" spans="1:6" x14ac:dyDescent="0.25">
      <c r="A504" s="34">
        <v>92</v>
      </c>
      <c r="B504" s="33" t="s">
        <v>656</v>
      </c>
      <c r="C504" s="33" t="s">
        <v>653</v>
      </c>
      <c r="D504" s="33" t="s">
        <v>653</v>
      </c>
      <c r="E504" s="33" t="s">
        <v>669</v>
      </c>
      <c r="F504" s="34">
        <v>100</v>
      </c>
    </row>
    <row r="505" spans="1:6" x14ac:dyDescent="0.25">
      <c r="A505" s="34">
        <v>92</v>
      </c>
      <c r="B505" s="33" t="s">
        <v>656</v>
      </c>
      <c r="C505" s="33" t="s">
        <v>653</v>
      </c>
      <c r="D505" s="33" t="s">
        <v>653</v>
      </c>
      <c r="E505" s="33" t="s">
        <v>654</v>
      </c>
      <c r="F505" s="34">
        <v>92</v>
      </c>
    </row>
    <row r="506" spans="1:6" x14ac:dyDescent="0.25">
      <c r="A506" s="34">
        <v>93</v>
      </c>
      <c r="B506" s="33" t="s">
        <v>656</v>
      </c>
      <c r="C506" s="33" t="s">
        <v>620</v>
      </c>
      <c r="D506" s="33" t="s">
        <v>621</v>
      </c>
      <c r="E506" s="33" t="s">
        <v>657</v>
      </c>
      <c r="F506" s="34">
        <v>14.5</v>
      </c>
    </row>
    <row r="507" spans="1:6" x14ac:dyDescent="0.25">
      <c r="A507" s="34">
        <v>93</v>
      </c>
      <c r="B507" s="33" t="s">
        <v>656</v>
      </c>
      <c r="C507" s="33" t="s">
        <v>620</v>
      </c>
      <c r="D507" s="33" t="s">
        <v>621</v>
      </c>
      <c r="E507" s="33" t="s">
        <v>658</v>
      </c>
      <c r="F507" s="34">
        <v>15</v>
      </c>
    </row>
    <row r="508" spans="1:6" x14ac:dyDescent="0.25">
      <c r="A508" s="34">
        <v>93</v>
      </c>
      <c r="B508" s="33" t="s">
        <v>656</v>
      </c>
      <c r="C508" s="33" t="s">
        <v>620</v>
      </c>
      <c r="D508" s="33" t="s">
        <v>621</v>
      </c>
      <c r="E508" s="33" t="s">
        <v>629</v>
      </c>
      <c r="F508" s="34">
        <v>46</v>
      </c>
    </row>
    <row r="509" spans="1:6" x14ac:dyDescent="0.25">
      <c r="A509" s="34">
        <v>93</v>
      </c>
      <c r="B509" s="33" t="s">
        <v>656</v>
      </c>
      <c r="C509" s="33" t="s">
        <v>620</v>
      </c>
      <c r="D509" s="33" t="s">
        <v>630</v>
      </c>
      <c r="E509" s="33" t="s">
        <v>631</v>
      </c>
      <c r="F509" s="34">
        <v>92</v>
      </c>
    </row>
    <row r="510" spans="1:6" x14ac:dyDescent="0.25">
      <c r="A510" s="34">
        <v>93</v>
      </c>
      <c r="B510" s="33" t="s">
        <v>656</v>
      </c>
      <c r="C510" s="33" t="s">
        <v>620</v>
      </c>
      <c r="D510" s="33" t="s">
        <v>630</v>
      </c>
      <c r="E510" s="33" t="s">
        <v>632</v>
      </c>
      <c r="F510" s="33" t="s">
        <v>462</v>
      </c>
    </row>
    <row r="511" spans="1:6" x14ac:dyDescent="0.25">
      <c r="A511" s="34">
        <v>93</v>
      </c>
      <c r="B511" s="33" t="s">
        <v>656</v>
      </c>
      <c r="C511" s="33" t="s">
        <v>620</v>
      </c>
      <c r="D511" s="33" t="s">
        <v>630</v>
      </c>
      <c r="E511" s="33" t="s">
        <v>633</v>
      </c>
      <c r="F511" s="34">
        <v>92</v>
      </c>
    </row>
    <row r="512" spans="1:6" x14ac:dyDescent="0.25">
      <c r="A512" s="34">
        <v>93</v>
      </c>
      <c r="B512" s="33" t="s">
        <v>656</v>
      </c>
      <c r="C512" s="33" t="s">
        <v>634</v>
      </c>
      <c r="D512" s="33" t="s">
        <v>621</v>
      </c>
      <c r="E512" s="33" t="s">
        <v>659</v>
      </c>
      <c r="F512" s="34">
        <v>18</v>
      </c>
    </row>
    <row r="513" spans="1:6" x14ac:dyDescent="0.25">
      <c r="A513" s="34">
        <v>93</v>
      </c>
      <c r="B513" s="33" t="s">
        <v>656</v>
      </c>
      <c r="C513" s="33" t="s">
        <v>634</v>
      </c>
      <c r="D513" s="33" t="s">
        <v>621</v>
      </c>
      <c r="E513" s="33" t="s">
        <v>660</v>
      </c>
      <c r="F513" s="34">
        <v>12</v>
      </c>
    </row>
    <row r="514" spans="1:6" x14ac:dyDescent="0.25">
      <c r="A514" s="34">
        <v>93</v>
      </c>
      <c r="B514" s="33" t="s">
        <v>656</v>
      </c>
      <c r="C514" s="33" t="s">
        <v>634</v>
      </c>
      <c r="D514" s="33" t="s">
        <v>621</v>
      </c>
      <c r="E514" s="33" t="s">
        <v>638</v>
      </c>
      <c r="F514" s="34">
        <v>50</v>
      </c>
    </row>
    <row r="515" spans="1:6" x14ac:dyDescent="0.25">
      <c r="A515" s="34">
        <v>93</v>
      </c>
      <c r="B515" s="33" t="s">
        <v>656</v>
      </c>
      <c r="C515" s="33" t="s">
        <v>634</v>
      </c>
      <c r="D515" s="33" t="s">
        <v>630</v>
      </c>
      <c r="E515" s="33" t="s">
        <v>639</v>
      </c>
      <c r="F515" s="34">
        <v>72</v>
      </c>
    </row>
    <row r="516" spans="1:6" x14ac:dyDescent="0.25">
      <c r="A516" s="34">
        <v>93</v>
      </c>
      <c r="B516" s="33" t="s">
        <v>656</v>
      </c>
      <c r="C516" s="33" t="s">
        <v>634</v>
      </c>
      <c r="D516" s="33" t="s">
        <v>630</v>
      </c>
      <c r="E516" s="33" t="s">
        <v>640</v>
      </c>
      <c r="F516" s="34">
        <v>83</v>
      </c>
    </row>
    <row r="517" spans="1:6" x14ac:dyDescent="0.25">
      <c r="A517" s="34">
        <v>93</v>
      </c>
      <c r="B517" s="33" t="s">
        <v>656</v>
      </c>
      <c r="C517" s="33" t="s">
        <v>634</v>
      </c>
      <c r="D517" s="33" t="s">
        <v>630</v>
      </c>
      <c r="E517" s="33" t="s">
        <v>661</v>
      </c>
      <c r="F517" s="34">
        <v>83</v>
      </c>
    </row>
    <row r="518" spans="1:6" x14ac:dyDescent="0.25">
      <c r="A518" s="34">
        <v>93</v>
      </c>
      <c r="B518" s="33" t="s">
        <v>656</v>
      </c>
      <c r="C518" s="33" t="s">
        <v>642</v>
      </c>
      <c r="D518" s="33" t="s">
        <v>621</v>
      </c>
      <c r="E518" s="33" t="s">
        <v>662</v>
      </c>
      <c r="F518" s="34">
        <v>10</v>
      </c>
    </row>
    <row r="519" spans="1:6" x14ac:dyDescent="0.25">
      <c r="A519" s="34">
        <v>93</v>
      </c>
      <c r="B519" s="33" t="s">
        <v>656</v>
      </c>
      <c r="C519" s="33" t="s">
        <v>642</v>
      </c>
      <c r="D519" s="33" t="s">
        <v>621</v>
      </c>
      <c r="E519" s="33" t="s">
        <v>663</v>
      </c>
      <c r="F519" s="34">
        <v>10</v>
      </c>
    </row>
    <row r="520" spans="1:6" x14ac:dyDescent="0.25">
      <c r="A520" s="34">
        <v>93</v>
      </c>
      <c r="B520" s="33" t="s">
        <v>656</v>
      </c>
      <c r="C520" s="33" t="s">
        <v>642</v>
      </c>
      <c r="D520" s="33" t="s">
        <v>621</v>
      </c>
      <c r="E520" s="33" t="s">
        <v>664</v>
      </c>
      <c r="F520" s="34">
        <v>9</v>
      </c>
    </row>
    <row r="521" spans="1:6" x14ac:dyDescent="0.25">
      <c r="A521" s="34">
        <v>93</v>
      </c>
      <c r="B521" s="33" t="s">
        <v>656</v>
      </c>
      <c r="C521" s="33" t="s">
        <v>642</v>
      </c>
      <c r="D521" s="33" t="s">
        <v>621</v>
      </c>
      <c r="E521" s="33" t="s">
        <v>665</v>
      </c>
      <c r="F521" s="34">
        <v>46</v>
      </c>
    </row>
    <row r="522" spans="1:6" x14ac:dyDescent="0.25">
      <c r="A522" s="34">
        <v>93</v>
      </c>
      <c r="B522" s="33" t="s">
        <v>656</v>
      </c>
      <c r="C522" s="33" t="s">
        <v>642</v>
      </c>
      <c r="D522" s="33" t="s">
        <v>630</v>
      </c>
      <c r="E522" s="33" t="s">
        <v>650</v>
      </c>
      <c r="F522" s="34">
        <v>80</v>
      </c>
    </row>
    <row r="523" spans="1:6" x14ac:dyDescent="0.25">
      <c r="A523" s="34">
        <v>93</v>
      </c>
      <c r="B523" s="33" t="s">
        <v>656</v>
      </c>
      <c r="C523" s="33" t="s">
        <v>642</v>
      </c>
      <c r="D523" s="33" t="s">
        <v>630</v>
      </c>
      <c r="E523" s="33" t="s">
        <v>651</v>
      </c>
      <c r="F523" s="34">
        <v>85</v>
      </c>
    </row>
    <row r="524" spans="1:6" x14ac:dyDescent="0.25">
      <c r="A524" s="34">
        <v>93</v>
      </c>
      <c r="B524" s="33" t="s">
        <v>656</v>
      </c>
      <c r="C524" s="33" t="s">
        <v>642</v>
      </c>
      <c r="D524" s="33" t="s">
        <v>630</v>
      </c>
      <c r="E524" s="33" t="s">
        <v>652</v>
      </c>
      <c r="F524" s="34">
        <v>80</v>
      </c>
    </row>
    <row r="525" spans="1:6" x14ac:dyDescent="0.25">
      <c r="A525" s="34">
        <v>93</v>
      </c>
      <c r="B525" s="33" t="s">
        <v>656</v>
      </c>
      <c r="C525" s="33" t="s">
        <v>653</v>
      </c>
      <c r="D525" s="33" t="s">
        <v>621</v>
      </c>
      <c r="E525" s="33" t="s">
        <v>666</v>
      </c>
      <c r="F525" s="34">
        <v>22</v>
      </c>
    </row>
    <row r="526" spans="1:6" x14ac:dyDescent="0.25">
      <c r="A526" s="34">
        <v>93</v>
      </c>
      <c r="B526" s="33" t="s">
        <v>656</v>
      </c>
      <c r="C526" s="33" t="s">
        <v>653</v>
      </c>
      <c r="D526" s="33" t="s">
        <v>621</v>
      </c>
      <c r="E526" s="33" t="s">
        <v>667</v>
      </c>
      <c r="F526" s="34">
        <v>10</v>
      </c>
    </row>
    <row r="527" spans="1:6" x14ac:dyDescent="0.25">
      <c r="A527" s="34">
        <v>93</v>
      </c>
      <c r="B527" s="33" t="s">
        <v>656</v>
      </c>
      <c r="C527" s="33" t="s">
        <v>653</v>
      </c>
      <c r="D527" s="33" t="s">
        <v>653</v>
      </c>
      <c r="E527" s="33" t="s">
        <v>668</v>
      </c>
      <c r="F527" s="34">
        <v>21</v>
      </c>
    </row>
    <row r="528" spans="1:6" x14ac:dyDescent="0.25">
      <c r="A528" s="34">
        <v>93</v>
      </c>
      <c r="B528" s="33" t="s">
        <v>656</v>
      </c>
      <c r="C528" s="33" t="s">
        <v>653</v>
      </c>
      <c r="D528" s="33" t="s">
        <v>653</v>
      </c>
      <c r="E528" s="33" t="s">
        <v>669</v>
      </c>
      <c r="F528" s="34">
        <v>100</v>
      </c>
    </row>
    <row r="529" spans="1:6" x14ac:dyDescent="0.25">
      <c r="A529" s="34">
        <v>93</v>
      </c>
      <c r="B529" s="33" t="s">
        <v>656</v>
      </c>
      <c r="C529" s="33" t="s">
        <v>653</v>
      </c>
      <c r="D529" s="33" t="s">
        <v>653</v>
      </c>
      <c r="E529" s="33" t="s">
        <v>654</v>
      </c>
      <c r="F529" s="34">
        <v>88</v>
      </c>
    </row>
    <row r="530" spans="1:6" x14ac:dyDescent="0.25">
      <c r="A530" s="34">
        <v>94</v>
      </c>
      <c r="B530" s="33" t="s">
        <v>656</v>
      </c>
      <c r="C530" s="33" t="s">
        <v>620</v>
      </c>
      <c r="D530" s="33" t="s">
        <v>621</v>
      </c>
      <c r="E530" s="33" t="s">
        <v>657</v>
      </c>
      <c r="F530" s="34">
        <v>13</v>
      </c>
    </row>
    <row r="531" spans="1:6" x14ac:dyDescent="0.25">
      <c r="A531" s="34">
        <v>94</v>
      </c>
      <c r="B531" s="33" t="s">
        <v>656</v>
      </c>
      <c r="C531" s="33" t="s">
        <v>620</v>
      </c>
      <c r="D531" s="33" t="s">
        <v>621</v>
      </c>
      <c r="E531" s="33" t="s">
        <v>658</v>
      </c>
      <c r="F531" s="34">
        <v>6</v>
      </c>
    </row>
    <row r="532" spans="1:6" x14ac:dyDescent="0.25">
      <c r="A532" s="34">
        <v>94</v>
      </c>
      <c r="B532" s="33" t="s">
        <v>656</v>
      </c>
      <c r="C532" s="33" t="s">
        <v>620</v>
      </c>
      <c r="D532" s="33" t="s">
        <v>621</v>
      </c>
      <c r="E532" s="33" t="s">
        <v>629</v>
      </c>
      <c r="F532" s="34">
        <v>36</v>
      </c>
    </row>
    <row r="533" spans="1:6" x14ac:dyDescent="0.25">
      <c r="A533" s="34">
        <v>94</v>
      </c>
      <c r="B533" s="33" t="s">
        <v>656</v>
      </c>
      <c r="C533" s="33" t="s">
        <v>620</v>
      </c>
      <c r="D533" s="33" t="s">
        <v>630</v>
      </c>
      <c r="E533" s="33" t="s">
        <v>631</v>
      </c>
      <c r="F533" s="34">
        <v>72</v>
      </c>
    </row>
    <row r="534" spans="1:6" x14ac:dyDescent="0.25">
      <c r="A534" s="34">
        <v>94</v>
      </c>
      <c r="B534" s="33" t="s">
        <v>656</v>
      </c>
      <c r="C534" s="33" t="s">
        <v>620</v>
      </c>
      <c r="D534" s="33" t="s">
        <v>630</v>
      </c>
      <c r="E534" s="33" t="s">
        <v>632</v>
      </c>
      <c r="F534" s="33" t="s">
        <v>462</v>
      </c>
    </row>
    <row r="535" spans="1:6" x14ac:dyDescent="0.25">
      <c r="A535" s="34">
        <v>94</v>
      </c>
      <c r="B535" s="33" t="s">
        <v>656</v>
      </c>
      <c r="C535" s="33" t="s">
        <v>620</v>
      </c>
      <c r="D535" s="33" t="s">
        <v>630</v>
      </c>
      <c r="E535" s="33" t="s">
        <v>633</v>
      </c>
      <c r="F535" s="34">
        <v>72</v>
      </c>
    </row>
    <row r="536" spans="1:6" x14ac:dyDescent="0.25">
      <c r="A536" s="34">
        <v>94</v>
      </c>
      <c r="B536" s="33" t="s">
        <v>656</v>
      </c>
      <c r="C536" s="33" t="s">
        <v>634</v>
      </c>
      <c r="D536" s="33" t="s">
        <v>621</v>
      </c>
      <c r="E536" s="33" t="s">
        <v>659</v>
      </c>
      <c r="F536" s="34">
        <v>1</v>
      </c>
    </row>
    <row r="537" spans="1:6" x14ac:dyDescent="0.25">
      <c r="A537" s="34">
        <v>94</v>
      </c>
      <c r="B537" s="33" t="s">
        <v>656</v>
      </c>
      <c r="C537" s="33" t="s">
        <v>634</v>
      </c>
      <c r="D537" s="33" t="s">
        <v>621</v>
      </c>
      <c r="E537" s="33" t="s">
        <v>660</v>
      </c>
      <c r="F537" s="34">
        <v>0</v>
      </c>
    </row>
    <row r="538" spans="1:6" x14ac:dyDescent="0.25">
      <c r="A538" s="34">
        <v>94</v>
      </c>
      <c r="B538" s="33" t="s">
        <v>656</v>
      </c>
      <c r="C538" s="33" t="s">
        <v>634</v>
      </c>
      <c r="D538" s="33" t="s">
        <v>621</v>
      </c>
      <c r="E538" s="33" t="s">
        <v>638</v>
      </c>
      <c r="F538" s="34">
        <v>37.5</v>
      </c>
    </row>
    <row r="539" spans="1:6" x14ac:dyDescent="0.25">
      <c r="A539" s="34">
        <v>94</v>
      </c>
      <c r="B539" s="33" t="s">
        <v>656</v>
      </c>
      <c r="C539" s="33" t="s">
        <v>634</v>
      </c>
      <c r="D539" s="33" t="s">
        <v>630</v>
      </c>
      <c r="E539" s="33" t="s">
        <v>639</v>
      </c>
      <c r="F539" s="34">
        <v>62</v>
      </c>
    </row>
    <row r="540" spans="1:6" x14ac:dyDescent="0.25">
      <c r="A540" s="34">
        <v>94</v>
      </c>
      <c r="B540" s="33" t="s">
        <v>656</v>
      </c>
      <c r="C540" s="33" t="s">
        <v>634</v>
      </c>
      <c r="D540" s="33" t="s">
        <v>630</v>
      </c>
      <c r="E540" s="63" t="s">
        <v>640</v>
      </c>
      <c r="F540" s="64"/>
    </row>
    <row r="541" spans="1:6" x14ac:dyDescent="0.25">
      <c r="A541" s="34">
        <v>94</v>
      </c>
      <c r="B541" s="33" t="s">
        <v>656</v>
      </c>
      <c r="C541" s="33" t="s">
        <v>634</v>
      </c>
      <c r="D541" s="33" t="s">
        <v>630</v>
      </c>
      <c r="E541" s="33" t="s">
        <v>661</v>
      </c>
      <c r="F541" s="34">
        <v>62</v>
      </c>
    </row>
    <row r="542" spans="1:6" x14ac:dyDescent="0.25">
      <c r="A542" s="34">
        <v>94</v>
      </c>
      <c r="B542" s="33" t="s">
        <v>656</v>
      </c>
      <c r="C542" s="33" t="s">
        <v>642</v>
      </c>
      <c r="D542" s="33" t="s">
        <v>621</v>
      </c>
      <c r="E542" s="33" t="s">
        <v>662</v>
      </c>
      <c r="F542" s="34">
        <v>9</v>
      </c>
    </row>
    <row r="543" spans="1:6" x14ac:dyDescent="0.25">
      <c r="A543" s="34">
        <v>94</v>
      </c>
      <c r="B543" s="33" t="s">
        <v>656</v>
      </c>
      <c r="C543" s="33" t="s">
        <v>642</v>
      </c>
      <c r="D543" s="33" t="s">
        <v>621</v>
      </c>
      <c r="E543" s="33" t="s">
        <v>663</v>
      </c>
      <c r="F543" s="34">
        <v>10</v>
      </c>
    </row>
    <row r="544" spans="1:6" x14ac:dyDescent="0.25">
      <c r="A544" s="34">
        <v>94</v>
      </c>
      <c r="B544" s="33" t="s">
        <v>656</v>
      </c>
      <c r="C544" s="33" t="s">
        <v>642</v>
      </c>
      <c r="D544" s="33" t="s">
        <v>621</v>
      </c>
      <c r="E544" s="33" t="s">
        <v>664</v>
      </c>
      <c r="F544" s="34">
        <v>11</v>
      </c>
    </row>
    <row r="545" spans="1:6" x14ac:dyDescent="0.25">
      <c r="A545" s="34">
        <v>94</v>
      </c>
      <c r="B545" s="33" t="s">
        <v>656</v>
      </c>
      <c r="C545" s="33" t="s">
        <v>642</v>
      </c>
      <c r="D545" s="33" t="s">
        <v>621</v>
      </c>
      <c r="E545" s="33" t="s">
        <v>665</v>
      </c>
      <c r="F545" s="34">
        <v>42.5</v>
      </c>
    </row>
    <row r="546" spans="1:6" x14ac:dyDescent="0.25">
      <c r="A546" s="34">
        <v>94</v>
      </c>
      <c r="B546" s="33" t="s">
        <v>656</v>
      </c>
      <c r="C546" s="33" t="s">
        <v>642</v>
      </c>
      <c r="D546" s="33" t="s">
        <v>630</v>
      </c>
      <c r="E546" s="33" t="s">
        <v>650</v>
      </c>
      <c r="F546" s="34">
        <v>72</v>
      </c>
    </row>
    <row r="547" spans="1:6" x14ac:dyDescent="0.25">
      <c r="A547" s="34">
        <v>94</v>
      </c>
      <c r="B547" s="33" t="s">
        <v>656</v>
      </c>
      <c r="C547" s="33" t="s">
        <v>642</v>
      </c>
      <c r="D547" s="33" t="s">
        <v>630</v>
      </c>
      <c r="E547" s="33" t="s">
        <v>651</v>
      </c>
      <c r="F547" s="33" t="s">
        <v>462</v>
      </c>
    </row>
    <row r="548" spans="1:6" x14ac:dyDescent="0.25">
      <c r="A548" s="34">
        <v>94</v>
      </c>
      <c r="B548" s="33" t="s">
        <v>656</v>
      </c>
      <c r="C548" s="33" t="s">
        <v>642</v>
      </c>
      <c r="D548" s="33" t="s">
        <v>630</v>
      </c>
      <c r="E548" s="33" t="s">
        <v>652</v>
      </c>
      <c r="F548" s="34">
        <v>72</v>
      </c>
    </row>
    <row r="549" spans="1:6" x14ac:dyDescent="0.25">
      <c r="A549" s="34">
        <v>94</v>
      </c>
      <c r="B549" s="33" t="s">
        <v>656</v>
      </c>
      <c r="C549" s="33" t="s">
        <v>653</v>
      </c>
      <c r="D549" s="33" t="s">
        <v>621</v>
      </c>
      <c r="E549" s="33" t="s">
        <v>666</v>
      </c>
      <c r="F549" s="34">
        <v>22</v>
      </c>
    </row>
    <row r="550" spans="1:6" x14ac:dyDescent="0.25">
      <c r="A550" s="34">
        <v>94</v>
      </c>
      <c r="B550" s="33" t="s">
        <v>656</v>
      </c>
      <c r="C550" s="33" t="s">
        <v>653</v>
      </c>
      <c r="D550" s="33" t="s">
        <v>621</v>
      </c>
      <c r="E550" s="33" t="s">
        <v>667</v>
      </c>
      <c r="F550" s="34">
        <v>10</v>
      </c>
    </row>
    <row r="551" spans="1:6" x14ac:dyDescent="0.25">
      <c r="A551" s="34">
        <v>94</v>
      </c>
      <c r="B551" s="33" t="s">
        <v>656</v>
      </c>
      <c r="C551" s="33" t="s">
        <v>653</v>
      </c>
      <c r="D551" s="33" t="s">
        <v>653</v>
      </c>
      <c r="E551" s="33" t="s">
        <v>668</v>
      </c>
      <c r="F551" s="34">
        <v>28</v>
      </c>
    </row>
    <row r="552" spans="1:6" x14ac:dyDescent="0.25">
      <c r="A552" s="34">
        <v>94</v>
      </c>
      <c r="B552" s="33" t="s">
        <v>656</v>
      </c>
      <c r="C552" s="33" t="s">
        <v>653</v>
      </c>
      <c r="D552" s="33" t="s">
        <v>653</v>
      </c>
      <c r="E552" s="33" t="s">
        <v>669</v>
      </c>
      <c r="F552" s="34">
        <v>85</v>
      </c>
    </row>
    <row r="553" spans="1:6" x14ac:dyDescent="0.25">
      <c r="A553" s="34">
        <v>94</v>
      </c>
      <c r="B553" s="33" t="s">
        <v>656</v>
      </c>
      <c r="C553" s="33" t="s">
        <v>653</v>
      </c>
      <c r="D553" s="33" t="s">
        <v>653</v>
      </c>
      <c r="E553" s="33" t="s">
        <v>654</v>
      </c>
      <c r="F553" s="34">
        <v>62</v>
      </c>
    </row>
    <row r="554" spans="1:6" x14ac:dyDescent="0.25">
      <c r="A554" s="34">
        <v>95</v>
      </c>
      <c r="B554" s="33" t="s">
        <v>656</v>
      </c>
      <c r="C554" s="33" t="s">
        <v>620</v>
      </c>
      <c r="D554" s="33" t="s">
        <v>621</v>
      </c>
      <c r="E554" s="33" t="s">
        <v>657</v>
      </c>
      <c r="F554" s="34">
        <v>15</v>
      </c>
    </row>
    <row r="555" spans="1:6" x14ac:dyDescent="0.25">
      <c r="A555" s="34">
        <v>95</v>
      </c>
      <c r="B555" s="33" t="s">
        <v>656</v>
      </c>
      <c r="C555" s="33" t="s">
        <v>620</v>
      </c>
      <c r="D555" s="33" t="s">
        <v>621</v>
      </c>
      <c r="E555" s="33" t="s">
        <v>658</v>
      </c>
      <c r="F555" s="34">
        <v>4</v>
      </c>
    </row>
    <row r="556" spans="1:6" x14ac:dyDescent="0.25">
      <c r="A556" s="34">
        <v>95</v>
      </c>
      <c r="B556" s="33" t="s">
        <v>656</v>
      </c>
      <c r="C556" s="33" t="s">
        <v>620</v>
      </c>
      <c r="D556" s="33" t="s">
        <v>621</v>
      </c>
      <c r="E556" s="33" t="s">
        <v>629</v>
      </c>
      <c r="F556" s="34">
        <v>42.5</v>
      </c>
    </row>
    <row r="557" spans="1:6" x14ac:dyDescent="0.25">
      <c r="A557" s="34">
        <v>95</v>
      </c>
      <c r="B557" s="33" t="s">
        <v>656</v>
      </c>
      <c r="C557" s="33" t="s">
        <v>620</v>
      </c>
      <c r="D557" s="33" t="s">
        <v>630</v>
      </c>
      <c r="E557" s="33" t="s">
        <v>631</v>
      </c>
      <c r="F557" s="34">
        <v>62</v>
      </c>
    </row>
    <row r="558" spans="1:6" x14ac:dyDescent="0.25">
      <c r="A558" s="34">
        <v>95</v>
      </c>
      <c r="B558" s="33" t="s">
        <v>656</v>
      </c>
      <c r="C558" s="33" t="s">
        <v>620</v>
      </c>
      <c r="D558" s="33" t="s">
        <v>630</v>
      </c>
      <c r="E558" s="33" t="s">
        <v>632</v>
      </c>
      <c r="F558" s="33" t="s">
        <v>462</v>
      </c>
    </row>
    <row r="559" spans="1:6" x14ac:dyDescent="0.25">
      <c r="A559" s="34">
        <v>95</v>
      </c>
      <c r="B559" s="33" t="s">
        <v>656</v>
      </c>
      <c r="C559" s="33" t="s">
        <v>620</v>
      </c>
      <c r="D559" s="33" t="s">
        <v>630</v>
      </c>
      <c r="E559" s="33" t="s">
        <v>633</v>
      </c>
      <c r="F559" s="34">
        <v>62</v>
      </c>
    </row>
    <row r="560" spans="1:6" x14ac:dyDescent="0.25">
      <c r="A560" s="34">
        <v>95</v>
      </c>
      <c r="B560" s="33" t="s">
        <v>656</v>
      </c>
      <c r="C560" s="33" t="s">
        <v>634</v>
      </c>
      <c r="D560" s="33" t="s">
        <v>621</v>
      </c>
      <c r="E560" s="33" t="s">
        <v>659</v>
      </c>
      <c r="F560" s="34">
        <v>16</v>
      </c>
    </row>
    <row r="561" spans="1:6" x14ac:dyDescent="0.25">
      <c r="A561" s="34">
        <v>95</v>
      </c>
      <c r="B561" s="33" t="s">
        <v>656</v>
      </c>
      <c r="C561" s="33" t="s">
        <v>634</v>
      </c>
      <c r="D561" s="33" t="s">
        <v>621</v>
      </c>
      <c r="E561" s="33" t="s">
        <v>660</v>
      </c>
      <c r="F561" s="34">
        <v>11</v>
      </c>
    </row>
    <row r="562" spans="1:6" x14ac:dyDescent="0.25">
      <c r="A562" s="34">
        <v>95</v>
      </c>
      <c r="B562" s="33" t="s">
        <v>656</v>
      </c>
      <c r="C562" s="33" t="s">
        <v>634</v>
      </c>
      <c r="D562" s="33" t="s">
        <v>621</v>
      </c>
      <c r="E562" s="33" t="s">
        <v>638</v>
      </c>
      <c r="F562" s="34">
        <v>41</v>
      </c>
    </row>
    <row r="563" spans="1:6" x14ac:dyDescent="0.25">
      <c r="A563" s="34">
        <v>95</v>
      </c>
      <c r="B563" s="33" t="s">
        <v>656</v>
      </c>
      <c r="C563" s="33" t="s">
        <v>634</v>
      </c>
      <c r="D563" s="33" t="s">
        <v>630</v>
      </c>
      <c r="E563" s="33" t="s">
        <v>639</v>
      </c>
      <c r="F563" s="34">
        <v>65</v>
      </c>
    </row>
    <row r="564" spans="1:6" x14ac:dyDescent="0.25">
      <c r="A564" s="34">
        <v>95</v>
      </c>
      <c r="B564" s="33" t="s">
        <v>656</v>
      </c>
      <c r="C564" s="33" t="s">
        <v>634</v>
      </c>
      <c r="D564" s="33" t="s">
        <v>630</v>
      </c>
      <c r="E564" s="63" t="s">
        <v>640</v>
      </c>
      <c r="F564" s="64"/>
    </row>
    <row r="565" spans="1:6" x14ac:dyDescent="0.25">
      <c r="A565" s="34">
        <v>95</v>
      </c>
      <c r="B565" s="33" t="s">
        <v>656</v>
      </c>
      <c r="C565" s="33" t="s">
        <v>634</v>
      </c>
      <c r="D565" s="33" t="s">
        <v>630</v>
      </c>
      <c r="E565" s="33" t="s">
        <v>661</v>
      </c>
      <c r="F565" s="34">
        <v>65</v>
      </c>
    </row>
    <row r="566" spans="1:6" x14ac:dyDescent="0.25">
      <c r="A566" s="34">
        <v>95</v>
      </c>
      <c r="B566" s="33" t="s">
        <v>656</v>
      </c>
      <c r="C566" s="33" t="s">
        <v>642</v>
      </c>
      <c r="D566" s="33" t="s">
        <v>621</v>
      </c>
      <c r="E566" s="33" t="s">
        <v>662</v>
      </c>
      <c r="F566" s="34">
        <v>9</v>
      </c>
    </row>
    <row r="567" spans="1:6" x14ac:dyDescent="0.25">
      <c r="A567" s="34">
        <v>95</v>
      </c>
      <c r="B567" s="33" t="s">
        <v>656</v>
      </c>
      <c r="C567" s="33" t="s">
        <v>642</v>
      </c>
      <c r="D567" s="33" t="s">
        <v>621</v>
      </c>
      <c r="E567" s="33" t="s">
        <v>663</v>
      </c>
      <c r="F567" s="34">
        <v>10</v>
      </c>
    </row>
    <row r="568" spans="1:6" x14ac:dyDescent="0.25">
      <c r="A568" s="34">
        <v>95</v>
      </c>
      <c r="B568" s="33" t="s">
        <v>656</v>
      </c>
      <c r="C568" s="33" t="s">
        <v>642</v>
      </c>
      <c r="D568" s="33" t="s">
        <v>621</v>
      </c>
      <c r="E568" s="33" t="s">
        <v>664</v>
      </c>
      <c r="F568" s="34">
        <v>9</v>
      </c>
    </row>
    <row r="569" spans="1:6" x14ac:dyDescent="0.25">
      <c r="A569" s="34">
        <v>95</v>
      </c>
      <c r="B569" s="33" t="s">
        <v>656</v>
      </c>
      <c r="C569" s="33" t="s">
        <v>642</v>
      </c>
      <c r="D569" s="33" t="s">
        <v>621</v>
      </c>
      <c r="E569" s="33" t="s">
        <v>665</v>
      </c>
      <c r="F569" s="34">
        <v>15</v>
      </c>
    </row>
    <row r="570" spans="1:6" x14ac:dyDescent="0.25">
      <c r="A570" s="34">
        <v>95</v>
      </c>
      <c r="B570" s="33" t="s">
        <v>656</v>
      </c>
      <c r="C570" s="33" t="s">
        <v>642</v>
      </c>
      <c r="D570" s="33" t="s">
        <v>630</v>
      </c>
      <c r="E570" s="33" t="s">
        <v>650</v>
      </c>
      <c r="F570" s="34">
        <v>65</v>
      </c>
    </row>
    <row r="571" spans="1:6" x14ac:dyDescent="0.25">
      <c r="A571" s="34">
        <v>95</v>
      </c>
      <c r="B571" s="33" t="s">
        <v>656</v>
      </c>
      <c r="C571" s="33" t="s">
        <v>642</v>
      </c>
      <c r="D571" s="33" t="s">
        <v>630</v>
      </c>
      <c r="E571" s="33" t="s">
        <v>651</v>
      </c>
      <c r="F571" s="33" t="s">
        <v>462</v>
      </c>
    </row>
    <row r="572" spans="1:6" x14ac:dyDescent="0.25">
      <c r="A572" s="34">
        <v>95</v>
      </c>
      <c r="B572" s="33" t="s">
        <v>656</v>
      </c>
      <c r="C572" s="33" t="s">
        <v>642</v>
      </c>
      <c r="D572" s="33" t="s">
        <v>630</v>
      </c>
      <c r="E572" s="33" t="s">
        <v>652</v>
      </c>
      <c r="F572" s="34">
        <v>65</v>
      </c>
    </row>
    <row r="573" spans="1:6" x14ac:dyDescent="0.25">
      <c r="A573" s="34">
        <v>95</v>
      </c>
      <c r="B573" s="33" t="s">
        <v>656</v>
      </c>
      <c r="C573" s="33" t="s">
        <v>653</v>
      </c>
      <c r="D573" s="33" t="s">
        <v>621</v>
      </c>
      <c r="E573" s="33" t="s">
        <v>666</v>
      </c>
      <c r="F573" s="34">
        <v>0</v>
      </c>
    </row>
    <row r="574" spans="1:6" x14ac:dyDescent="0.25">
      <c r="A574" s="34">
        <v>95</v>
      </c>
      <c r="B574" s="33" t="s">
        <v>656</v>
      </c>
      <c r="C574" s="33" t="s">
        <v>653</v>
      </c>
      <c r="D574" s="33" t="s">
        <v>621</v>
      </c>
      <c r="E574" s="33" t="s">
        <v>667</v>
      </c>
      <c r="F574" s="34">
        <v>10</v>
      </c>
    </row>
    <row r="575" spans="1:6" x14ac:dyDescent="0.25">
      <c r="A575" s="34">
        <v>95</v>
      </c>
      <c r="B575" s="33" t="s">
        <v>656</v>
      </c>
      <c r="C575" s="33" t="s">
        <v>653</v>
      </c>
      <c r="D575" s="33" t="s">
        <v>653</v>
      </c>
      <c r="E575" s="33" t="s">
        <v>668</v>
      </c>
      <c r="F575" s="34">
        <v>0</v>
      </c>
    </row>
    <row r="576" spans="1:6" x14ac:dyDescent="0.25">
      <c r="A576" s="34">
        <v>95</v>
      </c>
      <c r="B576" s="33" t="s">
        <v>656</v>
      </c>
      <c r="C576" s="33" t="s">
        <v>653</v>
      </c>
      <c r="D576" s="33" t="s">
        <v>653</v>
      </c>
      <c r="E576" s="33" t="s">
        <v>669</v>
      </c>
      <c r="F576" s="34">
        <v>100</v>
      </c>
    </row>
    <row r="577" spans="1:6" x14ac:dyDescent="0.25">
      <c r="A577" s="34">
        <v>95</v>
      </c>
      <c r="B577" s="33" t="s">
        <v>656</v>
      </c>
      <c r="C577" s="33" t="s">
        <v>653</v>
      </c>
      <c r="D577" s="33" t="s">
        <v>653</v>
      </c>
      <c r="E577" s="33" t="s">
        <v>654</v>
      </c>
      <c r="F577" s="34">
        <v>65</v>
      </c>
    </row>
    <row r="578" spans="1:6" x14ac:dyDescent="0.25">
      <c r="A578" s="34">
        <v>96</v>
      </c>
      <c r="B578" s="33" t="s">
        <v>656</v>
      </c>
      <c r="C578" s="33" t="s">
        <v>620</v>
      </c>
      <c r="D578" s="33" t="s">
        <v>621</v>
      </c>
      <c r="E578" s="33" t="s">
        <v>657</v>
      </c>
      <c r="F578" s="34">
        <v>15</v>
      </c>
    </row>
    <row r="579" spans="1:6" x14ac:dyDescent="0.25">
      <c r="A579" s="34">
        <v>96</v>
      </c>
      <c r="B579" s="33" t="s">
        <v>656</v>
      </c>
      <c r="C579" s="33" t="s">
        <v>620</v>
      </c>
      <c r="D579" s="33" t="s">
        <v>621</v>
      </c>
      <c r="E579" s="33" t="s">
        <v>658</v>
      </c>
      <c r="F579" s="34">
        <v>7</v>
      </c>
    </row>
    <row r="580" spans="1:6" x14ac:dyDescent="0.25">
      <c r="A580" s="34">
        <v>96</v>
      </c>
      <c r="B580" s="33" t="s">
        <v>656</v>
      </c>
      <c r="C580" s="33" t="s">
        <v>620</v>
      </c>
      <c r="D580" s="33" t="s">
        <v>621</v>
      </c>
      <c r="E580" s="33" t="s">
        <v>629</v>
      </c>
      <c r="F580" s="34">
        <v>44</v>
      </c>
    </row>
    <row r="581" spans="1:6" x14ac:dyDescent="0.25">
      <c r="A581" s="34">
        <v>96</v>
      </c>
      <c r="B581" s="33" t="s">
        <v>656</v>
      </c>
      <c r="C581" s="33" t="s">
        <v>620</v>
      </c>
      <c r="D581" s="33" t="s">
        <v>630</v>
      </c>
      <c r="E581" s="33" t="s">
        <v>631</v>
      </c>
      <c r="F581" s="34">
        <v>75</v>
      </c>
    </row>
    <row r="582" spans="1:6" x14ac:dyDescent="0.25">
      <c r="A582" s="34">
        <v>96</v>
      </c>
      <c r="B582" s="33" t="s">
        <v>656</v>
      </c>
      <c r="C582" s="33" t="s">
        <v>620</v>
      </c>
      <c r="D582" s="33" t="s">
        <v>630</v>
      </c>
      <c r="E582" s="33" t="s">
        <v>632</v>
      </c>
      <c r="F582" s="34">
        <v>78</v>
      </c>
    </row>
    <row r="583" spans="1:6" x14ac:dyDescent="0.25">
      <c r="A583" s="34">
        <v>96</v>
      </c>
      <c r="B583" s="33" t="s">
        <v>656</v>
      </c>
      <c r="C583" s="33" t="s">
        <v>620</v>
      </c>
      <c r="D583" s="33" t="s">
        <v>630</v>
      </c>
      <c r="E583" s="33" t="s">
        <v>633</v>
      </c>
      <c r="F583" s="34">
        <v>78</v>
      </c>
    </row>
    <row r="584" spans="1:6" x14ac:dyDescent="0.25">
      <c r="A584" s="34">
        <v>96</v>
      </c>
      <c r="B584" s="33" t="s">
        <v>656</v>
      </c>
      <c r="C584" s="33" t="s">
        <v>634</v>
      </c>
      <c r="D584" s="33" t="s">
        <v>621</v>
      </c>
      <c r="E584" s="33" t="s">
        <v>659</v>
      </c>
      <c r="F584" s="34">
        <v>9</v>
      </c>
    </row>
    <row r="585" spans="1:6" x14ac:dyDescent="0.25">
      <c r="A585" s="34">
        <v>96</v>
      </c>
      <c r="B585" s="33" t="s">
        <v>656</v>
      </c>
      <c r="C585" s="33" t="s">
        <v>634</v>
      </c>
      <c r="D585" s="33" t="s">
        <v>621</v>
      </c>
      <c r="E585" s="33" t="s">
        <v>660</v>
      </c>
      <c r="F585" s="34">
        <v>0</v>
      </c>
    </row>
    <row r="586" spans="1:6" x14ac:dyDescent="0.25">
      <c r="A586" s="34">
        <v>96</v>
      </c>
      <c r="B586" s="33" t="s">
        <v>656</v>
      </c>
      <c r="C586" s="33" t="s">
        <v>634</v>
      </c>
      <c r="D586" s="33" t="s">
        <v>621</v>
      </c>
      <c r="E586" s="33" t="s">
        <v>638</v>
      </c>
      <c r="F586" s="34">
        <v>0</v>
      </c>
    </row>
    <row r="587" spans="1:6" x14ac:dyDescent="0.25">
      <c r="A587" s="34">
        <v>96</v>
      </c>
      <c r="B587" s="33" t="s">
        <v>656</v>
      </c>
      <c r="C587" s="33" t="s">
        <v>634</v>
      </c>
      <c r="D587" s="33" t="s">
        <v>630</v>
      </c>
      <c r="E587" s="33" t="s">
        <v>639</v>
      </c>
      <c r="F587" s="34">
        <v>62</v>
      </c>
    </row>
    <row r="588" spans="1:6" x14ac:dyDescent="0.25">
      <c r="A588" s="34">
        <v>96</v>
      </c>
      <c r="B588" s="33" t="s">
        <v>656</v>
      </c>
      <c r="C588" s="33" t="s">
        <v>634</v>
      </c>
      <c r="D588" s="33" t="s">
        <v>630</v>
      </c>
      <c r="E588" s="33" t="s">
        <v>640</v>
      </c>
      <c r="F588" s="34">
        <v>78</v>
      </c>
    </row>
    <row r="589" spans="1:6" x14ac:dyDescent="0.25">
      <c r="A589" s="34">
        <v>96</v>
      </c>
      <c r="B589" s="33" t="s">
        <v>656</v>
      </c>
      <c r="C589" s="33" t="s">
        <v>634</v>
      </c>
      <c r="D589" s="33" t="s">
        <v>630</v>
      </c>
      <c r="E589" s="33" t="s">
        <v>661</v>
      </c>
      <c r="F589" s="34">
        <v>78</v>
      </c>
    </row>
    <row r="590" spans="1:6" x14ac:dyDescent="0.25">
      <c r="A590" s="34">
        <v>96</v>
      </c>
      <c r="B590" s="33" t="s">
        <v>656</v>
      </c>
      <c r="C590" s="33" t="s">
        <v>642</v>
      </c>
      <c r="D590" s="33" t="s">
        <v>621</v>
      </c>
      <c r="E590" s="33" t="s">
        <v>662</v>
      </c>
      <c r="F590" s="34">
        <v>7</v>
      </c>
    </row>
    <row r="591" spans="1:6" x14ac:dyDescent="0.25">
      <c r="A591" s="34">
        <v>96</v>
      </c>
      <c r="B591" s="33" t="s">
        <v>656</v>
      </c>
      <c r="C591" s="33" t="s">
        <v>642</v>
      </c>
      <c r="D591" s="33" t="s">
        <v>621</v>
      </c>
      <c r="E591" s="33" t="s">
        <v>663</v>
      </c>
      <c r="F591" s="34">
        <v>8</v>
      </c>
    </row>
    <row r="592" spans="1:6" x14ac:dyDescent="0.25">
      <c r="A592" s="34">
        <v>96</v>
      </c>
      <c r="B592" s="33" t="s">
        <v>656</v>
      </c>
      <c r="C592" s="33" t="s">
        <v>642</v>
      </c>
      <c r="D592" s="33" t="s">
        <v>621</v>
      </c>
      <c r="E592" s="33" t="s">
        <v>664</v>
      </c>
      <c r="F592" s="34">
        <v>9</v>
      </c>
    </row>
    <row r="593" spans="1:6" x14ac:dyDescent="0.25">
      <c r="A593" s="34">
        <v>96</v>
      </c>
      <c r="B593" s="33" t="s">
        <v>656</v>
      </c>
      <c r="C593" s="33" t="s">
        <v>642</v>
      </c>
      <c r="D593" s="33" t="s">
        <v>621</v>
      </c>
      <c r="E593" s="33" t="s">
        <v>665</v>
      </c>
      <c r="F593" s="34">
        <v>37.5</v>
      </c>
    </row>
    <row r="594" spans="1:6" x14ac:dyDescent="0.25">
      <c r="A594" s="34">
        <v>96</v>
      </c>
      <c r="B594" s="33" t="s">
        <v>656</v>
      </c>
      <c r="C594" s="33" t="s">
        <v>642</v>
      </c>
      <c r="D594" s="33" t="s">
        <v>630</v>
      </c>
      <c r="E594" s="33" t="s">
        <v>650</v>
      </c>
      <c r="F594" s="34">
        <v>68</v>
      </c>
    </row>
    <row r="595" spans="1:6" x14ac:dyDescent="0.25">
      <c r="A595" s="34">
        <v>96</v>
      </c>
      <c r="B595" s="33" t="s">
        <v>656</v>
      </c>
      <c r="C595" s="33" t="s">
        <v>642</v>
      </c>
      <c r="D595" s="33" t="s">
        <v>630</v>
      </c>
      <c r="E595" s="33" t="s">
        <v>651</v>
      </c>
      <c r="F595" s="34">
        <v>72</v>
      </c>
    </row>
    <row r="596" spans="1:6" x14ac:dyDescent="0.25">
      <c r="A596" s="34">
        <v>96</v>
      </c>
      <c r="B596" s="33" t="s">
        <v>656</v>
      </c>
      <c r="C596" s="33" t="s">
        <v>642</v>
      </c>
      <c r="D596" s="33" t="s">
        <v>630</v>
      </c>
      <c r="E596" s="33" t="s">
        <v>652</v>
      </c>
      <c r="F596" s="34">
        <v>68</v>
      </c>
    </row>
    <row r="597" spans="1:6" x14ac:dyDescent="0.25">
      <c r="A597" s="34">
        <v>96</v>
      </c>
      <c r="B597" s="33" t="s">
        <v>656</v>
      </c>
      <c r="C597" s="33" t="s">
        <v>653</v>
      </c>
      <c r="D597" s="33" t="s">
        <v>621</v>
      </c>
      <c r="E597" s="33" t="s">
        <v>666</v>
      </c>
      <c r="F597" s="34">
        <v>22</v>
      </c>
    </row>
    <row r="598" spans="1:6" x14ac:dyDescent="0.25">
      <c r="A598" s="34">
        <v>96</v>
      </c>
      <c r="B598" s="33" t="s">
        <v>656</v>
      </c>
      <c r="C598" s="33" t="s">
        <v>653</v>
      </c>
      <c r="D598" s="33" t="s">
        <v>621</v>
      </c>
      <c r="E598" s="33" t="s">
        <v>667</v>
      </c>
      <c r="F598" s="34">
        <v>5</v>
      </c>
    </row>
    <row r="599" spans="1:6" x14ac:dyDescent="0.25">
      <c r="A599" s="34">
        <v>96</v>
      </c>
      <c r="B599" s="33" t="s">
        <v>656</v>
      </c>
      <c r="C599" s="33" t="s">
        <v>653</v>
      </c>
      <c r="D599" s="33" t="s">
        <v>653</v>
      </c>
      <c r="E599" s="33" t="s">
        <v>668</v>
      </c>
      <c r="F599" s="34">
        <v>0</v>
      </c>
    </row>
    <row r="600" spans="1:6" x14ac:dyDescent="0.25">
      <c r="A600" s="34">
        <v>96</v>
      </c>
      <c r="B600" s="33" t="s">
        <v>656</v>
      </c>
      <c r="C600" s="33" t="s">
        <v>653</v>
      </c>
      <c r="D600" s="33" t="s">
        <v>653</v>
      </c>
      <c r="E600" s="33" t="s">
        <v>669</v>
      </c>
      <c r="F600" s="34">
        <v>100</v>
      </c>
    </row>
    <row r="601" spans="1:6" x14ac:dyDescent="0.25">
      <c r="A601" s="34">
        <v>96</v>
      </c>
      <c r="B601" s="33" t="s">
        <v>656</v>
      </c>
      <c r="C601" s="33" t="s">
        <v>653</v>
      </c>
      <c r="D601" s="33" t="s">
        <v>653</v>
      </c>
      <c r="E601" s="33" t="s">
        <v>654</v>
      </c>
      <c r="F601" s="34">
        <v>72</v>
      </c>
    </row>
    <row r="602" spans="1:6" x14ac:dyDescent="0.25">
      <c r="A602" s="34">
        <v>97</v>
      </c>
      <c r="B602" s="33" t="s">
        <v>656</v>
      </c>
      <c r="C602" s="33" t="s">
        <v>620</v>
      </c>
      <c r="D602" s="33" t="s">
        <v>621</v>
      </c>
      <c r="E602" s="33" t="s">
        <v>657</v>
      </c>
      <c r="F602" s="34">
        <v>13.5</v>
      </c>
    </row>
    <row r="603" spans="1:6" x14ac:dyDescent="0.25">
      <c r="A603" s="34">
        <v>97</v>
      </c>
      <c r="B603" s="33" t="s">
        <v>656</v>
      </c>
      <c r="C603" s="33" t="s">
        <v>620</v>
      </c>
      <c r="D603" s="33" t="s">
        <v>621</v>
      </c>
      <c r="E603" s="33" t="s">
        <v>658</v>
      </c>
      <c r="F603" s="34">
        <v>14</v>
      </c>
    </row>
    <row r="604" spans="1:6" x14ac:dyDescent="0.25">
      <c r="A604" s="34">
        <v>97</v>
      </c>
      <c r="B604" s="33" t="s">
        <v>656</v>
      </c>
      <c r="C604" s="33" t="s">
        <v>620</v>
      </c>
      <c r="D604" s="33" t="s">
        <v>621</v>
      </c>
      <c r="E604" s="33" t="s">
        <v>629</v>
      </c>
      <c r="F604" s="34">
        <v>44</v>
      </c>
    </row>
    <row r="605" spans="1:6" x14ac:dyDescent="0.25">
      <c r="A605" s="34">
        <v>97</v>
      </c>
      <c r="B605" s="33" t="s">
        <v>656</v>
      </c>
      <c r="C605" s="33" t="s">
        <v>620</v>
      </c>
      <c r="D605" s="33" t="s">
        <v>630</v>
      </c>
      <c r="E605" s="33" t="s">
        <v>631</v>
      </c>
      <c r="F605" s="34">
        <v>72</v>
      </c>
    </row>
    <row r="606" spans="1:6" x14ac:dyDescent="0.25">
      <c r="A606" s="34">
        <v>97</v>
      </c>
      <c r="B606" s="33" t="s">
        <v>656</v>
      </c>
      <c r="C606" s="33" t="s">
        <v>620</v>
      </c>
      <c r="D606" s="33" t="s">
        <v>630</v>
      </c>
      <c r="E606" s="33" t="s">
        <v>632</v>
      </c>
      <c r="F606" s="33" t="s">
        <v>462</v>
      </c>
    </row>
    <row r="607" spans="1:6" x14ac:dyDescent="0.25">
      <c r="A607" s="34">
        <v>97</v>
      </c>
      <c r="B607" s="33" t="s">
        <v>656</v>
      </c>
      <c r="C607" s="33" t="s">
        <v>620</v>
      </c>
      <c r="D607" s="33" t="s">
        <v>630</v>
      </c>
      <c r="E607" s="33" t="s">
        <v>633</v>
      </c>
      <c r="F607" s="34">
        <v>72</v>
      </c>
    </row>
    <row r="608" spans="1:6" x14ac:dyDescent="0.25">
      <c r="A608" s="34">
        <v>97</v>
      </c>
      <c r="B608" s="33" t="s">
        <v>656</v>
      </c>
      <c r="C608" s="33" t="s">
        <v>634</v>
      </c>
      <c r="D608" s="33" t="s">
        <v>621</v>
      </c>
      <c r="E608" s="33" t="s">
        <v>659</v>
      </c>
      <c r="F608" s="34">
        <v>17</v>
      </c>
    </row>
    <row r="609" spans="1:6" x14ac:dyDescent="0.25">
      <c r="A609" s="34">
        <v>97</v>
      </c>
      <c r="B609" s="33" t="s">
        <v>656</v>
      </c>
      <c r="C609" s="33" t="s">
        <v>634</v>
      </c>
      <c r="D609" s="33" t="s">
        <v>621</v>
      </c>
      <c r="E609" s="33" t="s">
        <v>660</v>
      </c>
      <c r="F609" s="34">
        <v>12</v>
      </c>
    </row>
    <row r="610" spans="1:6" x14ac:dyDescent="0.25">
      <c r="A610" s="34">
        <v>97</v>
      </c>
      <c r="B610" s="33" t="s">
        <v>656</v>
      </c>
      <c r="C610" s="33" t="s">
        <v>634</v>
      </c>
      <c r="D610" s="33" t="s">
        <v>621</v>
      </c>
      <c r="E610" s="33" t="s">
        <v>638</v>
      </c>
      <c r="F610" s="34">
        <v>47.5</v>
      </c>
    </row>
    <row r="611" spans="1:6" x14ac:dyDescent="0.25">
      <c r="A611" s="34">
        <v>97</v>
      </c>
      <c r="B611" s="33" t="s">
        <v>656</v>
      </c>
      <c r="C611" s="33" t="s">
        <v>634</v>
      </c>
      <c r="D611" s="33" t="s">
        <v>630</v>
      </c>
      <c r="E611" s="33" t="s">
        <v>639</v>
      </c>
      <c r="F611" s="34">
        <v>72</v>
      </c>
    </row>
    <row r="612" spans="1:6" x14ac:dyDescent="0.25">
      <c r="A612" s="34">
        <v>97</v>
      </c>
      <c r="B612" s="33" t="s">
        <v>656</v>
      </c>
      <c r="C612" s="33" t="s">
        <v>634</v>
      </c>
      <c r="D612" s="33" t="s">
        <v>630</v>
      </c>
      <c r="E612" s="33" t="s">
        <v>640</v>
      </c>
      <c r="F612" s="33" t="s">
        <v>462</v>
      </c>
    </row>
    <row r="613" spans="1:6" x14ac:dyDescent="0.25">
      <c r="A613" s="34">
        <v>97</v>
      </c>
      <c r="B613" s="33" t="s">
        <v>656</v>
      </c>
      <c r="C613" s="33" t="s">
        <v>634</v>
      </c>
      <c r="D613" s="33" t="s">
        <v>630</v>
      </c>
      <c r="E613" s="33" t="s">
        <v>661</v>
      </c>
      <c r="F613" s="34">
        <v>72</v>
      </c>
    </row>
    <row r="614" spans="1:6" x14ac:dyDescent="0.25">
      <c r="A614" s="34">
        <v>97</v>
      </c>
      <c r="B614" s="33" t="s">
        <v>656</v>
      </c>
      <c r="C614" s="33" t="s">
        <v>642</v>
      </c>
      <c r="D614" s="33" t="s">
        <v>621</v>
      </c>
      <c r="E614" s="33" t="s">
        <v>662</v>
      </c>
      <c r="F614" s="34">
        <v>10</v>
      </c>
    </row>
    <row r="615" spans="1:6" x14ac:dyDescent="0.25">
      <c r="A615" s="34">
        <v>97</v>
      </c>
      <c r="B615" s="33" t="s">
        <v>656</v>
      </c>
      <c r="C615" s="33" t="s">
        <v>642</v>
      </c>
      <c r="D615" s="33" t="s">
        <v>621</v>
      </c>
      <c r="E615" s="33" t="s">
        <v>663</v>
      </c>
      <c r="F615" s="34">
        <v>9</v>
      </c>
    </row>
    <row r="616" spans="1:6" x14ac:dyDescent="0.25">
      <c r="A616" s="34">
        <v>97</v>
      </c>
      <c r="B616" s="33" t="s">
        <v>656</v>
      </c>
      <c r="C616" s="33" t="s">
        <v>642</v>
      </c>
      <c r="D616" s="33" t="s">
        <v>621</v>
      </c>
      <c r="E616" s="33" t="s">
        <v>664</v>
      </c>
      <c r="F616" s="34">
        <v>11</v>
      </c>
    </row>
    <row r="617" spans="1:6" x14ac:dyDescent="0.25">
      <c r="A617" s="34">
        <v>97</v>
      </c>
      <c r="B617" s="33" t="s">
        <v>656</v>
      </c>
      <c r="C617" s="33" t="s">
        <v>642</v>
      </c>
      <c r="D617" s="33" t="s">
        <v>621</v>
      </c>
      <c r="E617" s="33" t="s">
        <v>665</v>
      </c>
      <c r="F617" s="34">
        <v>32.5</v>
      </c>
    </row>
    <row r="618" spans="1:6" x14ac:dyDescent="0.25">
      <c r="A618" s="34">
        <v>97</v>
      </c>
      <c r="B618" s="33" t="s">
        <v>656</v>
      </c>
      <c r="C618" s="33" t="s">
        <v>642</v>
      </c>
      <c r="D618" s="33" t="s">
        <v>630</v>
      </c>
      <c r="E618" s="33" t="s">
        <v>650</v>
      </c>
      <c r="F618" s="34">
        <v>68</v>
      </c>
    </row>
    <row r="619" spans="1:6" x14ac:dyDescent="0.25">
      <c r="A619" s="34">
        <v>97</v>
      </c>
      <c r="B619" s="33" t="s">
        <v>656</v>
      </c>
      <c r="C619" s="33" t="s">
        <v>642</v>
      </c>
      <c r="D619" s="33" t="s">
        <v>630</v>
      </c>
      <c r="E619" s="33" t="s">
        <v>651</v>
      </c>
      <c r="F619" s="33" t="s">
        <v>462</v>
      </c>
    </row>
    <row r="620" spans="1:6" x14ac:dyDescent="0.25">
      <c r="A620" s="34">
        <v>97</v>
      </c>
      <c r="B620" s="33" t="s">
        <v>656</v>
      </c>
      <c r="C620" s="33" t="s">
        <v>642</v>
      </c>
      <c r="D620" s="33" t="s">
        <v>630</v>
      </c>
      <c r="E620" s="33" t="s">
        <v>652</v>
      </c>
      <c r="F620" s="34">
        <v>68</v>
      </c>
    </row>
    <row r="621" spans="1:6" x14ac:dyDescent="0.25">
      <c r="A621" s="34">
        <v>97</v>
      </c>
      <c r="B621" s="33" t="s">
        <v>656</v>
      </c>
      <c r="C621" s="33" t="s">
        <v>653</v>
      </c>
      <c r="D621" s="33" t="s">
        <v>621</v>
      </c>
      <c r="E621" s="33" t="s">
        <v>666</v>
      </c>
      <c r="F621" s="34">
        <v>21</v>
      </c>
    </row>
    <row r="622" spans="1:6" x14ac:dyDescent="0.25">
      <c r="A622" s="34">
        <v>97</v>
      </c>
      <c r="B622" s="33" t="s">
        <v>656</v>
      </c>
      <c r="C622" s="33" t="s">
        <v>653</v>
      </c>
      <c r="D622" s="33" t="s">
        <v>621</v>
      </c>
      <c r="E622" s="33" t="s">
        <v>667</v>
      </c>
      <c r="F622" s="34">
        <v>9</v>
      </c>
    </row>
    <row r="623" spans="1:6" x14ac:dyDescent="0.25">
      <c r="A623" s="34">
        <v>97</v>
      </c>
      <c r="B623" s="33" t="s">
        <v>656</v>
      </c>
      <c r="C623" s="33" t="s">
        <v>653</v>
      </c>
      <c r="D623" s="33" t="s">
        <v>653</v>
      </c>
      <c r="E623" s="33" t="s">
        <v>668</v>
      </c>
      <c r="F623" s="34">
        <v>26</v>
      </c>
    </row>
    <row r="624" spans="1:6" x14ac:dyDescent="0.25">
      <c r="A624" s="34">
        <v>97</v>
      </c>
      <c r="B624" s="33" t="s">
        <v>656</v>
      </c>
      <c r="C624" s="33" t="s">
        <v>653</v>
      </c>
      <c r="D624" s="33" t="s">
        <v>653</v>
      </c>
      <c r="E624" s="33" t="s">
        <v>669</v>
      </c>
      <c r="F624" s="34">
        <v>88</v>
      </c>
    </row>
    <row r="625" spans="1:6" x14ac:dyDescent="0.25">
      <c r="A625" s="34">
        <v>97</v>
      </c>
      <c r="B625" s="33" t="s">
        <v>656</v>
      </c>
      <c r="C625" s="33" t="s">
        <v>653</v>
      </c>
      <c r="D625" s="33" t="s">
        <v>653</v>
      </c>
      <c r="E625" s="33" t="s">
        <v>654</v>
      </c>
      <c r="F625" s="34">
        <v>65</v>
      </c>
    </row>
    <row r="626" spans="1:6" x14ac:dyDescent="0.25">
      <c r="A626" s="34">
        <v>98</v>
      </c>
      <c r="B626" s="33" t="s">
        <v>656</v>
      </c>
      <c r="C626" s="33" t="s">
        <v>620</v>
      </c>
      <c r="D626" s="33" t="s">
        <v>621</v>
      </c>
      <c r="E626" s="33" t="s">
        <v>657</v>
      </c>
      <c r="F626" s="34">
        <v>15</v>
      </c>
    </row>
    <row r="627" spans="1:6" x14ac:dyDescent="0.25">
      <c r="A627" s="34">
        <v>98</v>
      </c>
      <c r="B627" s="33" t="s">
        <v>656</v>
      </c>
      <c r="C627" s="33" t="s">
        <v>620</v>
      </c>
      <c r="D627" s="33" t="s">
        <v>621</v>
      </c>
      <c r="E627" s="33" t="s">
        <v>658</v>
      </c>
      <c r="F627" s="34">
        <v>14</v>
      </c>
    </row>
    <row r="628" spans="1:6" x14ac:dyDescent="0.25">
      <c r="A628" s="34">
        <v>98</v>
      </c>
      <c r="B628" s="33" t="s">
        <v>656</v>
      </c>
      <c r="C628" s="33" t="s">
        <v>620</v>
      </c>
      <c r="D628" s="33" t="s">
        <v>621</v>
      </c>
      <c r="E628" s="33" t="s">
        <v>629</v>
      </c>
      <c r="F628" s="34">
        <v>46</v>
      </c>
    </row>
    <row r="629" spans="1:6" x14ac:dyDescent="0.25">
      <c r="A629" s="34">
        <v>98</v>
      </c>
      <c r="B629" s="33" t="s">
        <v>656</v>
      </c>
      <c r="C629" s="33" t="s">
        <v>620</v>
      </c>
      <c r="D629" s="33" t="s">
        <v>630</v>
      </c>
      <c r="E629" s="33" t="s">
        <v>631</v>
      </c>
      <c r="F629" s="34">
        <v>95</v>
      </c>
    </row>
    <row r="630" spans="1:6" x14ac:dyDescent="0.25">
      <c r="A630" s="34">
        <v>98</v>
      </c>
      <c r="B630" s="33" t="s">
        <v>656</v>
      </c>
      <c r="C630" s="33" t="s">
        <v>620</v>
      </c>
      <c r="D630" s="33" t="s">
        <v>630</v>
      </c>
      <c r="E630" s="33" t="s">
        <v>632</v>
      </c>
      <c r="F630" s="33" t="s">
        <v>462</v>
      </c>
    </row>
    <row r="631" spans="1:6" x14ac:dyDescent="0.25">
      <c r="A631" s="34">
        <v>98</v>
      </c>
      <c r="B631" s="33" t="s">
        <v>656</v>
      </c>
      <c r="C631" s="33" t="s">
        <v>620</v>
      </c>
      <c r="D631" s="33" t="s">
        <v>630</v>
      </c>
      <c r="E631" s="33" t="s">
        <v>633</v>
      </c>
      <c r="F631" s="34">
        <v>95</v>
      </c>
    </row>
    <row r="632" spans="1:6" x14ac:dyDescent="0.25">
      <c r="A632" s="34">
        <v>98</v>
      </c>
      <c r="B632" s="33" t="s">
        <v>656</v>
      </c>
      <c r="C632" s="33" t="s">
        <v>634</v>
      </c>
      <c r="D632" s="33" t="s">
        <v>621</v>
      </c>
      <c r="E632" s="33" t="s">
        <v>659</v>
      </c>
      <c r="F632" s="34">
        <v>18</v>
      </c>
    </row>
    <row r="633" spans="1:6" x14ac:dyDescent="0.25">
      <c r="A633" s="34">
        <v>98</v>
      </c>
      <c r="B633" s="33" t="s">
        <v>656</v>
      </c>
      <c r="C633" s="33" t="s">
        <v>634</v>
      </c>
      <c r="D633" s="33" t="s">
        <v>621</v>
      </c>
      <c r="E633" s="33" t="s">
        <v>660</v>
      </c>
      <c r="F633" s="34">
        <v>12</v>
      </c>
    </row>
    <row r="634" spans="1:6" x14ac:dyDescent="0.25">
      <c r="A634" s="34">
        <v>98</v>
      </c>
      <c r="B634" s="33" t="s">
        <v>656</v>
      </c>
      <c r="C634" s="33" t="s">
        <v>634</v>
      </c>
      <c r="D634" s="33" t="s">
        <v>621</v>
      </c>
      <c r="E634" s="33" t="s">
        <v>638</v>
      </c>
      <c r="F634" s="34">
        <v>44</v>
      </c>
    </row>
    <row r="635" spans="1:6" x14ac:dyDescent="0.25">
      <c r="A635" s="34">
        <v>98</v>
      </c>
      <c r="B635" s="33" t="s">
        <v>656</v>
      </c>
      <c r="C635" s="33" t="s">
        <v>634</v>
      </c>
      <c r="D635" s="33" t="s">
        <v>630</v>
      </c>
      <c r="E635" s="33" t="s">
        <v>639</v>
      </c>
      <c r="F635" s="34">
        <v>82</v>
      </c>
    </row>
    <row r="636" spans="1:6" x14ac:dyDescent="0.25">
      <c r="A636" s="34">
        <v>98</v>
      </c>
      <c r="B636" s="33" t="s">
        <v>656</v>
      </c>
      <c r="C636" s="33" t="s">
        <v>634</v>
      </c>
      <c r="D636" s="33" t="s">
        <v>630</v>
      </c>
      <c r="E636" s="33" t="s">
        <v>640</v>
      </c>
      <c r="F636" s="34">
        <v>95</v>
      </c>
    </row>
    <row r="637" spans="1:6" x14ac:dyDescent="0.25">
      <c r="A637" s="34">
        <v>98</v>
      </c>
      <c r="B637" s="33" t="s">
        <v>656</v>
      </c>
      <c r="C637" s="33" t="s">
        <v>634</v>
      </c>
      <c r="D637" s="33" t="s">
        <v>630</v>
      </c>
      <c r="E637" s="33" t="s">
        <v>661</v>
      </c>
      <c r="F637" s="34">
        <v>95</v>
      </c>
    </row>
    <row r="638" spans="1:6" x14ac:dyDescent="0.25">
      <c r="A638" s="34">
        <v>98</v>
      </c>
      <c r="B638" s="33" t="s">
        <v>656</v>
      </c>
      <c r="C638" s="33" t="s">
        <v>642</v>
      </c>
      <c r="D638" s="33" t="s">
        <v>621</v>
      </c>
      <c r="E638" s="33" t="s">
        <v>662</v>
      </c>
      <c r="F638" s="34">
        <v>10</v>
      </c>
    </row>
    <row r="639" spans="1:6" x14ac:dyDescent="0.25">
      <c r="A639" s="34">
        <v>98</v>
      </c>
      <c r="B639" s="33" t="s">
        <v>656</v>
      </c>
      <c r="C639" s="33" t="s">
        <v>642</v>
      </c>
      <c r="D639" s="33" t="s">
        <v>621</v>
      </c>
      <c r="E639" s="33" t="s">
        <v>663</v>
      </c>
      <c r="F639" s="34">
        <v>10</v>
      </c>
    </row>
    <row r="640" spans="1:6" x14ac:dyDescent="0.25">
      <c r="A640" s="34">
        <v>98</v>
      </c>
      <c r="B640" s="33" t="s">
        <v>656</v>
      </c>
      <c r="C640" s="33" t="s">
        <v>642</v>
      </c>
      <c r="D640" s="33" t="s">
        <v>621</v>
      </c>
      <c r="E640" s="33" t="s">
        <v>664</v>
      </c>
      <c r="F640" s="34">
        <v>11</v>
      </c>
    </row>
    <row r="641" spans="1:6" x14ac:dyDescent="0.25">
      <c r="A641" s="34">
        <v>98</v>
      </c>
      <c r="B641" s="33" t="s">
        <v>656</v>
      </c>
      <c r="C641" s="33" t="s">
        <v>642</v>
      </c>
      <c r="D641" s="33" t="s">
        <v>621</v>
      </c>
      <c r="E641" s="33" t="s">
        <v>665</v>
      </c>
      <c r="F641" s="34">
        <v>46</v>
      </c>
    </row>
    <row r="642" spans="1:6" x14ac:dyDescent="0.25">
      <c r="A642" s="34">
        <v>98</v>
      </c>
      <c r="B642" s="33" t="s">
        <v>656</v>
      </c>
      <c r="C642" s="33" t="s">
        <v>642</v>
      </c>
      <c r="D642" s="33" t="s">
        <v>630</v>
      </c>
      <c r="E642" s="33" t="s">
        <v>650</v>
      </c>
      <c r="F642" s="34">
        <v>100</v>
      </c>
    </row>
    <row r="643" spans="1:6" x14ac:dyDescent="0.25">
      <c r="A643" s="34">
        <v>98</v>
      </c>
      <c r="B643" s="33" t="s">
        <v>656</v>
      </c>
      <c r="C643" s="33" t="s">
        <v>642</v>
      </c>
      <c r="D643" s="33" t="s">
        <v>630</v>
      </c>
      <c r="E643" s="33" t="s">
        <v>651</v>
      </c>
      <c r="F643" s="33" t="s">
        <v>462</v>
      </c>
    </row>
    <row r="644" spans="1:6" x14ac:dyDescent="0.25">
      <c r="A644" s="34">
        <v>98</v>
      </c>
      <c r="B644" s="33" t="s">
        <v>656</v>
      </c>
      <c r="C644" s="33" t="s">
        <v>642</v>
      </c>
      <c r="D644" s="33" t="s">
        <v>630</v>
      </c>
      <c r="E644" s="33" t="s">
        <v>652</v>
      </c>
      <c r="F644" s="34">
        <v>100</v>
      </c>
    </row>
    <row r="645" spans="1:6" x14ac:dyDescent="0.25">
      <c r="A645" s="34">
        <v>98</v>
      </c>
      <c r="B645" s="33" t="s">
        <v>656</v>
      </c>
      <c r="C645" s="33" t="s">
        <v>653</v>
      </c>
      <c r="D645" s="33" t="s">
        <v>621</v>
      </c>
      <c r="E645" s="33" t="s">
        <v>666</v>
      </c>
      <c r="F645" s="34">
        <v>22</v>
      </c>
    </row>
    <row r="646" spans="1:6" x14ac:dyDescent="0.25">
      <c r="A646" s="34">
        <v>98</v>
      </c>
      <c r="B646" s="33" t="s">
        <v>656</v>
      </c>
      <c r="C646" s="33" t="s">
        <v>653</v>
      </c>
      <c r="D646" s="33" t="s">
        <v>621</v>
      </c>
      <c r="E646" s="33" t="s">
        <v>667</v>
      </c>
      <c r="F646" s="34">
        <v>9.5</v>
      </c>
    </row>
    <row r="647" spans="1:6" x14ac:dyDescent="0.25">
      <c r="A647" s="34">
        <v>98</v>
      </c>
      <c r="B647" s="33" t="s">
        <v>656</v>
      </c>
      <c r="C647" s="33" t="s">
        <v>653</v>
      </c>
      <c r="D647" s="33" t="s">
        <v>653</v>
      </c>
      <c r="E647" s="33" t="s">
        <v>668</v>
      </c>
      <c r="F647" s="34">
        <v>24</v>
      </c>
    </row>
    <row r="648" spans="1:6" x14ac:dyDescent="0.25">
      <c r="A648" s="34">
        <v>98</v>
      </c>
      <c r="B648" s="33" t="s">
        <v>656</v>
      </c>
      <c r="C648" s="33" t="s">
        <v>653</v>
      </c>
      <c r="D648" s="33" t="s">
        <v>653</v>
      </c>
      <c r="E648" s="33" t="s">
        <v>669</v>
      </c>
      <c r="F648" s="34">
        <v>92</v>
      </c>
    </row>
    <row r="649" spans="1:6" x14ac:dyDescent="0.25">
      <c r="A649" s="34">
        <v>98</v>
      </c>
      <c r="B649" s="33" t="s">
        <v>656</v>
      </c>
      <c r="C649" s="33" t="s">
        <v>653</v>
      </c>
      <c r="D649" s="33" t="s">
        <v>653</v>
      </c>
      <c r="E649" s="33" t="s">
        <v>654</v>
      </c>
      <c r="F649" s="34">
        <v>95</v>
      </c>
    </row>
    <row r="650" spans="1:6" x14ac:dyDescent="0.25">
      <c r="A650" s="34">
        <v>99</v>
      </c>
      <c r="B650" s="33" t="s">
        <v>656</v>
      </c>
      <c r="C650" s="33" t="s">
        <v>620</v>
      </c>
      <c r="D650" s="33" t="s">
        <v>621</v>
      </c>
      <c r="E650" s="33" t="s">
        <v>657</v>
      </c>
      <c r="F650" s="34">
        <v>13</v>
      </c>
    </row>
    <row r="651" spans="1:6" x14ac:dyDescent="0.25">
      <c r="A651" s="34">
        <v>99</v>
      </c>
      <c r="B651" s="33" t="s">
        <v>656</v>
      </c>
      <c r="C651" s="33" t="s">
        <v>620</v>
      </c>
      <c r="D651" s="33" t="s">
        <v>621</v>
      </c>
      <c r="E651" s="33" t="s">
        <v>658</v>
      </c>
      <c r="F651" s="34">
        <v>6.5</v>
      </c>
    </row>
    <row r="652" spans="1:6" x14ac:dyDescent="0.25">
      <c r="A652" s="34">
        <v>99</v>
      </c>
      <c r="B652" s="33" t="s">
        <v>656</v>
      </c>
      <c r="C652" s="33" t="s">
        <v>620</v>
      </c>
      <c r="D652" s="33" t="s">
        <v>621</v>
      </c>
      <c r="E652" s="33" t="s">
        <v>629</v>
      </c>
      <c r="F652" s="34">
        <v>44</v>
      </c>
    </row>
    <row r="653" spans="1:6" x14ac:dyDescent="0.25">
      <c r="A653" s="34">
        <v>99</v>
      </c>
      <c r="B653" s="33" t="s">
        <v>656</v>
      </c>
      <c r="C653" s="33" t="s">
        <v>620</v>
      </c>
      <c r="D653" s="33" t="s">
        <v>630</v>
      </c>
      <c r="E653" s="33" t="s">
        <v>631</v>
      </c>
      <c r="F653" s="34">
        <v>65</v>
      </c>
    </row>
    <row r="654" spans="1:6" x14ac:dyDescent="0.25">
      <c r="A654" s="34">
        <v>99</v>
      </c>
      <c r="B654" s="33" t="s">
        <v>656</v>
      </c>
      <c r="C654" s="33" t="s">
        <v>620</v>
      </c>
      <c r="D654" s="33" t="s">
        <v>630</v>
      </c>
      <c r="E654" s="33" t="s">
        <v>632</v>
      </c>
      <c r="F654" s="33" t="s">
        <v>462</v>
      </c>
    </row>
    <row r="655" spans="1:6" x14ac:dyDescent="0.25">
      <c r="A655" s="34">
        <v>99</v>
      </c>
      <c r="B655" s="33" t="s">
        <v>656</v>
      </c>
      <c r="C655" s="33" t="s">
        <v>620</v>
      </c>
      <c r="D655" s="33" t="s">
        <v>630</v>
      </c>
      <c r="E655" s="33" t="s">
        <v>633</v>
      </c>
      <c r="F655" s="34">
        <v>65</v>
      </c>
    </row>
    <row r="656" spans="1:6" x14ac:dyDescent="0.25">
      <c r="A656" s="34">
        <v>99</v>
      </c>
      <c r="B656" s="33" t="s">
        <v>656</v>
      </c>
      <c r="C656" s="33" t="s">
        <v>634</v>
      </c>
      <c r="D656" s="33" t="s">
        <v>621</v>
      </c>
      <c r="E656" s="33" t="s">
        <v>659</v>
      </c>
      <c r="F656" s="34">
        <v>16</v>
      </c>
    </row>
    <row r="657" spans="1:6" x14ac:dyDescent="0.25">
      <c r="A657" s="34">
        <v>99</v>
      </c>
      <c r="B657" s="33" t="s">
        <v>656</v>
      </c>
      <c r="C657" s="33" t="s">
        <v>634</v>
      </c>
      <c r="D657" s="33" t="s">
        <v>621</v>
      </c>
      <c r="E657" s="33" t="s">
        <v>660</v>
      </c>
      <c r="F657" s="34">
        <v>0</v>
      </c>
    </row>
    <row r="658" spans="1:6" x14ac:dyDescent="0.25">
      <c r="A658" s="34">
        <v>99</v>
      </c>
      <c r="B658" s="33" t="s">
        <v>656</v>
      </c>
      <c r="C658" s="33" t="s">
        <v>634</v>
      </c>
      <c r="D658" s="33" t="s">
        <v>621</v>
      </c>
      <c r="E658" s="33" t="s">
        <v>638</v>
      </c>
      <c r="F658" s="34">
        <v>0</v>
      </c>
    </row>
    <row r="659" spans="1:6" x14ac:dyDescent="0.25">
      <c r="A659" s="34">
        <v>99</v>
      </c>
      <c r="B659" s="33" t="s">
        <v>656</v>
      </c>
      <c r="C659" s="33" t="s">
        <v>634</v>
      </c>
      <c r="D659" s="33" t="s">
        <v>630</v>
      </c>
      <c r="E659" s="33" t="s">
        <v>639</v>
      </c>
      <c r="F659" s="34">
        <v>62</v>
      </c>
    </row>
    <row r="660" spans="1:6" x14ac:dyDescent="0.25">
      <c r="A660" s="34">
        <v>99</v>
      </c>
      <c r="B660" s="33" t="s">
        <v>656</v>
      </c>
      <c r="C660" s="33" t="s">
        <v>634</v>
      </c>
      <c r="D660" s="33" t="s">
        <v>630</v>
      </c>
      <c r="E660" s="33" t="s">
        <v>640</v>
      </c>
      <c r="F660" s="33" t="s">
        <v>462</v>
      </c>
    </row>
    <row r="661" spans="1:6" x14ac:dyDescent="0.25">
      <c r="A661" s="34">
        <v>99</v>
      </c>
      <c r="B661" s="33" t="s">
        <v>656</v>
      </c>
      <c r="C661" s="33" t="s">
        <v>634</v>
      </c>
      <c r="D661" s="33" t="s">
        <v>630</v>
      </c>
      <c r="E661" s="33" t="s">
        <v>661</v>
      </c>
      <c r="F661" s="34">
        <v>62</v>
      </c>
    </row>
    <row r="662" spans="1:6" x14ac:dyDescent="0.25">
      <c r="A662" s="34">
        <v>99</v>
      </c>
      <c r="B662" s="33" t="s">
        <v>656</v>
      </c>
      <c r="C662" s="33" t="s">
        <v>642</v>
      </c>
      <c r="D662" s="33" t="s">
        <v>621</v>
      </c>
      <c r="E662" s="33" t="s">
        <v>662</v>
      </c>
      <c r="F662" s="34">
        <v>0</v>
      </c>
    </row>
    <row r="663" spans="1:6" x14ac:dyDescent="0.25">
      <c r="A663" s="34">
        <v>99</v>
      </c>
      <c r="B663" s="33" t="s">
        <v>656</v>
      </c>
      <c r="C663" s="33" t="s">
        <v>642</v>
      </c>
      <c r="D663" s="33" t="s">
        <v>621</v>
      </c>
      <c r="E663" s="33" t="s">
        <v>663</v>
      </c>
      <c r="F663" s="34">
        <v>0</v>
      </c>
    </row>
    <row r="664" spans="1:6" x14ac:dyDescent="0.25">
      <c r="A664" s="34">
        <v>99</v>
      </c>
      <c r="B664" s="33" t="s">
        <v>656</v>
      </c>
      <c r="C664" s="33" t="s">
        <v>642</v>
      </c>
      <c r="D664" s="33" t="s">
        <v>621</v>
      </c>
      <c r="E664" s="33" t="s">
        <v>664</v>
      </c>
      <c r="F664" s="34">
        <v>11</v>
      </c>
    </row>
    <row r="665" spans="1:6" x14ac:dyDescent="0.25">
      <c r="A665" s="34">
        <v>99</v>
      </c>
      <c r="B665" s="33" t="s">
        <v>656</v>
      </c>
      <c r="C665" s="33" t="s">
        <v>642</v>
      </c>
      <c r="D665" s="33" t="s">
        <v>621</v>
      </c>
      <c r="E665" s="33" t="s">
        <v>665</v>
      </c>
      <c r="F665" s="34">
        <v>36</v>
      </c>
    </row>
    <row r="666" spans="1:6" x14ac:dyDescent="0.25">
      <c r="A666" s="34">
        <v>99</v>
      </c>
      <c r="B666" s="33" t="s">
        <v>656</v>
      </c>
      <c r="C666" s="33" t="s">
        <v>642</v>
      </c>
      <c r="D666" s="33" t="s">
        <v>630</v>
      </c>
      <c r="E666" s="33" t="s">
        <v>650</v>
      </c>
      <c r="F666" s="34">
        <v>65</v>
      </c>
    </row>
    <row r="667" spans="1:6" x14ac:dyDescent="0.25">
      <c r="A667" s="34">
        <v>99</v>
      </c>
      <c r="B667" s="33" t="s">
        <v>656</v>
      </c>
      <c r="C667" s="33" t="s">
        <v>642</v>
      </c>
      <c r="D667" s="33" t="s">
        <v>630</v>
      </c>
      <c r="E667" s="33" t="s">
        <v>651</v>
      </c>
      <c r="F667" s="34">
        <v>68</v>
      </c>
    </row>
    <row r="668" spans="1:6" x14ac:dyDescent="0.25">
      <c r="A668" s="34">
        <v>99</v>
      </c>
      <c r="B668" s="33" t="s">
        <v>656</v>
      </c>
      <c r="C668" s="33" t="s">
        <v>642</v>
      </c>
      <c r="D668" s="33" t="s">
        <v>630</v>
      </c>
      <c r="E668" s="33" t="s">
        <v>652</v>
      </c>
      <c r="F668" s="34">
        <v>68</v>
      </c>
    </row>
    <row r="669" spans="1:6" x14ac:dyDescent="0.25">
      <c r="A669" s="34">
        <v>99</v>
      </c>
      <c r="B669" s="33" t="s">
        <v>656</v>
      </c>
      <c r="C669" s="33" t="s">
        <v>653</v>
      </c>
      <c r="D669" s="33" t="s">
        <v>621</v>
      </c>
      <c r="E669" s="33" t="s">
        <v>666</v>
      </c>
      <c r="F669" s="34">
        <v>21</v>
      </c>
    </row>
    <row r="670" spans="1:6" x14ac:dyDescent="0.25">
      <c r="A670" s="34">
        <v>99</v>
      </c>
      <c r="B670" s="33" t="s">
        <v>656</v>
      </c>
      <c r="C670" s="33" t="s">
        <v>653</v>
      </c>
      <c r="D670" s="33" t="s">
        <v>621</v>
      </c>
      <c r="E670" s="33" t="s">
        <v>667</v>
      </c>
      <c r="F670" s="34">
        <v>4</v>
      </c>
    </row>
    <row r="671" spans="1:6" x14ac:dyDescent="0.25">
      <c r="A671" s="34">
        <v>99</v>
      </c>
      <c r="B671" s="33" t="s">
        <v>656</v>
      </c>
      <c r="C671" s="33" t="s">
        <v>653</v>
      </c>
      <c r="D671" s="33" t="s">
        <v>653</v>
      </c>
      <c r="E671" s="33" t="s">
        <v>668</v>
      </c>
      <c r="F671" s="34">
        <v>0</v>
      </c>
    </row>
    <row r="672" spans="1:6" x14ac:dyDescent="0.25">
      <c r="A672" s="34">
        <v>99</v>
      </c>
      <c r="B672" s="33" t="s">
        <v>656</v>
      </c>
      <c r="C672" s="33" t="s">
        <v>653</v>
      </c>
      <c r="D672" s="33" t="s">
        <v>653</v>
      </c>
      <c r="E672" s="33" t="s">
        <v>669</v>
      </c>
      <c r="F672" s="34">
        <v>100</v>
      </c>
    </row>
    <row r="673" spans="1:6" x14ac:dyDescent="0.25">
      <c r="A673" s="34">
        <v>99</v>
      </c>
      <c r="B673" s="33" t="s">
        <v>656</v>
      </c>
      <c r="C673" s="33" t="s">
        <v>653</v>
      </c>
      <c r="D673" s="33" t="s">
        <v>653</v>
      </c>
      <c r="E673" s="33" t="s">
        <v>654</v>
      </c>
      <c r="F673" s="34">
        <v>62</v>
      </c>
    </row>
    <row r="674" spans="1:6" x14ac:dyDescent="0.25">
      <c r="A674" s="34">
        <v>100</v>
      </c>
      <c r="B674" s="33" t="s">
        <v>656</v>
      </c>
      <c r="C674" s="33" t="s">
        <v>620</v>
      </c>
      <c r="D674" s="33" t="s">
        <v>621</v>
      </c>
      <c r="E674" s="33" t="s">
        <v>657</v>
      </c>
      <c r="F674" s="34">
        <v>5</v>
      </c>
    </row>
    <row r="675" spans="1:6" x14ac:dyDescent="0.25">
      <c r="A675" s="34">
        <v>100</v>
      </c>
      <c r="B675" s="33" t="s">
        <v>656</v>
      </c>
      <c r="C675" s="33" t="s">
        <v>620</v>
      </c>
      <c r="D675" s="33" t="s">
        <v>621</v>
      </c>
      <c r="E675" s="33" t="s">
        <v>658</v>
      </c>
      <c r="F675" s="34">
        <v>1</v>
      </c>
    </row>
    <row r="676" spans="1:6" x14ac:dyDescent="0.25">
      <c r="A676" s="34">
        <v>100</v>
      </c>
      <c r="B676" s="33" t="s">
        <v>656</v>
      </c>
      <c r="C676" s="33" t="s">
        <v>620</v>
      </c>
      <c r="D676" s="33" t="s">
        <v>621</v>
      </c>
      <c r="E676" s="33" t="s">
        <v>629</v>
      </c>
      <c r="F676" s="34">
        <v>41</v>
      </c>
    </row>
    <row r="677" spans="1:6" x14ac:dyDescent="0.25">
      <c r="A677" s="34">
        <v>100</v>
      </c>
      <c r="B677" s="33" t="s">
        <v>656</v>
      </c>
      <c r="C677" s="33" t="s">
        <v>620</v>
      </c>
      <c r="D677" s="33" t="s">
        <v>630</v>
      </c>
      <c r="E677" s="33" t="s">
        <v>631</v>
      </c>
      <c r="F677" s="34">
        <v>85</v>
      </c>
    </row>
    <row r="678" spans="1:6" x14ac:dyDescent="0.25">
      <c r="A678" s="34">
        <v>100</v>
      </c>
      <c r="B678" s="33" t="s">
        <v>656</v>
      </c>
      <c r="C678" s="33" t="s">
        <v>620</v>
      </c>
      <c r="D678" s="33" t="s">
        <v>630</v>
      </c>
      <c r="E678" s="33" t="s">
        <v>632</v>
      </c>
      <c r="F678" s="33" t="s">
        <v>462</v>
      </c>
    </row>
    <row r="679" spans="1:6" x14ac:dyDescent="0.25">
      <c r="A679" s="34">
        <v>100</v>
      </c>
      <c r="B679" s="33" t="s">
        <v>656</v>
      </c>
      <c r="C679" s="33" t="s">
        <v>620</v>
      </c>
      <c r="D679" s="33" t="s">
        <v>630</v>
      </c>
      <c r="E679" s="33" t="s">
        <v>633</v>
      </c>
      <c r="F679" s="34">
        <v>85</v>
      </c>
    </row>
    <row r="680" spans="1:6" x14ac:dyDescent="0.25">
      <c r="A680" s="34">
        <v>100</v>
      </c>
      <c r="B680" s="33" t="s">
        <v>656</v>
      </c>
      <c r="C680" s="33" t="s">
        <v>634</v>
      </c>
      <c r="D680" s="33" t="s">
        <v>621</v>
      </c>
      <c r="E680" s="33" t="s">
        <v>659</v>
      </c>
      <c r="F680" s="34">
        <v>18</v>
      </c>
    </row>
    <row r="681" spans="1:6" x14ac:dyDescent="0.25">
      <c r="A681" s="34">
        <v>100</v>
      </c>
      <c r="B681" s="33" t="s">
        <v>656</v>
      </c>
      <c r="C681" s="33" t="s">
        <v>634</v>
      </c>
      <c r="D681" s="33" t="s">
        <v>621</v>
      </c>
      <c r="E681" s="33" t="s">
        <v>660</v>
      </c>
      <c r="F681" s="34">
        <v>12</v>
      </c>
    </row>
    <row r="682" spans="1:6" x14ac:dyDescent="0.25">
      <c r="A682" s="34">
        <v>100</v>
      </c>
      <c r="B682" s="33" t="s">
        <v>656</v>
      </c>
      <c r="C682" s="33" t="s">
        <v>634</v>
      </c>
      <c r="D682" s="33" t="s">
        <v>621</v>
      </c>
      <c r="E682" s="33" t="s">
        <v>638</v>
      </c>
      <c r="F682" s="34">
        <v>44</v>
      </c>
    </row>
    <row r="683" spans="1:6" x14ac:dyDescent="0.25">
      <c r="A683" s="34">
        <v>100</v>
      </c>
      <c r="B683" s="33" t="s">
        <v>656</v>
      </c>
      <c r="C683" s="33" t="s">
        <v>634</v>
      </c>
      <c r="D683" s="33" t="s">
        <v>630</v>
      </c>
      <c r="E683" s="33" t="s">
        <v>639</v>
      </c>
      <c r="F683" s="34">
        <v>75</v>
      </c>
    </row>
    <row r="684" spans="1:6" x14ac:dyDescent="0.25">
      <c r="A684" s="34">
        <v>100</v>
      </c>
      <c r="B684" s="33" t="s">
        <v>656</v>
      </c>
      <c r="C684" s="33" t="s">
        <v>634</v>
      </c>
      <c r="D684" s="33" t="s">
        <v>630</v>
      </c>
      <c r="E684" s="33" t="s">
        <v>640</v>
      </c>
      <c r="F684" s="34">
        <v>95</v>
      </c>
    </row>
    <row r="685" spans="1:6" x14ac:dyDescent="0.25">
      <c r="A685" s="34">
        <v>100</v>
      </c>
      <c r="B685" s="33" t="s">
        <v>656</v>
      </c>
      <c r="C685" s="33" t="s">
        <v>634</v>
      </c>
      <c r="D685" s="33" t="s">
        <v>630</v>
      </c>
      <c r="E685" s="33" t="s">
        <v>661</v>
      </c>
      <c r="F685" s="34">
        <v>95</v>
      </c>
    </row>
    <row r="686" spans="1:6" x14ac:dyDescent="0.25">
      <c r="A686" s="34">
        <v>100</v>
      </c>
      <c r="B686" s="33" t="s">
        <v>656</v>
      </c>
      <c r="C686" s="33" t="s">
        <v>642</v>
      </c>
      <c r="D686" s="33" t="s">
        <v>621</v>
      </c>
      <c r="E686" s="33" t="s">
        <v>662</v>
      </c>
      <c r="F686" s="34">
        <v>10</v>
      </c>
    </row>
    <row r="687" spans="1:6" x14ac:dyDescent="0.25">
      <c r="A687" s="34">
        <v>100</v>
      </c>
      <c r="B687" s="33" t="s">
        <v>656</v>
      </c>
      <c r="C687" s="33" t="s">
        <v>642</v>
      </c>
      <c r="D687" s="33" t="s">
        <v>621</v>
      </c>
      <c r="E687" s="33" t="s">
        <v>663</v>
      </c>
      <c r="F687" s="34">
        <v>10</v>
      </c>
    </row>
    <row r="688" spans="1:6" x14ac:dyDescent="0.25">
      <c r="A688" s="34">
        <v>100</v>
      </c>
      <c r="B688" s="33" t="s">
        <v>656</v>
      </c>
      <c r="C688" s="33" t="s">
        <v>642</v>
      </c>
      <c r="D688" s="33" t="s">
        <v>621</v>
      </c>
      <c r="E688" s="33" t="s">
        <v>664</v>
      </c>
      <c r="F688" s="34">
        <v>10</v>
      </c>
    </row>
    <row r="689" spans="1:6" x14ac:dyDescent="0.25">
      <c r="A689" s="34">
        <v>100</v>
      </c>
      <c r="B689" s="33" t="s">
        <v>656</v>
      </c>
      <c r="C689" s="33" t="s">
        <v>642</v>
      </c>
      <c r="D689" s="33" t="s">
        <v>621</v>
      </c>
      <c r="E689" s="33" t="s">
        <v>665</v>
      </c>
      <c r="F689" s="34">
        <v>37.5</v>
      </c>
    </row>
    <row r="690" spans="1:6" x14ac:dyDescent="0.25">
      <c r="A690" s="34">
        <v>100</v>
      </c>
      <c r="B690" s="33" t="s">
        <v>656</v>
      </c>
      <c r="C690" s="33" t="s">
        <v>642</v>
      </c>
      <c r="D690" s="33" t="s">
        <v>630</v>
      </c>
      <c r="E690" s="33" t="s">
        <v>650</v>
      </c>
      <c r="F690" s="34">
        <v>75</v>
      </c>
    </row>
    <row r="691" spans="1:6" x14ac:dyDescent="0.25">
      <c r="A691" s="34">
        <v>100</v>
      </c>
      <c r="B691" s="33" t="s">
        <v>656</v>
      </c>
      <c r="C691" s="33" t="s">
        <v>642</v>
      </c>
      <c r="D691" s="33" t="s">
        <v>630</v>
      </c>
      <c r="E691" s="33" t="s">
        <v>651</v>
      </c>
      <c r="F691" s="34">
        <v>75</v>
      </c>
    </row>
    <row r="692" spans="1:6" x14ac:dyDescent="0.25">
      <c r="A692" s="34">
        <v>100</v>
      </c>
      <c r="B692" s="33" t="s">
        <v>656</v>
      </c>
      <c r="C692" s="33" t="s">
        <v>642</v>
      </c>
      <c r="D692" s="33" t="s">
        <v>630</v>
      </c>
      <c r="E692" s="33" t="s">
        <v>652</v>
      </c>
      <c r="F692" s="34">
        <v>75</v>
      </c>
    </row>
    <row r="693" spans="1:6" x14ac:dyDescent="0.25">
      <c r="A693" s="34">
        <v>100</v>
      </c>
      <c r="B693" s="33" t="s">
        <v>656</v>
      </c>
      <c r="C693" s="33" t="s">
        <v>653</v>
      </c>
      <c r="D693" s="33" t="s">
        <v>621</v>
      </c>
      <c r="E693" s="33" t="s">
        <v>666</v>
      </c>
      <c r="F693" s="34">
        <v>21</v>
      </c>
    </row>
    <row r="694" spans="1:6" x14ac:dyDescent="0.25">
      <c r="A694" s="34">
        <v>100</v>
      </c>
      <c r="B694" s="33" t="s">
        <v>656</v>
      </c>
      <c r="C694" s="33" t="s">
        <v>653</v>
      </c>
      <c r="D694" s="33" t="s">
        <v>621</v>
      </c>
      <c r="E694" s="33" t="s">
        <v>667</v>
      </c>
      <c r="F694" s="34">
        <v>9</v>
      </c>
    </row>
    <row r="695" spans="1:6" x14ac:dyDescent="0.25">
      <c r="A695" s="34">
        <v>100</v>
      </c>
      <c r="B695" s="33" t="s">
        <v>656</v>
      </c>
      <c r="C695" s="33" t="s">
        <v>653</v>
      </c>
      <c r="D695" s="33" t="s">
        <v>653</v>
      </c>
      <c r="E695" s="33" t="s">
        <v>668</v>
      </c>
      <c r="F695" s="34">
        <v>14</v>
      </c>
    </row>
    <row r="696" spans="1:6" x14ac:dyDescent="0.25">
      <c r="A696" s="34">
        <v>100</v>
      </c>
      <c r="B696" s="33" t="s">
        <v>656</v>
      </c>
      <c r="C696" s="33" t="s">
        <v>653</v>
      </c>
      <c r="D696" s="33" t="s">
        <v>653</v>
      </c>
      <c r="E696" s="33" t="s">
        <v>669</v>
      </c>
      <c r="F696" s="34">
        <v>100</v>
      </c>
    </row>
    <row r="697" spans="1:6" x14ac:dyDescent="0.25">
      <c r="A697" s="34">
        <v>100</v>
      </c>
      <c r="B697" s="33" t="s">
        <v>656</v>
      </c>
      <c r="C697" s="33" t="s">
        <v>653</v>
      </c>
      <c r="D697" s="33" t="s">
        <v>653</v>
      </c>
      <c r="E697" s="33" t="s">
        <v>654</v>
      </c>
      <c r="F697" s="34">
        <v>82</v>
      </c>
    </row>
    <row r="698" spans="1:6" x14ac:dyDescent="0.25">
      <c r="A698" s="34">
        <v>101</v>
      </c>
      <c r="B698" s="33" t="s">
        <v>656</v>
      </c>
      <c r="C698" s="33" t="s">
        <v>620</v>
      </c>
      <c r="D698" s="33" t="s">
        <v>621</v>
      </c>
      <c r="E698" s="33" t="s">
        <v>657</v>
      </c>
      <c r="F698" s="34">
        <v>14</v>
      </c>
    </row>
    <row r="699" spans="1:6" x14ac:dyDescent="0.25">
      <c r="A699" s="34">
        <v>101</v>
      </c>
      <c r="B699" s="33" t="s">
        <v>656</v>
      </c>
      <c r="C699" s="33" t="s">
        <v>620</v>
      </c>
      <c r="D699" s="33" t="s">
        <v>621</v>
      </c>
      <c r="E699" s="33" t="s">
        <v>658</v>
      </c>
      <c r="F699" s="34">
        <v>12</v>
      </c>
    </row>
    <row r="700" spans="1:6" x14ac:dyDescent="0.25">
      <c r="A700" s="34">
        <v>101</v>
      </c>
      <c r="B700" s="33" t="s">
        <v>656</v>
      </c>
      <c r="C700" s="33" t="s">
        <v>620</v>
      </c>
      <c r="D700" s="33" t="s">
        <v>621</v>
      </c>
      <c r="E700" s="33" t="s">
        <v>629</v>
      </c>
      <c r="F700" s="34">
        <v>41</v>
      </c>
    </row>
    <row r="701" spans="1:6" x14ac:dyDescent="0.25">
      <c r="A701" s="34">
        <v>101</v>
      </c>
      <c r="B701" s="33" t="s">
        <v>656</v>
      </c>
      <c r="C701" s="33" t="s">
        <v>620</v>
      </c>
      <c r="D701" s="33" t="s">
        <v>630</v>
      </c>
      <c r="E701" s="33" t="s">
        <v>631</v>
      </c>
      <c r="F701" s="34">
        <v>100</v>
      </c>
    </row>
    <row r="702" spans="1:6" x14ac:dyDescent="0.25">
      <c r="A702" s="34">
        <v>101</v>
      </c>
      <c r="B702" s="33" t="s">
        <v>656</v>
      </c>
      <c r="C702" s="33" t="s">
        <v>620</v>
      </c>
      <c r="D702" s="33" t="s">
        <v>630</v>
      </c>
      <c r="E702" s="33" t="s">
        <v>632</v>
      </c>
      <c r="F702" s="33" t="s">
        <v>462</v>
      </c>
    </row>
    <row r="703" spans="1:6" x14ac:dyDescent="0.25">
      <c r="A703" s="34">
        <v>101</v>
      </c>
      <c r="B703" s="33" t="s">
        <v>656</v>
      </c>
      <c r="C703" s="33" t="s">
        <v>620</v>
      </c>
      <c r="D703" s="33" t="s">
        <v>630</v>
      </c>
      <c r="E703" s="33" t="s">
        <v>633</v>
      </c>
      <c r="F703" s="34">
        <v>100</v>
      </c>
    </row>
    <row r="704" spans="1:6" x14ac:dyDescent="0.25">
      <c r="A704" s="34">
        <v>101</v>
      </c>
      <c r="B704" s="33" t="s">
        <v>656</v>
      </c>
      <c r="C704" s="33" t="s">
        <v>634</v>
      </c>
      <c r="D704" s="33" t="s">
        <v>621</v>
      </c>
      <c r="E704" s="33" t="s">
        <v>659</v>
      </c>
      <c r="F704" s="34">
        <v>17</v>
      </c>
    </row>
    <row r="705" spans="1:6" x14ac:dyDescent="0.25">
      <c r="A705" s="34">
        <v>101</v>
      </c>
      <c r="B705" s="33" t="s">
        <v>656</v>
      </c>
      <c r="C705" s="33" t="s">
        <v>634</v>
      </c>
      <c r="D705" s="33" t="s">
        <v>621</v>
      </c>
      <c r="E705" s="33" t="s">
        <v>660</v>
      </c>
      <c r="F705" s="34">
        <v>12</v>
      </c>
    </row>
    <row r="706" spans="1:6" x14ac:dyDescent="0.25">
      <c r="A706" s="34">
        <v>101</v>
      </c>
      <c r="B706" s="33" t="s">
        <v>656</v>
      </c>
      <c r="C706" s="33" t="s">
        <v>634</v>
      </c>
      <c r="D706" s="33" t="s">
        <v>621</v>
      </c>
      <c r="E706" s="33" t="s">
        <v>638</v>
      </c>
      <c r="F706" s="34">
        <v>44</v>
      </c>
    </row>
    <row r="707" spans="1:6" x14ac:dyDescent="0.25">
      <c r="A707" s="34">
        <v>101</v>
      </c>
      <c r="B707" s="33" t="s">
        <v>656</v>
      </c>
      <c r="C707" s="33" t="s">
        <v>634</v>
      </c>
      <c r="D707" s="33" t="s">
        <v>630</v>
      </c>
      <c r="E707" s="33" t="s">
        <v>639</v>
      </c>
      <c r="F707" s="34">
        <v>92</v>
      </c>
    </row>
    <row r="708" spans="1:6" x14ac:dyDescent="0.25">
      <c r="A708" s="34">
        <v>101</v>
      </c>
      <c r="B708" s="33" t="s">
        <v>656</v>
      </c>
      <c r="C708" s="33" t="s">
        <v>634</v>
      </c>
      <c r="D708" s="33" t="s">
        <v>630</v>
      </c>
      <c r="E708" s="33" t="s">
        <v>640</v>
      </c>
      <c r="F708" s="33" t="s">
        <v>462</v>
      </c>
    </row>
    <row r="709" spans="1:6" x14ac:dyDescent="0.25">
      <c r="A709" s="34">
        <v>101</v>
      </c>
      <c r="B709" s="33" t="s">
        <v>656</v>
      </c>
      <c r="C709" s="33" t="s">
        <v>634</v>
      </c>
      <c r="D709" s="33" t="s">
        <v>630</v>
      </c>
      <c r="E709" s="33" t="s">
        <v>661</v>
      </c>
      <c r="F709" s="34">
        <v>92</v>
      </c>
    </row>
    <row r="710" spans="1:6" x14ac:dyDescent="0.25">
      <c r="A710" s="34">
        <v>101</v>
      </c>
      <c r="B710" s="33" t="s">
        <v>656</v>
      </c>
      <c r="C710" s="33" t="s">
        <v>642</v>
      </c>
      <c r="D710" s="33" t="s">
        <v>621</v>
      </c>
      <c r="E710" s="33" t="s">
        <v>662</v>
      </c>
      <c r="F710" s="34">
        <v>9</v>
      </c>
    </row>
    <row r="711" spans="1:6" x14ac:dyDescent="0.25">
      <c r="A711" s="34">
        <v>101</v>
      </c>
      <c r="B711" s="33" t="s">
        <v>656</v>
      </c>
      <c r="C711" s="33" t="s">
        <v>642</v>
      </c>
      <c r="D711" s="33" t="s">
        <v>621</v>
      </c>
      <c r="E711" s="33" t="s">
        <v>663</v>
      </c>
      <c r="F711" s="34">
        <v>10</v>
      </c>
    </row>
    <row r="712" spans="1:6" x14ac:dyDescent="0.25">
      <c r="A712" s="34">
        <v>101</v>
      </c>
      <c r="B712" s="33" t="s">
        <v>656</v>
      </c>
      <c r="C712" s="33" t="s">
        <v>642</v>
      </c>
      <c r="D712" s="33" t="s">
        <v>621</v>
      </c>
      <c r="E712" s="33" t="s">
        <v>664</v>
      </c>
      <c r="F712" s="34">
        <v>11</v>
      </c>
    </row>
    <row r="713" spans="1:6" x14ac:dyDescent="0.25">
      <c r="A713" s="34">
        <v>101</v>
      </c>
      <c r="B713" s="33" t="s">
        <v>656</v>
      </c>
      <c r="C713" s="33" t="s">
        <v>642</v>
      </c>
      <c r="D713" s="33" t="s">
        <v>621</v>
      </c>
      <c r="E713" s="33" t="s">
        <v>665</v>
      </c>
      <c r="F713" s="34">
        <v>44</v>
      </c>
    </row>
    <row r="714" spans="1:6" x14ac:dyDescent="0.25">
      <c r="A714" s="34">
        <v>101</v>
      </c>
      <c r="B714" s="33" t="s">
        <v>656</v>
      </c>
      <c r="C714" s="33" t="s">
        <v>642</v>
      </c>
      <c r="D714" s="33" t="s">
        <v>630</v>
      </c>
      <c r="E714" s="33" t="s">
        <v>650</v>
      </c>
      <c r="F714" s="34">
        <v>82</v>
      </c>
    </row>
    <row r="715" spans="1:6" x14ac:dyDescent="0.25">
      <c r="A715" s="34">
        <v>101</v>
      </c>
      <c r="B715" s="33" t="s">
        <v>656</v>
      </c>
      <c r="C715" s="33" t="s">
        <v>642</v>
      </c>
      <c r="D715" s="33" t="s">
        <v>630</v>
      </c>
      <c r="E715" s="33" t="s">
        <v>651</v>
      </c>
      <c r="F715" s="33" t="s">
        <v>462</v>
      </c>
    </row>
    <row r="716" spans="1:6" x14ac:dyDescent="0.25">
      <c r="A716" s="34">
        <v>101</v>
      </c>
      <c r="B716" s="33" t="s">
        <v>656</v>
      </c>
      <c r="C716" s="33" t="s">
        <v>642</v>
      </c>
      <c r="D716" s="33" t="s">
        <v>630</v>
      </c>
      <c r="E716" s="33" t="s">
        <v>652</v>
      </c>
      <c r="F716" s="34">
        <v>82</v>
      </c>
    </row>
    <row r="717" spans="1:6" x14ac:dyDescent="0.25">
      <c r="A717" s="34">
        <v>101</v>
      </c>
      <c r="B717" s="33" t="s">
        <v>656</v>
      </c>
      <c r="C717" s="33" t="s">
        <v>653</v>
      </c>
      <c r="D717" s="33" t="s">
        <v>621</v>
      </c>
      <c r="E717" s="33" t="s">
        <v>666</v>
      </c>
      <c r="F717" s="34">
        <v>22</v>
      </c>
    </row>
    <row r="718" spans="1:6" x14ac:dyDescent="0.25">
      <c r="A718" s="34">
        <v>101</v>
      </c>
      <c r="B718" s="33" t="s">
        <v>656</v>
      </c>
      <c r="C718" s="33" t="s">
        <v>653</v>
      </c>
      <c r="D718" s="33" t="s">
        <v>621</v>
      </c>
      <c r="E718" s="33" t="s">
        <v>667</v>
      </c>
      <c r="F718" s="34">
        <v>10</v>
      </c>
    </row>
    <row r="719" spans="1:6" x14ac:dyDescent="0.25">
      <c r="A719" s="34">
        <v>101</v>
      </c>
      <c r="B719" s="33" t="s">
        <v>656</v>
      </c>
      <c r="C719" s="33" t="s">
        <v>653</v>
      </c>
      <c r="D719" s="33" t="s">
        <v>653</v>
      </c>
      <c r="E719" s="33" t="s">
        <v>668</v>
      </c>
      <c r="F719" s="34">
        <v>0</v>
      </c>
    </row>
    <row r="720" spans="1:6" x14ac:dyDescent="0.25">
      <c r="A720" s="34">
        <v>101</v>
      </c>
      <c r="B720" s="33" t="s">
        <v>656</v>
      </c>
      <c r="C720" s="33" t="s">
        <v>653</v>
      </c>
      <c r="D720" s="33" t="s">
        <v>653</v>
      </c>
      <c r="E720" s="33" t="s">
        <v>669</v>
      </c>
      <c r="F720" s="34">
        <v>100</v>
      </c>
    </row>
    <row r="721" spans="1:6" x14ac:dyDescent="0.25">
      <c r="A721" s="34">
        <v>101</v>
      </c>
      <c r="B721" s="33" t="s">
        <v>656</v>
      </c>
      <c r="C721" s="33" t="s">
        <v>653</v>
      </c>
      <c r="D721" s="33" t="s">
        <v>653</v>
      </c>
      <c r="E721" s="33" t="s">
        <v>654</v>
      </c>
      <c r="F721" s="34">
        <v>78</v>
      </c>
    </row>
    <row r="722" spans="1:6" x14ac:dyDescent="0.25">
      <c r="A722" s="34">
        <v>102</v>
      </c>
      <c r="B722" s="33" t="s">
        <v>656</v>
      </c>
      <c r="C722" s="33" t="s">
        <v>620</v>
      </c>
      <c r="D722" s="33" t="s">
        <v>621</v>
      </c>
      <c r="E722" s="33" t="s">
        <v>657</v>
      </c>
      <c r="F722" s="34">
        <v>12.5</v>
      </c>
    </row>
    <row r="723" spans="1:6" x14ac:dyDescent="0.25">
      <c r="A723" s="34">
        <v>102</v>
      </c>
      <c r="B723" s="33" t="s">
        <v>656</v>
      </c>
      <c r="C723" s="33" t="s">
        <v>620</v>
      </c>
      <c r="D723" s="33" t="s">
        <v>621</v>
      </c>
      <c r="E723" s="33" t="s">
        <v>658</v>
      </c>
      <c r="F723" s="34">
        <v>7</v>
      </c>
    </row>
    <row r="724" spans="1:6" x14ac:dyDescent="0.25">
      <c r="A724" s="34">
        <v>102</v>
      </c>
      <c r="B724" s="33" t="s">
        <v>656</v>
      </c>
      <c r="C724" s="33" t="s">
        <v>620</v>
      </c>
      <c r="D724" s="33" t="s">
        <v>621</v>
      </c>
      <c r="E724" s="33" t="s">
        <v>629</v>
      </c>
      <c r="F724" s="34">
        <v>42.5</v>
      </c>
    </row>
    <row r="725" spans="1:6" x14ac:dyDescent="0.25">
      <c r="A725" s="34">
        <v>102</v>
      </c>
      <c r="B725" s="33" t="s">
        <v>656</v>
      </c>
      <c r="C725" s="33" t="s">
        <v>620</v>
      </c>
      <c r="D725" s="33" t="s">
        <v>630</v>
      </c>
      <c r="E725" s="33" t="s">
        <v>631</v>
      </c>
      <c r="F725" s="34">
        <v>30</v>
      </c>
    </row>
    <row r="726" spans="1:6" x14ac:dyDescent="0.25">
      <c r="A726" s="34">
        <v>102</v>
      </c>
      <c r="B726" s="33" t="s">
        <v>656</v>
      </c>
      <c r="C726" s="33" t="s">
        <v>620</v>
      </c>
      <c r="D726" s="33" t="s">
        <v>630</v>
      </c>
      <c r="E726" s="33" t="s">
        <v>632</v>
      </c>
      <c r="F726" s="34">
        <v>62</v>
      </c>
    </row>
    <row r="727" spans="1:6" x14ac:dyDescent="0.25">
      <c r="A727" s="34">
        <v>102</v>
      </c>
      <c r="B727" s="33" t="s">
        <v>656</v>
      </c>
      <c r="C727" s="33" t="s">
        <v>620</v>
      </c>
      <c r="D727" s="33" t="s">
        <v>630</v>
      </c>
      <c r="E727" s="33" t="s">
        <v>633</v>
      </c>
      <c r="F727" s="34">
        <v>62</v>
      </c>
    </row>
    <row r="728" spans="1:6" x14ac:dyDescent="0.25">
      <c r="A728" s="34">
        <v>102</v>
      </c>
      <c r="B728" s="33" t="s">
        <v>656</v>
      </c>
      <c r="C728" s="33" t="s">
        <v>634</v>
      </c>
      <c r="D728" s="33" t="s">
        <v>621</v>
      </c>
      <c r="E728" s="33" t="s">
        <v>659</v>
      </c>
      <c r="F728" s="34">
        <v>16</v>
      </c>
    </row>
    <row r="729" spans="1:6" x14ac:dyDescent="0.25">
      <c r="A729" s="34">
        <v>102</v>
      </c>
      <c r="B729" s="33" t="s">
        <v>656</v>
      </c>
      <c r="C729" s="33" t="s">
        <v>634</v>
      </c>
      <c r="D729" s="33" t="s">
        <v>621</v>
      </c>
      <c r="E729" s="33" t="s">
        <v>660</v>
      </c>
      <c r="F729" s="34">
        <v>0</v>
      </c>
    </row>
    <row r="730" spans="1:6" x14ac:dyDescent="0.25">
      <c r="A730" s="34">
        <v>102</v>
      </c>
      <c r="B730" s="33" t="s">
        <v>656</v>
      </c>
      <c r="C730" s="33" t="s">
        <v>634</v>
      </c>
      <c r="D730" s="33" t="s">
        <v>621</v>
      </c>
      <c r="E730" s="33" t="s">
        <v>638</v>
      </c>
      <c r="F730" s="34">
        <v>41</v>
      </c>
    </row>
    <row r="731" spans="1:6" x14ac:dyDescent="0.25">
      <c r="A731" s="34">
        <v>102</v>
      </c>
      <c r="B731" s="33" t="s">
        <v>656</v>
      </c>
      <c r="C731" s="33" t="s">
        <v>634</v>
      </c>
      <c r="D731" s="33" t="s">
        <v>630</v>
      </c>
      <c r="E731" s="33" t="s">
        <v>639</v>
      </c>
      <c r="F731" s="34">
        <v>30</v>
      </c>
    </row>
    <row r="732" spans="1:6" x14ac:dyDescent="0.25">
      <c r="A732" s="34">
        <v>102</v>
      </c>
      <c r="B732" s="33" t="s">
        <v>656</v>
      </c>
      <c r="C732" s="33" t="s">
        <v>634</v>
      </c>
      <c r="D732" s="33" t="s">
        <v>630</v>
      </c>
      <c r="E732" s="33" t="s">
        <v>640</v>
      </c>
      <c r="F732" s="34">
        <v>62</v>
      </c>
    </row>
    <row r="733" spans="1:6" x14ac:dyDescent="0.25">
      <c r="A733" s="34">
        <v>102</v>
      </c>
      <c r="B733" s="33" t="s">
        <v>656</v>
      </c>
      <c r="C733" s="33" t="s">
        <v>634</v>
      </c>
      <c r="D733" s="33" t="s">
        <v>630</v>
      </c>
      <c r="E733" s="33" t="s">
        <v>661</v>
      </c>
      <c r="F733" s="34">
        <v>62</v>
      </c>
    </row>
    <row r="734" spans="1:6" x14ac:dyDescent="0.25">
      <c r="A734" s="34">
        <v>102</v>
      </c>
      <c r="B734" s="33" t="s">
        <v>656</v>
      </c>
      <c r="C734" s="33" t="s">
        <v>642</v>
      </c>
      <c r="D734" s="33" t="s">
        <v>621</v>
      </c>
      <c r="E734" s="33" t="s">
        <v>662</v>
      </c>
      <c r="F734" s="34">
        <v>10</v>
      </c>
    </row>
    <row r="735" spans="1:6" x14ac:dyDescent="0.25">
      <c r="A735" s="34">
        <v>102</v>
      </c>
      <c r="B735" s="33" t="s">
        <v>656</v>
      </c>
      <c r="C735" s="33" t="s">
        <v>642</v>
      </c>
      <c r="D735" s="33" t="s">
        <v>621</v>
      </c>
      <c r="E735" s="33" t="s">
        <v>663</v>
      </c>
      <c r="F735" s="34">
        <v>9</v>
      </c>
    </row>
    <row r="736" spans="1:6" x14ac:dyDescent="0.25">
      <c r="A736" s="34">
        <v>102</v>
      </c>
      <c r="B736" s="33" t="s">
        <v>656</v>
      </c>
      <c r="C736" s="33" t="s">
        <v>642</v>
      </c>
      <c r="D736" s="33" t="s">
        <v>621</v>
      </c>
      <c r="E736" s="33" t="s">
        <v>664</v>
      </c>
      <c r="F736" s="34">
        <v>6</v>
      </c>
    </row>
    <row r="737" spans="1:6" x14ac:dyDescent="0.25">
      <c r="A737" s="34">
        <v>102</v>
      </c>
      <c r="B737" s="33" t="s">
        <v>656</v>
      </c>
      <c r="C737" s="33" t="s">
        <v>642</v>
      </c>
      <c r="D737" s="33" t="s">
        <v>621</v>
      </c>
      <c r="E737" s="33" t="s">
        <v>665</v>
      </c>
      <c r="F737" s="34">
        <v>36</v>
      </c>
    </row>
    <row r="738" spans="1:6" x14ac:dyDescent="0.25">
      <c r="A738" s="34">
        <v>102</v>
      </c>
      <c r="B738" s="33" t="s">
        <v>656</v>
      </c>
      <c r="C738" s="33" t="s">
        <v>642</v>
      </c>
      <c r="D738" s="33" t="s">
        <v>630</v>
      </c>
      <c r="E738" s="33" t="s">
        <v>650</v>
      </c>
      <c r="F738" s="34">
        <v>68</v>
      </c>
    </row>
    <row r="739" spans="1:6" x14ac:dyDescent="0.25">
      <c r="A739" s="34">
        <v>102</v>
      </c>
      <c r="B739" s="33" t="s">
        <v>656</v>
      </c>
      <c r="C739" s="33" t="s">
        <v>642</v>
      </c>
      <c r="D739" s="33" t="s">
        <v>630</v>
      </c>
      <c r="E739" s="33" t="s">
        <v>651</v>
      </c>
      <c r="F739" s="33" t="s">
        <v>462</v>
      </c>
    </row>
    <row r="740" spans="1:6" x14ac:dyDescent="0.25">
      <c r="A740" s="34">
        <v>102</v>
      </c>
      <c r="B740" s="33" t="s">
        <v>656</v>
      </c>
      <c r="C740" s="33" t="s">
        <v>642</v>
      </c>
      <c r="D740" s="33" t="s">
        <v>630</v>
      </c>
      <c r="E740" s="33" t="s">
        <v>652</v>
      </c>
      <c r="F740" s="34">
        <v>68</v>
      </c>
    </row>
    <row r="741" spans="1:6" x14ac:dyDescent="0.25">
      <c r="A741" s="34">
        <v>102</v>
      </c>
      <c r="B741" s="33" t="s">
        <v>656</v>
      </c>
      <c r="C741" s="33" t="s">
        <v>653</v>
      </c>
      <c r="D741" s="33" t="s">
        <v>621</v>
      </c>
      <c r="E741" s="33" t="s">
        <v>666</v>
      </c>
      <c r="F741" s="34">
        <v>12</v>
      </c>
    </row>
    <row r="742" spans="1:6" x14ac:dyDescent="0.25">
      <c r="A742" s="34">
        <v>102</v>
      </c>
      <c r="B742" s="33" t="s">
        <v>656</v>
      </c>
      <c r="C742" s="33" t="s">
        <v>653</v>
      </c>
      <c r="D742" s="33" t="s">
        <v>621</v>
      </c>
      <c r="E742" s="33" t="s">
        <v>667</v>
      </c>
      <c r="F742" s="34">
        <v>0</v>
      </c>
    </row>
    <row r="743" spans="1:6" x14ac:dyDescent="0.25">
      <c r="A743" s="34">
        <v>102</v>
      </c>
      <c r="B743" s="33" t="s">
        <v>656</v>
      </c>
      <c r="C743" s="33" t="s">
        <v>653</v>
      </c>
      <c r="D743" s="33" t="s">
        <v>653</v>
      </c>
      <c r="E743" s="33" t="s">
        <v>668</v>
      </c>
      <c r="F743" s="34">
        <v>0</v>
      </c>
    </row>
    <row r="744" spans="1:6" x14ac:dyDescent="0.25">
      <c r="A744" s="34">
        <v>102</v>
      </c>
      <c r="B744" s="33" t="s">
        <v>656</v>
      </c>
      <c r="C744" s="33" t="s">
        <v>653</v>
      </c>
      <c r="D744" s="33" t="s">
        <v>653</v>
      </c>
      <c r="E744" s="33" t="s">
        <v>669</v>
      </c>
      <c r="F744" s="34">
        <v>88</v>
      </c>
    </row>
    <row r="745" spans="1:6" x14ac:dyDescent="0.25">
      <c r="A745" s="34">
        <v>102</v>
      </c>
      <c r="B745" s="33" t="s">
        <v>656</v>
      </c>
      <c r="C745" s="33" t="s">
        <v>653</v>
      </c>
      <c r="D745" s="33" t="s">
        <v>653</v>
      </c>
      <c r="E745" s="33" t="s">
        <v>654</v>
      </c>
      <c r="F745" s="34">
        <v>62</v>
      </c>
    </row>
    <row r="746" spans="1:6" x14ac:dyDescent="0.25">
      <c r="A746" s="34">
        <v>103</v>
      </c>
      <c r="B746" s="33" t="s">
        <v>656</v>
      </c>
      <c r="C746" s="33" t="s">
        <v>620</v>
      </c>
      <c r="D746" s="33" t="s">
        <v>621</v>
      </c>
      <c r="E746" s="33" t="s">
        <v>657</v>
      </c>
      <c r="F746" s="34">
        <v>15</v>
      </c>
    </row>
    <row r="747" spans="1:6" x14ac:dyDescent="0.25">
      <c r="A747" s="34">
        <v>103</v>
      </c>
      <c r="B747" s="33" t="s">
        <v>656</v>
      </c>
      <c r="C747" s="33" t="s">
        <v>620</v>
      </c>
      <c r="D747" s="33" t="s">
        <v>621</v>
      </c>
      <c r="E747" s="33" t="s">
        <v>658</v>
      </c>
      <c r="F747" s="34">
        <v>14</v>
      </c>
    </row>
    <row r="748" spans="1:6" x14ac:dyDescent="0.25">
      <c r="A748" s="34">
        <v>103</v>
      </c>
      <c r="B748" s="33" t="s">
        <v>656</v>
      </c>
      <c r="C748" s="33" t="s">
        <v>620</v>
      </c>
      <c r="D748" s="33" t="s">
        <v>621</v>
      </c>
      <c r="E748" s="33" t="s">
        <v>629</v>
      </c>
      <c r="F748" s="34">
        <v>46</v>
      </c>
    </row>
    <row r="749" spans="1:6" x14ac:dyDescent="0.25">
      <c r="A749" s="34">
        <v>103</v>
      </c>
      <c r="B749" s="33" t="s">
        <v>656</v>
      </c>
      <c r="C749" s="33" t="s">
        <v>620</v>
      </c>
      <c r="D749" s="33" t="s">
        <v>630</v>
      </c>
      <c r="E749" s="33" t="s">
        <v>631</v>
      </c>
      <c r="F749" s="34">
        <v>100</v>
      </c>
    </row>
    <row r="750" spans="1:6" x14ac:dyDescent="0.25">
      <c r="A750" s="34">
        <v>103</v>
      </c>
      <c r="B750" s="33" t="s">
        <v>656</v>
      </c>
      <c r="C750" s="33" t="s">
        <v>620</v>
      </c>
      <c r="D750" s="33" t="s">
        <v>630</v>
      </c>
      <c r="E750" s="33" t="s">
        <v>632</v>
      </c>
      <c r="F750" s="33" t="s">
        <v>462</v>
      </c>
    </row>
    <row r="751" spans="1:6" x14ac:dyDescent="0.25">
      <c r="A751" s="34">
        <v>103</v>
      </c>
      <c r="B751" s="33" t="s">
        <v>656</v>
      </c>
      <c r="C751" s="33" t="s">
        <v>620</v>
      </c>
      <c r="D751" s="33" t="s">
        <v>630</v>
      </c>
      <c r="E751" s="33" t="s">
        <v>633</v>
      </c>
      <c r="F751" s="34">
        <v>100</v>
      </c>
    </row>
    <row r="752" spans="1:6" x14ac:dyDescent="0.25">
      <c r="A752" s="34">
        <v>103</v>
      </c>
      <c r="B752" s="33" t="s">
        <v>656</v>
      </c>
      <c r="C752" s="33" t="s">
        <v>634</v>
      </c>
      <c r="D752" s="33" t="s">
        <v>621</v>
      </c>
      <c r="E752" s="33" t="s">
        <v>659</v>
      </c>
      <c r="F752" s="34">
        <v>17</v>
      </c>
    </row>
    <row r="753" spans="1:6" x14ac:dyDescent="0.25">
      <c r="A753" s="34">
        <v>103</v>
      </c>
      <c r="B753" s="33" t="s">
        <v>656</v>
      </c>
      <c r="C753" s="33" t="s">
        <v>634</v>
      </c>
      <c r="D753" s="33" t="s">
        <v>621</v>
      </c>
      <c r="E753" s="33" t="s">
        <v>660</v>
      </c>
      <c r="F753" s="34">
        <v>12</v>
      </c>
    </row>
    <row r="754" spans="1:6" x14ac:dyDescent="0.25">
      <c r="A754" s="34">
        <v>103</v>
      </c>
      <c r="B754" s="33" t="s">
        <v>656</v>
      </c>
      <c r="C754" s="33" t="s">
        <v>634</v>
      </c>
      <c r="D754" s="33" t="s">
        <v>621</v>
      </c>
      <c r="E754" s="33" t="s">
        <v>638</v>
      </c>
      <c r="F754" s="34">
        <v>44</v>
      </c>
    </row>
    <row r="755" spans="1:6" x14ac:dyDescent="0.25">
      <c r="A755" s="34">
        <v>103</v>
      </c>
      <c r="B755" s="33" t="s">
        <v>656</v>
      </c>
      <c r="C755" s="33" t="s">
        <v>634</v>
      </c>
      <c r="D755" s="33" t="s">
        <v>630</v>
      </c>
      <c r="E755" s="33" t="s">
        <v>639</v>
      </c>
      <c r="F755" s="34">
        <v>82</v>
      </c>
    </row>
    <row r="756" spans="1:6" x14ac:dyDescent="0.25">
      <c r="A756" s="34">
        <v>103</v>
      </c>
      <c r="B756" s="33" t="s">
        <v>656</v>
      </c>
      <c r="C756" s="33" t="s">
        <v>634</v>
      </c>
      <c r="D756" s="33" t="s">
        <v>630</v>
      </c>
      <c r="E756" s="33" t="s">
        <v>640</v>
      </c>
      <c r="F756" s="34">
        <v>95</v>
      </c>
    </row>
    <row r="757" spans="1:6" x14ac:dyDescent="0.25">
      <c r="A757" s="34">
        <v>103</v>
      </c>
      <c r="B757" s="33" t="s">
        <v>656</v>
      </c>
      <c r="C757" s="33" t="s">
        <v>634</v>
      </c>
      <c r="D757" s="33" t="s">
        <v>630</v>
      </c>
      <c r="E757" s="33" t="s">
        <v>661</v>
      </c>
      <c r="F757" s="34">
        <v>95</v>
      </c>
    </row>
    <row r="758" spans="1:6" x14ac:dyDescent="0.25">
      <c r="A758" s="34">
        <v>103</v>
      </c>
      <c r="B758" s="33" t="s">
        <v>656</v>
      </c>
      <c r="C758" s="33" t="s">
        <v>642</v>
      </c>
      <c r="D758" s="33" t="s">
        <v>621</v>
      </c>
      <c r="E758" s="33" t="s">
        <v>662</v>
      </c>
      <c r="F758" s="34">
        <v>10</v>
      </c>
    </row>
    <row r="759" spans="1:6" x14ac:dyDescent="0.25">
      <c r="A759" s="34">
        <v>103</v>
      </c>
      <c r="B759" s="33" t="s">
        <v>656</v>
      </c>
      <c r="C759" s="33" t="s">
        <v>642</v>
      </c>
      <c r="D759" s="33" t="s">
        <v>621</v>
      </c>
      <c r="E759" s="33" t="s">
        <v>663</v>
      </c>
      <c r="F759" s="34">
        <v>10</v>
      </c>
    </row>
    <row r="760" spans="1:6" x14ac:dyDescent="0.25">
      <c r="A760" s="34">
        <v>103</v>
      </c>
      <c r="B760" s="33" t="s">
        <v>656</v>
      </c>
      <c r="C760" s="33" t="s">
        <v>642</v>
      </c>
      <c r="D760" s="33" t="s">
        <v>621</v>
      </c>
      <c r="E760" s="33" t="s">
        <v>664</v>
      </c>
      <c r="F760" s="34">
        <v>11</v>
      </c>
    </row>
    <row r="761" spans="1:6" x14ac:dyDescent="0.25">
      <c r="A761" s="34">
        <v>103</v>
      </c>
      <c r="B761" s="33" t="s">
        <v>656</v>
      </c>
      <c r="C761" s="33" t="s">
        <v>642</v>
      </c>
      <c r="D761" s="33" t="s">
        <v>621</v>
      </c>
      <c r="E761" s="33" t="s">
        <v>665</v>
      </c>
      <c r="F761" s="34">
        <v>46</v>
      </c>
    </row>
    <row r="762" spans="1:6" x14ac:dyDescent="0.25">
      <c r="A762" s="34">
        <v>103</v>
      </c>
      <c r="B762" s="33" t="s">
        <v>656</v>
      </c>
      <c r="C762" s="33" t="s">
        <v>642</v>
      </c>
      <c r="D762" s="33" t="s">
        <v>630</v>
      </c>
      <c r="E762" s="33" t="s">
        <v>650</v>
      </c>
      <c r="F762" s="34">
        <v>82</v>
      </c>
    </row>
    <row r="763" spans="1:6" x14ac:dyDescent="0.25">
      <c r="A763" s="34">
        <v>103</v>
      </c>
      <c r="B763" s="33" t="s">
        <v>656</v>
      </c>
      <c r="C763" s="33" t="s">
        <v>642</v>
      </c>
      <c r="D763" s="33" t="s">
        <v>630</v>
      </c>
      <c r="E763" s="33" t="s">
        <v>651</v>
      </c>
      <c r="F763" s="33" t="s">
        <v>462</v>
      </c>
    </row>
    <row r="764" spans="1:6" x14ac:dyDescent="0.25">
      <c r="A764" s="34">
        <v>103</v>
      </c>
      <c r="B764" s="33" t="s">
        <v>656</v>
      </c>
      <c r="C764" s="33" t="s">
        <v>642</v>
      </c>
      <c r="D764" s="33" t="s">
        <v>630</v>
      </c>
      <c r="E764" s="33" t="s">
        <v>652</v>
      </c>
      <c r="F764" s="34">
        <v>82</v>
      </c>
    </row>
    <row r="765" spans="1:6" x14ac:dyDescent="0.25">
      <c r="A765" s="34">
        <v>103</v>
      </c>
      <c r="B765" s="33" t="s">
        <v>656</v>
      </c>
      <c r="C765" s="33" t="s">
        <v>653</v>
      </c>
      <c r="D765" s="33" t="s">
        <v>621</v>
      </c>
      <c r="E765" s="33" t="s">
        <v>666</v>
      </c>
      <c r="F765" s="34">
        <v>22</v>
      </c>
    </row>
    <row r="766" spans="1:6" x14ac:dyDescent="0.25">
      <c r="A766" s="34">
        <v>103</v>
      </c>
      <c r="B766" s="33" t="s">
        <v>656</v>
      </c>
      <c r="C766" s="33" t="s">
        <v>653</v>
      </c>
      <c r="D766" s="33" t="s">
        <v>621</v>
      </c>
      <c r="E766" s="33" t="s">
        <v>667</v>
      </c>
      <c r="F766" s="34">
        <v>10</v>
      </c>
    </row>
    <row r="767" spans="1:6" x14ac:dyDescent="0.25">
      <c r="A767" s="34">
        <v>103</v>
      </c>
      <c r="B767" s="33" t="s">
        <v>656</v>
      </c>
      <c r="C767" s="33" t="s">
        <v>653</v>
      </c>
      <c r="D767" s="33" t="s">
        <v>653</v>
      </c>
      <c r="E767" s="33" t="s">
        <v>668</v>
      </c>
      <c r="F767" s="34">
        <v>27</v>
      </c>
    </row>
    <row r="768" spans="1:6" x14ac:dyDescent="0.25">
      <c r="A768" s="34">
        <v>103</v>
      </c>
      <c r="B768" s="33" t="s">
        <v>656</v>
      </c>
      <c r="C768" s="33" t="s">
        <v>653</v>
      </c>
      <c r="D768" s="33" t="s">
        <v>653</v>
      </c>
      <c r="E768" s="33" t="s">
        <v>669</v>
      </c>
      <c r="F768" s="34">
        <v>100</v>
      </c>
    </row>
    <row r="769" spans="1:6" x14ac:dyDescent="0.25">
      <c r="A769" s="34">
        <v>103</v>
      </c>
      <c r="B769" s="33" t="s">
        <v>656</v>
      </c>
      <c r="C769" s="33" t="s">
        <v>653</v>
      </c>
      <c r="D769" s="33" t="s">
        <v>653</v>
      </c>
      <c r="E769" s="33" t="s">
        <v>654</v>
      </c>
      <c r="F769" s="34">
        <v>82</v>
      </c>
    </row>
    <row r="770" spans="1:6" x14ac:dyDescent="0.25">
      <c r="A770" s="34">
        <v>104</v>
      </c>
      <c r="B770" s="33" t="s">
        <v>656</v>
      </c>
      <c r="C770" s="33" t="s">
        <v>620</v>
      </c>
      <c r="D770" s="33" t="s">
        <v>621</v>
      </c>
      <c r="E770" s="33" t="s">
        <v>657</v>
      </c>
      <c r="F770" s="34">
        <v>14.5</v>
      </c>
    </row>
    <row r="771" spans="1:6" x14ac:dyDescent="0.25">
      <c r="A771" s="34">
        <v>104</v>
      </c>
      <c r="B771" s="33" t="s">
        <v>656</v>
      </c>
      <c r="C771" s="33" t="s">
        <v>620</v>
      </c>
      <c r="D771" s="33" t="s">
        <v>621</v>
      </c>
      <c r="E771" s="33" t="s">
        <v>658</v>
      </c>
      <c r="F771" s="34">
        <v>12.25</v>
      </c>
    </row>
    <row r="772" spans="1:6" x14ac:dyDescent="0.25">
      <c r="A772" s="34">
        <v>104</v>
      </c>
      <c r="B772" s="33" t="s">
        <v>656</v>
      </c>
      <c r="C772" s="33" t="s">
        <v>620</v>
      </c>
      <c r="D772" s="33" t="s">
        <v>621</v>
      </c>
      <c r="E772" s="33" t="s">
        <v>629</v>
      </c>
      <c r="F772" s="34">
        <v>42.5</v>
      </c>
    </row>
    <row r="773" spans="1:6" x14ac:dyDescent="0.25">
      <c r="A773" s="34">
        <v>104</v>
      </c>
      <c r="B773" s="33" t="s">
        <v>656</v>
      </c>
      <c r="C773" s="33" t="s">
        <v>620</v>
      </c>
      <c r="D773" s="33" t="s">
        <v>630</v>
      </c>
      <c r="E773" s="33" t="s">
        <v>631</v>
      </c>
      <c r="F773" s="34">
        <v>98</v>
      </c>
    </row>
    <row r="774" spans="1:6" x14ac:dyDescent="0.25">
      <c r="A774" s="34">
        <v>104</v>
      </c>
      <c r="B774" s="33" t="s">
        <v>656</v>
      </c>
      <c r="C774" s="33" t="s">
        <v>620</v>
      </c>
      <c r="D774" s="33" t="s">
        <v>630</v>
      </c>
      <c r="E774" s="33" t="s">
        <v>632</v>
      </c>
      <c r="F774" s="33" t="s">
        <v>462</v>
      </c>
    </row>
    <row r="775" spans="1:6" x14ac:dyDescent="0.25">
      <c r="A775" s="34">
        <v>104</v>
      </c>
      <c r="B775" s="33" t="s">
        <v>656</v>
      </c>
      <c r="C775" s="33" t="s">
        <v>620</v>
      </c>
      <c r="D775" s="33" t="s">
        <v>630</v>
      </c>
      <c r="E775" s="33" t="s">
        <v>633</v>
      </c>
      <c r="F775" s="34">
        <v>98</v>
      </c>
    </row>
    <row r="776" spans="1:6" x14ac:dyDescent="0.25">
      <c r="A776" s="34">
        <v>104</v>
      </c>
      <c r="B776" s="33" t="s">
        <v>656</v>
      </c>
      <c r="C776" s="33" t="s">
        <v>634</v>
      </c>
      <c r="D776" s="33" t="s">
        <v>621</v>
      </c>
      <c r="E776" s="33" t="s">
        <v>659</v>
      </c>
      <c r="F776" s="34">
        <v>18</v>
      </c>
    </row>
    <row r="777" spans="1:6" x14ac:dyDescent="0.25">
      <c r="A777" s="34">
        <v>104</v>
      </c>
      <c r="B777" s="33" t="s">
        <v>656</v>
      </c>
      <c r="C777" s="33" t="s">
        <v>634</v>
      </c>
      <c r="D777" s="33" t="s">
        <v>621</v>
      </c>
      <c r="E777" s="33" t="s">
        <v>660</v>
      </c>
      <c r="F777" s="34">
        <v>12</v>
      </c>
    </row>
    <row r="778" spans="1:6" x14ac:dyDescent="0.25">
      <c r="A778" s="34">
        <v>104</v>
      </c>
      <c r="B778" s="33" t="s">
        <v>656</v>
      </c>
      <c r="C778" s="33" t="s">
        <v>634</v>
      </c>
      <c r="D778" s="33" t="s">
        <v>621</v>
      </c>
      <c r="E778" s="33" t="s">
        <v>638</v>
      </c>
      <c r="F778" s="34">
        <v>41</v>
      </c>
    </row>
    <row r="779" spans="1:6" x14ac:dyDescent="0.25">
      <c r="A779" s="34">
        <v>104</v>
      </c>
      <c r="B779" s="33" t="s">
        <v>656</v>
      </c>
      <c r="C779" s="33" t="s">
        <v>634</v>
      </c>
      <c r="D779" s="33" t="s">
        <v>630</v>
      </c>
      <c r="E779" s="33" t="s">
        <v>639</v>
      </c>
      <c r="F779" s="34">
        <v>85</v>
      </c>
    </row>
    <row r="780" spans="1:6" x14ac:dyDescent="0.25">
      <c r="A780" s="34">
        <v>104</v>
      </c>
      <c r="B780" s="33" t="s">
        <v>656</v>
      </c>
      <c r="C780" s="33" t="s">
        <v>634</v>
      </c>
      <c r="D780" s="33" t="s">
        <v>630</v>
      </c>
      <c r="E780" s="33" t="s">
        <v>640</v>
      </c>
      <c r="F780" s="33" t="s">
        <v>462</v>
      </c>
    </row>
    <row r="781" spans="1:6" x14ac:dyDescent="0.25">
      <c r="A781" s="34">
        <v>104</v>
      </c>
      <c r="B781" s="33" t="s">
        <v>656</v>
      </c>
      <c r="C781" s="33" t="s">
        <v>634</v>
      </c>
      <c r="D781" s="33" t="s">
        <v>630</v>
      </c>
      <c r="E781" s="33" t="s">
        <v>661</v>
      </c>
      <c r="F781" s="34">
        <v>85</v>
      </c>
    </row>
    <row r="782" spans="1:6" x14ac:dyDescent="0.25">
      <c r="A782" s="34">
        <v>104</v>
      </c>
      <c r="B782" s="33" t="s">
        <v>656</v>
      </c>
      <c r="C782" s="33" t="s">
        <v>642</v>
      </c>
      <c r="D782" s="33" t="s">
        <v>621</v>
      </c>
      <c r="E782" s="33" t="s">
        <v>662</v>
      </c>
      <c r="F782" s="34">
        <v>10</v>
      </c>
    </row>
    <row r="783" spans="1:6" x14ac:dyDescent="0.25">
      <c r="A783" s="34">
        <v>104</v>
      </c>
      <c r="B783" s="33" t="s">
        <v>656</v>
      </c>
      <c r="C783" s="33" t="s">
        <v>642</v>
      </c>
      <c r="D783" s="33" t="s">
        <v>621</v>
      </c>
      <c r="E783" s="33" t="s">
        <v>663</v>
      </c>
      <c r="F783" s="34">
        <v>10</v>
      </c>
    </row>
    <row r="784" spans="1:6" x14ac:dyDescent="0.25">
      <c r="A784" s="34">
        <v>104</v>
      </c>
      <c r="B784" s="33" t="s">
        <v>656</v>
      </c>
      <c r="C784" s="33" t="s">
        <v>642</v>
      </c>
      <c r="D784" s="33" t="s">
        <v>621</v>
      </c>
      <c r="E784" s="33" t="s">
        <v>664</v>
      </c>
      <c r="F784" s="34">
        <v>11</v>
      </c>
    </row>
    <row r="785" spans="1:6" x14ac:dyDescent="0.25">
      <c r="A785" s="34">
        <v>104</v>
      </c>
      <c r="B785" s="33" t="s">
        <v>656</v>
      </c>
      <c r="C785" s="33" t="s">
        <v>642</v>
      </c>
      <c r="D785" s="33" t="s">
        <v>621</v>
      </c>
      <c r="E785" s="33" t="s">
        <v>665</v>
      </c>
      <c r="F785" s="34">
        <v>50</v>
      </c>
    </row>
    <row r="786" spans="1:6" x14ac:dyDescent="0.25">
      <c r="A786" s="34">
        <v>104</v>
      </c>
      <c r="B786" s="33" t="s">
        <v>656</v>
      </c>
      <c r="C786" s="33" t="s">
        <v>642</v>
      </c>
      <c r="D786" s="33" t="s">
        <v>630</v>
      </c>
      <c r="E786" s="33" t="s">
        <v>650</v>
      </c>
      <c r="F786" s="34">
        <v>78</v>
      </c>
    </row>
    <row r="787" spans="1:6" x14ac:dyDescent="0.25">
      <c r="A787" s="34">
        <v>104</v>
      </c>
      <c r="B787" s="33" t="s">
        <v>656</v>
      </c>
      <c r="C787" s="33" t="s">
        <v>642</v>
      </c>
      <c r="D787" s="33" t="s">
        <v>630</v>
      </c>
      <c r="E787" s="33" t="s">
        <v>651</v>
      </c>
      <c r="F787" s="33" t="s">
        <v>462</v>
      </c>
    </row>
    <row r="788" spans="1:6" x14ac:dyDescent="0.25">
      <c r="A788" s="34">
        <v>104</v>
      </c>
      <c r="B788" s="33" t="s">
        <v>656</v>
      </c>
      <c r="C788" s="33" t="s">
        <v>642</v>
      </c>
      <c r="D788" s="33" t="s">
        <v>630</v>
      </c>
      <c r="E788" s="33" t="s">
        <v>652</v>
      </c>
      <c r="F788" s="34">
        <v>78</v>
      </c>
    </row>
    <row r="789" spans="1:6" x14ac:dyDescent="0.25">
      <c r="A789" s="34">
        <v>104</v>
      </c>
      <c r="B789" s="33" t="s">
        <v>656</v>
      </c>
      <c r="C789" s="33" t="s">
        <v>653</v>
      </c>
      <c r="D789" s="33" t="s">
        <v>621</v>
      </c>
      <c r="E789" s="33" t="s">
        <v>666</v>
      </c>
      <c r="F789" s="34">
        <v>21</v>
      </c>
    </row>
    <row r="790" spans="1:6" x14ac:dyDescent="0.25">
      <c r="A790" s="34">
        <v>104</v>
      </c>
      <c r="B790" s="33" t="s">
        <v>656</v>
      </c>
      <c r="C790" s="33" t="s">
        <v>653</v>
      </c>
      <c r="D790" s="33" t="s">
        <v>621</v>
      </c>
      <c r="E790" s="33" t="s">
        <v>667</v>
      </c>
      <c r="F790" s="34">
        <v>9.4</v>
      </c>
    </row>
    <row r="791" spans="1:6" x14ac:dyDescent="0.25">
      <c r="A791" s="34">
        <v>104</v>
      </c>
      <c r="B791" s="33" t="s">
        <v>656</v>
      </c>
      <c r="C791" s="33" t="s">
        <v>653</v>
      </c>
      <c r="D791" s="33" t="s">
        <v>653</v>
      </c>
      <c r="E791" s="33" t="s">
        <v>668</v>
      </c>
      <c r="F791" s="34">
        <v>22</v>
      </c>
    </row>
    <row r="792" spans="1:6" x14ac:dyDescent="0.25">
      <c r="A792" s="34">
        <v>104</v>
      </c>
      <c r="B792" s="33" t="s">
        <v>656</v>
      </c>
      <c r="C792" s="33" t="s">
        <v>653</v>
      </c>
      <c r="D792" s="33" t="s">
        <v>653</v>
      </c>
      <c r="E792" s="33" t="s">
        <v>669</v>
      </c>
      <c r="F792" s="34">
        <v>92</v>
      </c>
    </row>
    <row r="793" spans="1:6" x14ac:dyDescent="0.25">
      <c r="A793" s="34">
        <v>104</v>
      </c>
      <c r="B793" s="33" t="s">
        <v>656</v>
      </c>
      <c r="C793" s="33" t="s">
        <v>653</v>
      </c>
      <c r="D793" s="33" t="s">
        <v>653</v>
      </c>
      <c r="E793" s="33" t="s">
        <v>654</v>
      </c>
      <c r="F793" s="34">
        <v>95</v>
      </c>
    </row>
    <row r="794" spans="1:6" x14ac:dyDescent="0.25">
      <c r="A794" s="34">
        <v>105</v>
      </c>
      <c r="B794" s="33" t="s">
        <v>656</v>
      </c>
      <c r="C794" s="33" t="s">
        <v>620</v>
      </c>
      <c r="D794" s="33" t="s">
        <v>621</v>
      </c>
      <c r="E794" s="33" t="s">
        <v>657</v>
      </c>
      <c r="F794" s="34">
        <v>15</v>
      </c>
    </row>
    <row r="795" spans="1:6" x14ac:dyDescent="0.25">
      <c r="A795" s="34">
        <v>105</v>
      </c>
      <c r="B795" s="33" t="s">
        <v>656</v>
      </c>
      <c r="C795" s="33" t="s">
        <v>620</v>
      </c>
      <c r="D795" s="33" t="s">
        <v>621</v>
      </c>
      <c r="E795" s="33" t="s">
        <v>658</v>
      </c>
      <c r="F795" s="34">
        <v>1</v>
      </c>
    </row>
    <row r="796" spans="1:6" x14ac:dyDescent="0.25">
      <c r="A796" s="34">
        <v>105</v>
      </c>
      <c r="B796" s="33" t="s">
        <v>656</v>
      </c>
      <c r="C796" s="33" t="s">
        <v>620</v>
      </c>
      <c r="D796" s="33" t="s">
        <v>621</v>
      </c>
      <c r="E796" s="33" t="s">
        <v>629</v>
      </c>
      <c r="F796" s="34">
        <v>46</v>
      </c>
    </row>
    <row r="797" spans="1:6" x14ac:dyDescent="0.25">
      <c r="A797" s="34">
        <v>105</v>
      </c>
      <c r="B797" s="33" t="s">
        <v>656</v>
      </c>
      <c r="C797" s="33" t="s">
        <v>620</v>
      </c>
      <c r="D797" s="33" t="s">
        <v>630</v>
      </c>
      <c r="E797" s="33" t="s">
        <v>631</v>
      </c>
      <c r="F797" s="34">
        <v>88</v>
      </c>
    </row>
    <row r="798" spans="1:6" x14ac:dyDescent="0.25">
      <c r="A798" s="34">
        <v>105</v>
      </c>
      <c r="B798" s="33" t="s">
        <v>656</v>
      </c>
      <c r="C798" s="33" t="s">
        <v>620</v>
      </c>
      <c r="D798" s="33" t="s">
        <v>630</v>
      </c>
      <c r="E798" s="33" t="s">
        <v>632</v>
      </c>
      <c r="F798" s="33" t="s">
        <v>462</v>
      </c>
    </row>
    <row r="799" spans="1:6" x14ac:dyDescent="0.25">
      <c r="A799" s="34">
        <v>105</v>
      </c>
      <c r="B799" s="33" t="s">
        <v>656</v>
      </c>
      <c r="C799" s="33" t="s">
        <v>620</v>
      </c>
      <c r="D799" s="33" t="s">
        <v>630</v>
      </c>
      <c r="E799" s="33" t="s">
        <v>633</v>
      </c>
      <c r="F799" s="34">
        <v>88</v>
      </c>
    </row>
    <row r="800" spans="1:6" x14ac:dyDescent="0.25">
      <c r="A800" s="34">
        <v>105</v>
      </c>
      <c r="B800" s="33" t="s">
        <v>656</v>
      </c>
      <c r="C800" s="33" t="s">
        <v>634</v>
      </c>
      <c r="D800" s="33" t="s">
        <v>621</v>
      </c>
      <c r="E800" s="33" t="s">
        <v>659</v>
      </c>
      <c r="F800" s="34">
        <v>17</v>
      </c>
    </row>
    <row r="801" spans="1:6" x14ac:dyDescent="0.25">
      <c r="A801" s="34">
        <v>105</v>
      </c>
      <c r="B801" s="33" t="s">
        <v>656</v>
      </c>
      <c r="C801" s="33" t="s">
        <v>634</v>
      </c>
      <c r="D801" s="33" t="s">
        <v>621</v>
      </c>
      <c r="E801" s="33" t="s">
        <v>660</v>
      </c>
      <c r="F801" s="34">
        <v>12</v>
      </c>
    </row>
    <row r="802" spans="1:6" x14ac:dyDescent="0.25">
      <c r="A802" s="34">
        <v>105</v>
      </c>
      <c r="B802" s="33" t="s">
        <v>656</v>
      </c>
      <c r="C802" s="33" t="s">
        <v>634</v>
      </c>
      <c r="D802" s="33" t="s">
        <v>621</v>
      </c>
      <c r="E802" s="33" t="s">
        <v>638</v>
      </c>
      <c r="F802" s="34">
        <v>47.5</v>
      </c>
    </row>
    <row r="803" spans="1:6" x14ac:dyDescent="0.25">
      <c r="A803" s="34">
        <v>105</v>
      </c>
      <c r="B803" s="33" t="s">
        <v>656</v>
      </c>
      <c r="C803" s="33" t="s">
        <v>634</v>
      </c>
      <c r="D803" s="33" t="s">
        <v>630</v>
      </c>
      <c r="E803" s="33" t="s">
        <v>639</v>
      </c>
      <c r="F803" s="34">
        <v>85</v>
      </c>
    </row>
    <row r="804" spans="1:6" x14ac:dyDescent="0.25">
      <c r="A804" s="34">
        <v>105</v>
      </c>
      <c r="B804" s="33" t="s">
        <v>656</v>
      </c>
      <c r="C804" s="33" t="s">
        <v>634</v>
      </c>
      <c r="D804" s="33" t="s">
        <v>630</v>
      </c>
      <c r="E804" s="33" t="s">
        <v>640</v>
      </c>
      <c r="F804" s="33" t="s">
        <v>462</v>
      </c>
    </row>
    <row r="805" spans="1:6" x14ac:dyDescent="0.25">
      <c r="A805" s="34">
        <v>105</v>
      </c>
      <c r="B805" s="33" t="s">
        <v>656</v>
      </c>
      <c r="C805" s="33" t="s">
        <v>634</v>
      </c>
      <c r="D805" s="33" t="s">
        <v>630</v>
      </c>
      <c r="E805" s="33" t="s">
        <v>661</v>
      </c>
      <c r="F805" s="34">
        <v>85</v>
      </c>
    </row>
    <row r="806" spans="1:6" x14ac:dyDescent="0.25">
      <c r="A806" s="34">
        <v>105</v>
      </c>
      <c r="B806" s="33" t="s">
        <v>656</v>
      </c>
      <c r="C806" s="33" t="s">
        <v>642</v>
      </c>
      <c r="D806" s="33" t="s">
        <v>621</v>
      </c>
      <c r="E806" s="33" t="s">
        <v>662</v>
      </c>
      <c r="F806" s="34">
        <v>10</v>
      </c>
    </row>
    <row r="807" spans="1:6" x14ac:dyDescent="0.25">
      <c r="A807" s="34">
        <v>105</v>
      </c>
      <c r="B807" s="33" t="s">
        <v>656</v>
      </c>
      <c r="C807" s="33" t="s">
        <v>642</v>
      </c>
      <c r="D807" s="33" t="s">
        <v>621</v>
      </c>
      <c r="E807" s="33" t="s">
        <v>663</v>
      </c>
      <c r="F807" s="34">
        <v>10</v>
      </c>
    </row>
    <row r="808" spans="1:6" x14ac:dyDescent="0.25">
      <c r="A808" s="34">
        <v>105</v>
      </c>
      <c r="B808" s="33" t="s">
        <v>656</v>
      </c>
      <c r="C808" s="33" t="s">
        <v>642</v>
      </c>
      <c r="D808" s="33" t="s">
        <v>621</v>
      </c>
      <c r="E808" s="33" t="s">
        <v>664</v>
      </c>
      <c r="F808" s="34">
        <v>11</v>
      </c>
    </row>
    <row r="809" spans="1:6" x14ac:dyDescent="0.25">
      <c r="A809" s="34">
        <v>105</v>
      </c>
      <c r="B809" s="33" t="s">
        <v>656</v>
      </c>
      <c r="C809" s="33" t="s">
        <v>642</v>
      </c>
      <c r="D809" s="33" t="s">
        <v>621</v>
      </c>
      <c r="E809" s="33" t="s">
        <v>665</v>
      </c>
      <c r="F809" s="34">
        <v>0</v>
      </c>
    </row>
    <row r="810" spans="1:6" x14ac:dyDescent="0.25">
      <c r="A810" s="34">
        <v>105</v>
      </c>
      <c r="B810" s="33" t="s">
        <v>656</v>
      </c>
      <c r="C810" s="33" t="s">
        <v>642</v>
      </c>
      <c r="D810" s="33" t="s">
        <v>630</v>
      </c>
      <c r="E810" s="33" t="s">
        <v>650</v>
      </c>
      <c r="F810" s="34">
        <v>78</v>
      </c>
    </row>
    <row r="811" spans="1:6" x14ac:dyDescent="0.25">
      <c r="A811" s="34">
        <v>105</v>
      </c>
      <c r="B811" s="33" t="s">
        <v>656</v>
      </c>
      <c r="C811" s="33" t="s">
        <v>642</v>
      </c>
      <c r="D811" s="33" t="s">
        <v>630</v>
      </c>
      <c r="E811" s="33" t="s">
        <v>651</v>
      </c>
      <c r="F811" s="33" t="s">
        <v>462</v>
      </c>
    </row>
    <row r="812" spans="1:6" x14ac:dyDescent="0.25">
      <c r="A812" s="34">
        <v>105</v>
      </c>
      <c r="B812" s="33" t="s">
        <v>656</v>
      </c>
      <c r="C812" s="33" t="s">
        <v>642</v>
      </c>
      <c r="D812" s="33" t="s">
        <v>630</v>
      </c>
      <c r="E812" s="33" t="s">
        <v>652</v>
      </c>
      <c r="F812" s="34">
        <v>78</v>
      </c>
    </row>
    <row r="813" spans="1:6" x14ac:dyDescent="0.25">
      <c r="A813" s="34">
        <v>105</v>
      </c>
      <c r="B813" s="33" t="s">
        <v>656</v>
      </c>
      <c r="C813" s="33" t="s">
        <v>653</v>
      </c>
      <c r="D813" s="33" t="s">
        <v>621</v>
      </c>
      <c r="E813" s="33" t="s">
        <v>666</v>
      </c>
      <c r="F813" s="34">
        <v>19.600000000000001</v>
      </c>
    </row>
    <row r="814" spans="1:6" x14ac:dyDescent="0.25">
      <c r="A814" s="34">
        <v>105</v>
      </c>
      <c r="B814" s="33" t="s">
        <v>656</v>
      </c>
      <c r="C814" s="33" t="s">
        <v>653</v>
      </c>
      <c r="D814" s="33" t="s">
        <v>621</v>
      </c>
      <c r="E814" s="33" t="s">
        <v>667</v>
      </c>
      <c r="F814" s="34">
        <v>9.8000000000000007</v>
      </c>
    </row>
    <row r="815" spans="1:6" x14ac:dyDescent="0.25">
      <c r="A815" s="34">
        <v>105</v>
      </c>
      <c r="B815" s="33" t="s">
        <v>656</v>
      </c>
      <c r="C815" s="33" t="s">
        <v>653</v>
      </c>
      <c r="D815" s="33" t="s">
        <v>653</v>
      </c>
      <c r="E815" s="33" t="s">
        <v>668</v>
      </c>
      <c r="F815" s="34">
        <v>0</v>
      </c>
    </row>
    <row r="816" spans="1:6" x14ac:dyDescent="0.25">
      <c r="A816" s="34">
        <v>105</v>
      </c>
      <c r="B816" s="33" t="s">
        <v>656</v>
      </c>
      <c r="C816" s="33" t="s">
        <v>653</v>
      </c>
      <c r="D816" s="33" t="s">
        <v>653</v>
      </c>
      <c r="E816" s="33" t="s">
        <v>669</v>
      </c>
      <c r="F816" s="34">
        <v>92</v>
      </c>
    </row>
    <row r="817" spans="1:6" x14ac:dyDescent="0.25">
      <c r="A817" s="34">
        <v>105</v>
      </c>
      <c r="B817" s="33" t="s">
        <v>656</v>
      </c>
      <c r="C817" s="33" t="s">
        <v>653</v>
      </c>
      <c r="D817" s="33" t="s">
        <v>653</v>
      </c>
      <c r="E817" s="33" t="s">
        <v>654</v>
      </c>
      <c r="F817" s="34">
        <v>78</v>
      </c>
    </row>
    <row r="818" spans="1:6" x14ac:dyDescent="0.25">
      <c r="A818" s="34">
        <v>106</v>
      </c>
      <c r="B818" s="33" t="s">
        <v>656</v>
      </c>
      <c r="C818" s="33" t="s">
        <v>620</v>
      </c>
      <c r="D818" s="33" t="s">
        <v>621</v>
      </c>
      <c r="E818" s="33" t="s">
        <v>657</v>
      </c>
      <c r="F818" s="34">
        <v>13</v>
      </c>
    </row>
    <row r="819" spans="1:6" x14ac:dyDescent="0.25">
      <c r="A819" s="34">
        <v>106</v>
      </c>
      <c r="B819" s="33" t="s">
        <v>656</v>
      </c>
      <c r="C819" s="33" t="s">
        <v>620</v>
      </c>
      <c r="D819" s="33" t="s">
        <v>621</v>
      </c>
      <c r="E819" s="33" t="s">
        <v>658</v>
      </c>
      <c r="F819" s="34">
        <v>13</v>
      </c>
    </row>
    <row r="820" spans="1:6" x14ac:dyDescent="0.25">
      <c r="A820" s="34">
        <v>106</v>
      </c>
      <c r="B820" s="33" t="s">
        <v>656</v>
      </c>
      <c r="C820" s="33" t="s">
        <v>620</v>
      </c>
      <c r="D820" s="33" t="s">
        <v>621</v>
      </c>
      <c r="E820" s="33" t="s">
        <v>629</v>
      </c>
      <c r="F820" s="34">
        <v>46</v>
      </c>
    </row>
    <row r="821" spans="1:6" x14ac:dyDescent="0.25">
      <c r="A821" s="34">
        <v>106</v>
      </c>
      <c r="B821" s="33" t="s">
        <v>656</v>
      </c>
      <c r="C821" s="33" t="s">
        <v>620</v>
      </c>
      <c r="D821" s="33" t="s">
        <v>630</v>
      </c>
      <c r="E821" s="33" t="s">
        <v>631</v>
      </c>
      <c r="F821" s="34">
        <v>65</v>
      </c>
    </row>
    <row r="822" spans="1:6" x14ac:dyDescent="0.25">
      <c r="A822" s="34">
        <v>106</v>
      </c>
      <c r="B822" s="33" t="s">
        <v>656</v>
      </c>
      <c r="C822" s="33" t="s">
        <v>620</v>
      </c>
      <c r="D822" s="33" t="s">
        <v>630</v>
      </c>
      <c r="E822" s="33" t="s">
        <v>632</v>
      </c>
      <c r="F822" s="34">
        <v>68</v>
      </c>
    </row>
    <row r="823" spans="1:6" x14ac:dyDescent="0.25">
      <c r="A823" s="34">
        <v>106</v>
      </c>
      <c r="B823" s="33" t="s">
        <v>656</v>
      </c>
      <c r="C823" s="33" t="s">
        <v>620</v>
      </c>
      <c r="D823" s="33" t="s">
        <v>630</v>
      </c>
      <c r="E823" s="33" t="s">
        <v>633</v>
      </c>
      <c r="F823" s="34">
        <v>68</v>
      </c>
    </row>
    <row r="824" spans="1:6" x14ac:dyDescent="0.25">
      <c r="A824" s="34">
        <v>106</v>
      </c>
      <c r="B824" s="33" t="s">
        <v>656</v>
      </c>
      <c r="C824" s="33" t="s">
        <v>634</v>
      </c>
      <c r="D824" s="33" t="s">
        <v>621</v>
      </c>
      <c r="E824" s="33" t="s">
        <v>659</v>
      </c>
      <c r="F824" s="34">
        <v>13</v>
      </c>
    </row>
    <row r="825" spans="1:6" x14ac:dyDescent="0.25">
      <c r="A825" s="34">
        <v>106</v>
      </c>
      <c r="B825" s="33" t="s">
        <v>656</v>
      </c>
      <c r="C825" s="33" t="s">
        <v>634</v>
      </c>
      <c r="D825" s="33" t="s">
        <v>621</v>
      </c>
      <c r="E825" s="33" t="s">
        <v>660</v>
      </c>
      <c r="F825" s="34">
        <v>0</v>
      </c>
    </row>
    <row r="826" spans="1:6" x14ac:dyDescent="0.25">
      <c r="A826" s="34">
        <v>106</v>
      </c>
      <c r="B826" s="33" t="s">
        <v>656</v>
      </c>
      <c r="C826" s="33" t="s">
        <v>634</v>
      </c>
      <c r="D826" s="33" t="s">
        <v>621</v>
      </c>
      <c r="E826" s="33" t="s">
        <v>638</v>
      </c>
      <c r="F826" s="34">
        <v>44</v>
      </c>
    </row>
    <row r="827" spans="1:6" x14ac:dyDescent="0.25">
      <c r="A827" s="34">
        <v>106</v>
      </c>
      <c r="B827" s="33" t="s">
        <v>656</v>
      </c>
      <c r="C827" s="33" t="s">
        <v>634</v>
      </c>
      <c r="D827" s="33" t="s">
        <v>630</v>
      </c>
      <c r="E827" s="33" t="s">
        <v>639</v>
      </c>
      <c r="F827" s="34">
        <v>30</v>
      </c>
    </row>
    <row r="828" spans="1:6" x14ac:dyDescent="0.25">
      <c r="A828" s="34">
        <v>106</v>
      </c>
      <c r="B828" s="33" t="s">
        <v>656</v>
      </c>
      <c r="C828" s="33" t="s">
        <v>634</v>
      </c>
      <c r="D828" s="33" t="s">
        <v>630</v>
      </c>
      <c r="E828" s="33" t="s">
        <v>640</v>
      </c>
      <c r="F828" s="34">
        <v>72</v>
      </c>
    </row>
    <row r="829" spans="1:6" x14ac:dyDescent="0.25">
      <c r="A829" s="34">
        <v>106</v>
      </c>
      <c r="B829" s="33" t="s">
        <v>656</v>
      </c>
      <c r="C829" s="33" t="s">
        <v>634</v>
      </c>
      <c r="D829" s="33" t="s">
        <v>630</v>
      </c>
      <c r="E829" s="33" t="s">
        <v>661</v>
      </c>
      <c r="F829" s="34">
        <v>72</v>
      </c>
    </row>
    <row r="830" spans="1:6" x14ac:dyDescent="0.25">
      <c r="A830" s="34">
        <v>106</v>
      </c>
      <c r="B830" s="33" t="s">
        <v>656</v>
      </c>
      <c r="C830" s="33" t="s">
        <v>642</v>
      </c>
      <c r="D830" s="33" t="s">
        <v>621</v>
      </c>
      <c r="E830" s="33" t="s">
        <v>662</v>
      </c>
      <c r="F830" s="34">
        <v>10</v>
      </c>
    </row>
    <row r="831" spans="1:6" x14ac:dyDescent="0.25">
      <c r="A831" s="34">
        <v>106</v>
      </c>
      <c r="B831" s="33" t="s">
        <v>656</v>
      </c>
      <c r="C831" s="33" t="s">
        <v>642</v>
      </c>
      <c r="D831" s="33" t="s">
        <v>621</v>
      </c>
      <c r="E831" s="33" t="s">
        <v>663</v>
      </c>
      <c r="F831" s="34">
        <v>10</v>
      </c>
    </row>
    <row r="832" spans="1:6" x14ac:dyDescent="0.25">
      <c r="A832" s="34">
        <v>106</v>
      </c>
      <c r="B832" s="33" t="s">
        <v>656</v>
      </c>
      <c r="C832" s="33" t="s">
        <v>642</v>
      </c>
      <c r="D832" s="33" t="s">
        <v>621</v>
      </c>
      <c r="E832" s="33" t="s">
        <v>664</v>
      </c>
      <c r="F832" s="34">
        <v>0</v>
      </c>
    </row>
    <row r="833" spans="1:6" x14ac:dyDescent="0.25">
      <c r="A833" s="34">
        <v>106</v>
      </c>
      <c r="B833" s="33" t="s">
        <v>656</v>
      </c>
      <c r="C833" s="33" t="s">
        <v>642</v>
      </c>
      <c r="D833" s="33" t="s">
        <v>621</v>
      </c>
      <c r="E833" s="33" t="s">
        <v>665</v>
      </c>
      <c r="F833" s="34">
        <v>32.5</v>
      </c>
    </row>
    <row r="834" spans="1:6" x14ac:dyDescent="0.25">
      <c r="A834" s="34">
        <v>106</v>
      </c>
      <c r="B834" s="33" t="s">
        <v>656</v>
      </c>
      <c r="C834" s="33" t="s">
        <v>642</v>
      </c>
      <c r="D834" s="33" t="s">
        <v>630</v>
      </c>
      <c r="E834" s="33" t="s">
        <v>650</v>
      </c>
      <c r="F834" s="34">
        <v>68</v>
      </c>
    </row>
    <row r="835" spans="1:6" x14ac:dyDescent="0.25">
      <c r="A835" s="34">
        <v>106</v>
      </c>
      <c r="B835" s="33" t="s">
        <v>656</v>
      </c>
      <c r="C835" s="33" t="s">
        <v>642</v>
      </c>
      <c r="D835" s="33" t="s">
        <v>630</v>
      </c>
      <c r="E835" s="33" t="s">
        <v>651</v>
      </c>
      <c r="F835" s="34">
        <v>75</v>
      </c>
    </row>
    <row r="836" spans="1:6" x14ac:dyDescent="0.25">
      <c r="A836" s="34">
        <v>106</v>
      </c>
      <c r="B836" s="33" t="s">
        <v>656</v>
      </c>
      <c r="C836" s="33" t="s">
        <v>642</v>
      </c>
      <c r="D836" s="33" t="s">
        <v>630</v>
      </c>
      <c r="E836" s="33" t="s">
        <v>652</v>
      </c>
      <c r="F836" s="34">
        <v>68</v>
      </c>
    </row>
    <row r="837" spans="1:6" x14ac:dyDescent="0.25">
      <c r="A837" s="34">
        <v>106</v>
      </c>
      <c r="B837" s="33" t="s">
        <v>656</v>
      </c>
      <c r="C837" s="33" t="s">
        <v>653</v>
      </c>
      <c r="D837" s="33" t="s">
        <v>621</v>
      </c>
      <c r="E837" s="33" t="s">
        <v>666</v>
      </c>
      <c r="F837" s="34">
        <v>19.8</v>
      </c>
    </row>
    <row r="838" spans="1:6" x14ac:dyDescent="0.25">
      <c r="A838" s="34">
        <v>106</v>
      </c>
      <c r="B838" s="33" t="s">
        <v>656</v>
      </c>
      <c r="C838" s="33" t="s">
        <v>653</v>
      </c>
      <c r="D838" s="33" t="s">
        <v>621</v>
      </c>
      <c r="E838" s="33" t="s">
        <v>667</v>
      </c>
      <c r="F838" s="34">
        <v>8.5</v>
      </c>
    </row>
    <row r="839" spans="1:6" x14ac:dyDescent="0.25">
      <c r="A839" s="34">
        <v>106</v>
      </c>
      <c r="B839" s="33" t="s">
        <v>656</v>
      </c>
      <c r="C839" s="33" t="s">
        <v>653</v>
      </c>
      <c r="D839" s="33" t="s">
        <v>653</v>
      </c>
      <c r="E839" s="33" t="s">
        <v>668</v>
      </c>
      <c r="F839" s="34">
        <v>0</v>
      </c>
    </row>
    <row r="840" spans="1:6" x14ac:dyDescent="0.25">
      <c r="A840" s="34">
        <v>106</v>
      </c>
      <c r="B840" s="33" t="s">
        <v>656</v>
      </c>
      <c r="C840" s="33" t="s">
        <v>653</v>
      </c>
      <c r="D840" s="33" t="s">
        <v>653</v>
      </c>
      <c r="E840" s="33" t="s">
        <v>669</v>
      </c>
      <c r="F840" s="34">
        <v>88</v>
      </c>
    </row>
    <row r="841" spans="1:6" x14ac:dyDescent="0.25">
      <c r="A841" s="34">
        <v>106</v>
      </c>
      <c r="B841" s="33" t="s">
        <v>656</v>
      </c>
      <c r="C841" s="33" t="s">
        <v>653</v>
      </c>
      <c r="D841" s="33" t="s">
        <v>653</v>
      </c>
      <c r="E841" s="33" t="s">
        <v>654</v>
      </c>
      <c r="F841" s="34">
        <v>85</v>
      </c>
    </row>
    <row r="842" spans="1:6" x14ac:dyDescent="0.25">
      <c r="A842" s="34">
        <v>107</v>
      </c>
      <c r="B842" s="33" t="s">
        <v>656</v>
      </c>
      <c r="C842" s="33" t="s">
        <v>620</v>
      </c>
      <c r="D842" s="33" t="s">
        <v>621</v>
      </c>
      <c r="E842" s="33" t="s">
        <v>657</v>
      </c>
      <c r="F842" s="34">
        <v>7</v>
      </c>
    </row>
    <row r="843" spans="1:6" x14ac:dyDescent="0.25">
      <c r="A843" s="34">
        <v>107</v>
      </c>
      <c r="B843" s="33" t="s">
        <v>656</v>
      </c>
      <c r="C843" s="33" t="s">
        <v>620</v>
      </c>
      <c r="D843" s="33" t="s">
        <v>621</v>
      </c>
      <c r="E843" s="33" t="s">
        <v>658</v>
      </c>
      <c r="F843" s="34">
        <v>13</v>
      </c>
    </row>
    <row r="844" spans="1:6" x14ac:dyDescent="0.25">
      <c r="A844" s="34">
        <v>107</v>
      </c>
      <c r="B844" s="33" t="s">
        <v>656</v>
      </c>
      <c r="C844" s="33" t="s">
        <v>620</v>
      </c>
      <c r="D844" s="33" t="s">
        <v>621</v>
      </c>
      <c r="E844" s="33" t="s">
        <v>629</v>
      </c>
      <c r="F844" s="34">
        <v>41</v>
      </c>
    </row>
    <row r="845" spans="1:6" x14ac:dyDescent="0.25">
      <c r="A845" s="34">
        <v>107</v>
      </c>
      <c r="B845" s="33" t="s">
        <v>656</v>
      </c>
      <c r="C845" s="33" t="s">
        <v>620</v>
      </c>
      <c r="D845" s="33" t="s">
        <v>630</v>
      </c>
      <c r="E845" s="33" t="s">
        <v>631</v>
      </c>
      <c r="F845" s="34">
        <v>85</v>
      </c>
    </row>
    <row r="846" spans="1:6" x14ac:dyDescent="0.25">
      <c r="A846" s="34">
        <v>107</v>
      </c>
      <c r="B846" s="33" t="s">
        <v>656</v>
      </c>
      <c r="C846" s="33" t="s">
        <v>620</v>
      </c>
      <c r="D846" s="33" t="s">
        <v>630</v>
      </c>
      <c r="E846" s="33" t="s">
        <v>632</v>
      </c>
      <c r="F846" s="33" t="s">
        <v>462</v>
      </c>
    </row>
    <row r="847" spans="1:6" x14ac:dyDescent="0.25">
      <c r="A847" s="34">
        <v>107</v>
      </c>
      <c r="B847" s="33" t="s">
        <v>656</v>
      </c>
      <c r="C847" s="33" t="s">
        <v>620</v>
      </c>
      <c r="D847" s="33" t="s">
        <v>630</v>
      </c>
      <c r="E847" s="33" t="s">
        <v>633</v>
      </c>
      <c r="F847" s="34">
        <v>85</v>
      </c>
    </row>
    <row r="848" spans="1:6" x14ac:dyDescent="0.25">
      <c r="A848" s="34">
        <v>107</v>
      </c>
      <c r="B848" s="33" t="s">
        <v>656</v>
      </c>
      <c r="C848" s="33" t="s">
        <v>634</v>
      </c>
      <c r="D848" s="33" t="s">
        <v>621</v>
      </c>
      <c r="E848" s="33" t="s">
        <v>659</v>
      </c>
      <c r="F848" s="34">
        <v>14</v>
      </c>
    </row>
    <row r="849" spans="1:6" x14ac:dyDescent="0.25">
      <c r="A849" s="34">
        <v>107</v>
      </c>
      <c r="B849" s="33" t="s">
        <v>656</v>
      </c>
      <c r="C849" s="33" t="s">
        <v>634</v>
      </c>
      <c r="D849" s="33" t="s">
        <v>621</v>
      </c>
      <c r="E849" s="33" t="s">
        <v>660</v>
      </c>
      <c r="F849" s="34">
        <v>11</v>
      </c>
    </row>
    <row r="850" spans="1:6" x14ac:dyDescent="0.25">
      <c r="A850" s="34">
        <v>107</v>
      </c>
      <c r="B850" s="33" t="s">
        <v>656</v>
      </c>
      <c r="C850" s="33" t="s">
        <v>634</v>
      </c>
      <c r="D850" s="33" t="s">
        <v>621</v>
      </c>
      <c r="E850" s="33" t="s">
        <v>638</v>
      </c>
      <c r="F850" s="34">
        <v>44</v>
      </c>
    </row>
    <row r="851" spans="1:6" x14ac:dyDescent="0.25">
      <c r="A851" s="34">
        <v>107</v>
      </c>
      <c r="B851" s="33" t="s">
        <v>656</v>
      </c>
      <c r="C851" s="33" t="s">
        <v>634</v>
      </c>
      <c r="D851" s="33" t="s">
        <v>630</v>
      </c>
      <c r="E851" s="33" t="s">
        <v>639</v>
      </c>
      <c r="F851" s="34">
        <v>68</v>
      </c>
    </row>
    <row r="852" spans="1:6" x14ac:dyDescent="0.25">
      <c r="A852" s="34">
        <v>107</v>
      </c>
      <c r="B852" s="33" t="s">
        <v>656</v>
      </c>
      <c r="C852" s="33" t="s">
        <v>634</v>
      </c>
      <c r="D852" s="33" t="s">
        <v>630</v>
      </c>
      <c r="E852" s="33" t="s">
        <v>640</v>
      </c>
      <c r="F852" s="33" t="s">
        <v>462</v>
      </c>
    </row>
    <row r="853" spans="1:6" x14ac:dyDescent="0.25">
      <c r="A853" s="34">
        <v>107</v>
      </c>
      <c r="B853" s="33" t="s">
        <v>656</v>
      </c>
      <c r="C853" s="33" t="s">
        <v>634</v>
      </c>
      <c r="D853" s="33" t="s">
        <v>630</v>
      </c>
      <c r="E853" s="33" t="s">
        <v>661</v>
      </c>
      <c r="F853" s="34">
        <v>68</v>
      </c>
    </row>
    <row r="854" spans="1:6" x14ac:dyDescent="0.25">
      <c r="A854" s="34">
        <v>107</v>
      </c>
      <c r="B854" s="33" t="s">
        <v>656</v>
      </c>
      <c r="C854" s="33" t="s">
        <v>642</v>
      </c>
      <c r="D854" s="33" t="s">
        <v>621</v>
      </c>
      <c r="E854" s="33" t="s">
        <v>662</v>
      </c>
      <c r="F854" s="34">
        <v>7</v>
      </c>
    </row>
    <row r="855" spans="1:6" x14ac:dyDescent="0.25">
      <c r="A855" s="34">
        <v>107</v>
      </c>
      <c r="B855" s="33" t="s">
        <v>656</v>
      </c>
      <c r="C855" s="33" t="s">
        <v>642</v>
      </c>
      <c r="D855" s="33" t="s">
        <v>621</v>
      </c>
      <c r="E855" s="33" t="s">
        <v>663</v>
      </c>
      <c r="F855" s="34">
        <v>9</v>
      </c>
    </row>
    <row r="856" spans="1:6" x14ac:dyDescent="0.25">
      <c r="A856" s="34">
        <v>107</v>
      </c>
      <c r="B856" s="33" t="s">
        <v>656</v>
      </c>
      <c r="C856" s="33" t="s">
        <v>642</v>
      </c>
      <c r="D856" s="33" t="s">
        <v>621</v>
      </c>
      <c r="E856" s="33" t="s">
        <v>664</v>
      </c>
      <c r="F856" s="34">
        <v>10</v>
      </c>
    </row>
    <row r="857" spans="1:6" x14ac:dyDescent="0.25">
      <c r="A857" s="34">
        <v>107</v>
      </c>
      <c r="B857" s="33" t="s">
        <v>656</v>
      </c>
      <c r="C857" s="33" t="s">
        <v>642</v>
      </c>
      <c r="D857" s="33" t="s">
        <v>621</v>
      </c>
      <c r="E857" s="33" t="s">
        <v>665</v>
      </c>
      <c r="F857" s="34">
        <v>41</v>
      </c>
    </row>
    <row r="858" spans="1:6" x14ac:dyDescent="0.25">
      <c r="A858" s="34">
        <v>107</v>
      </c>
      <c r="B858" s="33" t="s">
        <v>656</v>
      </c>
      <c r="C858" s="33" t="s">
        <v>642</v>
      </c>
      <c r="D858" s="33" t="s">
        <v>630</v>
      </c>
      <c r="E858" s="33" t="s">
        <v>650</v>
      </c>
      <c r="F858" s="34">
        <v>72</v>
      </c>
    </row>
    <row r="859" spans="1:6" x14ac:dyDescent="0.25">
      <c r="A859" s="34">
        <v>107</v>
      </c>
      <c r="B859" s="33" t="s">
        <v>656</v>
      </c>
      <c r="C859" s="33" t="s">
        <v>642</v>
      </c>
      <c r="D859" s="33" t="s">
        <v>630</v>
      </c>
      <c r="E859" s="33" t="s">
        <v>651</v>
      </c>
      <c r="F859" s="33" t="s">
        <v>462</v>
      </c>
    </row>
    <row r="860" spans="1:6" x14ac:dyDescent="0.25">
      <c r="A860" s="34">
        <v>107</v>
      </c>
      <c r="B860" s="33" t="s">
        <v>656</v>
      </c>
      <c r="C860" s="33" t="s">
        <v>642</v>
      </c>
      <c r="D860" s="33" t="s">
        <v>630</v>
      </c>
      <c r="E860" s="33" t="s">
        <v>652</v>
      </c>
      <c r="F860" s="34">
        <v>72</v>
      </c>
    </row>
    <row r="861" spans="1:6" x14ac:dyDescent="0.25">
      <c r="A861" s="34">
        <v>107</v>
      </c>
      <c r="B861" s="33" t="s">
        <v>656</v>
      </c>
      <c r="C861" s="33" t="s">
        <v>653</v>
      </c>
      <c r="D861" s="33" t="s">
        <v>621</v>
      </c>
      <c r="E861" s="33" t="s">
        <v>666</v>
      </c>
      <c r="F861" s="34">
        <v>0</v>
      </c>
    </row>
    <row r="862" spans="1:6" x14ac:dyDescent="0.25">
      <c r="A862" s="34">
        <v>107</v>
      </c>
      <c r="B862" s="33" t="s">
        <v>656</v>
      </c>
      <c r="C862" s="33" t="s">
        <v>653</v>
      </c>
      <c r="D862" s="33" t="s">
        <v>621</v>
      </c>
      <c r="E862" s="33" t="s">
        <v>667</v>
      </c>
      <c r="F862" s="34">
        <v>0</v>
      </c>
    </row>
    <row r="863" spans="1:6" x14ac:dyDescent="0.25">
      <c r="A863" s="34">
        <v>107</v>
      </c>
      <c r="B863" s="33" t="s">
        <v>656</v>
      </c>
      <c r="C863" s="33" t="s">
        <v>653</v>
      </c>
      <c r="D863" s="33" t="s">
        <v>653</v>
      </c>
      <c r="E863" s="33" t="s">
        <v>668</v>
      </c>
      <c r="F863" s="34">
        <v>0</v>
      </c>
    </row>
    <row r="864" spans="1:6" x14ac:dyDescent="0.25">
      <c r="A864" s="34">
        <v>107</v>
      </c>
      <c r="B864" s="33" t="s">
        <v>656</v>
      </c>
      <c r="C864" s="33" t="s">
        <v>653</v>
      </c>
      <c r="D864" s="33" t="s">
        <v>653</v>
      </c>
      <c r="E864" s="33" t="s">
        <v>669</v>
      </c>
      <c r="F864" s="34">
        <v>88</v>
      </c>
    </row>
    <row r="865" spans="1:6" x14ac:dyDescent="0.25">
      <c r="A865" s="34">
        <v>107</v>
      </c>
      <c r="B865" s="33" t="s">
        <v>656</v>
      </c>
      <c r="C865" s="33" t="s">
        <v>653</v>
      </c>
      <c r="D865" s="33" t="s">
        <v>653</v>
      </c>
      <c r="E865" s="33" t="s">
        <v>654</v>
      </c>
      <c r="F865" s="34">
        <v>68</v>
      </c>
    </row>
    <row r="866" spans="1:6" x14ac:dyDescent="0.25">
      <c r="A866" s="34">
        <v>108</v>
      </c>
      <c r="B866" s="33" t="s">
        <v>656</v>
      </c>
      <c r="C866" s="33" t="s">
        <v>620</v>
      </c>
      <c r="D866" s="33" t="s">
        <v>621</v>
      </c>
      <c r="E866" s="33" t="s">
        <v>657</v>
      </c>
      <c r="F866" s="33" t="s">
        <v>462</v>
      </c>
    </row>
    <row r="867" spans="1:6" x14ac:dyDescent="0.25">
      <c r="A867" s="34">
        <v>108</v>
      </c>
      <c r="B867" s="33" t="s">
        <v>656</v>
      </c>
      <c r="C867" s="33" t="s">
        <v>620</v>
      </c>
      <c r="D867" s="33" t="s">
        <v>621</v>
      </c>
      <c r="E867" s="33" t="s">
        <v>658</v>
      </c>
      <c r="F867" s="34">
        <v>14</v>
      </c>
    </row>
    <row r="868" spans="1:6" x14ac:dyDescent="0.25">
      <c r="A868" s="34">
        <v>108</v>
      </c>
      <c r="B868" s="33" t="s">
        <v>656</v>
      </c>
      <c r="C868" s="33" t="s">
        <v>620</v>
      </c>
      <c r="D868" s="33" t="s">
        <v>621</v>
      </c>
      <c r="E868" s="33" t="s">
        <v>629</v>
      </c>
      <c r="F868" s="34">
        <v>41</v>
      </c>
    </row>
    <row r="869" spans="1:6" x14ac:dyDescent="0.25">
      <c r="A869" s="34">
        <v>108</v>
      </c>
      <c r="B869" s="33" t="s">
        <v>656</v>
      </c>
      <c r="C869" s="33" t="s">
        <v>620</v>
      </c>
      <c r="D869" s="33" t="s">
        <v>630</v>
      </c>
      <c r="E869" s="33" t="s">
        <v>631</v>
      </c>
      <c r="F869" s="34">
        <v>85</v>
      </c>
    </row>
    <row r="870" spans="1:6" x14ac:dyDescent="0.25">
      <c r="A870" s="34">
        <v>108</v>
      </c>
      <c r="B870" s="33" t="s">
        <v>656</v>
      </c>
      <c r="C870" s="33" t="s">
        <v>620</v>
      </c>
      <c r="D870" s="33" t="s">
        <v>630</v>
      </c>
      <c r="E870" s="33" t="s">
        <v>632</v>
      </c>
      <c r="F870" s="33" t="s">
        <v>462</v>
      </c>
    </row>
    <row r="871" spans="1:6" x14ac:dyDescent="0.25">
      <c r="A871" s="34">
        <v>108</v>
      </c>
      <c r="B871" s="33" t="s">
        <v>656</v>
      </c>
      <c r="C871" s="33" t="s">
        <v>620</v>
      </c>
      <c r="D871" s="33" t="s">
        <v>630</v>
      </c>
      <c r="E871" s="33" t="s">
        <v>633</v>
      </c>
      <c r="F871" s="34">
        <v>85</v>
      </c>
    </row>
    <row r="872" spans="1:6" x14ac:dyDescent="0.25">
      <c r="A872" s="34">
        <v>108</v>
      </c>
      <c r="B872" s="33" t="s">
        <v>656</v>
      </c>
      <c r="C872" s="33" t="s">
        <v>634</v>
      </c>
      <c r="D872" s="33" t="s">
        <v>621</v>
      </c>
      <c r="E872" s="33" t="s">
        <v>659</v>
      </c>
      <c r="F872" s="34">
        <v>18</v>
      </c>
    </row>
    <row r="873" spans="1:6" x14ac:dyDescent="0.25">
      <c r="A873" s="34">
        <v>108</v>
      </c>
      <c r="B873" s="33" t="s">
        <v>656</v>
      </c>
      <c r="C873" s="33" t="s">
        <v>634</v>
      </c>
      <c r="D873" s="33" t="s">
        <v>621</v>
      </c>
      <c r="E873" s="33" t="s">
        <v>660</v>
      </c>
      <c r="F873" s="34">
        <v>8</v>
      </c>
    </row>
    <row r="874" spans="1:6" x14ac:dyDescent="0.25">
      <c r="A874" s="34">
        <v>108</v>
      </c>
      <c r="B874" s="33" t="s">
        <v>656</v>
      </c>
      <c r="C874" s="33" t="s">
        <v>634</v>
      </c>
      <c r="D874" s="33" t="s">
        <v>621</v>
      </c>
      <c r="E874" s="33" t="s">
        <v>638</v>
      </c>
      <c r="F874" s="34">
        <v>47.5</v>
      </c>
    </row>
    <row r="875" spans="1:6" x14ac:dyDescent="0.25">
      <c r="A875" s="34">
        <v>108</v>
      </c>
      <c r="B875" s="33" t="s">
        <v>656</v>
      </c>
      <c r="C875" s="33" t="s">
        <v>634</v>
      </c>
      <c r="D875" s="33" t="s">
        <v>630</v>
      </c>
      <c r="E875" s="33" t="s">
        <v>639</v>
      </c>
      <c r="F875" s="34">
        <v>78</v>
      </c>
    </row>
    <row r="876" spans="1:6" x14ac:dyDescent="0.25">
      <c r="A876" s="34">
        <v>108</v>
      </c>
      <c r="B876" s="33" t="s">
        <v>656</v>
      </c>
      <c r="C876" s="33" t="s">
        <v>634</v>
      </c>
      <c r="D876" s="33" t="s">
        <v>630</v>
      </c>
      <c r="E876" s="33" t="s">
        <v>640</v>
      </c>
      <c r="F876" s="34">
        <v>85</v>
      </c>
    </row>
    <row r="877" spans="1:6" x14ac:dyDescent="0.25">
      <c r="A877" s="34">
        <v>108</v>
      </c>
      <c r="B877" s="33" t="s">
        <v>656</v>
      </c>
      <c r="C877" s="33" t="s">
        <v>634</v>
      </c>
      <c r="D877" s="33" t="s">
        <v>630</v>
      </c>
      <c r="E877" s="33" t="s">
        <v>661</v>
      </c>
      <c r="F877" s="34">
        <v>85</v>
      </c>
    </row>
    <row r="878" spans="1:6" x14ac:dyDescent="0.25">
      <c r="A878" s="34">
        <v>108</v>
      </c>
      <c r="B878" s="33" t="s">
        <v>656</v>
      </c>
      <c r="C878" s="33" t="s">
        <v>642</v>
      </c>
      <c r="D878" s="33" t="s">
        <v>621</v>
      </c>
      <c r="E878" s="33" t="s">
        <v>662</v>
      </c>
      <c r="F878" s="34">
        <v>9</v>
      </c>
    </row>
    <row r="879" spans="1:6" x14ac:dyDescent="0.25">
      <c r="A879" s="34">
        <v>108</v>
      </c>
      <c r="B879" s="33" t="s">
        <v>656</v>
      </c>
      <c r="C879" s="33" t="s">
        <v>642</v>
      </c>
      <c r="D879" s="33" t="s">
        <v>621</v>
      </c>
      <c r="E879" s="33" t="s">
        <v>663</v>
      </c>
      <c r="F879" s="34">
        <v>10</v>
      </c>
    </row>
    <row r="880" spans="1:6" x14ac:dyDescent="0.25">
      <c r="A880" s="34">
        <v>108</v>
      </c>
      <c r="B880" s="33" t="s">
        <v>656</v>
      </c>
      <c r="C880" s="33" t="s">
        <v>642</v>
      </c>
      <c r="D880" s="33" t="s">
        <v>621</v>
      </c>
      <c r="E880" s="33" t="s">
        <v>664</v>
      </c>
      <c r="F880" s="34">
        <v>11</v>
      </c>
    </row>
    <row r="881" spans="1:6" x14ac:dyDescent="0.25">
      <c r="A881" s="34">
        <v>108</v>
      </c>
      <c r="B881" s="33" t="s">
        <v>656</v>
      </c>
      <c r="C881" s="33" t="s">
        <v>642</v>
      </c>
      <c r="D881" s="33" t="s">
        <v>621</v>
      </c>
      <c r="E881" s="33" t="s">
        <v>665</v>
      </c>
      <c r="F881" s="34">
        <v>41</v>
      </c>
    </row>
    <row r="882" spans="1:6" x14ac:dyDescent="0.25">
      <c r="A882" s="34">
        <v>108</v>
      </c>
      <c r="B882" s="33" t="s">
        <v>656</v>
      </c>
      <c r="C882" s="33" t="s">
        <v>642</v>
      </c>
      <c r="D882" s="33" t="s">
        <v>630</v>
      </c>
      <c r="E882" s="33" t="s">
        <v>650</v>
      </c>
      <c r="F882" s="34">
        <v>75</v>
      </c>
    </row>
    <row r="883" spans="1:6" x14ac:dyDescent="0.25">
      <c r="A883" s="34">
        <v>108</v>
      </c>
      <c r="B883" s="33" t="s">
        <v>656</v>
      </c>
      <c r="C883" s="33" t="s">
        <v>642</v>
      </c>
      <c r="D883" s="33" t="s">
        <v>630</v>
      </c>
      <c r="E883" s="33" t="s">
        <v>651</v>
      </c>
      <c r="F883" s="33" t="s">
        <v>462</v>
      </c>
    </row>
    <row r="884" spans="1:6" x14ac:dyDescent="0.25">
      <c r="A884" s="34">
        <v>108</v>
      </c>
      <c r="B884" s="33" t="s">
        <v>656</v>
      </c>
      <c r="C884" s="33" t="s">
        <v>642</v>
      </c>
      <c r="D884" s="33" t="s">
        <v>630</v>
      </c>
      <c r="E884" s="33" t="s">
        <v>652</v>
      </c>
      <c r="F884" s="34">
        <v>75</v>
      </c>
    </row>
    <row r="885" spans="1:6" x14ac:dyDescent="0.25">
      <c r="A885" s="34">
        <v>108</v>
      </c>
      <c r="B885" s="33" t="s">
        <v>656</v>
      </c>
      <c r="C885" s="33" t="s">
        <v>653</v>
      </c>
      <c r="D885" s="33" t="s">
        <v>621</v>
      </c>
      <c r="E885" s="33" t="s">
        <v>666</v>
      </c>
      <c r="F885" s="34">
        <v>22</v>
      </c>
    </row>
    <row r="886" spans="1:6" x14ac:dyDescent="0.25">
      <c r="A886" s="34">
        <v>108</v>
      </c>
      <c r="B886" s="33" t="s">
        <v>656</v>
      </c>
      <c r="C886" s="33" t="s">
        <v>653</v>
      </c>
      <c r="D886" s="33" t="s">
        <v>621</v>
      </c>
      <c r="E886" s="33" t="s">
        <v>667</v>
      </c>
      <c r="F886" s="34">
        <v>4</v>
      </c>
    </row>
    <row r="887" spans="1:6" x14ac:dyDescent="0.25">
      <c r="A887" s="34">
        <v>108</v>
      </c>
      <c r="B887" s="33" t="s">
        <v>656</v>
      </c>
      <c r="C887" s="33" t="s">
        <v>653</v>
      </c>
      <c r="D887" s="33" t="s">
        <v>653</v>
      </c>
      <c r="E887" s="33" t="s">
        <v>668</v>
      </c>
      <c r="F887" s="34">
        <v>0</v>
      </c>
    </row>
    <row r="888" spans="1:6" x14ac:dyDescent="0.25">
      <c r="A888" s="34">
        <v>108</v>
      </c>
      <c r="B888" s="33" t="s">
        <v>656</v>
      </c>
      <c r="C888" s="33" t="s">
        <v>653</v>
      </c>
      <c r="D888" s="33" t="s">
        <v>653</v>
      </c>
      <c r="E888" s="33" t="s">
        <v>669</v>
      </c>
      <c r="F888" s="34">
        <v>92</v>
      </c>
    </row>
    <row r="889" spans="1:6" x14ac:dyDescent="0.25">
      <c r="A889" s="34">
        <v>108</v>
      </c>
      <c r="B889" s="33" t="s">
        <v>656</v>
      </c>
      <c r="C889" s="33" t="s">
        <v>653</v>
      </c>
      <c r="D889" s="33" t="s">
        <v>653</v>
      </c>
      <c r="E889" s="33" t="s">
        <v>654</v>
      </c>
      <c r="F889" s="34">
        <v>85</v>
      </c>
    </row>
    <row r="890" spans="1:6" x14ac:dyDescent="0.25">
      <c r="A890" s="34">
        <v>109</v>
      </c>
      <c r="B890" s="33" t="s">
        <v>656</v>
      </c>
      <c r="C890" s="33" t="s">
        <v>620</v>
      </c>
      <c r="D890" s="33" t="s">
        <v>621</v>
      </c>
      <c r="E890" s="33" t="s">
        <v>657</v>
      </c>
      <c r="F890" s="34">
        <v>13.5</v>
      </c>
    </row>
    <row r="891" spans="1:6" x14ac:dyDescent="0.25">
      <c r="A891" s="34">
        <v>109</v>
      </c>
      <c r="B891" s="33" t="s">
        <v>656</v>
      </c>
      <c r="C891" s="33" t="s">
        <v>620</v>
      </c>
      <c r="D891" s="33" t="s">
        <v>621</v>
      </c>
      <c r="E891" s="33" t="s">
        <v>658</v>
      </c>
      <c r="F891" s="34">
        <v>12.5</v>
      </c>
    </row>
    <row r="892" spans="1:6" x14ac:dyDescent="0.25">
      <c r="A892" s="34">
        <v>109</v>
      </c>
      <c r="B892" s="33" t="s">
        <v>656</v>
      </c>
      <c r="C892" s="33" t="s">
        <v>620</v>
      </c>
      <c r="D892" s="33" t="s">
        <v>621</v>
      </c>
      <c r="E892" s="33" t="s">
        <v>629</v>
      </c>
      <c r="F892" s="34">
        <v>0</v>
      </c>
    </row>
    <row r="893" spans="1:6" x14ac:dyDescent="0.25">
      <c r="A893" s="34">
        <v>109</v>
      </c>
      <c r="B893" s="33" t="s">
        <v>656</v>
      </c>
      <c r="C893" s="33" t="s">
        <v>620</v>
      </c>
      <c r="D893" s="33" t="s">
        <v>630</v>
      </c>
      <c r="E893" s="33" t="s">
        <v>631</v>
      </c>
      <c r="F893" s="34">
        <v>30</v>
      </c>
    </row>
    <row r="894" spans="1:6" x14ac:dyDescent="0.25">
      <c r="A894" s="34">
        <v>109</v>
      </c>
      <c r="B894" s="33" t="s">
        <v>656</v>
      </c>
      <c r="C894" s="33" t="s">
        <v>620</v>
      </c>
      <c r="D894" s="33" t="s">
        <v>630</v>
      </c>
      <c r="E894" s="33" t="s">
        <v>632</v>
      </c>
      <c r="F894" s="34">
        <v>30</v>
      </c>
    </row>
    <row r="895" spans="1:6" x14ac:dyDescent="0.25">
      <c r="A895" s="34">
        <v>109</v>
      </c>
      <c r="B895" s="33" t="s">
        <v>656</v>
      </c>
      <c r="C895" s="33" t="s">
        <v>620</v>
      </c>
      <c r="D895" s="33" t="s">
        <v>630</v>
      </c>
      <c r="E895" s="33" t="s">
        <v>633</v>
      </c>
      <c r="F895" s="34">
        <v>30</v>
      </c>
    </row>
    <row r="896" spans="1:6" x14ac:dyDescent="0.25">
      <c r="A896" s="34">
        <v>109</v>
      </c>
      <c r="B896" s="33" t="s">
        <v>656</v>
      </c>
      <c r="C896" s="33" t="s">
        <v>634</v>
      </c>
      <c r="D896" s="33" t="s">
        <v>621</v>
      </c>
      <c r="E896" s="33" t="s">
        <v>659</v>
      </c>
      <c r="F896" s="34">
        <v>13</v>
      </c>
    </row>
    <row r="897" spans="1:6" x14ac:dyDescent="0.25">
      <c r="A897" s="34">
        <v>109</v>
      </c>
      <c r="B897" s="33" t="s">
        <v>656</v>
      </c>
      <c r="C897" s="33" t="s">
        <v>634</v>
      </c>
      <c r="D897" s="33" t="s">
        <v>621</v>
      </c>
      <c r="E897" s="33" t="s">
        <v>660</v>
      </c>
      <c r="F897" s="34">
        <v>10</v>
      </c>
    </row>
    <row r="898" spans="1:6" x14ac:dyDescent="0.25">
      <c r="A898" s="34">
        <v>109</v>
      </c>
      <c r="B898" s="33" t="s">
        <v>656</v>
      </c>
      <c r="C898" s="33" t="s">
        <v>634</v>
      </c>
      <c r="D898" s="33" t="s">
        <v>621</v>
      </c>
      <c r="E898" s="33" t="s">
        <v>638</v>
      </c>
      <c r="F898" s="34">
        <v>42.5</v>
      </c>
    </row>
    <row r="899" spans="1:6" x14ac:dyDescent="0.25">
      <c r="A899" s="34">
        <v>109</v>
      </c>
      <c r="B899" s="33" t="s">
        <v>656</v>
      </c>
      <c r="C899" s="33" t="s">
        <v>634</v>
      </c>
      <c r="D899" s="33" t="s">
        <v>630</v>
      </c>
      <c r="E899" s="33" t="s">
        <v>639</v>
      </c>
      <c r="F899" s="34">
        <v>30</v>
      </c>
    </row>
    <row r="900" spans="1:6" x14ac:dyDescent="0.25">
      <c r="A900" s="34">
        <v>109</v>
      </c>
      <c r="B900" s="33" t="s">
        <v>656</v>
      </c>
      <c r="C900" s="33" t="s">
        <v>634</v>
      </c>
      <c r="D900" s="33" t="s">
        <v>630</v>
      </c>
      <c r="E900" s="33" t="s">
        <v>640</v>
      </c>
      <c r="F900" s="34">
        <v>65</v>
      </c>
    </row>
    <row r="901" spans="1:6" x14ac:dyDescent="0.25">
      <c r="A901" s="34">
        <v>109</v>
      </c>
      <c r="B901" s="33" t="s">
        <v>656</v>
      </c>
      <c r="C901" s="33" t="s">
        <v>634</v>
      </c>
      <c r="D901" s="33" t="s">
        <v>630</v>
      </c>
      <c r="E901" s="33" t="s">
        <v>661</v>
      </c>
      <c r="F901" s="34">
        <v>65</v>
      </c>
    </row>
    <row r="902" spans="1:6" x14ac:dyDescent="0.25">
      <c r="A902" s="34">
        <v>109</v>
      </c>
      <c r="B902" s="33" t="s">
        <v>656</v>
      </c>
      <c r="C902" s="33" t="s">
        <v>642</v>
      </c>
      <c r="D902" s="33" t="s">
        <v>621</v>
      </c>
      <c r="E902" s="33" t="s">
        <v>662</v>
      </c>
      <c r="F902" s="34">
        <v>0</v>
      </c>
    </row>
    <row r="903" spans="1:6" x14ac:dyDescent="0.25">
      <c r="A903" s="34">
        <v>109</v>
      </c>
      <c r="B903" s="33" t="s">
        <v>656</v>
      </c>
      <c r="C903" s="33" t="s">
        <v>642</v>
      </c>
      <c r="D903" s="33" t="s">
        <v>621</v>
      </c>
      <c r="E903" s="33" t="s">
        <v>663</v>
      </c>
      <c r="F903" s="34">
        <v>10</v>
      </c>
    </row>
    <row r="904" spans="1:6" x14ac:dyDescent="0.25">
      <c r="A904" s="34">
        <v>109</v>
      </c>
      <c r="B904" s="33" t="s">
        <v>656</v>
      </c>
      <c r="C904" s="33" t="s">
        <v>642</v>
      </c>
      <c r="D904" s="33" t="s">
        <v>621</v>
      </c>
      <c r="E904" s="33" t="s">
        <v>664</v>
      </c>
      <c r="F904" s="34">
        <v>0</v>
      </c>
    </row>
    <row r="905" spans="1:6" x14ac:dyDescent="0.25">
      <c r="A905" s="34">
        <v>109</v>
      </c>
      <c r="B905" s="33" t="s">
        <v>656</v>
      </c>
      <c r="C905" s="33" t="s">
        <v>642</v>
      </c>
      <c r="D905" s="33" t="s">
        <v>621</v>
      </c>
      <c r="E905" s="33" t="s">
        <v>665</v>
      </c>
      <c r="F905" s="34">
        <v>39</v>
      </c>
    </row>
    <row r="906" spans="1:6" x14ac:dyDescent="0.25">
      <c r="A906" s="34">
        <v>109</v>
      </c>
      <c r="B906" s="33" t="s">
        <v>656</v>
      </c>
      <c r="C906" s="33" t="s">
        <v>642</v>
      </c>
      <c r="D906" s="33" t="s">
        <v>630</v>
      </c>
      <c r="E906" s="33" t="s">
        <v>650</v>
      </c>
      <c r="F906" s="34">
        <v>65</v>
      </c>
    </row>
    <row r="907" spans="1:6" x14ac:dyDescent="0.25">
      <c r="A907" s="34">
        <v>109</v>
      </c>
      <c r="B907" s="33" t="s">
        <v>656</v>
      </c>
      <c r="C907" s="33" t="s">
        <v>642</v>
      </c>
      <c r="D907" s="33" t="s">
        <v>630</v>
      </c>
      <c r="E907" s="33" t="s">
        <v>651</v>
      </c>
      <c r="F907" s="33" t="s">
        <v>462</v>
      </c>
    </row>
    <row r="908" spans="1:6" x14ac:dyDescent="0.25">
      <c r="A908" s="34">
        <v>109</v>
      </c>
      <c r="B908" s="33" t="s">
        <v>656</v>
      </c>
      <c r="C908" s="33" t="s">
        <v>642</v>
      </c>
      <c r="D908" s="33" t="s">
        <v>630</v>
      </c>
      <c r="E908" s="33" t="s">
        <v>652</v>
      </c>
      <c r="F908" s="34">
        <v>65</v>
      </c>
    </row>
    <row r="909" spans="1:6" x14ac:dyDescent="0.25">
      <c r="A909" s="34">
        <v>109</v>
      </c>
      <c r="B909" s="33" t="s">
        <v>656</v>
      </c>
      <c r="C909" s="33" t="s">
        <v>653</v>
      </c>
      <c r="D909" s="33" t="s">
        <v>621</v>
      </c>
      <c r="E909" s="33" t="s">
        <v>666</v>
      </c>
      <c r="F909" s="34">
        <v>0</v>
      </c>
    </row>
    <row r="910" spans="1:6" x14ac:dyDescent="0.25">
      <c r="A910" s="34">
        <v>109</v>
      </c>
      <c r="B910" s="33" t="s">
        <v>656</v>
      </c>
      <c r="C910" s="33" t="s">
        <v>653</v>
      </c>
      <c r="D910" s="33" t="s">
        <v>621</v>
      </c>
      <c r="E910" s="33" t="s">
        <v>667</v>
      </c>
      <c r="F910" s="34">
        <v>9</v>
      </c>
    </row>
    <row r="911" spans="1:6" x14ac:dyDescent="0.25">
      <c r="A911" s="34">
        <v>109</v>
      </c>
      <c r="B911" s="33" t="s">
        <v>656</v>
      </c>
      <c r="C911" s="33" t="s">
        <v>653</v>
      </c>
      <c r="D911" s="33" t="s">
        <v>653</v>
      </c>
      <c r="E911" s="33" t="s">
        <v>668</v>
      </c>
      <c r="F911" s="34">
        <v>0</v>
      </c>
    </row>
    <row r="912" spans="1:6" x14ac:dyDescent="0.25">
      <c r="A912" s="34">
        <v>109</v>
      </c>
      <c r="B912" s="33" t="s">
        <v>656</v>
      </c>
      <c r="C912" s="33" t="s">
        <v>653</v>
      </c>
      <c r="D912" s="33" t="s">
        <v>653</v>
      </c>
      <c r="E912" s="33" t="s">
        <v>669</v>
      </c>
      <c r="F912" s="34">
        <v>72</v>
      </c>
    </row>
    <row r="913" spans="1:6" x14ac:dyDescent="0.25">
      <c r="A913" s="34">
        <v>109</v>
      </c>
      <c r="B913" s="33" t="s">
        <v>656</v>
      </c>
      <c r="C913" s="33" t="s">
        <v>653</v>
      </c>
      <c r="D913" s="33" t="s">
        <v>653</v>
      </c>
      <c r="E913" s="33" t="s">
        <v>654</v>
      </c>
      <c r="F913" s="34">
        <v>30</v>
      </c>
    </row>
    <row r="914" spans="1:6" x14ac:dyDescent="0.25">
      <c r="A914" s="34">
        <v>110</v>
      </c>
      <c r="B914" s="33" t="s">
        <v>656</v>
      </c>
      <c r="C914" s="33" t="s">
        <v>620</v>
      </c>
      <c r="D914" s="33" t="s">
        <v>621</v>
      </c>
      <c r="E914" s="33" t="s">
        <v>657</v>
      </c>
      <c r="F914" s="34">
        <v>13</v>
      </c>
    </row>
    <row r="915" spans="1:6" x14ac:dyDescent="0.25">
      <c r="A915" s="34">
        <v>110</v>
      </c>
      <c r="B915" s="33" t="s">
        <v>656</v>
      </c>
      <c r="C915" s="33" t="s">
        <v>620</v>
      </c>
      <c r="D915" s="33" t="s">
        <v>621</v>
      </c>
      <c r="E915" s="33" t="s">
        <v>658</v>
      </c>
      <c r="F915" s="34">
        <v>13</v>
      </c>
    </row>
    <row r="916" spans="1:6" x14ac:dyDescent="0.25">
      <c r="A916" s="34">
        <v>110</v>
      </c>
      <c r="B916" s="33" t="s">
        <v>656</v>
      </c>
      <c r="C916" s="33" t="s">
        <v>620</v>
      </c>
      <c r="D916" s="33" t="s">
        <v>621</v>
      </c>
      <c r="E916" s="33" t="s">
        <v>629</v>
      </c>
      <c r="F916" s="34">
        <v>39</v>
      </c>
    </row>
    <row r="917" spans="1:6" x14ac:dyDescent="0.25">
      <c r="A917" s="34">
        <v>110</v>
      </c>
      <c r="B917" s="33" t="s">
        <v>656</v>
      </c>
      <c r="C917" s="33" t="s">
        <v>620</v>
      </c>
      <c r="D917" s="33" t="s">
        <v>630</v>
      </c>
      <c r="E917" s="33" t="s">
        <v>631</v>
      </c>
      <c r="F917" s="34">
        <v>82</v>
      </c>
    </row>
    <row r="918" spans="1:6" x14ac:dyDescent="0.25">
      <c r="A918" s="34">
        <v>110</v>
      </c>
      <c r="B918" s="33" t="s">
        <v>656</v>
      </c>
      <c r="C918" s="33" t="s">
        <v>620</v>
      </c>
      <c r="D918" s="33" t="s">
        <v>630</v>
      </c>
      <c r="E918" s="33" t="s">
        <v>632</v>
      </c>
      <c r="F918" s="33" t="s">
        <v>462</v>
      </c>
    </row>
    <row r="919" spans="1:6" x14ac:dyDescent="0.25">
      <c r="A919" s="34">
        <v>110</v>
      </c>
      <c r="B919" s="33" t="s">
        <v>656</v>
      </c>
      <c r="C919" s="33" t="s">
        <v>620</v>
      </c>
      <c r="D919" s="33" t="s">
        <v>630</v>
      </c>
      <c r="E919" s="33" t="s">
        <v>633</v>
      </c>
      <c r="F919" s="34">
        <v>82</v>
      </c>
    </row>
    <row r="920" spans="1:6" x14ac:dyDescent="0.25">
      <c r="A920" s="34">
        <v>110</v>
      </c>
      <c r="B920" s="33" t="s">
        <v>656</v>
      </c>
      <c r="C920" s="33" t="s">
        <v>634</v>
      </c>
      <c r="D920" s="33" t="s">
        <v>621</v>
      </c>
      <c r="E920" s="33" t="s">
        <v>659</v>
      </c>
      <c r="F920" s="34">
        <v>18</v>
      </c>
    </row>
    <row r="921" spans="1:6" x14ac:dyDescent="0.25">
      <c r="A921" s="34">
        <v>110</v>
      </c>
      <c r="B921" s="33" t="s">
        <v>656</v>
      </c>
      <c r="C921" s="33" t="s">
        <v>634</v>
      </c>
      <c r="D921" s="33" t="s">
        <v>621</v>
      </c>
      <c r="E921" s="33" t="s">
        <v>660</v>
      </c>
      <c r="F921" s="34">
        <v>12</v>
      </c>
    </row>
    <row r="922" spans="1:6" x14ac:dyDescent="0.25">
      <c r="A922" s="34">
        <v>110</v>
      </c>
      <c r="B922" s="33" t="s">
        <v>656</v>
      </c>
      <c r="C922" s="33" t="s">
        <v>634</v>
      </c>
      <c r="D922" s="33" t="s">
        <v>621</v>
      </c>
      <c r="E922" s="33" t="s">
        <v>638</v>
      </c>
      <c r="F922" s="34">
        <v>44</v>
      </c>
    </row>
    <row r="923" spans="1:6" x14ac:dyDescent="0.25">
      <c r="A923" s="34">
        <v>110</v>
      </c>
      <c r="B923" s="33" t="s">
        <v>656</v>
      </c>
      <c r="C923" s="33" t="s">
        <v>634</v>
      </c>
      <c r="D923" s="33" t="s">
        <v>630</v>
      </c>
      <c r="E923" s="33" t="s">
        <v>639</v>
      </c>
      <c r="F923" s="34">
        <v>78</v>
      </c>
    </row>
    <row r="924" spans="1:6" x14ac:dyDescent="0.25">
      <c r="A924" s="34">
        <v>110</v>
      </c>
      <c r="B924" s="33" t="s">
        <v>656</v>
      </c>
      <c r="C924" s="33" t="s">
        <v>634</v>
      </c>
      <c r="D924" s="33" t="s">
        <v>630</v>
      </c>
      <c r="E924" s="33" t="s">
        <v>640</v>
      </c>
      <c r="F924" s="34">
        <v>100</v>
      </c>
    </row>
    <row r="925" spans="1:6" x14ac:dyDescent="0.25">
      <c r="A925" s="34">
        <v>110</v>
      </c>
      <c r="B925" s="33" t="s">
        <v>656</v>
      </c>
      <c r="C925" s="33" t="s">
        <v>634</v>
      </c>
      <c r="D925" s="33" t="s">
        <v>630</v>
      </c>
      <c r="E925" s="33" t="s">
        <v>661</v>
      </c>
      <c r="F925" s="34">
        <v>100</v>
      </c>
    </row>
    <row r="926" spans="1:6" x14ac:dyDescent="0.25">
      <c r="A926" s="34">
        <v>110</v>
      </c>
      <c r="B926" s="33" t="s">
        <v>656</v>
      </c>
      <c r="C926" s="33" t="s">
        <v>642</v>
      </c>
      <c r="D926" s="33" t="s">
        <v>621</v>
      </c>
      <c r="E926" s="33" t="s">
        <v>662</v>
      </c>
      <c r="F926" s="34">
        <v>10</v>
      </c>
    </row>
    <row r="927" spans="1:6" x14ac:dyDescent="0.25">
      <c r="A927" s="34">
        <v>110</v>
      </c>
      <c r="B927" s="33" t="s">
        <v>656</v>
      </c>
      <c r="C927" s="33" t="s">
        <v>642</v>
      </c>
      <c r="D927" s="33" t="s">
        <v>621</v>
      </c>
      <c r="E927" s="33" t="s">
        <v>663</v>
      </c>
      <c r="F927" s="34">
        <v>10</v>
      </c>
    </row>
    <row r="928" spans="1:6" x14ac:dyDescent="0.25">
      <c r="A928" s="34">
        <v>110</v>
      </c>
      <c r="B928" s="33" t="s">
        <v>656</v>
      </c>
      <c r="C928" s="33" t="s">
        <v>642</v>
      </c>
      <c r="D928" s="33" t="s">
        <v>621</v>
      </c>
      <c r="E928" s="33" t="s">
        <v>664</v>
      </c>
      <c r="F928" s="34">
        <v>9</v>
      </c>
    </row>
    <row r="929" spans="1:6" x14ac:dyDescent="0.25">
      <c r="A929" s="34">
        <v>110</v>
      </c>
      <c r="B929" s="33" t="s">
        <v>656</v>
      </c>
      <c r="C929" s="33" t="s">
        <v>642</v>
      </c>
      <c r="D929" s="33" t="s">
        <v>621</v>
      </c>
      <c r="E929" s="33" t="s">
        <v>665</v>
      </c>
      <c r="F929" s="34">
        <v>46</v>
      </c>
    </row>
    <row r="930" spans="1:6" x14ac:dyDescent="0.25">
      <c r="A930" s="34">
        <v>110</v>
      </c>
      <c r="B930" s="33" t="s">
        <v>656</v>
      </c>
      <c r="C930" s="33" t="s">
        <v>642</v>
      </c>
      <c r="D930" s="33" t="s">
        <v>630</v>
      </c>
      <c r="E930" s="33" t="s">
        <v>650</v>
      </c>
      <c r="F930" s="34">
        <v>85</v>
      </c>
    </row>
    <row r="931" spans="1:6" x14ac:dyDescent="0.25">
      <c r="A931" s="34">
        <v>110</v>
      </c>
      <c r="B931" s="33" t="s">
        <v>656</v>
      </c>
      <c r="C931" s="33" t="s">
        <v>642</v>
      </c>
      <c r="D931" s="33" t="s">
        <v>630</v>
      </c>
      <c r="E931" s="33" t="s">
        <v>651</v>
      </c>
      <c r="F931" s="33" t="s">
        <v>462</v>
      </c>
    </row>
    <row r="932" spans="1:6" x14ac:dyDescent="0.25">
      <c r="A932" s="34">
        <v>110</v>
      </c>
      <c r="B932" s="33" t="s">
        <v>656</v>
      </c>
      <c r="C932" s="33" t="s">
        <v>642</v>
      </c>
      <c r="D932" s="33" t="s">
        <v>630</v>
      </c>
      <c r="E932" s="33" t="s">
        <v>652</v>
      </c>
      <c r="F932" s="34">
        <v>85</v>
      </c>
    </row>
    <row r="933" spans="1:6" x14ac:dyDescent="0.25">
      <c r="A933" s="34">
        <v>110</v>
      </c>
      <c r="B933" s="33" t="s">
        <v>656</v>
      </c>
      <c r="C933" s="33" t="s">
        <v>653</v>
      </c>
      <c r="D933" s="33" t="s">
        <v>621</v>
      </c>
      <c r="E933" s="33" t="s">
        <v>666</v>
      </c>
      <c r="F933" s="34">
        <v>22</v>
      </c>
    </row>
    <row r="934" spans="1:6" x14ac:dyDescent="0.25">
      <c r="A934" s="34">
        <v>110</v>
      </c>
      <c r="B934" s="33" t="s">
        <v>656</v>
      </c>
      <c r="C934" s="33" t="s">
        <v>653</v>
      </c>
      <c r="D934" s="33" t="s">
        <v>621</v>
      </c>
      <c r="E934" s="33" t="s">
        <v>667</v>
      </c>
      <c r="F934" s="34">
        <v>10</v>
      </c>
    </row>
    <row r="935" spans="1:6" x14ac:dyDescent="0.25">
      <c r="A935" s="34">
        <v>110</v>
      </c>
      <c r="B935" s="33" t="s">
        <v>656</v>
      </c>
      <c r="C935" s="33" t="s">
        <v>653</v>
      </c>
      <c r="D935" s="33" t="s">
        <v>653</v>
      </c>
      <c r="E935" s="33" t="s">
        <v>668</v>
      </c>
      <c r="F935" s="34">
        <v>20</v>
      </c>
    </row>
    <row r="936" spans="1:6" x14ac:dyDescent="0.25">
      <c r="A936" s="34">
        <v>110</v>
      </c>
      <c r="B936" s="33" t="s">
        <v>656</v>
      </c>
      <c r="C936" s="33" t="s">
        <v>653</v>
      </c>
      <c r="D936" s="33" t="s">
        <v>653</v>
      </c>
      <c r="E936" s="33" t="s">
        <v>669</v>
      </c>
      <c r="F936" s="34">
        <v>100</v>
      </c>
    </row>
    <row r="937" spans="1:6" x14ac:dyDescent="0.25">
      <c r="A937" s="34">
        <v>110</v>
      </c>
      <c r="B937" s="33" t="s">
        <v>656</v>
      </c>
      <c r="C937" s="33" t="s">
        <v>653</v>
      </c>
      <c r="D937" s="33" t="s">
        <v>653</v>
      </c>
      <c r="E937" s="33" t="s">
        <v>654</v>
      </c>
      <c r="F937" s="34">
        <v>95</v>
      </c>
    </row>
    <row r="938" spans="1:6" x14ac:dyDescent="0.25">
      <c r="A938" s="34">
        <v>111</v>
      </c>
      <c r="B938" s="33" t="s">
        <v>656</v>
      </c>
      <c r="C938" s="33" t="s">
        <v>620</v>
      </c>
      <c r="D938" s="33" t="s">
        <v>621</v>
      </c>
      <c r="E938" s="33" t="s">
        <v>657</v>
      </c>
      <c r="F938" s="34">
        <v>15</v>
      </c>
    </row>
    <row r="939" spans="1:6" x14ac:dyDescent="0.25">
      <c r="A939" s="34">
        <v>111</v>
      </c>
      <c r="B939" s="33" t="s">
        <v>656</v>
      </c>
      <c r="C939" s="33" t="s">
        <v>620</v>
      </c>
      <c r="D939" s="33" t="s">
        <v>621</v>
      </c>
      <c r="E939" s="33" t="s">
        <v>658</v>
      </c>
      <c r="F939" s="34">
        <v>15</v>
      </c>
    </row>
    <row r="940" spans="1:6" x14ac:dyDescent="0.25">
      <c r="A940" s="34">
        <v>111</v>
      </c>
      <c r="B940" s="33" t="s">
        <v>656</v>
      </c>
      <c r="C940" s="33" t="s">
        <v>620</v>
      </c>
      <c r="D940" s="33" t="s">
        <v>621</v>
      </c>
      <c r="E940" s="33" t="s">
        <v>629</v>
      </c>
      <c r="F940" s="34">
        <v>44</v>
      </c>
    </row>
    <row r="941" spans="1:6" x14ac:dyDescent="0.25">
      <c r="A941" s="34">
        <v>111</v>
      </c>
      <c r="B941" s="33" t="s">
        <v>656</v>
      </c>
      <c r="C941" s="33" t="s">
        <v>620</v>
      </c>
      <c r="D941" s="33" t="s">
        <v>630</v>
      </c>
      <c r="E941" s="33" t="s">
        <v>631</v>
      </c>
      <c r="F941" s="34">
        <v>95</v>
      </c>
    </row>
    <row r="942" spans="1:6" x14ac:dyDescent="0.25">
      <c r="A942" s="34">
        <v>111</v>
      </c>
      <c r="B942" s="33" t="s">
        <v>656</v>
      </c>
      <c r="C942" s="33" t="s">
        <v>620</v>
      </c>
      <c r="D942" s="33" t="s">
        <v>630</v>
      </c>
      <c r="E942" s="33" t="s">
        <v>632</v>
      </c>
      <c r="F942" s="33" t="s">
        <v>462</v>
      </c>
    </row>
    <row r="943" spans="1:6" x14ac:dyDescent="0.25">
      <c r="A943" s="34">
        <v>111</v>
      </c>
      <c r="B943" s="33" t="s">
        <v>656</v>
      </c>
      <c r="C943" s="33" t="s">
        <v>620</v>
      </c>
      <c r="D943" s="33" t="s">
        <v>630</v>
      </c>
      <c r="E943" s="33" t="s">
        <v>633</v>
      </c>
      <c r="F943" s="34">
        <v>95</v>
      </c>
    </row>
    <row r="944" spans="1:6" x14ac:dyDescent="0.25">
      <c r="A944" s="34">
        <v>111</v>
      </c>
      <c r="B944" s="33" t="s">
        <v>656</v>
      </c>
      <c r="C944" s="33" t="s">
        <v>634</v>
      </c>
      <c r="D944" s="33" t="s">
        <v>621</v>
      </c>
      <c r="E944" s="33" t="s">
        <v>659</v>
      </c>
      <c r="F944" s="34">
        <v>15</v>
      </c>
    </row>
    <row r="945" spans="1:6" x14ac:dyDescent="0.25">
      <c r="A945" s="34">
        <v>111</v>
      </c>
      <c r="B945" s="33" t="s">
        <v>656</v>
      </c>
      <c r="C945" s="33" t="s">
        <v>634</v>
      </c>
      <c r="D945" s="33" t="s">
        <v>621</v>
      </c>
      <c r="E945" s="33" t="s">
        <v>660</v>
      </c>
      <c r="F945" s="34">
        <v>11</v>
      </c>
    </row>
    <row r="946" spans="1:6" x14ac:dyDescent="0.25">
      <c r="A946" s="34">
        <v>111</v>
      </c>
      <c r="B946" s="33" t="s">
        <v>656</v>
      </c>
      <c r="C946" s="33" t="s">
        <v>634</v>
      </c>
      <c r="D946" s="33" t="s">
        <v>621</v>
      </c>
      <c r="E946" s="33" t="s">
        <v>638</v>
      </c>
      <c r="F946" s="34">
        <v>37.5</v>
      </c>
    </row>
    <row r="947" spans="1:6" x14ac:dyDescent="0.25">
      <c r="A947" s="34">
        <v>111</v>
      </c>
      <c r="B947" s="33" t="s">
        <v>656</v>
      </c>
      <c r="C947" s="33" t="s">
        <v>634</v>
      </c>
      <c r="D947" s="33" t="s">
        <v>630</v>
      </c>
      <c r="E947" s="33" t="s">
        <v>639</v>
      </c>
      <c r="F947" s="34">
        <v>100</v>
      </c>
    </row>
    <row r="948" spans="1:6" x14ac:dyDescent="0.25">
      <c r="A948" s="34">
        <v>111</v>
      </c>
      <c r="B948" s="33" t="s">
        <v>656</v>
      </c>
      <c r="C948" s="33" t="s">
        <v>634</v>
      </c>
      <c r="D948" s="33" t="s">
        <v>630</v>
      </c>
      <c r="E948" s="33" t="s">
        <v>640</v>
      </c>
      <c r="F948" s="33" t="s">
        <v>462</v>
      </c>
    </row>
    <row r="949" spans="1:6" x14ac:dyDescent="0.25">
      <c r="A949" s="34">
        <v>111</v>
      </c>
      <c r="B949" s="33" t="s">
        <v>656</v>
      </c>
      <c r="C949" s="33" t="s">
        <v>634</v>
      </c>
      <c r="D949" s="33" t="s">
        <v>630</v>
      </c>
      <c r="E949" s="33" t="s">
        <v>661</v>
      </c>
      <c r="F949" s="34">
        <v>100</v>
      </c>
    </row>
    <row r="950" spans="1:6" x14ac:dyDescent="0.25">
      <c r="A950" s="34">
        <v>111</v>
      </c>
      <c r="B950" s="33" t="s">
        <v>656</v>
      </c>
      <c r="C950" s="33" t="s">
        <v>642</v>
      </c>
      <c r="D950" s="33" t="s">
        <v>621</v>
      </c>
      <c r="E950" s="33" t="s">
        <v>662</v>
      </c>
      <c r="F950" s="34">
        <v>10</v>
      </c>
    </row>
    <row r="951" spans="1:6" x14ac:dyDescent="0.25">
      <c r="A951" s="34">
        <v>111</v>
      </c>
      <c r="B951" s="33" t="s">
        <v>656</v>
      </c>
      <c r="C951" s="33" t="s">
        <v>642</v>
      </c>
      <c r="D951" s="33" t="s">
        <v>621</v>
      </c>
      <c r="E951" s="33" t="s">
        <v>663</v>
      </c>
      <c r="F951" s="34">
        <v>10</v>
      </c>
    </row>
    <row r="952" spans="1:6" x14ac:dyDescent="0.25">
      <c r="A952" s="34">
        <v>111</v>
      </c>
      <c r="B952" s="33" t="s">
        <v>656</v>
      </c>
      <c r="C952" s="33" t="s">
        <v>642</v>
      </c>
      <c r="D952" s="33" t="s">
        <v>621</v>
      </c>
      <c r="E952" s="33" t="s">
        <v>664</v>
      </c>
      <c r="F952" s="34">
        <v>11</v>
      </c>
    </row>
    <row r="953" spans="1:6" x14ac:dyDescent="0.25">
      <c r="A953" s="34">
        <v>111</v>
      </c>
      <c r="B953" s="33" t="s">
        <v>656</v>
      </c>
      <c r="C953" s="33" t="s">
        <v>642</v>
      </c>
      <c r="D953" s="33" t="s">
        <v>621</v>
      </c>
      <c r="E953" s="33" t="s">
        <v>665</v>
      </c>
      <c r="F953" s="34">
        <v>47.5</v>
      </c>
    </row>
    <row r="954" spans="1:6" x14ac:dyDescent="0.25">
      <c r="A954" s="34">
        <v>111</v>
      </c>
      <c r="B954" s="33" t="s">
        <v>656</v>
      </c>
      <c r="C954" s="33" t="s">
        <v>642</v>
      </c>
      <c r="D954" s="33" t="s">
        <v>630</v>
      </c>
      <c r="E954" s="33" t="s">
        <v>650</v>
      </c>
      <c r="F954" s="34">
        <v>100</v>
      </c>
    </row>
    <row r="955" spans="1:6" x14ac:dyDescent="0.25">
      <c r="A955" s="34">
        <v>111</v>
      </c>
      <c r="B955" s="33" t="s">
        <v>656</v>
      </c>
      <c r="C955" s="33" t="s">
        <v>642</v>
      </c>
      <c r="D955" s="33" t="s">
        <v>630</v>
      </c>
      <c r="E955" s="33" t="s">
        <v>651</v>
      </c>
      <c r="F955" s="33" t="s">
        <v>462</v>
      </c>
    </row>
    <row r="956" spans="1:6" x14ac:dyDescent="0.25">
      <c r="A956" s="34">
        <v>111</v>
      </c>
      <c r="B956" s="33" t="s">
        <v>656</v>
      </c>
      <c r="C956" s="33" t="s">
        <v>642</v>
      </c>
      <c r="D956" s="33" t="s">
        <v>630</v>
      </c>
      <c r="E956" s="33" t="s">
        <v>652</v>
      </c>
      <c r="F956" s="34">
        <v>100</v>
      </c>
    </row>
    <row r="957" spans="1:6" x14ac:dyDescent="0.25">
      <c r="A957" s="34">
        <v>111</v>
      </c>
      <c r="B957" s="33" t="s">
        <v>656</v>
      </c>
      <c r="C957" s="33" t="s">
        <v>653</v>
      </c>
      <c r="D957" s="33" t="s">
        <v>621</v>
      </c>
      <c r="E957" s="33" t="s">
        <v>666</v>
      </c>
      <c r="F957" s="34">
        <v>22</v>
      </c>
    </row>
    <row r="958" spans="1:6" x14ac:dyDescent="0.25">
      <c r="A958" s="34">
        <v>111</v>
      </c>
      <c r="B958" s="33" t="s">
        <v>656</v>
      </c>
      <c r="C958" s="33" t="s">
        <v>653</v>
      </c>
      <c r="D958" s="33" t="s">
        <v>621</v>
      </c>
      <c r="E958" s="33" t="s">
        <v>667</v>
      </c>
      <c r="F958" s="34">
        <v>10</v>
      </c>
    </row>
    <row r="959" spans="1:6" x14ac:dyDescent="0.25">
      <c r="A959" s="34">
        <v>111</v>
      </c>
      <c r="B959" s="33" t="s">
        <v>656</v>
      </c>
      <c r="C959" s="33" t="s">
        <v>653</v>
      </c>
      <c r="D959" s="33" t="s">
        <v>653</v>
      </c>
      <c r="E959" s="33" t="s">
        <v>668</v>
      </c>
      <c r="F959" s="34">
        <v>0</v>
      </c>
    </row>
    <row r="960" spans="1:6" x14ac:dyDescent="0.25">
      <c r="A960" s="34">
        <v>111</v>
      </c>
      <c r="B960" s="33" t="s">
        <v>656</v>
      </c>
      <c r="C960" s="33" t="s">
        <v>653</v>
      </c>
      <c r="D960" s="33" t="s">
        <v>653</v>
      </c>
      <c r="E960" s="33" t="s">
        <v>669</v>
      </c>
      <c r="F960" s="34">
        <v>100</v>
      </c>
    </row>
    <row r="961" spans="1:6" x14ac:dyDescent="0.25">
      <c r="A961" s="34">
        <v>111</v>
      </c>
      <c r="B961" s="33" t="s">
        <v>656</v>
      </c>
      <c r="C961" s="33" t="s">
        <v>653</v>
      </c>
      <c r="D961" s="33" t="s">
        <v>653</v>
      </c>
      <c r="E961" s="33" t="s">
        <v>654</v>
      </c>
      <c r="F961" s="34">
        <v>95</v>
      </c>
    </row>
    <row r="962" spans="1:6" x14ac:dyDescent="0.25">
      <c r="A962" s="34">
        <v>112</v>
      </c>
      <c r="B962" s="33" t="s">
        <v>656</v>
      </c>
      <c r="C962" s="33" t="s">
        <v>620</v>
      </c>
      <c r="D962" s="33" t="s">
        <v>621</v>
      </c>
      <c r="E962" s="33" t="s">
        <v>657</v>
      </c>
      <c r="F962" s="34">
        <v>15</v>
      </c>
    </row>
    <row r="963" spans="1:6" x14ac:dyDescent="0.25">
      <c r="A963" s="34">
        <v>112</v>
      </c>
      <c r="B963" s="33" t="s">
        <v>656</v>
      </c>
      <c r="C963" s="33" t="s">
        <v>620</v>
      </c>
      <c r="D963" s="33" t="s">
        <v>621</v>
      </c>
      <c r="E963" s="33" t="s">
        <v>658</v>
      </c>
      <c r="F963" s="34">
        <v>12</v>
      </c>
    </row>
    <row r="964" spans="1:6" x14ac:dyDescent="0.25">
      <c r="A964" s="34">
        <v>112</v>
      </c>
      <c r="B964" s="33" t="s">
        <v>656</v>
      </c>
      <c r="C964" s="33" t="s">
        <v>620</v>
      </c>
      <c r="D964" s="33" t="s">
        <v>621</v>
      </c>
      <c r="E964" s="33" t="s">
        <v>629</v>
      </c>
      <c r="F964" s="34">
        <v>42.5</v>
      </c>
    </row>
    <row r="965" spans="1:6" x14ac:dyDescent="0.25">
      <c r="A965" s="34">
        <v>112</v>
      </c>
      <c r="B965" s="33" t="s">
        <v>656</v>
      </c>
      <c r="C965" s="33" t="s">
        <v>620</v>
      </c>
      <c r="D965" s="33" t="s">
        <v>630</v>
      </c>
      <c r="E965" s="33" t="s">
        <v>631</v>
      </c>
      <c r="F965" s="34">
        <v>85</v>
      </c>
    </row>
    <row r="966" spans="1:6" x14ac:dyDescent="0.25">
      <c r="A966" s="34">
        <v>112</v>
      </c>
      <c r="B966" s="33" t="s">
        <v>656</v>
      </c>
      <c r="C966" s="33" t="s">
        <v>620</v>
      </c>
      <c r="D966" s="33" t="s">
        <v>630</v>
      </c>
      <c r="E966" s="33" t="s">
        <v>632</v>
      </c>
      <c r="F966" s="33" t="s">
        <v>462</v>
      </c>
    </row>
    <row r="967" spans="1:6" x14ac:dyDescent="0.25">
      <c r="A967" s="34">
        <v>112</v>
      </c>
      <c r="B967" s="33" t="s">
        <v>656</v>
      </c>
      <c r="C967" s="33" t="s">
        <v>620</v>
      </c>
      <c r="D967" s="33" t="s">
        <v>630</v>
      </c>
      <c r="E967" s="33" t="s">
        <v>633</v>
      </c>
      <c r="F967" s="34">
        <v>85</v>
      </c>
    </row>
    <row r="968" spans="1:6" x14ac:dyDescent="0.25">
      <c r="A968" s="34">
        <v>112</v>
      </c>
      <c r="B968" s="33" t="s">
        <v>656</v>
      </c>
      <c r="C968" s="33" t="s">
        <v>634</v>
      </c>
      <c r="D968" s="33" t="s">
        <v>621</v>
      </c>
      <c r="E968" s="33" t="s">
        <v>659</v>
      </c>
      <c r="F968" s="34">
        <v>18</v>
      </c>
    </row>
    <row r="969" spans="1:6" x14ac:dyDescent="0.25">
      <c r="A969" s="34">
        <v>112</v>
      </c>
      <c r="B969" s="33" t="s">
        <v>656</v>
      </c>
      <c r="C969" s="33" t="s">
        <v>634</v>
      </c>
      <c r="D969" s="33" t="s">
        <v>621</v>
      </c>
      <c r="E969" s="33" t="s">
        <v>660</v>
      </c>
      <c r="F969" s="34">
        <v>11</v>
      </c>
    </row>
    <row r="970" spans="1:6" x14ac:dyDescent="0.25">
      <c r="A970" s="34">
        <v>112</v>
      </c>
      <c r="B970" s="33" t="s">
        <v>656</v>
      </c>
      <c r="C970" s="33" t="s">
        <v>634</v>
      </c>
      <c r="D970" s="33" t="s">
        <v>621</v>
      </c>
      <c r="E970" s="33" t="s">
        <v>638</v>
      </c>
      <c r="F970" s="34">
        <v>44</v>
      </c>
    </row>
    <row r="971" spans="1:6" x14ac:dyDescent="0.25">
      <c r="A971" s="34">
        <v>112</v>
      </c>
      <c r="B971" s="33" t="s">
        <v>656</v>
      </c>
      <c r="C971" s="33" t="s">
        <v>634</v>
      </c>
      <c r="D971" s="33" t="s">
        <v>630</v>
      </c>
      <c r="E971" s="33" t="s">
        <v>639</v>
      </c>
      <c r="F971" s="34">
        <v>85</v>
      </c>
    </row>
    <row r="972" spans="1:6" x14ac:dyDescent="0.25">
      <c r="A972" s="34">
        <v>112</v>
      </c>
      <c r="B972" s="33" t="s">
        <v>656</v>
      </c>
      <c r="C972" s="33" t="s">
        <v>634</v>
      </c>
      <c r="D972" s="33" t="s">
        <v>630</v>
      </c>
      <c r="E972" s="33" t="s">
        <v>640</v>
      </c>
      <c r="F972" s="33" t="s">
        <v>462</v>
      </c>
    </row>
    <row r="973" spans="1:6" x14ac:dyDescent="0.25">
      <c r="A973" s="34">
        <v>112</v>
      </c>
      <c r="B973" s="33" t="s">
        <v>656</v>
      </c>
      <c r="C973" s="33" t="s">
        <v>634</v>
      </c>
      <c r="D973" s="33" t="s">
        <v>630</v>
      </c>
      <c r="E973" s="33" t="s">
        <v>661</v>
      </c>
      <c r="F973" s="34">
        <v>85</v>
      </c>
    </row>
    <row r="974" spans="1:6" x14ac:dyDescent="0.25">
      <c r="A974" s="34">
        <v>112</v>
      </c>
      <c r="B974" s="33" t="s">
        <v>656</v>
      </c>
      <c r="C974" s="33" t="s">
        <v>642</v>
      </c>
      <c r="D974" s="33" t="s">
        <v>621</v>
      </c>
      <c r="E974" s="33" t="s">
        <v>662</v>
      </c>
      <c r="F974" s="34">
        <v>10</v>
      </c>
    </row>
    <row r="975" spans="1:6" x14ac:dyDescent="0.25">
      <c r="A975" s="34">
        <v>112</v>
      </c>
      <c r="B975" s="33" t="s">
        <v>656</v>
      </c>
      <c r="C975" s="33" t="s">
        <v>642</v>
      </c>
      <c r="D975" s="33" t="s">
        <v>621</v>
      </c>
      <c r="E975" s="33" t="s">
        <v>663</v>
      </c>
      <c r="F975" s="34">
        <v>0</v>
      </c>
    </row>
    <row r="976" spans="1:6" x14ac:dyDescent="0.25">
      <c r="A976" s="34">
        <v>112</v>
      </c>
      <c r="B976" s="33" t="s">
        <v>656</v>
      </c>
      <c r="C976" s="33" t="s">
        <v>642</v>
      </c>
      <c r="D976" s="33" t="s">
        <v>621</v>
      </c>
      <c r="E976" s="33" t="s">
        <v>664</v>
      </c>
      <c r="F976" s="34">
        <v>0</v>
      </c>
    </row>
    <row r="977" spans="1:6" x14ac:dyDescent="0.25">
      <c r="A977" s="34">
        <v>112</v>
      </c>
      <c r="B977" s="33" t="s">
        <v>656</v>
      </c>
      <c r="C977" s="33" t="s">
        <v>642</v>
      </c>
      <c r="D977" s="33" t="s">
        <v>621</v>
      </c>
      <c r="E977" s="33" t="s">
        <v>665</v>
      </c>
      <c r="F977" s="34">
        <v>0</v>
      </c>
    </row>
    <row r="978" spans="1:6" x14ac:dyDescent="0.25">
      <c r="A978" s="34">
        <v>112</v>
      </c>
      <c r="B978" s="33" t="s">
        <v>656</v>
      </c>
      <c r="C978" s="33" t="s">
        <v>642</v>
      </c>
      <c r="D978" s="33" t="s">
        <v>630</v>
      </c>
      <c r="E978" s="33" t="s">
        <v>650</v>
      </c>
      <c r="F978" s="34">
        <v>82</v>
      </c>
    </row>
    <row r="979" spans="1:6" x14ac:dyDescent="0.25">
      <c r="A979" s="34">
        <v>112</v>
      </c>
      <c r="B979" s="33" t="s">
        <v>656</v>
      </c>
      <c r="C979" s="33" t="s">
        <v>642</v>
      </c>
      <c r="D979" s="33" t="s">
        <v>630</v>
      </c>
      <c r="E979" s="33" t="s">
        <v>651</v>
      </c>
      <c r="F979" s="33" t="s">
        <v>462</v>
      </c>
    </row>
    <row r="980" spans="1:6" x14ac:dyDescent="0.25">
      <c r="A980" s="34">
        <v>112</v>
      </c>
      <c r="B980" s="33" t="s">
        <v>656</v>
      </c>
      <c r="C980" s="33" t="s">
        <v>642</v>
      </c>
      <c r="D980" s="33" t="s">
        <v>630</v>
      </c>
      <c r="E980" s="33" t="s">
        <v>652</v>
      </c>
      <c r="F980" s="34">
        <v>82</v>
      </c>
    </row>
    <row r="981" spans="1:6" x14ac:dyDescent="0.25">
      <c r="A981" s="34">
        <v>112</v>
      </c>
      <c r="B981" s="33" t="s">
        <v>656</v>
      </c>
      <c r="C981" s="33" t="s">
        <v>653</v>
      </c>
      <c r="D981" s="33" t="s">
        <v>621</v>
      </c>
      <c r="E981" s="33" t="s">
        <v>666</v>
      </c>
      <c r="F981" s="34">
        <v>20.8</v>
      </c>
    </row>
    <row r="982" spans="1:6" x14ac:dyDescent="0.25">
      <c r="A982" s="34">
        <v>112</v>
      </c>
      <c r="B982" s="33" t="s">
        <v>656</v>
      </c>
      <c r="C982" s="33" t="s">
        <v>653</v>
      </c>
      <c r="D982" s="33" t="s">
        <v>621</v>
      </c>
      <c r="E982" s="33" t="s">
        <v>667</v>
      </c>
      <c r="F982" s="34">
        <v>8</v>
      </c>
    </row>
    <row r="983" spans="1:6" x14ac:dyDescent="0.25">
      <c r="A983" s="34">
        <v>112</v>
      </c>
      <c r="B983" s="33" t="s">
        <v>656</v>
      </c>
      <c r="C983" s="33" t="s">
        <v>653</v>
      </c>
      <c r="D983" s="33" t="s">
        <v>653</v>
      </c>
      <c r="E983" s="33" t="s">
        <v>668</v>
      </c>
      <c r="F983" s="34">
        <v>0</v>
      </c>
    </row>
    <row r="984" spans="1:6" x14ac:dyDescent="0.25">
      <c r="A984" s="34">
        <v>112</v>
      </c>
      <c r="B984" s="33" t="s">
        <v>656</v>
      </c>
      <c r="C984" s="33" t="s">
        <v>653</v>
      </c>
      <c r="D984" s="33" t="s">
        <v>653</v>
      </c>
      <c r="E984" s="33" t="s">
        <v>669</v>
      </c>
      <c r="F984" s="34">
        <v>92</v>
      </c>
    </row>
    <row r="985" spans="1:6" x14ac:dyDescent="0.25">
      <c r="A985" s="34">
        <v>112</v>
      </c>
      <c r="B985" s="33" t="s">
        <v>656</v>
      </c>
      <c r="C985" s="33" t="s">
        <v>653</v>
      </c>
      <c r="D985" s="33" t="s">
        <v>653</v>
      </c>
      <c r="E985" s="33" t="s">
        <v>654</v>
      </c>
      <c r="F985" s="34">
        <v>82</v>
      </c>
    </row>
    <row r="986" spans="1:6" x14ac:dyDescent="0.25">
      <c r="A986" s="34">
        <v>113</v>
      </c>
      <c r="B986" s="33" t="s">
        <v>656</v>
      </c>
      <c r="C986" s="33" t="s">
        <v>620</v>
      </c>
      <c r="D986" s="33" t="s">
        <v>621</v>
      </c>
      <c r="E986" s="33" t="s">
        <v>657</v>
      </c>
      <c r="F986" s="34">
        <v>12.5</v>
      </c>
    </row>
    <row r="987" spans="1:6" x14ac:dyDescent="0.25">
      <c r="A987" s="34">
        <v>113</v>
      </c>
      <c r="B987" s="33" t="s">
        <v>656</v>
      </c>
      <c r="C987" s="33" t="s">
        <v>620</v>
      </c>
      <c r="D987" s="33" t="s">
        <v>621</v>
      </c>
      <c r="E987" s="33" t="s">
        <v>658</v>
      </c>
      <c r="F987" s="34">
        <v>5</v>
      </c>
    </row>
    <row r="988" spans="1:6" x14ac:dyDescent="0.25">
      <c r="A988" s="34">
        <v>113</v>
      </c>
      <c r="B988" s="33" t="s">
        <v>656</v>
      </c>
      <c r="C988" s="33" t="s">
        <v>620</v>
      </c>
      <c r="D988" s="33" t="s">
        <v>621</v>
      </c>
      <c r="E988" s="33" t="s">
        <v>629</v>
      </c>
      <c r="F988" s="34">
        <v>42.5</v>
      </c>
    </row>
    <row r="989" spans="1:6" x14ac:dyDescent="0.25">
      <c r="A989" s="34">
        <v>113</v>
      </c>
      <c r="B989" s="33" t="s">
        <v>656</v>
      </c>
      <c r="C989" s="33" t="s">
        <v>620</v>
      </c>
      <c r="D989" s="33" t="s">
        <v>630</v>
      </c>
      <c r="E989" s="33" t="s">
        <v>631</v>
      </c>
      <c r="F989" s="34">
        <v>65</v>
      </c>
    </row>
    <row r="990" spans="1:6" x14ac:dyDescent="0.25">
      <c r="A990" s="34">
        <v>113</v>
      </c>
      <c r="B990" s="33" t="s">
        <v>656</v>
      </c>
      <c r="C990" s="33" t="s">
        <v>620</v>
      </c>
      <c r="D990" s="33" t="s">
        <v>630</v>
      </c>
      <c r="E990" s="33" t="s">
        <v>632</v>
      </c>
      <c r="F990" s="33" t="s">
        <v>462</v>
      </c>
    </row>
    <row r="991" spans="1:6" x14ac:dyDescent="0.25">
      <c r="A991" s="34">
        <v>113</v>
      </c>
      <c r="B991" s="33" t="s">
        <v>656</v>
      </c>
      <c r="C991" s="33" t="s">
        <v>620</v>
      </c>
      <c r="D991" s="33" t="s">
        <v>630</v>
      </c>
      <c r="E991" s="33" t="s">
        <v>633</v>
      </c>
      <c r="F991" s="34">
        <v>65</v>
      </c>
    </row>
    <row r="992" spans="1:6" x14ac:dyDescent="0.25">
      <c r="A992" s="34">
        <v>113</v>
      </c>
      <c r="B992" s="33" t="s">
        <v>656</v>
      </c>
      <c r="C992" s="33" t="s">
        <v>634</v>
      </c>
      <c r="D992" s="33" t="s">
        <v>621</v>
      </c>
      <c r="E992" s="33" t="s">
        <v>659</v>
      </c>
      <c r="F992" s="34">
        <v>17</v>
      </c>
    </row>
    <row r="993" spans="1:6" x14ac:dyDescent="0.25">
      <c r="A993" s="34">
        <v>113</v>
      </c>
      <c r="B993" s="33" t="s">
        <v>656</v>
      </c>
      <c r="C993" s="33" t="s">
        <v>634</v>
      </c>
      <c r="D993" s="33" t="s">
        <v>621</v>
      </c>
      <c r="E993" s="33" t="s">
        <v>660</v>
      </c>
      <c r="F993" s="34">
        <v>4</v>
      </c>
    </row>
    <row r="994" spans="1:6" x14ac:dyDescent="0.25">
      <c r="A994" s="34">
        <v>113</v>
      </c>
      <c r="B994" s="33" t="s">
        <v>656</v>
      </c>
      <c r="C994" s="33" t="s">
        <v>634</v>
      </c>
      <c r="D994" s="33" t="s">
        <v>621</v>
      </c>
      <c r="E994" s="33" t="s">
        <v>638</v>
      </c>
      <c r="F994" s="34">
        <v>42.5</v>
      </c>
    </row>
    <row r="995" spans="1:6" x14ac:dyDescent="0.25">
      <c r="A995" s="34">
        <v>113</v>
      </c>
      <c r="B995" s="33" t="s">
        <v>656</v>
      </c>
      <c r="C995" s="33" t="s">
        <v>634</v>
      </c>
      <c r="D995" s="33" t="s">
        <v>630</v>
      </c>
      <c r="E995" s="33" t="s">
        <v>639</v>
      </c>
      <c r="F995" s="34">
        <v>65</v>
      </c>
    </row>
    <row r="996" spans="1:6" x14ac:dyDescent="0.25">
      <c r="A996" s="34">
        <v>113</v>
      </c>
      <c r="B996" s="33" t="s">
        <v>656</v>
      </c>
      <c r="C996" s="33" t="s">
        <v>634</v>
      </c>
      <c r="D996" s="33" t="s">
        <v>630</v>
      </c>
      <c r="E996" s="33" t="s">
        <v>640</v>
      </c>
      <c r="F996" s="34">
        <v>72</v>
      </c>
    </row>
    <row r="997" spans="1:6" x14ac:dyDescent="0.25">
      <c r="A997" s="34">
        <v>113</v>
      </c>
      <c r="B997" s="33" t="s">
        <v>656</v>
      </c>
      <c r="C997" s="33" t="s">
        <v>634</v>
      </c>
      <c r="D997" s="33" t="s">
        <v>630</v>
      </c>
      <c r="E997" s="33" t="s">
        <v>661</v>
      </c>
      <c r="F997" s="34">
        <v>72</v>
      </c>
    </row>
    <row r="998" spans="1:6" x14ac:dyDescent="0.25">
      <c r="A998" s="34">
        <v>113</v>
      </c>
      <c r="B998" s="33" t="s">
        <v>656</v>
      </c>
      <c r="C998" s="33" t="s">
        <v>642</v>
      </c>
      <c r="D998" s="33" t="s">
        <v>621</v>
      </c>
      <c r="E998" s="33" t="s">
        <v>662</v>
      </c>
      <c r="F998" s="34">
        <v>9</v>
      </c>
    </row>
    <row r="999" spans="1:6" x14ac:dyDescent="0.25">
      <c r="A999" s="34">
        <v>113</v>
      </c>
      <c r="B999" s="33" t="s">
        <v>656</v>
      </c>
      <c r="C999" s="33" t="s">
        <v>642</v>
      </c>
      <c r="D999" s="33" t="s">
        <v>621</v>
      </c>
      <c r="E999" s="33" t="s">
        <v>663</v>
      </c>
      <c r="F999" s="34">
        <v>9</v>
      </c>
    </row>
    <row r="1000" spans="1:6" x14ac:dyDescent="0.25">
      <c r="A1000" s="34">
        <v>113</v>
      </c>
      <c r="B1000" s="33" t="s">
        <v>656</v>
      </c>
      <c r="C1000" s="33" t="s">
        <v>642</v>
      </c>
      <c r="D1000" s="33" t="s">
        <v>621</v>
      </c>
      <c r="E1000" s="33" t="s">
        <v>664</v>
      </c>
      <c r="F1000" s="34">
        <v>11</v>
      </c>
    </row>
    <row r="1001" spans="1:6" x14ac:dyDescent="0.25">
      <c r="A1001" s="34">
        <v>113</v>
      </c>
      <c r="B1001" s="33" t="s">
        <v>656</v>
      </c>
      <c r="C1001" s="33" t="s">
        <v>642</v>
      </c>
      <c r="D1001" s="33" t="s">
        <v>621</v>
      </c>
      <c r="E1001" s="33" t="s">
        <v>665</v>
      </c>
      <c r="F1001" s="34">
        <v>41</v>
      </c>
    </row>
    <row r="1002" spans="1:6" x14ac:dyDescent="0.25">
      <c r="A1002" s="34">
        <v>113</v>
      </c>
      <c r="B1002" s="33" t="s">
        <v>656</v>
      </c>
      <c r="C1002" s="33" t="s">
        <v>642</v>
      </c>
      <c r="D1002" s="33" t="s">
        <v>630</v>
      </c>
      <c r="E1002" s="33" t="s">
        <v>650</v>
      </c>
      <c r="F1002" s="34">
        <v>62</v>
      </c>
    </row>
    <row r="1003" spans="1:6" x14ac:dyDescent="0.25">
      <c r="A1003" s="34">
        <v>113</v>
      </c>
      <c r="B1003" s="33" t="s">
        <v>656</v>
      </c>
      <c r="C1003" s="33" t="s">
        <v>642</v>
      </c>
      <c r="D1003" s="33" t="s">
        <v>630</v>
      </c>
      <c r="E1003" s="33" t="s">
        <v>651</v>
      </c>
      <c r="F1003" s="34">
        <v>68</v>
      </c>
    </row>
    <row r="1004" spans="1:6" x14ac:dyDescent="0.25">
      <c r="A1004" s="34">
        <v>113</v>
      </c>
      <c r="B1004" s="33" t="s">
        <v>656</v>
      </c>
      <c r="C1004" s="33" t="s">
        <v>642</v>
      </c>
      <c r="D1004" s="33" t="s">
        <v>630</v>
      </c>
      <c r="E1004" s="33" t="s">
        <v>652</v>
      </c>
      <c r="F1004" s="34">
        <v>62</v>
      </c>
    </row>
    <row r="1005" spans="1:6" x14ac:dyDescent="0.25">
      <c r="A1005" s="34">
        <v>113</v>
      </c>
      <c r="B1005" s="33" t="s">
        <v>656</v>
      </c>
      <c r="C1005" s="33" t="s">
        <v>653</v>
      </c>
      <c r="D1005" s="33" t="s">
        <v>621</v>
      </c>
      <c r="E1005" s="33" t="s">
        <v>666</v>
      </c>
      <c r="F1005" s="34">
        <v>14.4</v>
      </c>
    </row>
    <row r="1006" spans="1:6" x14ac:dyDescent="0.25">
      <c r="A1006" s="34">
        <v>113</v>
      </c>
      <c r="B1006" s="33" t="s">
        <v>656</v>
      </c>
      <c r="C1006" s="33" t="s">
        <v>653</v>
      </c>
      <c r="D1006" s="33" t="s">
        <v>621</v>
      </c>
      <c r="E1006" s="33" t="s">
        <v>667</v>
      </c>
      <c r="F1006" s="34">
        <v>6</v>
      </c>
    </row>
    <row r="1007" spans="1:6" x14ac:dyDescent="0.25">
      <c r="A1007" s="34">
        <v>113</v>
      </c>
      <c r="B1007" s="33" t="s">
        <v>656</v>
      </c>
      <c r="C1007" s="33" t="s">
        <v>653</v>
      </c>
      <c r="D1007" s="33" t="s">
        <v>653</v>
      </c>
      <c r="E1007" s="33" t="s">
        <v>668</v>
      </c>
      <c r="F1007" s="34">
        <v>0</v>
      </c>
    </row>
    <row r="1008" spans="1:6" x14ac:dyDescent="0.25">
      <c r="A1008" s="34">
        <v>113</v>
      </c>
      <c r="B1008" s="33" t="s">
        <v>656</v>
      </c>
      <c r="C1008" s="33" t="s">
        <v>653</v>
      </c>
      <c r="D1008" s="33" t="s">
        <v>653</v>
      </c>
      <c r="E1008" s="33" t="s">
        <v>669</v>
      </c>
      <c r="F1008" s="34">
        <v>75</v>
      </c>
    </row>
    <row r="1009" spans="1:6" x14ac:dyDescent="0.25">
      <c r="A1009" s="34">
        <v>113</v>
      </c>
      <c r="B1009" s="33" t="s">
        <v>656</v>
      </c>
      <c r="C1009" s="33" t="s">
        <v>653</v>
      </c>
      <c r="D1009" s="33" t="s">
        <v>653</v>
      </c>
      <c r="E1009" s="33" t="s">
        <v>654</v>
      </c>
      <c r="F1009" s="34">
        <v>72</v>
      </c>
    </row>
    <row r="1010" spans="1:6" x14ac:dyDescent="0.25">
      <c r="A1010" s="34">
        <v>114</v>
      </c>
      <c r="B1010" s="33" t="s">
        <v>656</v>
      </c>
      <c r="C1010" s="33" t="s">
        <v>620</v>
      </c>
      <c r="D1010" s="33" t="s">
        <v>621</v>
      </c>
      <c r="E1010" s="33" t="s">
        <v>657</v>
      </c>
      <c r="F1010" s="34">
        <v>13</v>
      </c>
    </row>
    <row r="1011" spans="1:6" x14ac:dyDescent="0.25">
      <c r="A1011" s="34">
        <v>114</v>
      </c>
      <c r="B1011" s="33" t="s">
        <v>656</v>
      </c>
      <c r="C1011" s="33" t="s">
        <v>620</v>
      </c>
      <c r="D1011" s="33" t="s">
        <v>621</v>
      </c>
      <c r="E1011" s="33" t="s">
        <v>658</v>
      </c>
      <c r="F1011" s="34">
        <v>0.5</v>
      </c>
    </row>
    <row r="1012" spans="1:6" x14ac:dyDescent="0.25">
      <c r="A1012" s="34">
        <v>114</v>
      </c>
      <c r="B1012" s="33" t="s">
        <v>656</v>
      </c>
      <c r="C1012" s="33" t="s">
        <v>620</v>
      </c>
      <c r="D1012" s="33" t="s">
        <v>621</v>
      </c>
      <c r="E1012" s="33" t="s">
        <v>629</v>
      </c>
      <c r="F1012" s="34">
        <v>31</v>
      </c>
    </row>
    <row r="1013" spans="1:6" x14ac:dyDescent="0.25">
      <c r="A1013" s="34">
        <v>114</v>
      </c>
      <c r="B1013" s="33" t="s">
        <v>656</v>
      </c>
      <c r="C1013" s="33" t="s">
        <v>620</v>
      </c>
      <c r="D1013" s="33" t="s">
        <v>630</v>
      </c>
      <c r="E1013" s="33" t="s">
        <v>631</v>
      </c>
      <c r="F1013" s="34">
        <v>65</v>
      </c>
    </row>
    <row r="1014" spans="1:6" x14ac:dyDescent="0.25">
      <c r="A1014" s="34">
        <v>114</v>
      </c>
      <c r="B1014" s="33" t="s">
        <v>656</v>
      </c>
      <c r="C1014" s="33" t="s">
        <v>620</v>
      </c>
      <c r="D1014" s="33" t="s">
        <v>630</v>
      </c>
      <c r="E1014" s="33" t="s">
        <v>632</v>
      </c>
      <c r="F1014" s="34">
        <v>72</v>
      </c>
    </row>
    <row r="1015" spans="1:6" x14ac:dyDescent="0.25">
      <c r="A1015" s="34">
        <v>114</v>
      </c>
      <c r="B1015" s="33" t="s">
        <v>656</v>
      </c>
      <c r="C1015" s="33" t="s">
        <v>620</v>
      </c>
      <c r="D1015" s="33" t="s">
        <v>630</v>
      </c>
      <c r="E1015" s="33" t="s">
        <v>633</v>
      </c>
      <c r="F1015" s="34">
        <v>72</v>
      </c>
    </row>
    <row r="1016" spans="1:6" x14ac:dyDescent="0.25">
      <c r="A1016" s="34">
        <v>114</v>
      </c>
      <c r="B1016" s="33" t="s">
        <v>656</v>
      </c>
      <c r="C1016" s="33" t="s">
        <v>634</v>
      </c>
      <c r="D1016" s="33" t="s">
        <v>621</v>
      </c>
      <c r="E1016" s="33" t="s">
        <v>659</v>
      </c>
      <c r="F1016" s="34">
        <v>0</v>
      </c>
    </row>
    <row r="1017" spans="1:6" x14ac:dyDescent="0.25">
      <c r="A1017" s="34">
        <v>114</v>
      </c>
      <c r="B1017" s="33" t="s">
        <v>656</v>
      </c>
      <c r="C1017" s="33" t="s">
        <v>634</v>
      </c>
      <c r="D1017" s="33" t="s">
        <v>621</v>
      </c>
      <c r="E1017" s="33" t="s">
        <v>660</v>
      </c>
      <c r="F1017" s="33" t="s">
        <v>150</v>
      </c>
    </row>
    <row r="1018" spans="1:6" x14ac:dyDescent="0.25">
      <c r="A1018" s="34">
        <v>114</v>
      </c>
      <c r="B1018" s="33" t="s">
        <v>656</v>
      </c>
      <c r="C1018" s="33" t="s">
        <v>634</v>
      </c>
      <c r="D1018" s="33" t="s">
        <v>621</v>
      </c>
      <c r="E1018" s="33" t="s">
        <v>638</v>
      </c>
      <c r="F1018" s="34">
        <v>44</v>
      </c>
    </row>
    <row r="1019" spans="1:6" x14ac:dyDescent="0.25">
      <c r="A1019" s="34">
        <v>114</v>
      </c>
      <c r="B1019" s="33" t="s">
        <v>656</v>
      </c>
      <c r="C1019" s="33" t="s">
        <v>634</v>
      </c>
      <c r="D1019" s="33" t="s">
        <v>630</v>
      </c>
      <c r="E1019" s="33" t="s">
        <v>639</v>
      </c>
      <c r="F1019" s="33" t="s">
        <v>150</v>
      </c>
    </row>
    <row r="1020" spans="1:6" x14ac:dyDescent="0.25">
      <c r="A1020" s="34">
        <v>114</v>
      </c>
      <c r="B1020" s="33" t="s">
        <v>656</v>
      </c>
      <c r="C1020" s="33" t="s">
        <v>634</v>
      </c>
      <c r="D1020" s="33" t="s">
        <v>630</v>
      </c>
      <c r="E1020" s="63" t="s">
        <v>640</v>
      </c>
      <c r="F1020" s="64"/>
    </row>
    <row r="1021" spans="1:6" x14ac:dyDescent="0.25">
      <c r="A1021" s="34">
        <v>114</v>
      </c>
      <c r="B1021" s="33" t="s">
        <v>656</v>
      </c>
      <c r="C1021" s="33" t="s">
        <v>634</v>
      </c>
      <c r="D1021" s="33" t="s">
        <v>630</v>
      </c>
      <c r="E1021" s="33" t="s">
        <v>661</v>
      </c>
      <c r="F1021" s="33" t="s">
        <v>150</v>
      </c>
    </row>
    <row r="1022" spans="1:6" x14ac:dyDescent="0.25">
      <c r="A1022" s="34">
        <v>114</v>
      </c>
      <c r="B1022" s="33" t="s">
        <v>656</v>
      </c>
      <c r="C1022" s="33" t="s">
        <v>642</v>
      </c>
      <c r="D1022" s="33" t="s">
        <v>621</v>
      </c>
      <c r="E1022" s="33" t="s">
        <v>662</v>
      </c>
      <c r="F1022" s="33" t="s">
        <v>150</v>
      </c>
    </row>
    <row r="1023" spans="1:6" x14ac:dyDescent="0.25">
      <c r="A1023" s="34">
        <v>114</v>
      </c>
      <c r="B1023" s="33" t="s">
        <v>656</v>
      </c>
      <c r="C1023" s="33" t="s">
        <v>642</v>
      </c>
      <c r="D1023" s="33" t="s">
        <v>621</v>
      </c>
      <c r="E1023" s="33" t="s">
        <v>663</v>
      </c>
      <c r="F1023" s="33" t="s">
        <v>150</v>
      </c>
    </row>
    <row r="1024" spans="1:6" x14ac:dyDescent="0.25">
      <c r="A1024" s="34">
        <v>114</v>
      </c>
      <c r="B1024" s="33" t="s">
        <v>656</v>
      </c>
      <c r="C1024" s="33" t="s">
        <v>642</v>
      </c>
      <c r="D1024" s="33" t="s">
        <v>621</v>
      </c>
      <c r="E1024" s="33" t="s">
        <v>664</v>
      </c>
      <c r="F1024" s="33" t="s">
        <v>150</v>
      </c>
    </row>
    <row r="1025" spans="1:6" x14ac:dyDescent="0.25">
      <c r="A1025" s="34">
        <v>114</v>
      </c>
      <c r="B1025" s="33" t="s">
        <v>656</v>
      </c>
      <c r="C1025" s="33" t="s">
        <v>642</v>
      </c>
      <c r="D1025" s="33" t="s">
        <v>621</v>
      </c>
      <c r="E1025" s="33" t="s">
        <v>665</v>
      </c>
      <c r="F1025" s="33" t="s">
        <v>462</v>
      </c>
    </row>
    <row r="1026" spans="1:6" x14ac:dyDescent="0.25">
      <c r="A1026" s="34">
        <v>114</v>
      </c>
      <c r="B1026" s="33" t="s">
        <v>656</v>
      </c>
      <c r="C1026" s="33" t="s">
        <v>642</v>
      </c>
      <c r="D1026" s="33" t="s">
        <v>630</v>
      </c>
      <c r="E1026" s="33" t="s">
        <v>650</v>
      </c>
      <c r="F1026" s="33" t="s">
        <v>150</v>
      </c>
    </row>
    <row r="1027" spans="1:6" x14ac:dyDescent="0.25">
      <c r="A1027" s="34">
        <v>114</v>
      </c>
      <c r="B1027" s="33" t="s">
        <v>656</v>
      </c>
      <c r="C1027" s="33" t="s">
        <v>642</v>
      </c>
      <c r="D1027" s="33" t="s">
        <v>630</v>
      </c>
      <c r="E1027" s="33" t="s">
        <v>651</v>
      </c>
      <c r="F1027" s="33" t="s">
        <v>462</v>
      </c>
    </row>
    <row r="1028" spans="1:6" x14ac:dyDescent="0.25">
      <c r="A1028" s="34">
        <v>114</v>
      </c>
      <c r="B1028" s="33" t="s">
        <v>656</v>
      </c>
      <c r="C1028" s="33" t="s">
        <v>642</v>
      </c>
      <c r="D1028" s="33" t="s">
        <v>630</v>
      </c>
      <c r="E1028" s="33" t="s">
        <v>652</v>
      </c>
      <c r="F1028" s="33" t="s">
        <v>150</v>
      </c>
    </row>
    <row r="1029" spans="1:6" x14ac:dyDescent="0.25">
      <c r="A1029" s="34">
        <v>114</v>
      </c>
      <c r="B1029" s="33" t="s">
        <v>656</v>
      </c>
      <c r="C1029" s="33" t="s">
        <v>653</v>
      </c>
      <c r="D1029" s="33" t="s">
        <v>621</v>
      </c>
      <c r="E1029" s="33" t="s">
        <v>666</v>
      </c>
      <c r="F1029" s="33" t="s">
        <v>150</v>
      </c>
    </row>
    <row r="1030" spans="1:6" x14ac:dyDescent="0.25">
      <c r="A1030" s="34">
        <v>114</v>
      </c>
      <c r="B1030" s="33" t="s">
        <v>656</v>
      </c>
      <c r="C1030" s="33" t="s">
        <v>653</v>
      </c>
      <c r="D1030" s="33" t="s">
        <v>621</v>
      </c>
      <c r="E1030" s="33" t="s">
        <v>667</v>
      </c>
      <c r="F1030" s="33" t="s">
        <v>150</v>
      </c>
    </row>
    <row r="1031" spans="1:6" x14ac:dyDescent="0.25">
      <c r="A1031" s="34">
        <v>114</v>
      </c>
      <c r="B1031" s="33" t="s">
        <v>656</v>
      </c>
      <c r="C1031" s="33" t="s">
        <v>653</v>
      </c>
      <c r="D1031" s="33" t="s">
        <v>653</v>
      </c>
      <c r="E1031" s="33" t="s">
        <v>668</v>
      </c>
      <c r="F1031" s="33" t="s">
        <v>150</v>
      </c>
    </row>
    <row r="1032" spans="1:6" x14ac:dyDescent="0.25">
      <c r="A1032" s="34">
        <v>114</v>
      </c>
      <c r="B1032" s="33" t="s">
        <v>656</v>
      </c>
      <c r="C1032" s="33" t="s">
        <v>653</v>
      </c>
      <c r="D1032" s="33" t="s">
        <v>653</v>
      </c>
      <c r="E1032" s="33" t="s">
        <v>669</v>
      </c>
      <c r="F1032" s="33" t="s">
        <v>150</v>
      </c>
    </row>
    <row r="1033" spans="1:6" x14ac:dyDescent="0.25">
      <c r="A1033" s="34">
        <v>114</v>
      </c>
      <c r="B1033" s="33" t="s">
        <v>656</v>
      </c>
      <c r="C1033" s="33" t="s">
        <v>653</v>
      </c>
      <c r="D1033" s="33" t="s">
        <v>653</v>
      </c>
      <c r="E1033" s="33" t="s">
        <v>654</v>
      </c>
      <c r="F1033" s="33" t="s">
        <v>150</v>
      </c>
    </row>
    <row r="1034" spans="1:6" x14ac:dyDescent="0.25">
      <c r="A1034" s="34">
        <v>115</v>
      </c>
      <c r="B1034" s="33" t="s">
        <v>656</v>
      </c>
      <c r="C1034" s="33" t="s">
        <v>620</v>
      </c>
      <c r="D1034" s="33" t="s">
        <v>621</v>
      </c>
      <c r="E1034" s="33" t="s">
        <v>657</v>
      </c>
      <c r="F1034" s="34">
        <v>15</v>
      </c>
    </row>
    <row r="1035" spans="1:6" x14ac:dyDescent="0.25">
      <c r="A1035" s="34">
        <v>115</v>
      </c>
      <c r="B1035" s="33" t="s">
        <v>656</v>
      </c>
      <c r="C1035" s="33" t="s">
        <v>620</v>
      </c>
      <c r="D1035" s="33" t="s">
        <v>621</v>
      </c>
      <c r="E1035" s="33" t="s">
        <v>658</v>
      </c>
      <c r="F1035" s="34">
        <v>14</v>
      </c>
    </row>
    <row r="1036" spans="1:6" x14ac:dyDescent="0.25">
      <c r="A1036" s="34">
        <v>115</v>
      </c>
      <c r="B1036" s="33" t="s">
        <v>656</v>
      </c>
      <c r="C1036" s="33" t="s">
        <v>620</v>
      </c>
      <c r="D1036" s="33" t="s">
        <v>621</v>
      </c>
      <c r="E1036" s="33" t="s">
        <v>629</v>
      </c>
      <c r="F1036" s="34">
        <v>41</v>
      </c>
    </row>
    <row r="1037" spans="1:6" x14ac:dyDescent="0.25">
      <c r="A1037" s="34">
        <v>115</v>
      </c>
      <c r="B1037" s="33" t="s">
        <v>656</v>
      </c>
      <c r="C1037" s="33" t="s">
        <v>620</v>
      </c>
      <c r="D1037" s="33" t="s">
        <v>630</v>
      </c>
      <c r="E1037" s="33" t="s">
        <v>631</v>
      </c>
      <c r="F1037" s="34">
        <v>85</v>
      </c>
    </row>
    <row r="1038" spans="1:6" x14ac:dyDescent="0.25">
      <c r="A1038" s="34">
        <v>115</v>
      </c>
      <c r="B1038" s="33" t="s">
        <v>656</v>
      </c>
      <c r="C1038" s="33" t="s">
        <v>620</v>
      </c>
      <c r="D1038" s="33" t="s">
        <v>630</v>
      </c>
      <c r="E1038" s="33" t="s">
        <v>632</v>
      </c>
      <c r="F1038" s="33" t="s">
        <v>462</v>
      </c>
    </row>
    <row r="1039" spans="1:6" x14ac:dyDescent="0.25">
      <c r="A1039" s="34">
        <v>115</v>
      </c>
      <c r="B1039" s="33" t="s">
        <v>656</v>
      </c>
      <c r="C1039" s="33" t="s">
        <v>620</v>
      </c>
      <c r="D1039" s="33" t="s">
        <v>630</v>
      </c>
      <c r="E1039" s="33" t="s">
        <v>633</v>
      </c>
      <c r="F1039" s="34">
        <v>85</v>
      </c>
    </row>
    <row r="1040" spans="1:6" x14ac:dyDescent="0.25">
      <c r="A1040" s="34">
        <v>115</v>
      </c>
      <c r="B1040" s="33" t="s">
        <v>656</v>
      </c>
      <c r="C1040" s="33" t="s">
        <v>634</v>
      </c>
      <c r="D1040" s="33" t="s">
        <v>621</v>
      </c>
      <c r="E1040" s="33" t="s">
        <v>659</v>
      </c>
      <c r="F1040" s="34">
        <v>18</v>
      </c>
    </row>
    <row r="1041" spans="1:6" x14ac:dyDescent="0.25">
      <c r="A1041" s="34">
        <v>115</v>
      </c>
      <c r="B1041" s="33" t="s">
        <v>656</v>
      </c>
      <c r="C1041" s="33" t="s">
        <v>634</v>
      </c>
      <c r="D1041" s="33" t="s">
        <v>621</v>
      </c>
      <c r="E1041" s="33" t="s">
        <v>660</v>
      </c>
      <c r="F1041" s="34">
        <v>12</v>
      </c>
    </row>
    <row r="1042" spans="1:6" x14ac:dyDescent="0.25">
      <c r="A1042" s="34">
        <v>115</v>
      </c>
      <c r="B1042" s="33" t="s">
        <v>656</v>
      </c>
      <c r="C1042" s="33" t="s">
        <v>634</v>
      </c>
      <c r="D1042" s="33" t="s">
        <v>621</v>
      </c>
      <c r="E1042" s="33" t="s">
        <v>638</v>
      </c>
      <c r="F1042" s="34">
        <v>42.5</v>
      </c>
    </row>
    <row r="1043" spans="1:6" x14ac:dyDescent="0.25">
      <c r="A1043" s="34">
        <v>115</v>
      </c>
      <c r="B1043" s="33" t="s">
        <v>656</v>
      </c>
      <c r="C1043" s="33" t="s">
        <v>634</v>
      </c>
      <c r="D1043" s="33" t="s">
        <v>630</v>
      </c>
      <c r="E1043" s="33" t="s">
        <v>639</v>
      </c>
      <c r="F1043" s="34">
        <v>85</v>
      </c>
    </row>
    <row r="1044" spans="1:6" x14ac:dyDescent="0.25">
      <c r="A1044" s="34">
        <v>115</v>
      </c>
      <c r="B1044" s="33" t="s">
        <v>656</v>
      </c>
      <c r="C1044" s="33" t="s">
        <v>634</v>
      </c>
      <c r="D1044" s="33" t="s">
        <v>630</v>
      </c>
      <c r="E1044" s="33" t="s">
        <v>640</v>
      </c>
      <c r="F1044" s="33" t="s">
        <v>462</v>
      </c>
    </row>
    <row r="1045" spans="1:6" x14ac:dyDescent="0.25">
      <c r="A1045" s="34">
        <v>115</v>
      </c>
      <c r="B1045" s="33" t="s">
        <v>656</v>
      </c>
      <c r="C1045" s="33" t="s">
        <v>634</v>
      </c>
      <c r="D1045" s="33" t="s">
        <v>630</v>
      </c>
      <c r="E1045" s="33" t="s">
        <v>661</v>
      </c>
      <c r="F1045" s="34">
        <v>85</v>
      </c>
    </row>
    <row r="1046" spans="1:6" x14ac:dyDescent="0.25">
      <c r="A1046" s="34">
        <v>115</v>
      </c>
      <c r="B1046" s="33" t="s">
        <v>656</v>
      </c>
      <c r="C1046" s="33" t="s">
        <v>642</v>
      </c>
      <c r="D1046" s="33" t="s">
        <v>621</v>
      </c>
      <c r="E1046" s="33" t="s">
        <v>662</v>
      </c>
      <c r="F1046" s="34">
        <v>10</v>
      </c>
    </row>
    <row r="1047" spans="1:6" x14ac:dyDescent="0.25">
      <c r="A1047" s="34">
        <v>115</v>
      </c>
      <c r="B1047" s="33" t="s">
        <v>656</v>
      </c>
      <c r="C1047" s="33" t="s">
        <v>642</v>
      </c>
      <c r="D1047" s="33" t="s">
        <v>621</v>
      </c>
      <c r="E1047" s="33" t="s">
        <v>663</v>
      </c>
      <c r="F1047" s="34">
        <v>10</v>
      </c>
    </row>
    <row r="1048" spans="1:6" x14ac:dyDescent="0.25">
      <c r="A1048" s="34">
        <v>115</v>
      </c>
      <c r="B1048" s="33" t="s">
        <v>656</v>
      </c>
      <c r="C1048" s="33" t="s">
        <v>642</v>
      </c>
      <c r="D1048" s="33" t="s">
        <v>621</v>
      </c>
      <c r="E1048" s="33" t="s">
        <v>664</v>
      </c>
      <c r="F1048" s="34">
        <v>11</v>
      </c>
    </row>
    <row r="1049" spans="1:6" x14ac:dyDescent="0.25">
      <c r="A1049" s="34">
        <v>115</v>
      </c>
      <c r="B1049" s="33" t="s">
        <v>656</v>
      </c>
      <c r="C1049" s="33" t="s">
        <v>642</v>
      </c>
      <c r="D1049" s="33" t="s">
        <v>621</v>
      </c>
      <c r="E1049" s="33" t="s">
        <v>665</v>
      </c>
      <c r="F1049" s="34">
        <v>47.5</v>
      </c>
    </row>
    <row r="1050" spans="1:6" x14ac:dyDescent="0.25">
      <c r="A1050" s="34">
        <v>115</v>
      </c>
      <c r="B1050" s="33" t="s">
        <v>656</v>
      </c>
      <c r="C1050" s="33" t="s">
        <v>642</v>
      </c>
      <c r="D1050" s="33" t="s">
        <v>630</v>
      </c>
      <c r="E1050" s="33" t="s">
        <v>650</v>
      </c>
      <c r="F1050" s="34">
        <v>72</v>
      </c>
    </row>
    <row r="1051" spans="1:6" x14ac:dyDescent="0.25">
      <c r="A1051" s="34">
        <v>115</v>
      </c>
      <c r="B1051" s="33" t="s">
        <v>656</v>
      </c>
      <c r="C1051" s="33" t="s">
        <v>642</v>
      </c>
      <c r="D1051" s="33" t="s">
        <v>630</v>
      </c>
      <c r="E1051" s="33" t="s">
        <v>651</v>
      </c>
      <c r="F1051" s="34">
        <v>82</v>
      </c>
    </row>
    <row r="1052" spans="1:6" x14ac:dyDescent="0.25">
      <c r="A1052" s="34">
        <v>115</v>
      </c>
      <c r="B1052" s="33" t="s">
        <v>656</v>
      </c>
      <c r="C1052" s="33" t="s">
        <v>642</v>
      </c>
      <c r="D1052" s="33" t="s">
        <v>630</v>
      </c>
      <c r="E1052" s="33" t="s">
        <v>652</v>
      </c>
      <c r="F1052" s="34">
        <v>82</v>
      </c>
    </row>
    <row r="1053" spans="1:6" x14ac:dyDescent="0.25">
      <c r="A1053" s="34">
        <v>115</v>
      </c>
      <c r="B1053" s="33" t="s">
        <v>656</v>
      </c>
      <c r="C1053" s="33" t="s">
        <v>653</v>
      </c>
      <c r="D1053" s="33" t="s">
        <v>621</v>
      </c>
      <c r="E1053" s="33" t="s">
        <v>666</v>
      </c>
      <c r="F1053" s="34">
        <v>22</v>
      </c>
    </row>
    <row r="1054" spans="1:6" x14ac:dyDescent="0.25">
      <c r="A1054" s="34">
        <v>115</v>
      </c>
      <c r="B1054" s="33" t="s">
        <v>656</v>
      </c>
      <c r="C1054" s="33" t="s">
        <v>653</v>
      </c>
      <c r="D1054" s="33" t="s">
        <v>621</v>
      </c>
      <c r="E1054" s="33" t="s">
        <v>667</v>
      </c>
      <c r="F1054" s="34">
        <v>10</v>
      </c>
    </row>
    <row r="1055" spans="1:6" x14ac:dyDescent="0.25">
      <c r="A1055" s="34">
        <v>115</v>
      </c>
      <c r="B1055" s="33" t="s">
        <v>656</v>
      </c>
      <c r="C1055" s="33" t="s">
        <v>653</v>
      </c>
      <c r="D1055" s="33" t="s">
        <v>653</v>
      </c>
      <c r="E1055" s="33" t="s">
        <v>668</v>
      </c>
      <c r="F1055" s="34">
        <v>0</v>
      </c>
    </row>
    <row r="1056" spans="1:6" x14ac:dyDescent="0.25">
      <c r="A1056" s="34">
        <v>115</v>
      </c>
      <c r="B1056" s="33" t="s">
        <v>656</v>
      </c>
      <c r="C1056" s="33" t="s">
        <v>653</v>
      </c>
      <c r="D1056" s="33" t="s">
        <v>653</v>
      </c>
      <c r="E1056" s="33" t="s">
        <v>669</v>
      </c>
      <c r="F1056" s="34">
        <v>92</v>
      </c>
    </row>
    <row r="1057" spans="1:6" x14ac:dyDescent="0.25">
      <c r="A1057" s="34">
        <v>115</v>
      </c>
      <c r="B1057" s="33" t="s">
        <v>656</v>
      </c>
      <c r="C1057" s="33" t="s">
        <v>653</v>
      </c>
      <c r="D1057" s="33" t="s">
        <v>653</v>
      </c>
      <c r="E1057" s="33" t="s">
        <v>654</v>
      </c>
      <c r="F1057" s="34">
        <v>82</v>
      </c>
    </row>
    <row r="1058" spans="1:6" x14ac:dyDescent="0.25">
      <c r="A1058" s="34">
        <v>116</v>
      </c>
      <c r="B1058" s="33" t="s">
        <v>656</v>
      </c>
      <c r="C1058" s="33" t="s">
        <v>620</v>
      </c>
      <c r="D1058" s="33" t="s">
        <v>621</v>
      </c>
      <c r="E1058" s="33" t="s">
        <v>657</v>
      </c>
      <c r="F1058" s="34">
        <v>14.5</v>
      </c>
    </row>
    <row r="1059" spans="1:6" x14ac:dyDescent="0.25">
      <c r="A1059" s="34">
        <v>116</v>
      </c>
      <c r="B1059" s="33" t="s">
        <v>656</v>
      </c>
      <c r="C1059" s="33" t="s">
        <v>620</v>
      </c>
      <c r="D1059" s="33" t="s">
        <v>621</v>
      </c>
      <c r="E1059" s="33" t="s">
        <v>658</v>
      </c>
      <c r="F1059" s="34">
        <v>0</v>
      </c>
    </row>
    <row r="1060" spans="1:6" x14ac:dyDescent="0.25">
      <c r="A1060" s="34">
        <v>116</v>
      </c>
      <c r="B1060" s="33" t="s">
        <v>656</v>
      </c>
      <c r="C1060" s="33" t="s">
        <v>620</v>
      </c>
      <c r="D1060" s="33" t="s">
        <v>621</v>
      </c>
      <c r="E1060" s="33" t="s">
        <v>629</v>
      </c>
      <c r="F1060" s="34">
        <v>36</v>
      </c>
    </row>
    <row r="1061" spans="1:6" x14ac:dyDescent="0.25">
      <c r="A1061" s="34">
        <v>116</v>
      </c>
      <c r="B1061" s="33" t="s">
        <v>656</v>
      </c>
      <c r="C1061" s="33" t="s">
        <v>620</v>
      </c>
      <c r="D1061" s="33" t="s">
        <v>630</v>
      </c>
      <c r="E1061" s="33" t="s">
        <v>631</v>
      </c>
      <c r="F1061" s="34">
        <v>78</v>
      </c>
    </row>
    <row r="1062" spans="1:6" x14ac:dyDescent="0.25">
      <c r="A1062" s="34">
        <v>116</v>
      </c>
      <c r="B1062" s="33" t="s">
        <v>656</v>
      </c>
      <c r="C1062" s="33" t="s">
        <v>620</v>
      </c>
      <c r="D1062" s="33" t="s">
        <v>630</v>
      </c>
      <c r="E1062" s="33" t="s">
        <v>632</v>
      </c>
      <c r="F1062" s="33" t="s">
        <v>462</v>
      </c>
    </row>
    <row r="1063" spans="1:6" x14ac:dyDescent="0.25">
      <c r="A1063" s="34">
        <v>116</v>
      </c>
      <c r="B1063" s="33" t="s">
        <v>656</v>
      </c>
      <c r="C1063" s="33" t="s">
        <v>620</v>
      </c>
      <c r="D1063" s="33" t="s">
        <v>630</v>
      </c>
      <c r="E1063" s="33" t="s">
        <v>633</v>
      </c>
      <c r="F1063" s="34">
        <v>78</v>
      </c>
    </row>
    <row r="1064" spans="1:6" x14ac:dyDescent="0.25">
      <c r="A1064" s="34">
        <v>116</v>
      </c>
      <c r="B1064" s="33" t="s">
        <v>656</v>
      </c>
      <c r="C1064" s="33" t="s">
        <v>634</v>
      </c>
      <c r="D1064" s="33" t="s">
        <v>621</v>
      </c>
      <c r="E1064" s="33" t="s">
        <v>659</v>
      </c>
      <c r="F1064" s="34">
        <v>16</v>
      </c>
    </row>
    <row r="1065" spans="1:6" x14ac:dyDescent="0.25">
      <c r="A1065" s="34">
        <v>116</v>
      </c>
      <c r="B1065" s="33" t="s">
        <v>656</v>
      </c>
      <c r="C1065" s="33" t="s">
        <v>634</v>
      </c>
      <c r="D1065" s="33" t="s">
        <v>621</v>
      </c>
      <c r="E1065" s="33" t="s">
        <v>660</v>
      </c>
      <c r="F1065" s="34">
        <v>12</v>
      </c>
    </row>
    <row r="1066" spans="1:6" x14ac:dyDescent="0.25">
      <c r="A1066" s="34">
        <v>116</v>
      </c>
      <c r="B1066" s="33" t="s">
        <v>656</v>
      </c>
      <c r="C1066" s="33" t="s">
        <v>634</v>
      </c>
      <c r="D1066" s="33" t="s">
        <v>621</v>
      </c>
      <c r="E1066" s="33" t="s">
        <v>638</v>
      </c>
      <c r="F1066" s="34">
        <v>47.5</v>
      </c>
    </row>
    <row r="1067" spans="1:6" x14ac:dyDescent="0.25">
      <c r="A1067" s="34">
        <v>116</v>
      </c>
      <c r="B1067" s="33" t="s">
        <v>656</v>
      </c>
      <c r="C1067" s="33" t="s">
        <v>634</v>
      </c>
      <c r="D1067" s="33" t="s">
        <v>630</v>
      </c>
      <c r="E1067" s="33" t="s">
        <v>639</v>
      </c>
      <c r="F1067" s="34">
        <v>92</v>
      </c>
    </row>
    <row r="1068" spans="1:6" x14ac:dyDescent="0.25">
      <c r="A1068" s="34">
        <v>116</v>
      </c>
      <c r="B1068" s="33" t="s">
        <v>656</v>
      </c>
      <c r="C1068" s="33" t="s">
        <v>634</v>
      </c>
      <c r="D1068" s="33" t="s">
        <v>630</v>
      </c>
      <c r="E1068" s="33" t="s">
        <v>640</v>
      </c>
      <c r="F1068" s="33" t="s">
        <v>462</v>
      </c>
    </row>
    <row r="1069" spans="1:6" x14ac:dyDescent="0.25">
      <c r="A1069" s="34">
        <v>116</v>
      </c>
      <c r="B1069" s="33" t="s">
        <v>656</v>
      </c>
      <c r="C1069" s="33" t="s">
        <v>634</v>
      </c>
      <c r="D1069" s="33" t="s">
        <v>630</v>
      </c>
      <c r="E1069" s="33" t="s">
        <v>661</v>
      </c>
      <c r="F1069" s="34">
        <v>92</v>
      </c>
    </row>
    <row r="1070" spans="1:6" x14ac:dyDescent="0.25">
      <c r="A1070" s="34">
        <v>116</v>
      </c>
      <c r="B1070" s="33" t="s">
        <v>656</v>
      </c>
      <c r="C1070" s="33" t="s">
        <v>642</v>
      </c>
      <c r="D1070" s="33" t="s">
        <v>621</v>
      </c>
      <c r="E1070" s="33" t="s">
        <v>662</v>
      </c>
      <c r="F1070" s="34">
        <v>0</v>
      </c>
    </row>
    <row r="1071" spans="1:6" x14ac:dyDescent="0.25">
      <c r="A1071" s="34">
        <v>116</v>
      </c>
      <c r="B1071" s="33" t="s">
        <v>656</v>
      </c>
      <c r="C1071" s="33" t="s">
        <v>642</v>
      </c>
      <c r="D1071" s="33" t="s">
        <v>621</v>
      </c>
      <c r="E1071" s="33" t="s">
        <v>663</v>
      </c>
      <c r="F1071" s="34">
        <v>0</v>
      </c>
    </row>
    <row r="1072" spans="1:6" x14ac:dyDescent="0.25">
      <c r="A1072" s="34">
        <v>116</v>
      </c>
      <c r="B1072" s="33" t="s">
        <v>656</v>
      </c>
      <c r="C1072" s="33" t="s">
        <v>642</v>
      </c>
      <c r="D1072" s="33" t="s">
        <v>621</v>
      </c>
      <c r="E1072" s="33" t="s">
        <v>664</v>
      </c>
      <c r="F1072" s="34">
        <v>0</v>
      </c>
    </row>
    <row r="1073" spans="1:6" x14ac:dyDescent="0.25">
      <c r="A1073" s="34">
        <v>116</v>
      </c>
      <c r="B1073" s="33" t="s">
        <v>656</v>
      </c>
      <c r="C1073" s="33" t="s">
        <v>642</v>
      </c>
      <c r="D1073" s="33" t="s">
        <v>621</v>
      </c>
      <c r="E1073" s="33" t="s">
        <v>665</v>
      </c>
      <c r="F1073" s="34">
        <v>42.5</v>
      </c>
    </row>
    <row r="1074" spans="1:6" x14ac:dyDescent="0.25">
      <c r="A1074" s="34">
        <v>116</v>
      </c>
      <c r="B1074" s="33" t="s">
        <v>656</v>
      </c>
      <c r="C1074" s="33" t="s">
        <v>642</v>
      </c>
      <c r="D1074" s="33" t="s">
        <v>630</v>
      </c>
      <c r="E1074" s="33" t="s">
        <v>650</v>
      </c>
      <c r="F1074" s="34">
        <v>72</v>
      </c>
    </row>
    <row r="1075" spans="1:6" x14ac:dyDescent="0.25">
      <c r="A1075" s="34">
        <v>116</v>
      </c>
      <c r="B1075" s="33" t="s">
        <v>656</v>
      </c>
      <c r="C1075" s="33" t="s">
        <v>642</v>
      </c>
      <c r="D1075" s="33" t="s">
        <v>630</v>
      </c>
      <c r="E1075" s="33" t="s">
        <v>651</v>
      </c>
      <c r="F1075" s="33" t="s">
        <v>462</v>
      </c>
    </row>
    <row r="1076" spans="1:6" x14ac:dyDescent="0.25">
      <c r="A1076" s="34">
        <v>116</v>
      </c>
      <c r="B1076" s="33" t="s">
        <v>656</v>
      </c>
      <c r="C1076" s="33" t="s">
        <v>642</v>
      </c>
      <c r="D1076" s="33" t="s">
        <v>630</v>
      </c>
      <c r="E1076" s="33" t="s">
        <v>652</v>
      </c>
      <c r="F1076" s="34">
        <v>72</v>
      </c>
    </row>
    <row r="1077" spans="1:6" x14ac:dyDescent="0.25">
      <c r="A1077" s="34">
        <v>116</v>
      </c>
      <c r="B1077" s="33" t="s">
        <v>656</v>
      </c>
      <c r="C1077" s="33" t="s">
        <v>653</v>
      </c>
      <c r="D1077" s="33" t="s">
        <v>621</v>
      </c>
      <c r="E1077" s="33" t="s">
        <v>666</v>
      </c>
      <c r="F1077" s="34">
        <v>19.8</v>
      </c>
    </row>
    <row r="1078" spans="1:6" x14ac:dyDescent="0.25">
      <c r="A1078" s="34">
        <v>116</v>
      </c>
      <c r="B1078" s="33" t="s">
        <v>656</v>
      </c>
      <c r="C1078" s="33" t="s">
        <v>653</v>
      </c>
      <c r="D1078" s="33" t="s">
        <v>621</v>
      </c>
      <c r="E1078" s="33" t="s">
        <v>667</v>
      </c>
      <c r="F1078" s="34">
        <v>0</v>
      </c>
    </row>
    <row r="1079" spans="1:6" x14ac:dyDescent="0.25">
      <c r="A1079" s="34">
        <v>116</v>
      </c>
      <c r="B1079" s="33" t="s">
        <v>656</v>
      </c>
      <c r="C1079" s="33" t="s">
        <v>653</v>
      </c>
      <c r="D1079" s="33" t="s">
        <v>653</v>
      </c>
      <c r="E1079" s="33" t="s">
        <v>668</v>
      </c>
      <c r="F1079" s="34">
        <v>0</v>
      </c>
    </row>
    <row r="1080" spans="1:6" x14ac:dyDescent="0.25">
      <c r="A1080" s="34">
        <v>116</v>
      </c>
      <c r="B1080" s="33" t="s">
        <v>656</v>
      </c>
      <c r="C1080" s="33" t="s">
        <v>653</v>
      </c>
      <c r="D1080" s="33" t="s">
        <v>653</v>
      </c>
      <c r="E1080" s="33" t="s">
        <v>669</v>
      </c>
      <c r="F1080" s="34">
        <v>92</v>
      </c>
    </row>
    <row r="1081" spans="1:6" x14ac:dyDescent="0.25">
      <c r="A1081" s="34">
        <v>116</v>
      </c>
      <c r="B1081" s="33" t="s">
        <v>656</v>
      </c>
      <c r="C1081" s="33" t="s">
        <v>653</v>
      </c>
      <c r="D1081" s="33" t="s">
        <v>653</v>
      </c>
      <c r="E1081" s="33" t="s">
        <v>654</v>
      </c>
      <c r="F1081" s="34">
        <v>75</v>
      </c>
    </row>
    <row r="1082" spans="1:6" x14ac:dyDescent="0.25">
      <c r="A1082" s="34">
        <v>117</v>
      </c>
      <c r="B1082" s="33" t="s">
        <v>656</v>
      </c>
      <c r="C1082" s="33" t="s">
        <v>620</v>
      </c>
      <c r="D1082" s="33" t="s">
        <v>621</v>
      </c>
      <c r="E1082" s="33" t="s">
        <v>657</v>
      </c>
      <c r="F1082" s="34">
        <v>14.5</v>
      </c>
    </row>
    <row r="1083" spans="1:6" x14ac:dyDescent="0.25">
      <c r="A1083" s="34">
        <v>117</v>
      </c>
      <c r="B1083" s="33" t="s">
        <v>656</v>
      </c>
      <c r="C1083" s="33" t="s">
        <v>620</v>
      </c>
      <c r="D1083" s="33" t="s">
        <v>621</v>
      </c>
      <c r="E1083" s="33" t="s">
        <v>658</v>
      </c>
      <c r="F1083" s="34">
        <v>11.25</v>
      </c>
    </row>
    <row r="1084" spans="1:6" x14ac:dyDescent="0.25">
      <c r="A1084" s="34">
        <v>117</v>
      </c>
      <c r="B1084" s="33" t="s">
        <v>656</v>
      </c>
      <c r="C1084" s="33" t="s">
        <v>620</v>
      </c>
      <c r="D1084" s="33" t="s">
        <v>621</v>
      </c>
      <c r="E1084" s="33" t="s">
        <v>629</v>
      </c>
      <c r="F1084" s="34">
        <v>0</v>
      </c>
    </row>
    <row r="1085" spans="1:6" x14ac:dyDescent="0.25">
      <c r="A1085" s="34">
        <v>117</v>
      </c>
      <c r="B1085" s="33" t="s">
        <v>656</v>
      </c>
      <c r="C1085" s="33" t="s">
        <v>620</v>
      </c>
      <c r="D1085" s="33" t="s">
        <v>630</v>
      </c>
      <c r="E1085" s="33" t="s">
        <v>631</v>
      </c>
      <c r="F1085" s="34">
        <v>62</v>
      </c>
    </row>
    <row r="1086" spans="1:6" x14ac:dyDescent="0.25">
      <c r="A1086" s="34">
        <v>117</v>
      </c>
      <c r="B1086" s="33" t="s">
        <v>656</v>
      </c>
      <c r="C1086" s="33" t="s">
        <v>620</v>
      </c>
      <c r="D1086" s="33" t="s">
        <v>630</v>
      </c>
      <c r="E1086" s="33" t="s">
        <v>632</v>
      </c>
      <c r="F1086" s="33" t="s">
        <v>462</v>
      </c>
    </row>
    <row r="1087" spans="1:6" x14ac:dyDescent="0.25">
      <c r="A1087" s="34">
        <v>117</v>
      </c>
      <c r="B1087" s="33" t="s">
        <v>656</v>
      </c>
      <c r="C1087" s="33" t="s">
        <v>620</v>
      </c>
      <c r="D1087" s="33" t="s">
        <v>630</v>
      </c>
      <c r="E1087" s="33" t="s">
        <v>633</v>
      </c>
      <c r="F1087" s="34">
        <v>62</v>
      </c>
    </row>
    <row r="1088" spans="1:6" x14ac:dyDescent="0.25">
      <c r="A1088" s="34">
        <v>117</v>
      </c>
      <c r="B1088" s="33" t="s">
        <v>656</v>
      </c>
      <c r="C1088" s="33" t="s">
        <v>634</v>
      </c>
      <c r="D1088" s="33" t="s">
        <v>621</v>
      </c>
      <c r="E1088" s="33" t="s">
        <v>659</v>
      </c>
      <c r="F1088" s="34">
        <v>18</v>
      </c>
    </row>
    <row r="1089" spans="1:6" x14ac:dyDescent="0.25">
      <c r="A1089" s="34">
        <v>117</v>
      </c>
      <c r="B1089" s="33" t="s">
        <v>656</v>
      </c>
      <c r="C1089" s="33" t="s">
        <v>634</v>
      </c>
      <c r="D1089" s="33" t="s">
        <v>621</v>
      </c>
      <c r="E1089" s="33" t="s">
        <v>660</v>
      </c>
      <c r="F1089" s="34">
        <v>0</v>
      </c>
    </row>
    <row r="1090" spans="1:6" x14ac:dyDescent="0.25">
      <c r="A1090" s="34">
        <v>117</v>
      </c>
      <c r="B1090" s="33" t="s">
        <v>656</v>
      </c>
      <c r="C1090" s="33" t="s">
        <v>634</v>
      </c>
      <c r="D1090" s="33" t="s">
        <v>621</v>
      </c>
      <c r="E1090" s="33" t="s">
        <v>638</v>
      </c>
      <c r="F1090" s="34">
        <v>44</v>
      </c>
    </row>
    <row r="1091" spans="1:6" x14ac:dyDescent="0.25">
      <c r="A1091" s="34">
        <v>117</v>
      </c>
      <c r="B1091" s="33" t="s">
        <v>656</v>
      </c>
      <c r="C1091" s="33" t="s">
        <v>634</v>
      </c>
      <c r="D1091" s="33" t="s">
        <v>630</v>
      </c>
      <c r="E1091" s="33" t="s">
        <v>639</v>
      </c>
      <c r="F1091" s="34">
        <v>30</v>
      </c>
    </row>
    <row r="1092" spans="1:6" x14ac:dyDescent="0.25">
      <c r="A1092" s="34">
        <v>117</v>
      </c>
      <c r="B1092" s="33" t="s">
        <v>656</v>
      </c>
      <c r="C1092" s="33" t="s">
        <v>634</v>
      </c>
      <c r="D1092" s="33" t="s">
        <v>630</v>
      </c>
      <c r="E1092" s="33" t="s">
        <v>640</v>
      </c>
      <c r="F1092" s="34">
        <v>75</v>
      </c>
    </row>
    <row r="1093" spans="1:6" x14ac:dyDescent="0.25">
      <c r="A1093" s="34">
        <v>117</v>
      </c>
      <c r="B1093" s="33" t="s">
        <v>656</v>
      </c>
      <c r="C1093" s="33" t="s">
        <v>634</v>
      </c>
      <c r="D1093" s="33" t="s">
        <v>630</v>
      </c>
      <c r="E1093" s="33" t="s">
        <v>661</v>
      </c>
      <c r="F1093" s="34">
        <v>75</v>
      </c>
    </row>
    <row r="1094" spans="1:6" x14ac:dyDescent="0.25">
      <c r="A1094" s="34">
        <v>117</v>
      </c>
      <c r="B1094" s="33" t="s">
        <v>656</v>
      </c>
      <c r="C1094" s="33" t="s">
        <v>642</v>
      </c>
      <c r="D1094" s="33" t="s">
        <v>621</v>
      </c>
      <c r="E1094" s="33" t="s">
        <v>662</v>
      </c>
      <c r="F1094" s="34">
        <v>9</v>
      </c>
    </row>
    <row r="1095" spans="1:6" x14ac:dyDescent="0.25">
      <c r="A1095" s="34">
        <v>117</v>
      </c>
      <c r="B1095" s="33" t="s">
        <v>656</v>
      </c>
      <c r="C1095" s="33" t="s">
        <v>642</v>
      </c>
      <c r="D1095" s="33" t="s">
        <v>621</v>
      </c>
      <c r="E1095" s="33" t="s">
        <v>663</v>
      </c>
      <c r="F1095" s="34">
        <v>8</v>
      </c>
    </row>
    <row r="1096" spans="1:6" x14ac:dyDescent="0.25">
      <c r="A1096" s="34">
        <v>117</v>
      </c>
      <c r="B1096" s="33" t="s">
        <v>656</v>
      </c>
      <c r="C1096" s="33" t="s">
        <v>642</v>
      </c>
      <c r="D1096" s="33" t="s">
        <v>621</v>
      </c>
      <c r="E1096" s="33" t="s">
        <v>664</v>
      </c>
      <c r="F1096" s="34">
        <v>11</v>
      </c>
    </row>
    <row r="1097" spans="1:6" x14ac:dyDescent="0.25">
      <c r="A1097" s="34">
        <v>117</v>
      </c>
      <c r="B1097" s="33" t="s">
        <v>656</v>
      </c>
      <c r="C1097" s="33" t="s">
        <v>642</v>
      </c>
      <c r="D1097" s="33" t="s">
        <v>621</v>
      </c>
      <c r="E1097" s="33" t="s">
        <v>665</v>
      </c>
      <c r="F1097" s="34">
        <v>32.5</v>
      </c>
    </row>
    <row r="1098" spans="1:6" x14ac:dyDescent="0.25">
      <c r="A1098" s="34">
        <v>117</v>
      </c>
      <c r="B1098" s="33" t="s">
        <v>656</v>
      </c>
      <c r="C1098" s="33" t="s">
        <v>642</v>
      </c>
      <c r="D1098" s="33" t="s">
        <v>630</v>
      </c>
      <c r="E1098" s="33" t="s">
        <v>650</v>
      </c>
      <c r="F1098" s="34">
        <v>72</v>
      </c>
    </row>
    <row r="1099" spans="1:6" x14ac:dyDescent="0.25">
      <c r="A1099" s="34">
        <v>117</v>
      </c>
      <c r="B1099" s="33" t="s">
        <v>656</v>
      </c>
      <c r="C1099" s="33" t="s">
        <v>642</v>
      </c>
      <c r="D1099" s="33" t="s">
        <v>630</v>
      </c>
      <c r="E1099" s="33" t="s">
        <v>651</v>
      </c>
      <c r="F1099" s="33" t="s">
        <v>462</v>
      </c>
    </row>
    <row r="1100" spans="1:6" x14ac:dyDescent="0.25">
      <c r="A1100" s="34">
        <v>117</v>
      </c>
      <c r="B1100" s="33" t="s">
        <v>656</v>
      </c>
      <c r="C1100" s="33" t="s">
        <v>642</v>
      </c>
      <c r="D1100" s="33" t="s">
        <v>630</v>
      </c>
      <c r="E1100" s="33" t="s">
        <v>652</v>
      </c>
      <c r="F1100" s="34">
        <v>72</v>
      </c>
    </row>
    <row r="1101" spans="1:6" x14ac:dyDescent="0.25">
      <c r="A1101" s="34">
        <v>117</v>
      </c>
      <c r="B1101" s="33" t="s">
        <v>656</v>
      </c>
      <c r="C1101" s="33" t="s">
        <v>653</v>
      </c>
      <c r="D1101" s="33" t="s">
        <v>621</v>
      </c>
      <c r="E1101" s="33" t="s">
        <v>666</v>
      </c>
      <c r="F1101" s="34">
        <v>21.4</v>
      </c>
    </row>
    <row r="1102" spans="1:6" x14ac:dyDescent="0.25">
      <c r="A1102" s="34">
        <v>117</v>
      </c>
      <c r="B1102" s="33" t="s">
        <v>656</v>
      </c>
      <c r="C1102" s="33" t="s">
        <v>653</v>
      </c>
      <c r="D1102" s="33" t="s">
        <v>621</v>
      </c>
      <c r="E1102" s="33" t="s">
        <v>667</v>
      </c>
      <c r="F1102" s="34">
        <v>9</v>
      </c>
    </row>
    <row r="1103" spans="1:6" x14ac:dyDescent="0.25">
      <c r="A1103" s="34">
        <v>117</v>
      </c>
      <c r="B1103" s="33" t="s">
        <v>656</v>
      </c>
      <c r="C1103" s="33" t="s">
        <v>653</v>
      </c>
      <c r="D1103" s="33" t="s">
        <v>653</v>
      </c>
      <c r="E1103" s="33" t="s">
        <v>668</v>
      </c>
      <c r="F1103" s="34">
        <v>26</v>
      </c>
    </row>
    <row r="1104" spans="1:6" x14ac:dyDescent="0.25">
      <c r="A1104" s="34">
        <v>117</v>
      </c>
      <c r="B1104" s="33" t="s">
        <v>656</v>
      </c>
      <c r="C1104" s="33" t="s">
        <v>653</v>
      </c>
      <c r="D1104" s="33" t="s">
        <v>653</v>
      </c>
      <c r="E1104" s="33" t="s">
        <v>669</v>
      </c>
      <c r="F1104" s="34">
        <v>95</v>
      </c>
    </row>
    <row r="1105" spans="1:6" x14ac:dyDescent="0.25">
      <c r="A1105" s="34">
        <v>117</v>
      </c>
      <c r="B1105" s="33" t="s">
        <v>656</v>
      </c>
      <c r="C1105" s="33" t="s">
        <v>653</v>
      </c>
      <c r="D1105" s="33" t="s">
        <v>653</v>
      </c>
      <c r="E1105" s="33" t="s">
        <v>654</v>
      </c>
      <c r="F1105" s="34">
        <v>68</v>
      </c>
    </row>
    <row r="1106" spans="1:6" x14ac:dyDescent="0.25">
      <c r="A1106" s="34">
        <v>118</v>
      </c>
      <c r="B1106" s="33" t="s">
        <v>656</v>
      </c>
      <c r="C1106" s="33" t="s">
        <v>620</v>
      </c>
      <c r="D1106" s="33" t="s">
        <v>621</v>
      </c>
      <c r="E1106" s="33" t="s">
        <v>657</v>
      </c>
      <c r="F1106" s="34">
        <v>0</v>
      </c>
    </row>
    <row r="1107" spans="1:6" x14ac:dyDescent="0.25">
      <c r="A1107" s="34">
        <v>118</v>
      </c>
      <c r="B1107" s="33" t="s">
        <v>656</v>
      </c>
      <c r="C1107" s="33" t="s">
        <v>620</v>
      </c>
      <c r="D1107" s="33" t="s">
        <v>621</v>
      </c>
      <c r="E1107" s="33" t="s">
        <v>658</v>
      </c>
      <c r="F1107" s="34">
        <v>1</v>
      </c>
    </row>
    <row r="1108" spans="1:6" x14ac:dyDescent="0.25">
      <c r="A1108" s="34">
        <v>118</v>
      </c>
      <c r="B1108" s="33" t="s">
        <v>656</v>
      </c>
      <c r="C1108" s="33" t="s">
        <v>620</v>
      </c>
      <c r="D1108" s="33" t="s">
        <v>621</v>
      </c>
      <c r="E1108" s="33" t="s">
        <v>629</v>
      </c>
      <c r="F1108" s="34">
        <v>46</v>
      </c>
    </row>
    <row r="1109" spans="1:6" x14ac:dyDescent="0.25">
      <c r="A1109" s="34">
        <v>118</v>
      </c>
      <c r="B1109" s="33" t="s">
        <v>656</v>
      </c>
      <c r="C1109" s="33" t="s">
        <v>620</v>
      </c>
      <c r="D1109" s="33" t="s">
        <v>630</v>
      </c>
      <c r="E1109" s="33" t="s">
        <v>631</v>
      </c>
      <c r="F1109" s="34">
        <v>78</v>
      </c>
    </row>
    <row r="1110" spans="1:6" x14ac:dyDescent="0.25">
      <c r="A1110" s="34">
        <v>118</v>
      </c>
      <c r="B1110" s="33" t="s">
        <v>656</v>
      </c>
      <c r="C1110" s="33" t="s">
        <v>620</v>
      </c>
      <c r="D1110" s="33" t="s">
        <v>630</v>
      </c>
      <c r="E1110" s="33" t="s">
        <v>632</v>
      </c>
      <c r="F1110" s="33" t="s">
        <v>462</v>
      </c>
    </row>
    <row r="1111" spans="1:6" x14ac:dyDescent="0.25">
      <c r="A1111" s="34">
        <v>118</v>
      </c>
      <c r="B1111" s="33" t="s">
        <v>656</v>
      </c>
      <c r="C1111" s="33" t="s">
        <v>620</v>
      </c>
      <c r="D1111" s="33" t="s">
        <v>630</v>
      </c>
      <c r="E1111" s="33" t="s">
        <v>633</v>
      </c>
      <c r="F1111" s="34">
        <v>78</v>
      </c>
    </row>
    <row r="1112" spans="1:6" x14ac:dyDescent="0.25">
      <c r="A1112" s="34">
        <v>118</v>
      </c>
      <c r="B1112" s="33" t="s">
        <v>656</v>
      </c>
      <c r="C1112" s="33" t="s">
        <v>634</v>
      </c>
      <c r="D1112" s="33" t="s">
        <v>621</v>
      </c>
      <c r="E1112" s="33" t="s">
        <v>659</v>
      </c>
      <c r="F1112" s="34">
        <v>17</v>
      </c>
    </row>
    <row r="1113" spans="1:6" x14ac:dyDescent="0.25">
      <c r="A1113" s="34">
        <v>118</v>
      </c>
      <c r="B1113" s="33" t="s">
        <v>656</v>
      </c>
      <c r="C1113" s="33" t="s">
        <v>634</v>
      </c>
      <c r="D1113" s="33" t="s">
        <v>621</v>
      </c>
      <c r="E1113" s="33" t="s">
        <v>660</v>
      </c>
      <c r="F1113" s="34">
        <v>12</v>
      </c>
    </row>
    <row r="1114" spans="1:6" x14ac:dyDescent="0.25">
      <c r="A1114" s="34">
        <v>118</v>
      </c>
      <c r="B1114" s="33" t="s">
        <v>656</v>
      </c>
      <c r="C1114" s="33" t="s">
        <v>634</v>
      </c>
      <c r="D1114" s="33" t="s">
        <v>621</v>
      </c>
      <c r="E1114" s="33" t="s">
        <v>638</v>
      </c>
      <c r="F1114" s="34">
        <v>42.5</v>
      </c>
    </row>
    <row r="1115" spans="1:6" x14ac:dyDescent="0.25">
      <c r="A1115" s="34">
        <v>118</v>
      </c>
      <c r="B1115" s="33" t="s">
        <v>656</v>
      </c>
      <c r="C1115" s="33" t="s">
        <v>634</v>
      </c>
      <c r="D1115" s="33" t="s">
        <v>630</v>
      </c>
      <c r="E1115" s="33" t="s">
        <v>639</v>
      </c>
      <c r="F1115" s="34">
        <v>68</v>
      </c>
    </row>
    <row r="1116" spans="1:6" x14ac:dyDescent="0.25">
      <c r="A1116" s="34">
        <v>118</v>
      </c>
      <c r="B1116" s="33" t="s">
        <v>656</v>
      </c>
      <c r="C1116" s="33" t="s">
        <v>634</v>
      </c>
      <c r="D1116" s="33" t="s">
        <v>630</v>
      </c>
      <c r="E1116" s="33" t="s">
        <v>640</v>
      </c>
      <c r="F1116" s="34">
        <v>65</v>
      </c>
    </row>
    <row r="1117" spans="1:6" x14ac:dyDescent="0.25">
      <c r="A1117" s="34">
        <v>118</v>
      </c>
      <c r="B1117" s="33" t="s">
        <v>656</v>
      </c>
      <c r="C1117" s="33" t="s">
        <v>634</v>
      </c>
      <c r="D1117" s="33" t="s">
        <v>630</v>
      </c>
      <c r="E1117" s="33" t="s">
        <v>661</v>
      </c>
      <c r="F1117" s="34">
        <v>68</v>
      </c>
    </row>
    <row r="1118" spans="1:6" x14ac:dyDescent="0.25">
      <c r="A1118" s="34">
        <v>118</v>
      </c>
      <c r="B1118" s="33" t="s">
        <v>656</v>
      </c>
      <c r="C1118" s="33" t="s">
        <v>642</v>
      </c>
      <c r="D1118" s="33" t="s">
        <v>621</v>
      </c>
      <c r="E1118" s="33" t="s">
        <v>662</v>
      </c>
      <c r="F1118" s="34">
        <v>0</v>
      </c>
    </row>
    <row r="1119" spans="1:6" x14ac:dyDescent="0.25">
      <c r="A1119" s="34">
        <v>118</v>
      </c>
      <c r="B1119" s="33" t="s">
        <v>656</v>
      </c>
      <c r="C1119" s="33" t="s">
        <v>642</v>
      </c>
      <c r="D1119" s="33" t="s">
        <v>621</v>
      </c>
      <c r="E1119" s="33" t="s">
        <v>663</v>
      </c>
      <c r="F1119" s="34">
        <v>9</v>
      </c>
    </row>
    <row r="1120" spans="1:6" x14ac:dyDescent="0.25">
      <c r="A1120" s="34">
        <v>118</v>
      </c>
      <c r="B1120" s="33" t="s">
        <v>656</v>
      </c>
      <c r="C1120" s="33" t="s">
        <v>642</v>
      </c>
      <c r="D1120" s="33" t="s">
        <v>621</v>
      </c>
      <c r="E1120" s="33" t="s">
        <v>664</v>
      </c>
      <c r="F1120" s="34">
        <v>7</v>
      </c>
    </row>
    <row r="1121" spans="1:6" x14ac:dyDescent="0.25">
      <c r="A1121" s="34">
        <v>118</v>
      </c>
      <c r="B1121" s="33" t="s">
        <v>656</v>
      </c>
      <c r="C1121" s="33" t="s">
        <v>642</v>
      </c>
      <c r="D1121" s="33" t="s">
        <v>621</v>
      </c>
      <c r="E1121" s="33" t="s">
        <v>665</v>
      </c>
      <c r="F1121" s="34">
        <v>36</v>
      </c>
    </row>
    <row r="1122" spans="1:6" x14ac:dyDescent="0.25">
      <c r="A1122" s="34">
        <v>118</v>
      </c>
      <c r="B1122" s="33" t="s">
        <v>656</v>
      </c>
      <c r="C1122" s="33" t="s">
        <v>642</v>
      </c>
      <c r="D1122" s="33" t="s">
        <v>630</v>
      </c>
      <c r="E1122" s="33" t="s">
        <v>650</v>
      </c>
      <c r="F1122" s="34">
        <v>68</v>
      </c>
    </row>
    <row r="1123" spans="1:6" x14ac:dyDescent="0.25">
      <c r="A1123" s="34">
        <v>118</v>
      </c>
      <c r="B1123" s="33" t="s">
        <v>656</v>
      </c>
      <c r="C1123" s="33" t="s">
        <v>642</v>
      </c>
      <c r="D1123" s="33" t="s">
        <v>630</v>
      </c>
      <c r="E1123" s="33" t="s">
        <v>651</v>
      </c>
      <c r="F1123" s="33" t="s">
        <v>462</v>
      </c>
    </row>
    <row r="1124" spans="1:6" x14ac:dyDescent="0.25">
      <c r="A1124" s="34">
        <v>118</v>
      </c>
      <c r="B1124" s="33" t="s">
        <v>656</v>
      </c>
      <c r="C1124" s="33" t="s">
        <v>642</v>
      </c>
      <c r="D1124" s="33" t="s">
        <v>630</v>
      </c>
      <c r="E1124" s="33" t="s">
        <v>652</v>
      </c>
      <c r="F1124" s="34">
        <v>68</v>
      </c>
    </row>
    <row r="1125" spans="1:6" x14ac:dyDescent="0.25">
      <c r="A1125" s="34">
        <v>118</v>
      </c>
      <c r="B1125" s="33" t="s">
        <v>656</v>
      </c>
      <c r="C1125" s="33" t="s">
        <v>653</v>
      </c>
      <c r="D1125" s="33" t="s">
        <v>621</v>
      </c>
      <c r="E1125" s="33" t="s">
        <v>666</v>
      </c>
      <c r="F1125" s="34">
        <v>22</v>
      </c>
    </row>
    <row r="1126" spans="1:6" x14ac:dyDescent="0.25">
      <c r="A1126" s="34">
        <v>118</v>
      </c>
      <c r="B1126" s="33" t="s">
        <v>656</v>
      </c>
      <c r="C1126" s="33" t="s">
        <v>653</v>
      </c>
      <c r="D1126" s="33" t="s">
        <v>621</v>
      </c>
      <c r="E1126" s="33" t="s">
        <v>667</v>
      </c>
      <c r="F1126" s="34">
        <v>9.8000000000000007</v>
      </c>
    </row>
    <row r="1127" spans="1:6" x14ac:dyDescent="0.25">
      <c r="A1127" s="34">
        <v>118</v>
      </c>
      <c r="B1127" s="33" t="s">
        <v>656</v>
      </c>
      <c r="C1127" s="33" t="s">
        <v>653</v>
      </c>
      <c r="D1127" s="33" t="s">
        <v>653</v>
      </c>
      <c r="E1127" s="33" t="s">
        <v>668</v>
      </c>
      <c r="F1127" s="34">
        <v>0</v>
      </c>
    </row>
    <row r="1128" spans="1:6" x14ac:dyDescent="0.25">
      <c r="A1128" s="34">
        <v>118</v>
      </c>
      <c r="B1128" s="33" t="s">
        <v>656</v>
      </c>
      <c r="C1128" s="33" t="s">
        <v>653</v>
      </c>
      <c r="D1128" s="33" t="s">
        <v>653</v>
      </c>
      <c r="E1128" s="33" t="s">
        <v>669</v>
      </c>
      <c r="F1128" s="34">
        <v>0</v>
      </c>
    </row>
    <row r="1129" spans="1:6" x14ac:dyDescent="0.25">
      <c r="A1129" s="34">
        <v>118</v>
      </c>
      <c r="B1129" s="33" t="s">
        <v>656</v>
      </c>
      <c r="C1129" s="33" t="s">
        <v>653</v>
      </c>
      <c r="D1129" s="33" t="s">
        <v>653</v>
      </c>
      <c r="E1129" s="33" t="s">
        <v>654</v>
      </c>
      <c r="F1129" s="34">
        <v>72</v>
      </c>
    </row>
    <row r="1130" spans="1:6" x14ac:dyDescent="0.25">
      <c r="A1130" s="34">
        <v>119</v>
      </c>
      <c r="B1130" s="33" t="s">
        <v>656</v>
      </c>
      <c r="C1130" s="33" t="s">
        <v>620</v>
      </c>
      <c r="D1130" s="33" t="s">
        <v>621</v>
      </c>
      <c r="E1130" s="63" t="s">
        <v>657</v>
      </c>
      <c r="F1130" s="64"/>
    </row>
    <row r="1131" spans="1:6" x14ac:dyDescent="0.25">
      <c r="A1131" s="34">
        <v>119</v>
      </c>
      <c r="B1131" s="33" t="s">
        <v>656</v>
      </c>
      <c r="C1131" s="33" t="s">
        <v>620</v>
      </c>
      <c r="D1131" s="33" t="s">
        <v>621</v>
      </c>
      <c r="E1131" s="33" t="s">
        <v>658</v>
      </c>
      <c r="F1131" s="34">
        <v>1</v>
      </c>
    </row>
    <row r="1132" spans="1:6" x14ac:dyDescent="0.25">
      <c r="A1132" s="34">
        <v>119</v>
      </c>
      <c r="B1132" s="33" t="s">
        <v>656</v>
      </c>
      <c r="C1132" s="33" t="s">
        <v>620</v>
      </c>
      <c r="D1132" s="33" t="s">
        <v>621</v>
      </c>
      <c r="E1132" s="33" t="s">
        <v>629</v>
      </c>
      <c r="F1132" s="34">
        <v>37.5</v>
      </c>
    </row>
    <row r="1133" spans="1:6" x14ac:dyDescent="0.25">
      <c r="A1133" s="34">
        <v>119</v>
      </c>
      <c r="B1133" s="33" t="s">
        <v>656</v>
      </c>
      <c r="C1133" s="33" t="s">
        <v>620</v>
      </c>
      <c r="D1133" s="33" t="s">
        <v>630</v>
      </c>
      <c r="E1133" s="33" t="s">
        <v>631</v>
      </c>
      <c r="F1133" s="34">
        <v>30</v>
      </c>
    </row>
    <row r="1134" spans="1:6" x14ac:dyDescent="0.25">
      <c r="A1134" s="34">
        <v>119</v>
      </c>
      <c r="B1134" s="33" t="s">
        <v>656</v>
      </c>
      <c r="C1134" s="33" t="s">
        <v>620</v>
      </c>
      <c r="D1134" s="33" t="s">
        <v>630</v>
      </c>
      <c r="E1134" s="33" t="s">
        <v>632</v>
      </c>
      <c r="F1134" s="33" t="s">
        <v>462</v>
      </c>
    </row>
    <row r="1135" spans="1:6" x14ac:dyDescent="0.25">
      <c r="A1135" s="34">
        <v>119</v>
      </c>
      <c r="B1135" s="33" t="s">
        <v>656</v>
      </c>
      <c r="C1135" s="33" t="s">
        <v>620</v>
      </c>
      <c r="D1135" s="33" t="s">
        <v>630</v>
      </c>
      <c r="E1135" s="33" t="s">
        <v>633</v>
      </c>
      <c r="F1135" s="34">
        <v>30</v>
      </c>
    </row>
    <row r="1136" spans="1:6" x14ac:dyDescent="0.25">
      <c r="A1136" s="34">
        <v>119</v>
      </c>
      <c r="B1136" s="33" t="s">
        <v>656</v>
      </c>
      <c r="C1136" s="33" t="s">
        <v>634</v>
      </c>
      <c r="D1136" s="33" t="s">
        <v>621</v>
      </c>
      <c r="E1136" s="33" t="s">
        <v>659</v>
      </c>
      <c r="F1136" s="34">
        <v>18</v>
      </c>
    </row>
    <row r="1137" spans="1:6" x14ac:dyDescent="0.25">
      <c r="A1137" s="34">
        <v>119</v>
      </c>
      <c r="B1137" s="33" t="s">
        <v>656</v>
      </c>
      <c r="C1137" s="33" t="s">
        <v>634</v>
      </c>
      <c r="D1137" s="33" t="s">
        <v>621</v>
      </c>
      <c r="E1137" s="33" t="s">
        <v>660</v>
      </c>
      <c r="F1137" s="34">
        <v>0</v>
      </c>
    </row>
    <row r="1138" spans="1:6" x14ac:dyDescent="0.25">
      <c r="A1138" s="34">
        <v>119</v>
      </c>
      <c r="B1138" s="33" t="s">
        <v>656</v>
      </c>
      <c r="C1138" s="33" t="s">
        <v>634</v>
      </c>
      <c r="D1138" s="33" t="s">
        <v>621</v>
      </c>
      <c r="E1138" s="33" t="s">
        <v>638</v>
      </c>
      <c r="F1138" s="34">
        <v>0</v>
      </c>
    </row>
    <row r="1139" spans="1:6" x14ac:dyDescent="0.25">
      <c r="A1139" s="34">
        <v>119</v>
      </c>
      <c r="B1139" s="33" t="s">
        <v>656</v>
      </c>
      <c r="C1139" s="33" t="s">
        <v>634</v>
      </c>
      <c r="D1139" s="33" t="s">
        <v>630</v>
      </c>
      <c r="E1139" s="33" t="s">
        <v>639</v>
      </c>
      <c r="F1139" s="34">
        <v>30</v>
      </c>
    </row>
    <row r="1140" spans="1:6" x14ac:dyDescent="0.25">
      <c r="A1140" s="34">
        <v>119</v>
      </c>
      <c r="B1140" s="33" t="s">
        <v>656</v>
      </c>
      <c r="C1140" s="33" t="s">
        <v>634</v>
      </c>
      <c r="D1140" s="33" t="s">
        <v>630</v>
      </c>
      <c r="E1140" s="33" t="s">
        <v>640</v>
      </c>
      <c r="F1140" s="34">
        <v>62</v>
      </c>
    </row>
    <row r="1141" spans="1:6" x14ac:dyDescent="0.25">
      <c r="A1141" s="34">
        <v>119</v>
      </c>
      <c r="B1141" s="33" t="s">
        <v>656</v>
      </c>
      <c r="C1141" s="33" t="s">
        <v>634</v>
      </c>
      <c r="D1141" s="33" t="s">
        <v>630</v>
      </c>
      <c r="E1141" s="33" t="s">
        <v>661</v>
      </c>
      <c r="F1141" s="34">
        <v>62</v>
      </c>
    </row>
    <row r="1142" spans="1:6" x14ac:dyDescent="0.25">
      <c r="A1142" s="34">
        <v>119</v>
      </c>
      <c r="B1142" s="33" t="s">
        <v>656</v>
      </c>
      <c r="C1142" s="33" t="s">
        <v>642</v>
      </c>
      <c r="D1142" s="33" t="s">
        <v>621</v>
      </c>
      <c r="E1142" s="33" t="s">
        <v>662</v>
      </c>
      <c r="F1142" s="34">
        <v>10</v>
      </c>
    </row>
    <row r="1143" spans="1:6" x14ac:dyDescent="0.25">
      <c r="A1143" s="34">
        <v>119</v>
      </c>
      <c r="B1143" s="33" t="s">
        <v>656</v>
      </c>
      <c r="C1143" s="33" t="s">
        <v>642</v>
      </c>
      <c r="D1143" s="33" t="s">
        <v>621</v>
      </c>
      <c r="E1143" s="33" t="s">
        <v>663</v>
      </c>
      <c r="F1143" s="34">
        <v>10</v>
      </c>
    </row>
    <row r="1144" spans="1:6" x14ac:dyDescent="0.25">
      <c r="A1144" s="34">
        <v>119</v>
      </c>
      <c r="B1144" s="33" t="s">
        <v>656</v>
      </c>
      <c r="C1144" s="33" t="s">
        <v>642</v>
      </c>
      <c r="D1144" s="33" t="s">
        <v>621</v>
      </c>
      <c r="E1144" s="33" t="s">
        <v>664</v>
      </c>
      <c r="F1144" s="34">
        <v>11</v>
      </c>
    </row>
    <row r="1145" spans="1:6" x14ac:dyDescent="0.25">
      <c r="A1145" s="34">
        <v>119</v>
      </c>
      <c r="B1145" s="33" t="s">
        <v>656</v>
      </c>
      <c r="C1145" s="33" t="s">
        <v>642</v>
      </c>
      <c r="D1145" s="33" t="s">
        <v>621</v>
      </c>
      <c r="E1145" s="33" t="s">
        <v>665</v>
      </c>
      <c r="F1145" s="34">
        <v>44</v>
      </c>
    </row>
    <row r="1146" spans="1:6" x14ac:dyDescent="0.25">
      <c r="A1146" s="34">
        <v>119</v>
      </c>
      <c r="B1146" s="33" t="s">
        <v>656</v>
      </c>
      <c r="C1146" s="33" t="s">
        <v>642</v>
      </c>
      <c r="D1146" s="33" t="s">
        <v>630</v>
      </c>
      <c r="E1146" s="33" t="s">
        <v>650</v>
      </c>
      <c r="F1146" s="34">
        <v>68</v>
      </c>
    </row>
    <row r="1147" spans="1:6" x14ac:dyDescent="0.25">
      <c r="A1147" s="34">
        <v>119</v>
      </c>
      <c r="B1147" s="33" t="s">
        <v>656</v>
      </c>
      <c r="C1147" s="33" t="s">
        <v>642</v>
      </c>
      <c r="D1147" s="33" t="s">
        <v>630</v>
      </c>
      <c r="E1147" s="33" t="s">
        <v>651</v>
      </c>
      <c r="F1147" s="33" t="s">
        <v>462</v>
      </c>
    </row>
    <row r="1148" spans="1:6" x14ac:dyDescent="0.25">
      <c r="A1148" s="34">
        <v>119</v>
      </c>
      <c r="B1148" s="33" t="s">
        <v>656</v>
      </c>
      <c r="C1148" s="33" t="s">
        <v>642</v>
      </c>
      <c r="D1148" s="33" t="s">
        <v>630</v>
      </c>
      <c r="E1148" s="33" t="s">
        <v>652</v>
      </c>
      <c r="F1148" s="34">
        <v>68</v>
      </c>
    </row>
    <row r="1149" spans="1:6" x14ac:dyDescent="0.25">
      <c r="A1149" s="34">
        <v>119</v>
      </c>
      <c r="B1149" s="33" t="s">
        <v>656</v>
      </c>
      <c r="C1149" s="33" t="s">
        <v>653</v>
      </c>
      <c r="D1149" s="33" t="s">
        <v>621</v>
      </c>
      <c r="E1149" s="33" t="s">
        <v>666</v>
      </c>
      <c r="F1149" s="34">
        <v>22</v>
      </c>
    </row>
    <row r="1150" spans="1:6" x14ac:dyDescent="0.25">
      <c r="A1150" s="34">
        <v>119</v>
      </c>
      <c r="B1150" s="33" t="s">
        <v>656</v>
      </c>
      <c r="C1150" s="33" t="s">
        <v>653</v>
      </c>
      <c r="D1150" s="33" t="s">
        <v>621</v>
      </c>
      <c r="E1150" s="33" t="s">
        <v>667</v>
      </c>
      <c r="F1150" s="34">
        <v>10</v>
      </c>
    </row>
    <row r="1151" spans="1:6" x14ac:dyDescent="0.25">
      <c r="A1151" s="34">
        <v>119</v>
      </c>
      <c r="B1151" s="33" t="s">
        <v>656</v>
      </c>
      <c r="C1151" s="33" t="s">
        <v>653</v>
      </c>
      <c r="D1151" s="33" t="s">
        <v>653</v>
      </c>
      <c r="E1151" s="33" t="s">
        <v>668</v>
      </c>
      <c r="F1151" s="34">
        <v>0</v>
      </c>
    </row>
    <row r="1152" spans="1:6" x14ac:dyDescent="0.25">
      <c r="A1152" s="34">
        <v>119</v>
      </c>
      <c r="B1152" s="33" t="s">
        <v>656</v>
      </c>
      <c r="C1152" s="33" t="s">
        <v>653</v>
      </c>
      <c r="D1152" s="33" t="s">
        <v>653</v>
      </c>
      <c r="E1152" s="33" t="s">
        <v>669</v>
      </c>
      <c r="F1152" s="34">
        <v>100</v>
      </c>
    </row>
    <row r="1153" spans="1:6" x14ac:dyDescent="0.25">
      <c r="A1153" s="34">
        <v>119</v>
      </c>
      <c r="B1153" s="33" t="s">
        <v>656</v>
      </c>
      <c r="C1153" s="33" t="s">
        <v>653</v>
      </c>
      <c r="D1153" s="33" t="s">
        <v>653</v>
      </c>
      <c r="E1153" s="33" t="s">
        <v>654</v>
      </c>
      <c r="F1153" s="34">
        <v>62</v>
      </c>
    </row>
    <row r="1154" spans="1:6" x14ac:dyDescent="0.25">
      <c r="A1154" s="34">
        <v>120</v>
      </c>
      <c r="B1154" s="33" t="s">
        <v>656</v>
      </c>
      <c r="C1154" s="33" t="s">
        <v>620</v>
      </c>
      <c r="D1154" s="33" t="s">
        <v>621</v>
      </c>
      <c r="E1154" s="33" t="s">
        <v>657</v>
      </c>
      <c r="F1154" s="34">
        <v>15</v>
      </c>
    </row>
    <row r="1155" spans="1:6" x14ac:dyDescent="0.25">
      <c r="A1155" s="34">
        <v>120</v>
      </c>
      <c r="B1155" s="33" t="s">
        <v>656</v>
      </c>
      <c r="C1155" s="33" t="s">
        <v>620</v>
      </c>
      <c r="D1155" s="33" t="s">
        <v>621</v>
      </c>
      <c r="E1155" s="33" t="s">
        <v>658</v>
      </c>
      <c r="F1155" s="34">
        <v>14</v>
      </c>
    </row>
    <row r="1156" spans="1:6" x14ac:dyDescent="0.25">
      <c r="A1156" s="34">
        <v>120</v>
      </c>
      <c r="B1156" s="33" t="s">
        <v>656</v>
      </c>
      <c r="C1156" s="33" t="s">
        <v>620</v>
      </c>
      <c r="D1156" s="33" t="s">
        <v>621</v>
      </c>
      <c r="E1156" s="33" t="s">
        <v>629</v>
      </c>
      <c r="F1156" s="34">
        <v>46</v>
      </c>
    </row>
    <row r="1157" spans="1:6" x14ac:dyDescent="0.25">
      <c r="A1157" s="34">
        <v>120</v>
      </c>
      <c r="B1157" s="33" t="s">
        <v>656</v>
      </c>
      <c r="C1157" s="33" t="s">
        <v>620</v>
      </c>
      <c r="D1157" s="33" t="s">
        <v>630</v>
      </c>
      <c r="E1157" s="33" t="s">
        <v>631</v>
      </c>
      <c r="F1157" s="34">
        <v>92</v>
      </c>
    </row>
    <row r="1158" spans="1:6" x14ac:dyDescent="0.25">
      <c r="A1158" s="34">
        <v>120</v>
      </c>
      <c r="B1158" s="33" t="s">
        <v>656</v>
      </c>
      <c r="C1158" s="33" t="s">
        <v>620</v>
      </c>
      <c r="D1158" s="33" t="s">
        <v>630</v>
      </c>
      <c r="E1158" s="33" t="s">
        <v>632</v>
      </c>
      <c r="F1158" s="33" t="s">
        <v>462</v>
      </c>
    </row>
    <row r="1159" spans="1:6" x14ac:dyDescent="0.25">
      <c r="A1159" s="34">
        <v>120</v>
      </c>
      <c r="B1159" s="33" t="s">
        <v>656</v>
      </c>
      <c r="C1159" s="33" t="s">
        <v>620</v>
      </c>
      <c r="D1159" s="33" t="s">
        <v>630</v>
      </c>
      <c r="E1159" s="33" t="s">
        <v>633</v>
      </c>
      <c r="F1159" s="34">
        <v>92</v>
      </c>
    </row>
    <row r="1160" spans="1:6" x14ac:dyDescent="0.25">
      <c r="A1160" s="34">
        <v>120</v>
      </c>
      <c r="B1160" s="33" t="s">
        <v>656</v>
      </c>
      <c r="C1160" s="33" t="s">
        <v>634</v>
      </c>
      <c r="D1160" s="33" t="s">
        <v>621</v>
      </c>
      <c r="E1160" s="33" t="s">
        <v>659</v>
      </c>
      <c r="F1160" s="34">
        <v>18</v>
      </c>
    </row>
    <row r="1161" spans="1:6" x14ac:dyDescent="0.25">
      <c r="A1161" s="34">
        <v>120</v>
      </c>
      <c r="B1161" s="33" t="s">
        <v>656</v>
      </c>
      <c r="C1161" s="33" t="s">
        <v>634</v>
      </c>
      <c r="D1161" s="33" t="s">
        <v>621</v>
      </c>
      <c r="E1161" s="33" t="s">
        <v>660</v>
      </c>
      <c r="F1161" s="34">
        <v>12</v>
      </c>
    </row>
    <row r="1162" spans="1:6" x14ac:dyDescent="0.25">
      <c r="A1162" s="34">
        <v>120</v>
      </c>
      <c r="B1162" s="33" t="s">
        <v>656</v>
      </c>
      <c r="C1162" s="33" t="s">
        <v>634</v>
      </c>
      <c r="D1162" s="33" t="s">
        <v>621</v>
      </c>
      <c r="E1162" s="33" t="s">
        <v>638</v>
      </c>
      <c r="F1162" s="34">
        <v>44</v>
      </c>
    </row>
    <row r="1163" spans="1:6" x14ac:dyDescent="0.25">
      <c r="A1163" s="34">
        <v>120</v>
      </c>
      <c r="B1163" s="33" t="s">
        <v>656</v>
      </c>
      <c r="C1163" s="33" t="s">
        <v>634</v>
      </c>
      <c r="D1163" s="33" t="s">
        <v>630</v>
      </c>
      <c r="E1163" s="33" t="s">
        <v>639</v>
      </c>
      <c r="F1163" s="34">
        <v>88</v>
      </c>
    </row>
    <row r="1164" spans="1:6" x14ac:dyDescent="0.25">
      <c r="A1164" s="34">
        <v>120</v>
      </c>
      <c r="B1164" s="33" t="s">
        <v>656</v>
      </c>
      <c r="C1164" s="33" t="s">
        <v>634</v>
      </c>
      <c r="D1164" s="33" t="s">
        <v>630</v>
      </c>
      <c r="E1164" s="33" t="s">
        <v>640</v>
      </c>
      <c r="F1164" s="33" t="s">
        <v>462</v>
      </c>
    </row>
    <row r="1165" spans="1:6" x14ac:dyDescent="0.25">
      <c r="A1165" s="34">
        <v>120</v>
      </c>
      <c r="B1165" s="33" t="s">
        <v>656</v>
      </c>
      <c r="C1165" s="33" t="s">
        <v>634</v>
      </c>
      <c r="D1165" s="33" t="s">
        <v>630</v>
      </c>
      <c r="E1165" s="33" t="s">
        <v>661</v>
      </c>
      <c r="F1165" s="34">
        <v>88</v>
      </c>
    </row>
    <row r="1166" spans="1:6" x14ac:dyDescent="0.25">
      <c r="A1166" s="34">
        <v>120</v>
      </c>
      <c r="B1166" s="33" t="s">
        <v>656</v>
      </c>
      <c r="C1166" s="33" t="s">
        <v>642</v>
      </c>
      <c r="D1166" s="33" t="s">
        <v>621</v>
      </c>
      <c r="E1166" s="33" t="s">
        <v>662</v>
      </c>
      <c r="F1166" s="34">
        <v>10</v>
      </c>
    </row>
    <row r="1167" spans="1:6" x14ac:dyDescent="0.25">
      <c r="A1167" s="34">
        <v>120</v>
      </c>
      <c r="B1167" s="33" t="s">
        <v>656</v>
      </c>
      <c r="C1167" s="33" t="s">
        <v>642</v>
      </c>
      <c r="D1167" s="33" t="s">
        <v>621</v>
      </c>
      <c r="E1167" s="33" t="s">
        <v>663</v>
      </c>
      <c r="F1167" s="34">
        <v>10</v>
      </c>
    </row>
    <row r="1168" spans="1:6" x14ac:dyDescent="0.25">
      <c r="A1168" s="34">
        <v>120</v>
      </c>
      <c r="B1168" s="33" t="s">
        <v>656</v>
      </c>
      <c r="C1168" s="33" t="s">
        <v>642</v>
      </c>
      <c r="D1168" s="33" t="s">
        <v>621</v>
      </c>
      <c r="E1168" s="33" t="s">
        <v>664</v>
      </c>
      <c r="F1168" s="34">
        <v>11</v>
      </c>
    </row>
    <row r="1169" spans="1:6" x14ac:dyDescent="0.25">
      <c r="A1169" s="34">
        <v>120</v>
      </c>
      <c r="B1169" s="33" t="s">
        <v>656</v>
      </c>
      <c r="C1169" s="33" t="s">
        <v>642</v>
      </c>
      <c r="D1169" s="33" t="s">
        <v>621</v>
      </c>
      <c r="E1169" s="33" t="s">
        <v>665</v>
      </c>
      <c r="F1169" s="34">
        <v>47.5</v>
      </c>
    </row>
    <row r="1170" spans="1:6" x14ac:dyDescent="0.25">
      <c r="A1170" s="34">
        <v>120</v>
      </c>
      <c r="B1170" s="33" t="s">
        <v>656</v>
      </c>
      <c r="C1170" s="33" t="s">
        <v>642</v>
      </c>
      <c r="D1170" s="33" t="s">
        <v>630</v>
      </c>
      <c r="E1170" s="33" t="s">
        <v>650</v>
      </c>
      <c r="F1170" s="34">
        <v>92</v>
      </c>
    </row>
    <row r="1171" spans="1:6" x14ac:dyDescent="0.25">
      <c r="A1171" s="34">
        <v>120</v>
      </c>
      <c r="B1171" s="33" t="s">
        <v>656</v>
      </c>
      <c r="C1171" s="33" t="s">
        <v>642</v>
      </c>
      <c r="D1171" s="33" t="s">
        <v>630</v>
      </c>
      <c r="E1171" s="33" t="s">
        <v>651</v>
      </c>
      <c r="F1171" s="33" t="s">
        <v>462</v>
      </c>
    </row>
    <row r="1172" spans="1:6" x14ac:dyDescent="0.25">
      <c r="A1172" s="34">
        <v>120</v>
      </c>
      <c r="B1172" s="33" t="s">
        <v>656</v>
      </c>
      <c r="C1172" s="33" t="s">
        <v>642</v>
      </c>
      <c r="D1172" s="33" t="s">
        <v>630</v>
      </c>
      <c r="E1172" s="33" t="s">
        <v>652</v>
      </c>
      <c r="F1172" s="34">
        <v>92</v>
      </c>
    </row>
    <row r="1173" spans="1:6" x14ac:dyDescent="0.25">
      <c r="A1173" s="34">
        <v>120</v>
      </c>
      <c r="B1173" s="33" t="s">
        <v>656</v>
      </c>
      <c r="C1173" s="33" t="s">
        <v>653</v>
      </c>
      <c r="D1173" s="33" t="s">
        <v>621</v>
      </c>
      <c r="E1173" s="33" t="s">
        <v>666</v>
      </c>
      <c r="F1173" s="34">
        <v>22</v>
      </c>
    </row>
    <row r="1174" spans="1:6" x14ac:dyDescent="0.25">
      <c r="A1174" s="34">
        <v>120</v>
      </c>
      <c r="B1174" s="33" t="s">
        <v>656</v>
      </c>
      <c r="C1174" s="33" t="s">
        <v>653</v>
      </c>
      <c r="D1174" s="33" t="s">
        <v>621</v>
      </c>
      <c r="E1174" s="33" t="s">
        <v>667</v>
      </c>
      <c r="F1174" s="34">
        <v>10</v>
      </c>
    </row>
    <row r="1175" spans="1:6" x14ac:dyDescent="0.25">
      <c r="A1175" s="34">
        <v>120</v>
      </c>
      <c r="B1175" s="33" t="s">
        <v>656</v>
      </c>
      <c r="C1175" s="33" t="s">
        <v>653</v>
      </c>
      <c r="D1175" s="33" t="s">
        <v>653</v>
      </c>
      <c r="E1175" s="33" t="s">
        <v>668</v>
      </c>
      <c r="F1175" s="34">
        <v>27</v>
      </c>
    </row>
    <row r="1176" spans="1:6" x14ac:dyDescent="0.25">
      <c r="A1176" s="34">
        <v>120</v>
      </c>
      <c r="B1176" s="33" t="s">
        <v>656</v>
      </c>
      <c r="C1176" s="33" t="s">
        <v>653</v>
      </c>
      <c r="D1176" s="33" t="s">
        <v>653</v>
      </c>
      <c r="E1176" s="33" t="s">
        <v>669</v>
      </c>
      <c r="F1176" s="34">
        <v>100</v>
      </c>
    </row>
    <row r="1177" spans="1:6" x14ac:dyDescent="0.25">
      <c r="A1177" s="34">
        <v>120</v>
      </c>
      <c r="B1177" s="33" t="s">
        <v>656</v>
      </c>
      <c r="C1177" s="33" t="s">
        <v>653</v>
      </c>
      <c r="D1177" s="33" t="s">
        <v>653</v>
      </c>
      <c r="E1177" s="33" t="s">
        <v>654</v>
      </c>
      <c r="F1177" s="34">
        <v>95</v>
      </c>
    </row>
    <row r="1178" spans="1:6" x14ac:dyDescent="0.25">
      <c r="A1178" s="34">
        <v>121</v>
      </c>
      <c r="B1178" s="33" t="s">
        <v>656</v>
      </c>
      <c r="C1178" s="33" t="s">
        <v>620</v>
      </c>
      <c r="D1178" s="33" t="s">
        <v>621</v>
      </c>
      <c r="E1178" s="33" t="s">
        <v>657</v>
      </c>
      <c r="F1178" s="34">
        <v>15</v>
      </c>
    </row>
    <row r="1179" spans="1:6" x14ac:dyDescent="0.25">
      <c r="A1179" s="34">
        <v>121</v>
      </c>
      <c r="B1179" s="33" t="s">
        <v>656</v>
      </c>
      <c r="C1179" s="33" t="s">
        <v>620</v>
      </c>
      <c r="D1179" s="33" t="s">
        <v>621</v>
      </c>
      <c r="E1179" s="33" t="s">
        <v>658</v>
      </c>
      <c r="F1179" s="34">
        <v>15</v>
      </c>
    </row>
    <row r="1180" spans="1:6" x14ac:dyDescent="0.25">
      <c r="A1180" s="34">
        <v>121</v>
      </c>
      <c r="B1180" s="33" t="s">
        <v>656</v>
      </c>
      <c r="C1180" s="33" t="s">
        <v>620</v>
      </c>
      <c r="D1180" s="33" t="s">
        <v>621</v>
      </c>
      <c r="E1180" s="33" t="s">
        <v>629</v>
      </c>
      <c r="F1180" s="34">
        <v>50</v>
      </c>
    </row>
    <row r="1181" spans="1:6" x14ac:dyDescent="0.25">
      <c r="A1181" s="34">
        <v>121</v>
      </c>
      <c r="B1181" s="33" t="s">
        <v>656</v>
      </c>
      <c r="C1181" s="33" t="s">
        <v>620</v>
      </c>
      <c r="D1181" s="33" t="s">
        <v>630</v>
      </c>
      <c r="E1181" s="33" t="s">
        <v>631</v>
      </c>
      <c r="F1181" s="34">
        <v>95</v>
      </c>
    </row>
    <row r="1182" spans="1:6" x14ac:dyDescent="0.25">
      <c r="A1182" s="34">
        <v>121</v>
      </c>
      <c r="B1182" s="33" t="s">
        <v>656</v>
      </c>
      <c r="C1182" s="33" t="s">
        <v>620</v>
      </c>
      <c r="D1182" s="33" t="s">
        <v>630</v>
      </c>
      <c r="E1182" s="33" t="s">
        <v>632</v>
      </c>
      <c r="F1182" s="33" t="s">
        <v>462</v>
      </c>
    </row>
    <row r="1183" spans="1:6" x14ac:dyDescent="0.25">
      <c r="A1183" s="34">
        <v>121</v>
      </c>
      <c r="B1183" s="33" t="s">
        <v>656</v>
      </c>
      <c r="C1183" s="33" t="s">
        <v>620</v>
      </c>
      <c r="D1183" s="33" t="s">
        <v>630</v>
      </c>
      <c r="E1183" s="33" t="s">
        <v>633</v>
      </c>
      <c r="F1183" s="34">
        <v>95</v>
      </c>
    </row>
    <row r="1184" spans="1:6" x14ac:dyDescent="0.25">
      <c r="A1184" s="34">
        <v>121</v>
      </c>
      <c r="B1184" s="33" t="s">
        <v>656</v>
      </c>
      <c r="C1184" s="33" t="s">
        <v>634</v>
      </c>
      <c r="D1184" s="33" t="s">
        <v>621</v>
      </c>
      <c r="E1184" s="33" t="s">
        <v>659</v>
      </c>
      <c r="F1184" s="34">
        <v>18</v>
      </c>
    </row>
    <row r="1185" spans="1:6" x14ac:dyDescent="0.25">
      <c r="A1185" s="34">
        <v>121</v>
      </c>
      <c r="B1185" s="33" t="s">
        <v>656</v>
      </c>
      <c r="C1185" s="33" t="s">
        <v>634</v>
      </c>
      <c r="D1185" s="33" t="s">
        <v>621</v>
      </c>
      <c r="E1185" s="33" t="s">
        <v>660</v>
      </c>
      <c r="F1185" s="34">
        <v>12</v>
      </c>
    </row>
    <row r="1186" spans="1:6" x14ac:dyDescent="0.25">
      <c r="A1186" s="34">
        <v>121</v>
      </c>
      <c r="B1186" s="33" t="s">
        <v>656</v>
      </c>
      <c r="C1186" s="33" t="s">
        <v>634</v>
      </c>
      <c r="D1186" s="33" t="s">
        <v>621</v>
      </c>
      <c r="E1186" s="33" t="s">
        <v>638</v>
      </c>
      <c r="F1186" s="34">
        <v>47.5</v>
      </c>
    </row>
    <row r="1187" spans="1:6" x14ac:dyDescent="0.25">
      <c r="A1187" s="34">
        <v>121</v>
      </c>
      <c r="B1187" s="33" t="s">
        <v>656</v>
      </c>
      <c r="C1187" s="33" t="s">
        <v>634</v>
      </c>
      <c r="D1187" s="33" t="s">
        <v>630</v>
      </c>
      <c r="E1187" s="33" t="s">
        <v>639</v>
      </c>
      <c r="F1187" s="34">
        <v>82</v>
      </c>
    </row>
    <row r="1188" spans="1:6" x14ac:dyDescent="0.25">
      <c r="A1188" s="34">
        <v>121</v>
      </c>
      <c r="B1188" s="33" t="s">
        <v>656</v>
      </c>
      <c r="C1188" s="33" t="s">
        <v>634</v>
      </c>
      <c r="D1188" s="33" t="s">
        <v>630</v>
      </c>
      <c r="E1188" s="33" t="s">
        <v>640</v>
      </c>
      <c r="F1188" s="33" t="s">
        <v>462</v>
      </c>
    </row>
    <row r="1189" spans="1:6" x14ac:dyDescent="0.25">
      <c r="A1189" s="34">
        <v>121</v>
      </c>
      <c r="B1189" s="33" t="s">
        <v>656</v>
      </c>
      <c r="C1189" s="33" t="s">
        <v>634</v>
      </c>
      <c r="D1189" s="33" t="s">
        <v>630</v>
      </c>
      <c r="E1189" s="33" t="s">
        <v>661</v>
      </c>
      <c r="F1189" s="34">
        <v>82</v>
      </c>
    </row>
    <row r="1190" spans="1:6" x14ac:dyDescent="0.25">
      <c r="A1190" s="34">
        <v>121</v>
      </c>
      <c r="B1190" s="33" t="s">
        <v>656</v>
      </c>
      <c r="C1190" s="33" t="s">
        <v>642</v>
      </c>
      <c r="D1190" s="33" t="s">
        <v>621</v>
      </c>
      <c r="E1190" s="33" t="s">
        <v>662</v>
      </c>
      <c r="F1190" s="34">
        <v>10</v>
      </c>
    </row>
    <row r="1191" spans="1:6" x14ac:dyDescent="0.25">
      <c r="A1191" s="34">
        <v>121</v>
      </c>
      <c r="B1191" s="33" t="s">
        <v>656</v>
      </c>
      <c r="C1191" s="33" t="s">
        <v>642</v>
      </c>
      <c r="D1191" s="33" t="s">
        <v>621</v>
      </c>
      <c r="E1191" s="33" t="s">
        <v>663</v>
      </c>
      <c r="F1191" s="34">
        <v>10</v>
      </c>
    </row>
    <row r="1192" spans="1:6" x14ac:dyDescent="0.25">
      <c r="A1192" s="34">
        <v>121</v>
      </c>
      <c r="B1192" s="33" t="s">
        <v>656</v>
      </c>
      <c r="C1192" s="33" t="s">
        <v>642</v>
      </c>
      <c r="D1192" s="33" t="s">
        <v>621</v>
      </c>
      <c r="E1192" s="33" t="s">
        <v>664</v>
      </c>
      <c r="F1192" s="34">
        <v>11</v>
      </c>
    </row>
    <row r="1193" spans="1:6" x14ac:dyDescent="0.25">
      <c r="A1193" s="34">
        <v>121</v>
      </c>
      <c r="B1193" s="33" t="s">
        <v>656</v>
      </c>
      <c r="C1193" s="33" t="s">
        <v>642</v>
      </c>
      <c r="D1193" s="33" t="s">
        <v>621</v>
      </c>
      <c r="E1193" s="33" t="s">
        <v>665</v>
      </c>
      <c r="F1193" s="34">
        <v>46</v>
      </c>
    </row>
    <row r="1194" spans="1:6" x14ac:dyDescent="0.25">
      <c r="A1194" s="34">
        <v>121</v>
      </c>
      <c r="B1194" s="33" t="s">
        <v>656</v>
      </c>
      <c r="C1194" s="33" t="s">
        <v>642</v>
      </c>
      <c r="D1194" s="33" t="s">
        <v>630</v>
      </c>
      <c r="E1194" s="33" t="s">
        <v>650</v>
      </c>
      <c r="F1194" s="34">
        <v>82</v>
      </c>
    </row>
    <row r="1195" spans="1:6" x14ac:dyDescent="0.25">
      <c r="A1195" s="34">
        <v>121</v>
      </c>
      <c r="B1195" s="33" t="s">
        <v>656</v>
      </c>
      <c r="C1195" s="33" t="s">
        <v>642</v>
      </c>
      <c r="D1195" s="33" t="s">
        <v>630</v>
      </c>
      <c r="E1195" s="33" t="s">
        <v>651</v>
      </c>
      <c r="F1195" s="33" t="s">
        <v>462</v>
      </c>
    </row>
    <row r="1196" spans="1:6" x14ac:dyDescent="0.25">
      <c r="A1196" s="34">
        <v>121</v>
      </c>
      <c r="B1196" s="33" t="s">
        <v>656</v>
      </c>
      <c r="C1196" s="33" t="s">
        <v>642</v>
      </c>
      <c r="D1196" s="33" t="s">
        <v>630</v>
      </c>
      <c r="E1196" s="33" t="s">
        <v>652</v>
      </c>
      <c r="F1196" s="34">
        <v>82</v>
      </c>
    </row>
    <row r="1197" spans="1:6" x14ac:dyDescent="0.25">
      <c r="A1197" s="34">
        <v>121</v>
      </c>
      <c r="B1197" s="33" t="s">
        <v>656</v>
      </c>
      <c r="C1197" s="33" t="s">
        <v>653</v>
      </c>
      <c r="D1197" s="33" t="s">
        <v>621</v>
      </c>
      <c r="E1197" s="33" t="s">
        <v>666</v>
      </c>
      <c r="F1197" s="34">
        <v>22</v>
      </c>
    </row>
    <row r="1198" spans="1:6" x14ac:dyDescent="0.25">
      <c r="A1198" s="34">
        <v>121</v>
      </c>
      <c r="B1198" s="33" t="s">
        <v>656</v>
      </c>
      <c r="C1198" s="33" t="s">
        <v>653</v>
      </c>
      <c r="D1198" s="33" t="s">
        <v>621</v>
      </c>
      <c r="E1198" s="33" t="s">
        <v>667</v>
      </c>
      <c r="F1198" s="34">
        <v>9.5</v>
      </c>
    </row>
    <row r="1199" spans="1:6" x14ac:dyDescent="0.25">
      <c r="A1199" s="34">
        <v>121</v>
      </c>
      <c r="B1199" s="33" t="s">
        <v>656</v>
      </c>
      <c r="C1199" s="33" t="s">
        <v>653</v>
      </c>
      <c r="D1199" s="33" t="s">
        <v>653</v>
      </c>
      <c r="E1199" s="33" t="s">
        <v>668</v>
      </c>
      <c r="F1199" s="34">
        <v>0</v>
      </c>
    </row>
    <row r="1200" spans="1:6" x14ac:dyDescent="0.25">
      <c r="A1200" s="34">
        <v>121</v>
      </c>
      <c r="B1200" s="33" t="s">
        <v>656</v>
      </c>
      <c r="C1200" s="33" t="s">
        <v>653</v>
      </c>
      <c r="D1200" s="33" t="s">
        <v>653</v>
      </c>
      <c r="E1200" s="33" t="s">
        <v>669</v>
      </c>
      <c r="F1200" s="34">
        <v>100</v>
      </c>
    </row>
    <row r="1201" spans="1:6" x14ac:dyDescent="0.25">
      <c r="A1201" s="34">
        <v>121</v>
      </c>
      <c r="B1201" s="33" t="s">
        <v>656</v>
      </c>
      <c r="C1201" s="33" t="s">
        <v>653</v>
      </c>
      <c r="D1201" s="33" t="s">
        <v>653</v>
      </c>
      <c r="E1201" s="33" t="s">
        <v>654</v>
      </c>
      <c r="F1201" s="34">
        <v>85</v>
      </c>
    </row>
    <row r="1202" spans="1:6" x14ac:dyDescent="0.25">
      <c r="A1202" s="34">
        <v>122</v>
      </c>
      <c r="B1202" s="33" t="s">
        <v>656</v>
      </c>
      <c r="C1202" s="33" t="s">
        <v>620</v>
      </c>
      <c r="D1202" s="33" t="s">
        <v>621</v>
      </c>
      <c r="E1202" s="33" t="s">
        <v>657</v>
      </c>
      <c r="F1202" s="34">
        <v>12.5</v>
      </c>
    </row>
    <row r="1203" spans="1:6" x14ac:dyDescent="0.25">
      <c r="A1203" s="34">
        <v>122</v>
      </c>
      <c r="B1203" s="33" t="s">
        <v>656</v>
      </c>
      <c r="C1203" s="33" t="s">
        <v>620</v>
      </c>
      <c r="D1203" s="33" t="s">
        <v>621</v>
      </c>
      <c r="E1203" s="33" t="s">
        <v>658</v>
      </c>
      <c r="F1203" s="34">
        <v>2</v>
      </c>
    </row>
    <row r="1204" spans="1:6" x14ac:dyDescent="0.25">
      <c r="A1204" s="34">
        <v>122</v>
      </c>
      <c r="B1204" s="33" t="s">
        <v>656</v>
      </c>
      <c r="C1204" s="33" t="s">
        <v>620</v>
      </c>
      <c r="D1204" s="33" t="s">
        <v>621</v>
      </c>
      <c r="E1204" s="33" t="s">
        <v>629</v>
      </c>
      <c r="F1204" s="34">
        <v>37.5</v>
      </c>
    </row>
    <row r="1205" spans="1:6" x14ac:dyDescent="0.25">
      <c r="A1205" s="34">
        <v>122</v>
      </c>
      <c r="B1205" s="33" t="s">
        <v>656</v>
      </c>
      <c r="C1205" s="33" t="s">
        <v>620</v>
      </c>
      <c r="D1205" s="33" t="s">
        <v>630</v>
      </c>
      <c r="E1205" s="33" t="s">
        <v>631</v>
      </c>
      <c r="F1205" s="34">
        <v>65</v>
      </c>
    </row>
    <row r="1206" spans="1:6" x14ac:dyDescent="0.25">
      <c r="A1206" s="34">
        <v>122</v>
      </c>
      <c r="B1206" s="33" t="s">
        <v>656</v>
      </c>
      <c r="C1206" s="33" t="s">
        <v>620</v>
      </c>
      <c r="D1206" s="33" t="s">
        <v>630</v>
      </c>
      <c r="E1206" s="33" t="s">
        <v>632</v>
      </c>
      <c r="F1206" s="33" t="s">
        <v>462</v>
      </c>
    </row>
    <row r="1207" spans="1:6" x14ac:dyDescent="0.25">
      <c r="A1207" s="34">
        <v>122</v>
      </c>
      <c r="B1207" s="33" t="s">
        <v>656</v>
      </c>
      <c r="C1207" s="33" t="s">
        <v>620</v>
      </c>
      <c r="D1207" s="33" t="s">
        <v>630</v>
      </c>
      <c r="E1207" s="33" t="s">
        <v>633</v>
      </c>
      <c r="F1207" s="34">
        <v>65</v>
      </c>
    </row>
    <row r="1208" spans="1:6" x14ac:dyDescent="0.25">
      <c r="A1208" s="34">
        <v>122</v>
      </c>
      <c r="B1208" s="33" t="s">
        <v>656</v>
      </c>
      <c r="C1208" s="33" t="s">
        <v>634</v>
      </c>
      <c r="D1208" s="33" t="s">
        <v>621</v>
      </c>
      <c r="E1208" s="33" t="s">
        <v>659</v>
      </c>
      <c r="F1208" s="34">
        <v>18</v>
      </c>
    </row>
    <row r="1209" spans="1:6" x14ac:dyDescent="0.25">
      <c r="A1209" s="34">
        <v>122</v>
      </c>
      <c r="B1209" s="33" t="s">
        <v>656</v>
      </c>
      <c r="C1209" s="33" t="s">
        <v>634</v>
      </c>
      <c r="D1209" s="33" t="s">
        <v>621</v>
      </c>
      <c r="E1209" s="33" t="s">
        <v>660</v>
      </c>
      <c r="F1209" s="34">
        <v>8.6999999999999993</v>
      </c>
    </row>
    <row r="1210" spans="1:6" x14ac:dyDescent="0.25">
      <c r="A1210" s="34">
        <v>122</v>
      </c>
      <c r="B1210" s="33" t="s">
        <v>656</v>
      </c>
      <c r="C1210" s="33" t="s">
        <v>634</v>
      </c>
      <c r="D1210" s="33" t="s">
        <v>621</v>
      </c>
      <c r="E1210" s="33" t="s">
        <v>638</v>
      </c>
      <c r="F1210" s="34">
        <v>47.5</v>
      </c>
    </row>
    <row r="1211" spans="1:6" x14ac:dyDescent="0.25">
      <c r="A1211" s="34">
        <v>122</v>
      </c>
      <c r="B1211" s="33" t="s">
        <v>656</v>
      </c>
      <c r="C1211" s="33" t="s">
        <v>634</v>
      </c>
      <c r="D1211" s="33" t="s">
        <v>630</v>
      </c>
      <c r="E1211" s="33" t="s">
        <v>639</v>
      </c>
      <c r="F1211" s="34">
        <v>66</v>
      </c>
    </row>
    <row r="1212" spans="1:6" x14ac:dyDescent="0.25">
      <c r="A1212" s="34">
        <v>122</v>
      </c>
      <c r="B1212" s="33" t="s">
        <v>656</v>
      </c>
      <c r="C1212" s="33" t="s">
        <v>634</v>
      </c>
      <c r="D1212" s="33" t="s">
        <v>630</v>
      </c>
      <c r="E1212" s="33" t="s">
        <v>640</v>
      </c>
      <c r="F1212" s="34">
        <v>75</v>
      </c>
    </row>
    <row r="1213" spans="1:6" x14ac:dyDescent="0.25">
      <c r="A1213" s="34">
        <v>122</v>
      </c>
      <c r="B1213" s="33" t="s">
        <v>656</v>
      </c>
      <c r="C1213" s="33" t="s">
        <v>634</v>
      </c>
      <c r="D1213" s="33" t="s">
        <v>630</v>
      </c>
      <c r="E1213" s="33" t="s">
        <v>661</v>
      </c>
      <c r="F1213" s="34">
        <v>75</v>
      </c>
    </row>
    <row r="1214" spans="1:6" x14ac:dyDescent="0.25">
      <c r="A1214" s="34">
        <v>122</v>
      </c>
      <c r="B1214" s="33" t="s">
        <v>656</v>
      </c>
      <c r="C1214" s="33" t="s">
        <v>642</v>
      </c>
      <c r="D1214" s="33" t="s">
        <v>621</v>
      </c>
      <c r="E1214" s="33" t="s">
        <v>662</v>
      </c>
      <c r="F1214" s="34">
        <v>10</v>
      </c>
    </row>
    <row r="1215" spans="1:6" x14ac:dyDescent="0.25">
      <c r="A1215" s="34">
        <v>122</v>
      </c>
      <c r="B1215" s="33" t="s">
        <v>656</v>
      </c>
      <c r="C1215" s="33" t="s">
        <v>642</v>
      </c>
      <c r="D1215" s="33" t="s">
        <v>621</v>
      </c>
      <c r="E1215" s="33" t="s">
        <v>663</v>
      </c>
      <c r="F1215" s="34">
        <v>10</v>
      </c>
    </row>
    <row r="1216" spans="1:6" x14ac:dyDescent="0.25">
      <c r="A1216" s="34">
        <v>122</v>
      </c>
      <c r="B1216" s="33" t="s">
        <v>656</v>
      </c>
      <c r="C1216" s="33" t="s">
        <v>642</v>
      </c>
      <c r="D1216" s="33" t="s">
        <v>621</v>
      </c>
      <c r="E1216" s="33" t="s">
        <v>664</v>
      </c>
      <c r="F1216" s="34">
        <v>11</v>
      </c>
    </row>
    <row r="1217" spans="1:6" x14ac:dyDescent="0.25">
      <c r="A1217" s="34">
        <v>122</v>
      </c>
      <c r="B1217" s="33" t="s">
        <v>656</v>
      </c>
      <c r="C1217" s="33" t="s">
        <v>642</v>
      </c>
      <c r="D1217" s="33" t="s">
        <v>621</v>
      </c>
      <c r="E1217" s="33" t="s">
        <v>665</v>
      </c>
      <c r="F1217" s="34">
        <v>41</v>
      </c>
    </row>
    <row r="1218" spans="1:6" x14ac:dyDescent="0.25">
      <c r="A1218" s="34">
        <v>122</v>
      </c>
      <c r="B1218" s="33" t="s">
        <v>656</v>
      </c>
      <c r="C1218" s="33" t="s">
        <v>642</v>
      </c>
      <c r="D1218" s="33" t="s">
        <v>630</v>
      </c>
      <c r="E1218" s="33" t="s">
        <v>650</v>
      </c>
      <c r="F1218" s="34">
        <v>68</v>
      </c>
    </row>
    <row r="1219" spans="1:6" x14ac:dyDescent="0.25">
      <c r="A1219" s="34">
        <v>122</v>
      </c>
      <c r="B1219" s="33" t="s">
        <v>656</v>
      </c>
      <c r="C1219" s="33" t="s">
        <v>642</v>
      </c>
      <c r="D1219" s="33" t="s">
        <v>630</v>
      </c>
      <c r="E1219" s="33" t="s">
        <v>651</v>
      </c>
      <c r="F1219" s="34">
        <v>68</v>
      </c>
    </row>
    <row r="1220" spans="1:6" x14ac:dyDescent="0.25">
      <c r="A1220" s="34">
        <v>122</v>
      </c>
      <c r="B1220" s="33" t="s">
        <v>656</v>
      </c>
      <c r="C1220" s="33" t="s">
        <v>642</v>
      </c>
      <c r="D1220" s="33" t="s">
        <v>630</v>
      </c>
      <c r="E1220" s="33" t="s">
        <v>652</v>
      </c>
      <c r="F1220" s="34">
        <v>68</v>
      </c>
    </row>
    <row r="1221" spans="1:6" x14ac:dyDescent="0.25">
      <c r="A1221" s="34">
        <v>122</v>
      </c>
      <c r="B1221" s="33" t="s">
        <v>656</v>
      </c>
      <c r="C1221" s="33" t="s">
        <v>653</v>
      </c>
      <c r="D1221" s="33" t="s">
        <v>621</v>
      </c>
      <c r="E1221" s="33" t="s">
        <v>666</v>
      </c>
      <c r="F1221" s="34">
        <v>0</v>
      </c>
    </row>
    <row r="1222" spans="1:6" x14ac:dyDescent="0.25">
      <c r="A1222" s="34">
        <v>122</v>
      </c>
      <c r="B1222" s="33" t="s">
        <v>656</v>
      </c>
      <c r="C1222" s="33" t="s">
        <v>653</v>
      </c>
      <c r="D1222" s="33" t="s">
        <v>621</v>
      </c>
      <c r="E1222" s="33" t="s">
        <v>667</v>
      </c>
      <c r="F1222" s="34">
        <v>0</v>
      </c>
    </row>
    <row r="1223" spans="1:6" x14ac:dyDescent="0.25">
      <c r="A1223" s="34">
        <v>122</v>
      </c>
      <c r="B1223" s="33" t="s">
        <v>656</v>
      </c>
      <c r="C1223" s="33" t="s">
        <v>653</v>
      </c>
      <c r="D1223" s="33" t="s">
        <v>653</v>
      </c>
      <c r="E1223" s="33" t="s">
        <v>668</v>
      </c>
      <c r="F1223" s="34">
        <v>0</v>
      </c>
    </row>
    <row r="1224" spans="1:6" x14ac:dyDescent="0.25">
      <c r="A1224" s="34">
        <v>122</v>
      </c>
      <c r="B1224" s="33" t="s">
        <v>656</v>
      </c>
      <c r="C1224" s="33" t="s">
        <v>653</v>
      </c>
      <c r="D1224" s="33" t="s">
        <v>653</v>
      </c>
      <c r="E1224" s="33" t="s">
        <v>669</v>
      </c>
      <c r="F1224" s="34">
        <v>92</v>
      </c>
    </row>
    <row r="1225" spans="1:6" x14ac:dyDescent="0.25">
      <c r="A1225" s="34">
        <v>122</v>
      </c>
      <c r="B1225" s="33" t="s">
        <v>656</v>
      </c>
      <c r="C1225" s="33" t="s">
        <v>653</v>
      </c>
      <c r="D1225" s="33" t="s">
        <v>653</v>
      </c>
      <c r="E1225" s="33" t="s">
        <v>654</v>
      </c>
      <c r="F1225" s="34">
        <v>62</v>
      </c>
    </row>
    <row r="1226" spans="1:6" x14ac:dyDescent="0.25">
      <c r="A1226" s="34">
        <v>123</v>
      </c>
      <c r="B1226" s="33" t="s">
        <v>656</v>
      </c>
      <c r="C1226" s="33" t="s">
        <v>620</v>
      </c>
      <c r="D1226" s="33" t="s">
        <v>621</v>
      </c>
      <c r="E1226" s="33" t="s">
        <v>657</v>
      </c>
      <c r="F1226" s="34">
        <v>4</v>
      </c>
    </row>
    <row r="1227" spans="1:6" x14ac:dyDescent="0.25">
      <c r="A1227" s="34">
        <v>123</v>
      </c>
      <c r="B1227" s="33" t="s">
        <v>656</v>
      </c>
      <c r="C1227" s="33" t="s">
        <v>620</v>
      </c>
      <c r="D1227" s="33" t="s">
        <v>621</v>
      </c>
      <c r="E1227" s="33" t="s">
        <v>658</v>
      </c>
      <c r="F1227" s="34">
        <v>4</v>
      </c>
    </row>
    <row r="1228" spans="1:6" x14ac:dyDescent="0.25">
      <c r="A1228" s="34">
        <v>123</v>
      </c>
      <c r="B1228" s="33" t="s">
        <v>656</v>
      </c>
      <c r="C1228" s="33" t="s">
        <v>620</v>
      </c>
      <c r="D1228" s="33" t="s">
        <v>621</v>
      </c>
      <c r="E1228" s="33" t="s">
        <v>629</v>
      </c>
      <c r="F1228" s="34">
        <v>0</v>
      </c>
    </row>
    <row r="1229" spans="1:6" x14ac:dyDescent="0.25">
      <c r="A1229" s="34">
        <v>123</v>
      </c>
      <c r="B1229" s="33" t="s">
        <v>656</v>
      </c>
      <c r="C1229" s="33" t="s">
        <v>620</v>
      </c>
      <c r="D1229" s="33" t="s">
        <v>630</v>
      </c>
      <c r="E1229" s="33" t="s">
        <v>631</v>
      </c>
      <c r="F1229" s="34">
        <v>75</v>
      </c>
    </row>
    <row r="1230" spans="1:6" x14ac:dyDescent="0.25">
      <c r="A1230" s="34">
        <v>123</v>
      </c>
      <c r="B1230" s="33" t="s">
        <v>656</v>
      </c>
      <c r="C1230" s="33" t="s">
        <v>620</v>
      </c>
      <c r="D1230" s="33" t="s">
        <v>630</v>
      </c>
      <c r="E1230" s="33" t="s">
        <v>632</v>
      </c>
      <c r="F1230" s="33" t="s">
        <v>462</v>
      </c>
    </row>
    <row r="1231" spans="1:6" x14ac:dyDescent="0.25">
      <c r="A1231" s="34">
        <v>123</v>
      </c>
      <c r="B1231" s="33" t="s">
        <v>656</v>
      </c>
      <c r="C1231" s="33" t="s">
        <v>620</v>
      </c>
      <c r="D1231" s="33" t="s">
        <v>630</v>
      </c>
      <c r="E1231" s="33" t="s">
        <v>633</v>
      </c>
      <c r="F1231" s="34">
        <v>75</v>
      </c>
    </row>
    <row r="1232" spans="1:6" x14ac:dyDescent="0.25">
      <c r="A1232" s="34">
        <v>123</v>
      </c>
      <c r="B1232" s="33" t="s">
        <v>656</v>
      </c>
      <c r="C1232" s="33" t="s">
        <v>634</v>
      </c>
      <c r="D1232" s="33" t="s">
        <v>621</v>
      </c>
      <c r="E1232" s="33" t="s">
        <v>659</v>
      </c>
      <c r="F1232" s="34">
        <v>16</v>
      </c>
    </row>
    <row r="1233" spans="1:6" x14ac:dyDescent="0.25">
      <c r="A1233" s="34">
        <v>123</v>
      </c>
      <c r="B1233" s="33" t="s">
        <v>656</v>
      </c>
      <c r="C1233" s="33" t="s">
        <v>634</v>
      </c>
      <c r="D1233" s="33" t="s">
        <v>621</v>
      </c>
      <c r="E1233" s="33" t="s">
        <v>660</v>
      </c>
      <c r="F1233" s="34">
        <v>11</v>
      </c>
    </row>
    <row r="1234" spans="1:6" x14ac:dyDescent="0.25">
      <c r="A1234" s="34">
        <v>123</v>
      </c>
      <c r="B1234" s="33" t="s">
        <v>656</v>
      </c>
      <c r="C1234" s="33" t="s">
        <v>634</v>
      </c>
      <c r="D1234" s="33" t="s">
        <v>621</v>
      </c>
      <c r="E1234" s="33" t="s">
        <v>638</v>
      </c>
      <c r="F1234" s="34">
        <v>47.5</v>
      </c>
    </row>
    <row r="1235" spans="1:6" x14ac:dyDescent="0.25">
      <c r="A1235" s="34">
        <v>123</v>
      </c>
      <c r="B1235" s="33" t="s">
        <v>656</v>
      </c>
      <c r="C1235" s="33" t="s">
        <v>634</v>
      </c>
      <c r="D1235" s="33" t="s">
        <v>630</v>
      </c>
      <c r="E1235" s="33" t="s">
        <v>639</v>
      </c>
      <c r="F1235" s="34">
        <v>30</v>
      </c>
    </row>
    <row r="1236" spans="1:6" x14ac:dyDescent="0.25">
      <c r="A1236" s="34">
        <v>123</v>
      </c>
      <c r="B1236" s="33" t="s">
        <v>656</v>
      </c>
      <c r="C1236" s="33" t="s">
        <v>634</v>
      </c>
      <c r="D1236" s="33" t="s">
        <v>630</v>
      </c>
      <c r="E1236" s="33" t="s">
        <v>640</v>
      </c>
      <c r="F1236" s="33" t="s">
        <v>462</v>
      </c>
    </row>
    <row r="1237" spans="1:6" x14ac:dyDescent="0.25">
      <c r="A1237" s="34">
        <v>123</v>
      </c>
      <c r="B1237" s="33" t="s">
        <v>656</v>
      </c>
      <c r="C1237" s="33" t="s">
        <v>634</v>
      </c>
      <c r="D1237" s="33" t="s">
        <v>630</v>
      </c>
      <c r="E1237" s="33" t="s">
        <v>661</v>
      </c>
      <c r="F1237" s="34">
        <v>30</v>
      </c>
    </row>
    <row r="1238" spans="1:6" x14ac:dyDescent="0.25">
      <c r="A1238" s="34">
        <v>123</v>
      </c>
      <c r="B1238" s="33" t="s">
        <v>656</v>
      </c>
      <c r="C1238" s="33" t="s">
        <v>642</v>
      </c>
      <c r="D1238" s="33" t="s">
        <v>621</v>
      </c>
      <c r="E1238" s="33" t="s">
        <v>662</v>
      </c>
      <c r="F1238" s="34">
        <v>10</v>
      </c>
    </row>
    <row r="1239" spans="1:6" x14ac:dyDescent="0.25">
      <c r="A1239" s="34">
        <v>123</v>
      </c>
      <c r="B1239" s="33" t="s">
        <v>656</v>
      </c>
      <c r="C1239" s="33" t="s">
        <v>642</v>
      </c>
      <c r="D1239" s="33" t="s">
        <v>621</v>
      </c>
      <c r="E1239" s="33" t="s">
        <v>663</v>
      </c>
      <c r="F1239" s="34">
        <v>0</v>
      </c>
    </row>
    <row r="1240" spans="1:6" x14ac:dyDescent="0.25">
      <c r="A1240" s="34">
        <v>123</v>
      </c>
      <c r="B1240" s="33" t="s">
        <v>656</v>
      </c>
      <c r="C1240" s="33" t="s">
        <v>642</v>
      </c>
      <c r="D1240" s="33" t="s">
        <v>621</v>
      </c>
      <c r="E1240" s="33" t="s">
        <v>664</v>
      </c>
      <c r="F1240" s="34">
        <v>0</v>
      </c>
    </row>
    <row r="1241" spans="1:6" x14ac:dyDescent="0.25">
      <c r="A1241" s="34">
        <v>123</v>
      </c>
      <c r="B1241" s="33" t="s">
        <v>656</v>
      </c>
      <c r="C1241" s="33" t="s">
        <v>642</v>
      </c>
      <c r="D1241" s="33" t="s">
        <v>621</v>
      </c>
      <c r="E1241" s="33" t="s">
        <v>665</v>
      </c>
      <c r="F1241" s="34">
        <v>0</v>
      </c>
    </row>
    <row r="1242" spans="1:6" x14ac:dyDescent="0.25">
      <c r="A1242" s="34">
        <v>123</v>
      </c>
      <c r="B1242" s="33" t="s">
        <v>656</v>
      </c>
      <c r="C1242" s="33" t="s">
        <v>642</v>
      </c>
      <c r="D1242" s="33" t="s">
        <v>630</v>
      </c>
      <c r="E1242" s="33" t="s">
        <v>650</v>
      </c>
      <c r="F1242" s="34">
        <v>0</v>
      </c>
    </row>
    <row r="1243" spans="1:6" x14ac:dyDescent="0.25">
      <c r="A1243" s="34">
        <v>123</v>
      </c>
      <c r="B1243" s="33" t="s">
        <v>656</v>
      </c>
      <c r="C1243" s="33" t="s">
        <v>642</v>
      </c>
      <c r="D1243" s="33" t="s">
        <v>630</v>
      </c>
      <c r="E1243" s="33" t="s">
        <v>651</v>
      </c>
      <c r="F1243" s="33" t="s">
        <v>462</v>
      </c>
    </row>
    <row r="1244" spans="1:6" x14ac:dyDescent="0.25">
      <c r="A1244" s="34">
        <v>123</v>
      </c>
      <c r="B1244" s="33" t="s">
        <v>656</v>
      </c>
      <c r="C1244" s="33" t="s">
        <v>642</v>
      </c>
      <c r="D1244" s="33" t="s">
        <v>630</v>
      </c>
      <c r="E1244" s="33" t="s">
        <v>652</v>
      </c>
      <c r="F1244" s="34">
        <v>0</v>
      </c>
    </row>
    <row r="1245" spans="1:6" x14ac:dyDescent="0.25">
      <c r="A1245" s="34">
        <v>123</v>
      </c>
      <c r="B1245" s="33" t="s">
        <v>656</v>
      </c>
      <c r="C1245" s="33" t="s">
        <v>653</v>
      </c>
      <c r="D1245" s="33" t="s">
        <v>621</v>
      </c>
      <c r="E1245" s="33" t="s">
        <v>666</v>
      </c>
      <c r="F1245" s="34">
        <v>0</v>
      </c>
    </row>
    <row r="1246" spans="1:6" x14ac:dyDescent="0.25">
      <c r="A1246" s="34">
        <v>123</v>
      </c>
      <c r="B1246" s="33" t="s">
        <v>656</v>
      </c>
      <c r="C1246" s="33" t="s">
        <v>653</v>
      </c>
      <c r="D1246" s="33" t="s">
        <v>621</v>
      </c>
      <c r="E1246" s="33" t="s">
        <v>667</v>
      </c>
      <c r="F1246" s="34">
        <v>0</v>
      </c>
    </row>
    <row r="1247" spans="1:6" x14ac:dyDescent="0.25">
      <c r="A1247" s="34">
        <v>123</v>
      </c>
      <c r="B1247" s="33" t="s">
        <v>656</v>
      </c>
      <c r="C1247" s="33" t="s">
        <v>653</v>
      </c>
      <c r="D1247" s="33" t="s">
        <v>653</v>
      </c>
      <c r="E1247" s="33" t="s">
        <v>668</v>
      </c>
      <c r="F1247" s="34">
        <v>0</v>
      </c>
    </row>
    <row r="1248" spans="1:6" x14ac:dyDescent="0.25">
      <c r="A1248" s="34">
        <v>123</v>
      </c>
      <c r="B1248" s="33" t="s">
        <v>656</v>
      </c>
      <c r="C1248" s="33" t="s">
        <v>653</v>
      </c>
      <c r="D1248" s="33" t="s">
        <v>653</v>
      </c>
      <c r="E1248" s="33" t="s">
        <v>669</v>
      </c>
      <c r="F1248" s="34">
        <v>0</v>
      </c>
    </row>
    <row r="1249" spans="1:6" x14ac:dyDescent="0.25">
      <c r="A1249" s="34">
        <v>123</v>
      </c>
      <c r="B1249" s="33" t="s">
        <v>656</v>
      </c>
      <c r="C1249" s="33" t="s">
        <v>653</v>
      </c>
      <c r="D1249" s="33" t="s">
        <v>653</v>
      </c>
      <c r="E1249" s="33" t="s">
        <v>654</v>
      </c>
      <c r="F1249" s="34">
        <v>0</v>
      </c>
    </row>
    <row r="1250" spans="1:6" x14ac:dyDescent="0.25">
      <c r="A1250" s="34">
        <v>124</v>
      </c>
      <c r="B1250" s="33" t="s">
        <v>656</v>
      </c>
      <c r="C1250" s="33" t="s">
        <v>620</v>
      </c>
      <c r="D1250" s="33" t="s">
        <v>621</v>
      </c>
      <c r="E1250" s="33" t="s">
        <v>657</v>
      </c>
      <c r="F1250" s="34">
        <v>14.5</v>
      </c>
    </row>
    <row r="1251" spans="1:6" x14ac:dyDescent="0.25">
      <c r="A1251" s="34">
        <v>124</v>
      </c>
      <c r="B1251" s="33" t="s">
        <v>656</v>
      </c>
      <c r="C1251" s="33" t="s">
        <v>620</v>
      </c>
      <c r="D1251" s="33" t="s">
        <v>621</v>
      </c>
      <c r="E1251" s="33" t="s">
        <v>658</v>
      </c>
      <c r="F1251" s="34">
        <v>14.5</v>
      </c>
    </row>
    <row r="1252" spans="1:6" x14ac:dyDescent="0.25">
      <c r="A1252" s="34">
        <v>124</v>
      </c>
      <c r="B1252" s="33" t="s">
        <v>656</v>
      </c>
      <c r="C1252" s="33" t="s">
        <v>620</v>
      </c>
      <c r="D1252" s="33" t="s">
        <v>621</v>
      </c>
      <c r="E1252" s="33" t="s">
        <v>629</v>
      </c>
      <c r="F1252" s="34">
        <v>44</v>
      </c>
    </row>
    <row r="1253" spans="1:6" x14ac:dyDescent="0.25">
      <c r="A1253" s="34">
        <v>124</v>
      </c>
      <c r="B1253" s="33" t="s">
        <v>656</v>
      </c>
      <c r="C1253" s="33" t="s">
        <v>620</v>
      </c>
      <c r="D1253" s="33" t="s">
        <v>630</v>
      </c>
      <c r="E1253" s="33" t="s">
        <v>631</v>
      </c>
      <c r="F1253" s="34">
        <v>82</v>
      </c>
    </row>
    <row r="1254" spans="1:6" x14ac:dyDescent="0.25">
      <c r="A1254" s="34">
        <v>124</v>
      </c>
      <c r="B1254" s="33" t="s">
        <v>656</v>
      </c>
      <c r="C1254" s="33" t="s">
        <v>620</v>
      </c>
      <c r="D1254" s="33" t="s">
        <v>630</v>
      </c>
      <c r="E1254" s="33" t="s">
        <v>632</v>
      </c>
      <c r="F1254" s="33" t="s">
        <v>462</v>
      </c>
    </row>
    <row r="1255" spans="1:6" x14ac:dyDescent="0.25">
      <c r="A1255" s="34">
        <v>124</v>
      </c>
      <c r="B1255" s="33" t="s">
        <v>656</v>
      </c>
      <c r="C1255" s="33" t="s">
        <v>620</v>
      </c>
      <c r="D1255" s="33" t="s">
        <v>630</v>
      </c>
      <c r="E1255" s="33" t="s">
        <v>633</v>
      </c>
      <c r="F1255" s="34">
        <v>82</v>
      </c>
    </row>
    <row r="1256" spans="1:6" x14ac:dyDescent="0.25">
      <c r="A1256" s="34">
        <v>124</v>
      </c>
      <c r="B1256" s="33" t="s">
        <v>656</v>
      </c>
      <c r="C1256" s="33" t="s">
        <v>634</v>
      </c>
      <c r="D1256" s="33" t="s">
        <v>621</v>
      </c>
      <c r="E1256" s="33" t="s">
        <v>659</v>
      </c>
      <c r="F1256" s="34">
        <v>18</v>
      </c>
    </row>
    <row r="1257" spans="1:6" x14ac:dyDescent="0.25">
      <c r="A1257" s="34">
        <v>124</v>
      </c>
      <c r="B1257" s="33" t="s">
        <v>656</v>
      </c>
      <c r="C1257" s="33" t="s">
        <v>634</v>
      </c>
      <c r="D1257" s="33" t="s">
        <v>621</v>
      </c>
      <c r="E1257" s="33" t="s">
        <v>660</v>
      </c>
      <c r="F1257" s="34">
        <v>10.4</v>
      </c>
    </row>
    <row r="1258" spans="1:6" x14ac:dyDescent="0.25">
      <c r="A1258" s="34">
        <v>124</v>
      </c>
      <c r="B1258" s="33" t="s">
        <v>656</v>
      </c>
      <c r="C1258" s="33" t="s">
        <v>634</v>
      </c>
      <c r="D1258" s="33" t="s">
        <v>621</v>
      </c>
      <c r="E1258" s="33" t="s">
        <v>638</v>
      </c>
      <c r="F1258" s="34">
        <v>47.5</v>
      </c>
    </row>
    <row r="1259" spans="1:6" x14ac:dyDescent="0.25">
      <c r="A1259" s="34">
        <v>124</v>
      </c>
      <c r="B1259" s="33" t="s">
        <v>656</v>
      </c>
      <c r="C1259" s="33" t="s">
        <v>634</v>
      </c>
      <c r="D1259" s="33" t="s">
        <v>630</v>
      </c>
      <c r="E1259" s="33" t="s">
        <v>639</v>
      </c>
      <c r="F1259" s="34">
        <v>68</v>
      </c>
    </row>
    <row r="1260" spans="1:6" x14ac:dyDescent="0.25">
      <c r="A1260" s="34">
        <v>124</v>
      </c>
      <c r="B1260" s="33" t="s">
        <v>656</v>
      </c>
      <c r="C1260" s="33" t="s">
        <v>634</v>
      </c>
      <c r="D1260" s="33" t="s">
        <v>630</v>
      </c>
      <c r="E1260" s="33" t="s">
        <v>640</v>
      </c>
      <c r="F1260" s="34">
        <v>82</v>
      </c>
    </row>
    <row r="1261" spans="1:6" x14ac:dyDescent="0.25">
      <c r="A1261" s="34">
        <v>124</v>
      </c>
      <c r="B1261" s="33" t="s">
        <v>656</v>
      </c>
      <c r="C1261" s="33" t="s">
        <v>634</v>
      </c>
      <c r="D1261" s="33" t="s">
        <v>630</v>
      </c>
      <c r="E1261" s="33" t="s">
        <v>661</v>
      </c>
      <c r="F1261" s="34">
        <v>82</v>
      </c>
    </row>
    <row r="1262" spans="1:6" x14ac:dyDescent="0.25">
      <c r="A1262" s="34">
        <v>124</v>
      </c>
      <c r="B1262" s="33" t="s">
        <v>656</v>
      </c>
      <c r="C1262" s="33" t="s">
        <v>642</v>
      </c>
      <c r="D1262" s="33" t="s">
        <v>621</v>
      </c>
      <c r="E1262" s="33" t="s">
        <v>662</v>
      </c>
      <c r="F1262" s="34">
        <v>10</v>
      </c>
    </row>
    <row r="1263" spans="1:6" x14ac:dyDescent="0.25">
      <c r="A1263" s="34">
        <v>124</v>
      </c>
      <c r="B1263" s="33" t="s">
        <v>656</v>
      </c>
      <c r="C1263" s="33" t="s">
        <v>642</v>
      </c>
      <c r="D1263" s="33" t="s">
        <v>621</v>
      </c>
      <c r="E1263" s="33" t="s">
        <v>663</v>
      </c>
      <c r="F1263" s="34">
        <v>10</v>
      </c>
    </row>
    <row r="1264" spans="1:6" x14ac:dyDescent="0.25">
      <c r="A1264" s="34">
        <v>124</v>
      </c>
      <c r="B1264" s="33" t="s">
        <v>656</v>
      </c>
      <c r="C1264" s="33" t="s">
        <v>642</v>
      </c>
      <c r="D1264" s="33" t="s">
        <v>621</v>
      </c>
      <c r="E1264" s="33" t="s">
        <v>664</v>
      </c>
      <c r="F1264" s="34">
        <v>11</v>
      </c>
    </row>
    <row r="1265" spans="1:6" x14ac:dyDescent="0.25">
      <c r="A1265" s="34">
        <v>124</v>
      </c>
      <c r="B1265" s="33" t="s">
        <v>656</v>
      </c>
      <c r="C1265" s="33" t="s">
        <v>642</v>
      </c>
      <c r="D1265" s="33" t="s">
        <v>621</v>
      </c>
      <c r="E1265" s="33" t="s">
        <v>665</v>
      </c>
      <c r="F1265" s="34">
        <v>46</v>
      </c>
    </row>
    <row r="1266" spans="1:6" x14ac:dyDescent="0.25">
      <c r="A1266" s="34">
        <v>124</v>
      </c>
      <c r="B1266" s="33" t="s">
        <v>656</v>
      </c>
      <c r="C1266" s="33" t="s">
        <v>642</v>
      </c>
      <c r="D1266" s="33" t="s">
        <v>630</v>
      </c>
      <c r="E1266" s="33" t="s">
        <v>650</v>
      </c>
      <c r="F1266" s="34">
        <v>68</v>
      </c>
    </row>
    <row r="1267" spans="1:6" x14ac:dyDescent="0.25">
      <c r="A1267" s="34">
        <v>124</v>
      </c>
      <c r="B1267" s="33" t="s">
        <v>656</v>
      </c>
      <c r="C1267" s="33" t="s">
        <v>642</v>
      </c>
      <c r="D1267" s="33" t="s">
        <v>630</v>
      </c>
      <c r="E1267" s="33" t="s">
        <v>651</v>
      </c>
      <c r="F1267" s="34">
        <v>75</v>
      </c>
    </row>
    <row r="1268" spans="1:6" x14ac:dyDescent="0.25">
      <c r="A1268" s="34">
        <v>124</v>
      </c>
      <c r="B1268" s="33" t="s">
        <v>656</v>
      </c>
      <c r="C1268" s="33" t="s">
        <v>642</v>
      </c>
      <c r="D1268" s="33" t="s">
        <v>630</v>
      </c>
      <c r="E1268" s="33" t="s">
        <v>652</v>
      </c>
      <c r="F1268" s="34">
        <v>68</v>
      </c>
    </row>
    <row r="1269" spans="1:6" x14ac:dyDescent="0.25">
      <c r="A1269" s="34">
        <v>124</v>
      </c>
      <c r="B1269" s="33" t="s">
        <v>656</v>
      </c>
      <c r="C1269" s="33" t="s">
        <v>653</v>
      </c>
      <c r="D1269" s="33" t="s">
        <v>621</v>
      </c>
      <c r="E1269" s="33" t="s">
        <v>666</v>
      </c>
      <c r="F1269" s="34">
        <v>21.8</v>
      </c>
    </row>
    <row r="1270" spans="1:6" x14ac:dyDescent="0.25">
      <c r="A1270" s="34">
        <v>124</v>
      </c>
      <c r="B1270" s="33" t="s">
        <v>656</v>
      </c>
      <c r="C1270" s="33" t="s">
        <v>653</v>
      </c>
      <c r="D1270" s="33" t="s">
        <v>621</v>
      </c>
      <c r="E1270" s="33" t="s">
        <v>667</v>
      </c>
      <c r="F1270" s="34">
        <v>8</v>
      </c>
    </row>
    <row r="1271" spans="1:6" x14ac:dyDescent="0.25">
      <c r="A1271" s="34">
        <v>124</v>
      </c>
      <c r="B1271" s="33" t="s">
        <v>656</v>
      </c>
      <c r="C1271" s="33" t="s">
        <v>653</v>
      </c>
      <c r="D1271" s="33" t="s">
        <v>653</v>
      </c>
      <c r="E1271" s="33" t="s">
        <v>668</v>
      </c>
      <c r="F1271" s="34">
        <v>24.7</v>
      </c>
    </row>
    <row r="1272" spans="1:6" x14ac:dyDescent="0.25">
      <c r="A1272" s="34">
        <v>124</v>
      </c>
      <c r="B1272" s="33" t="s">
        <v>656</v>
      </c>
      <c r="C1272" s="33" t="s">
        <v>653</v>
      </c>
      <c r="D1272" s="33" t="s">
        <v>653</v>
      </c>
      <c r="E1272" s="33" t="s">
        <v>669</v>
      </c>
      <c r="F1272" s="34">
        <v>100</v>
      </c>
    </row>
    <row r="1273" spans="1:6" x14ac:dyDescent="0.25">
      <c r="A1273" s="34">
        <v>124</v>
      </c>
      <c r="B1273" s="33" t="s">
        <v>656</v>
      </c>
      <c r="C1273" s="33" t="s">
        <v>653</v>
      </c>
      <c r="D1273" s="33" t="s">
        <v>653</v>
      </c>
      <c r="E1273" s="33" t="s">
        <v>654</v>
      </c>
      <c r="F1273" s="34">
        <v>62</v>
      </c>
    </row>
    <row r="1274" spans="1:6" x14ac:dyDescent="0.25">
      <c r="A1274" s="34">
        <v>125</v>
      </c>
      <c r="B1274" s="33" t="s">
        <v>656</v>
      </c>
      <c r="C1274" s="33" t="s">
        <v>620</v>
      </c>
      <c r="D1274" s="33" t="s">
        <v>621</v>
      </c>
      <c r="E1274" s="33" t="s">
        <v>657</v>
      </c>
      <c r="F1274" s="34">
        <v>10</v>
      </c>
    </row>
    <row r="1275" spans="1:6" x14ac:dyDescent="0.25">
      <c r="A1275" s="34">
        <v>125</v>
      </c>
      <c r="B1275" s="33" t="s">
        <v>656</v>
      </c>
      <c r="C1275" s="33" t="s">
        <v>620</v>
      </c>
      <c r="D1275" s="33" t="s">
        <v>621</v>
      </c>
      <c r="E1275" s="33" t="s">
        <v>658</v>
      </c>
      <c r="F1275" s="34">
        <v>10</v>
      </c>
    </row>
    <row r="1276" spans="1:6" x14ac:dyDescent="0.25">
      <c r="A1276" s="34">
        <v>125</v>
      </c>
      <c r="B1276" s="33" t="s">
        <v>656</v>
      </c>
      <c r="C1276" s="33" t="s">
        <v>620</v>
      </c>
      <c r="D1276" s="33" t="s">
        <v>621</v>
      </c>
      <c r="E1276" s="33" t="s">
        <v>629</v>
      </c>
      <c r="F1276" s="34">
        <v>15</v>
      </c>
    </row>
    <row r="1277" spans="1:6" x14ac:dyDescent="0.25">
      <c r="A1277" s="34">
        <v>125</v>
      </c>
      <c r="B1277" s="33" t="s">
        <v>656</v>
      </c>
      <c r="C1277" s="33" t="s">
        <v>620</v>
      </c>
      <c r="D1277" s="33" t="s">
        <v>630</v>
      </c>
      <c r="E1277" s="33" t="s">
        <v>631</v>
      </c>
      <c r="F1277" s="34">
        <v>65</v>
      </c>
    </row>
    <row r="1278" spans="1:6" x14ac:dyDescent="0.25">
      <c r="A1278" s="34">
        <v>125</v>
      </c>
      <c r="B1278" s="33" t="s">
        <v>656</v>
      </c>
      <c r="C1278" s="33" t="s">
        <v>620</v>
      </c>
      <c r="D1278" s="33" t="s">
        <v>630</v>
      </c>
      <c r="E1278" s="33" t="s">
        <v>632</v>
      </c>
      <c r="F1278" s="33" t="s">
        <v>462</v>
      </c>
    </row>
    <row r="1279" spans="1:6" x14ac:dyDescent="0.25">
      <c r="A1279" s="34">
        <v>125</v>
      </c>
      <c r="B1279" s="33" t="s">
        <v>656</v>
      </c>
      <c r="C1279" s="33" t="s">
        <v>620</v>
      </c>
      <c r="D1279" s="33" t="s">
        <v>630</v>
      </c>
      <c r="E1279" s="33" t="s">
        <v>633</v>
      </c>
      <c r="F1279" s="34">
        <v>65</v>
      </c>
    </row>
    <row r="1280" spans="1:6" x14ac:dyDescent="0.25">
      <c r="A1280" s="34">
        <v>125</v>
      </c>
      <c r="B1280" s="33" t="s">
        <v>656</v>
      </c>
      <c r="C1280" s="33" t="s">
        <v>634</v>
      </c>
      <c r="D1280" s="33" t="s">
        <v>621</v>
      </c>
      <c r="E1280" s="33" t="s">
        <v>659</v>
      </c>
      <c r="F1280" s="34">
        <v>18</v>
      </c>
    </row>
    <row r="1281" spans="1:6" x14ac:dyDescent="0.25">
      <c r="A1281" s="34">
        <v>125</v>
      </c>
      <c r="B1281" s="33" t="s">
        <v>656</v>
      </c>
      <c r="C1281" s="33" t="s">
        <v>634</v>
      </c>
      <c r="D1281" s="33" t="s">
        <v>621</v>
      </c>
      <c r="E1281" s="33" t="s">
        <v>660</v>
      </c>
      <c r="F1281" s="34">
        <v>9</v>
      </c>
    </row>
    <row r="1282" spans="1:6" x14ac:dyDescent="0.25">
      <c r="A1282" s="34">
        <v>125</v>
      </c>
      <c r="B1282" s="33" t="s">
        <v>656</v>
      </c>
      <c r="C1282" s="33" t="s">
        <v>634</v>
      </c>
      <c r="D1282" s="33" t="s">
        <v>621</v>
      </c>
      <c r="E1282" s="33" t="s">
        <v>638</v>
      </c>
      <c r="F1282" s="34">
        <v>47.5</v>
      </c>
    </row>
    <row r="1283" spans="1:6" x14ac:dyDescent="0.25">
      <c r="A1283" s="34">
        <v>125</v>
      </c>
      <c r="B1283" s="33" t="s">
        <v>656</v>
      </c>
      <c r="C1283" s="33" t="s">
        <v>634</v>
      </c>
      <c r="D1283" s="33" t="s">
        <v>630</v>
      </c>
      <c r="E1283" s="33" t="s">
        <v>639</v>
      </c>
      <c r="F1283" s="34">
        <v>30</v>
      </c>
    </row>
    <row r="1284" spans="1:6" x14ac:dyDescent="0.25">
      <c r="A1284" s="34">
        <v>125</v>
      </c>
      <c r="B1284" s="33" t="s">
        <v>656</v>
      </c>
      <c r="C1284" s="33" t="s">
        <v>634</v>
      </c>
      <c r="D1284" s="33" t="s">
        <v>630</v>
      </c>
      <c r="E1284" s="33" t="s">
        <v>640</v>
      </c>
      <c r="F1284" s="33" t="s">
        <v>462</v>
      </c>
    </row>
    <row r="1285" spans="1:6" x14ac:dyDescent="0.25">
      <c r="A1285" s="34">
        <v>125</v>
      </c>
      <c r="B1285" s="33" t="s">
        <v>656</v>
      </c>
      <c r="C1285" s="33" t="s">
        <v>634</v>
      </c>
      <c r="D1285" s="33" t="s">
        <v>630</v>
      </c>
      <c r="E1285" s="33" t="s">
        <v>661</v>
      </c>
      <c r="F1285" s="34">
        <v>30</v>
      </c>
    </row>
    <row r="1286" spans="1:6" x14ac:dyDescent="0.25">
      <c r="A1286" s="34">
        <v>125</v>
      </c>
      <c r="B1286" s="33" t="s">
        <v>656</v>
      </c>
      <c r="C1286" s="33" t="s">
        <v>642</v>
      </c>
      <c r="D1286" s="33" t="s">
        <v>621</v>
      </c>
      <c r="E1286" s="33" t="s">
        <v>662</v>
      </c>
      <c r="F1286" s="34">
        <v>10</v>
      </c>
    </row>
    <row r="1287" spans="1:6" x14ac:dyDescent="0.25">
      <c r="A1287" s="34">
        <v>125</v>
      </c>
      <c r="B1287" s="33" t="s">
        <v>656</v>
      </c>
      <c r="C1287" s="33" t="s">
        <v>642</v>
      </c>
      <c r="D1287" s="33" t="s">
        <v>621</v>
      </c>
      <c r="E1287" s="33" t="s">
        <v>663</v>
      </c>
      <c r="F1287" s="34">
        <v>7</v>
      </c>
    </row>
    <row r="1288" spans="1:6" x14ac:dyDescent="0.25">
      <c r="A1288" s="34">
        <v>125</v>
      </c>
      <c r="B1288" s="33" t="s">
        <v>656</v>
      </c>
      <c r="C1288" s="33" t="s">
        <v>642</v>
      </c>
      <c r="D1288" s="33" t="s">
        <v>621</v>
      </c>
      <c r="E1288" s="33" t="s">
        <v>664</v>
      </c>
      <c r="F1288" s="34">
        <v>10.5</v>
      </c>
    </row>
    <row r="1289" spans="1:6" x14ac:dyDescent="0.25">
      <c r="A1289" s="34">
        <v>125</v>
      </c>
      <c r="B1289" s="33" t="s">
        <v>656</v>
      </c>
      <c r="C1289" s="33" t="s">
        <v>642</v>
      </c>
      <c r="D1289" s="33" t="s">
        <v>621</v>
      </c>
      <c r="E1289" s="33" t="s">
        <v>665</v>
      </c>
      <c r="F1289" s="34">
        <v>39</v>
      </c>
    </row>
    <row r="1290" spans="1:6" x14ac:dyDescent="0.25">
      <c r="A1290" s="34">
        <v>125</v>
      </c>
      <c r="B1290" s="33" t="s">
        <v>656</v>
      </c>
      <c r="C1290" s="33" t="s">
        <v>642</v>
      </c>
      <c r="D1290" s="33" t="s">
        <v>630</v>
      </c>
      <c r="E1290" s="33" t="s">
        <v>650</v>
      </c>
      <c r="F1290" s="34">
        <v>65</v>
      </c>
    </row>
    <row r="1291" spans="1:6" x14ac:dyDescent="0.25">
      <c r="A1291" s="34">
        <v>125</v>
      </c>
      <c r="B1291" s="33" t="s">
        <v>656</v>
      </c>
      <c r="C1291" s="33" t="s">
        <v>642</v>
      </c>
      <c r="D1291" s="33" t="s">
        <v>630</v>
      </c>
      <c r="E1291" s="33" t="s">
        <v>651</v>
      </c>
      <c r="F1291" s="33" t="s">
        <v>462</v>
      </c>
    </row>
    <row r="1292" spans="1:6" x14ac:dyDescent="0.25">
      <c r="A1292" s="34">
        <v>125</v>
      </c>
      <c r="B1292" s="33" t="s">
        <v>656</v>
      </c>
      <c r="C1292" s="33" t="s">
        <v>642</v>
      </c>
      <c r="D1292" s="33" t="s">
        <v>630</v>
      </c>
      <c r="E1292" s="33" t="s">
        <v>652</v>
      </c>
      <c r="F1292" s="34">
        <v>65</v>
      </c>
    </row>
    <row r="1293" spans="1:6" x14ac:dyDescent="0.25">
      <c r="A1293" s="34">
        <v>125</v>
      </c>
      <c r="B1293" s="33" t="s">
        <v>656</v>
      </c>
      <c r="C1293" s="33" t="s">
        <v>653</v>
      </c>
      <c r="D1293" s="33" t="s">
        <v>621</v>
      </c>
      <c r="E1293" s="33" t="s">
        <v>666</v>
      </c>
      <c r="F1293" s="34">
        <v>21</v>
      </c>
    </row>
    <row r="1294" spans="1:6" x14ac:dyDescent="0.25">
      <c r="A1294" s="34">
        <v>125</v>
      </c>
      <c r="B1294" s="33" t="s">
        <v>656</v>
      </c>
      <c r="C1294" s="33" t="s">
        <v>653</v>
      </c>
      <c r="D1294" s="33" t="s">
        <v>621</v>
      </c>
      <c r="E1294" s="33" t="s">
        <v>667</v>
      </c>
      <c r="F1294" s="34">
        <v>5.5</v>
      </c>
    </row>
    <row r="1295" spans="1:6" x14ac:dyDescent="0.25">
      <c r="A1295" s="34">
        <v>125</v>
      </c>
      <c r="B1295" s="33" t="s">
        <v>656</v>
      </c>
      <c r="C1295" s="33" t="s">
        <v>653</v>
      </c>
      <c r="D1295" s="33" t="s">
        <v>653</v>
      </c>
      <c r="E1295" s="33" t="s">
        <v>668</v>
      </c>
      <c r="F1295" s="34">
        <v>23</v>
      </c>
    </row>
    <row r="1296" spans="1:6" x14ac:dyDescent="0.25">
      <c r="A1296" s="34">
        <v>125</v>
      </c>
      <c r="B1296" s="33" t="s">
        <v>656</v>
      </c>
      <c r="C1296" s="33" t="s">
        <v>653</v>
      </c>
      <c r="D1296" s="33" t="s">
        <v>653</v>
      </c>
      <c r="E1296" s="33" t="s">
        <v>669</v>
      </c>
      <c r="F1296" s="34">
        <v>82</v>
      </c>
    </row>
    <row r="1297" spans="1:6" x14ac:dyDescent="0.25">
      <c r="A1297" s="34">
        <v>125</v>
      </c>
      <c r="B1297" s="33" t="s">
        <v>656</v>
      </c>
      <c r="C1297" s="33" t="s">
        <v>653</v>
      </c>
      <c r="D1297" s="33" t="s">
        <v>653</v>
      </c>
      <c r="E1297" s="33" t="s">
        <v>654</v>
      </c>
      <c r="F1297" s="34">
        <v>65</v>
      </c>
    </row>
    <row r="1298" spans="1:6" x14ac:dyDescent="0.25">
      <c r="A1298" s="34">
        <v>126</v>
      </c>
      <c r="B1298" s="33" t="s">
        <v>656</v>
      </c>
      <c r="C1298" s="33" t="s">
        <v>620</v>
      </c>
      <c r="D1298" s="33" t="s">
        <v>621</v>
      </c>
      <c r="E1298" s="33" t="s">
        <v>657</v>
      </c>
      <c r="F1298" s="34">
        <v>15</v>
      </c>
    </row>
    <row r="1299" spans="1:6" x14ac:dyDescent="0.25">
      <c r="A1299" s="34">
        <v>126</v>
      </c>
      <c r="B1299" s="33" t="s">
        <v>656</v>
      </c>
      <c r="C1299" s="33" t="s">
        <v>620</v>
      </c>
      <c r="D1299" s="33" t="s">
        <v>621</v>
      </c>
      <c r="E1299" s="33" t="s">
        <v>658</v>
      </c>
      <c r="F1299" s="34">
        <v>15</v>
      </c>
    </row>
    <row r="1300" spans="1:6" x14ac:dyDescent="0.25">
      <c r="A1300" s="34">
        <v>126</v>
      </c>
      <c r="B1300" s="33" t="s">
        <v>656</v>
      </c>
      <c r="C1300" s="33" t="s">
        <v>620</v>
      </c>
      <c r="D1300" s="33" t="s">
        <v>621</v>
      </c>
      <c r="E1300" s="33" t="s">
        <v>629</v>
      </c>
      <c r="F1300" s="34">
        <v>44</v>
      </c>
    </row>
    <row r="1301" spans="1:6" x14ac:dyDescent="0.25">
      <c r="A1301" s="34">
        <v>126</v>
      </c>
      <c r="B1301" s="33" t="s">
        <v>656</v>
      </c>
      <c r="C1301" s="33" t="s">
        <v>620</v>
      </c>
      <c r="D1301" s="33" t="s">
        <v>630</v>
      </c>
      <c r="E1301" s="33" t="s">
        <v>631</v>
      </c>
      <c r="F1301" s="34">
        <v>92</v>
      </c>
    </row>
    <row r="1302" spans="1:6" x14ac:dyDescent="0.25">
      <c r="A1302" s="34">
        <v>126</v>
      </c>
      <c r="B1302" s="33" t="s">
        <v>656</v>
      </c>
      <c r="C1302" s="33" t="s">
        <v>620</v>
      </c>
      <c r="D1302" s="33" t="s">
        <v>630</v>
      </c>
      <c r="E1302" s="33" t="s">
        <v>632</v>
      </c>
      <c r="F1302" s="33" t="s">
        <v>462</v>
      </c>
    </row>
    <row r="1303" spans="1:6" x14ac:dyDescent="0.25">
      <c r="A1303" s="34">
        <v>126</v>
      </c>
      <c r="B1303" s="33" t="s">
        <v>656</v>
      </c>
      <c r="C1303" s="33" t="s">
        <v>620</v>
      </c>
      <c r="D1303" s="33" t="s">
        <v>630</v>
      </c>
      <c r="E1303" s="33" t="s">
        <v>633</v>
      </c>
      <c r="F1303" s="34">
        <v>92</v>
      </c>
    </row>
    <row r="1304" spans="1:6" x14ac:dyDescent="0.25">
      <c r="A1304" s="34">
        <v>126</v>
      </c>
      <c r="B1304" s="33" t="s">
        <v>656</v>
      </c>
      <c r="C1304" s="33" t="s">
        <v>634</v>
      </c>
      <c r="D1304" s="33" t="s">
        <v>621</v>
      </c>
      <c r="E1304" s="33" t="s">
        <v>659</v>
      </c>
      <c r="F1304" s="34">
        <v>18</v>
      </c>
    </row>
    <row r="1305" spans="1:6" x14ac:dyDescent="0.25">
      <c r="A1305" s="34">
        <v>126</v>
      </c>
      <c r="B1305" s="33" t="s">
        <v>656</v>
      </c>
      <c r="C1305" s="33" t="s">
        <v>634</v>
      </c>
      <c r="D1305" s="33" t="s">
        <v>621</v>
      </c>
      <c r="E1305" s="33" t="s">
        <v>660</v>
      </c>
      <c r="F1305" s="34">
        <v>11</v>
      </c>
    </row>
    <row r="1306" spans="1:6" x14ac:dyDescent="0.25">
      <c r="A1306" s="34">
        <v>126</v>
      </c>
      <c r="B1306" s="33" t="s">
        <v>656</v>
      </c>
      <c r="C1306" s="33" t="s">
        <v>634</v>
      </c>
      <c r="D1306" s="33" t="s">
        <v>621</v>
      </c>
      <c r="E1306" s="33" t="s">
        <v>638</v>
      </c>
      <c r="F1306" s="34">
        <v>47.5</v>
      </c>
    </row>
    <row r="1307" spans="1:6" x14ac:dyDescent="0.25">
      <c r="A1307" s="34">
        <v>126</v>
      </c>
      <c r="B1307" s="33" t="s">
        <v>656</v>
      </c>
      <c r="C1307" s="33" t="s">
        <v>634</v>
      </c>
      <c r="D1307" s="33" t="s">
        <v>630</v>
      </c>
      <c r="E1307" s="33" t="s">
        <v>639</v>
      </c>
      <c r="F1307" s="34">
        <v>85</v>
      </c>
    </row>
    <row r="1308" spans="1:6" x14ac:dyDescent="0.25">
      <c r="A1308" s="34">
        <v>126</v>
      </c>
      <c r="B1308" s="33" t="s">
        <v>656</v>
      </c>
      <c r="C1308" s="33" t="s">
        <v>634</v>
      </c>
      <c r="D1308" s="33" t="s">
        <v>630</v>
      </c>
      <c r="E1308" s="33" t="s">
        <v>640</v>
      </c>
      <c r="F1308" s="33" t="s">
        <v>462</v>
      </c>
    </row>
    <row r="1309" spans="1:6" x14ac:dyDescent="0.25">
      <c r="A1309" s="34">
        <v>126</v>
      </c>
      <c r="B1309" s="33" t="s">
        <v>656</v>
      </c>
      <c r="C1309" s="33" t="s">
        <v>634</v>
      </c>
      <c r="D1309" s="33" t="s">
        <v>630</v>
      </c>
      <c r="E1309" s="33" t="s">
        <v>661</v>
      </c>
      <c r="F1309" s="34">
        <v>85</v>
      </c>
    </row>
    <row r="1310" spans="1:6" x14ac:dyDescent="0.25">
      <c r="A1310" s="34">
        <v>126</v>
      </c>
      <c r="B1310" s="33" t="s">
        <v>656</v>
      </c>
      <c r="C1310" s="33" t="s">
        <v>642</v>
      </c>
      <c r="D1310" s="33" t="s">
        <v>621</v>
      </c>
      <c r="E1310" s="33" t="s">
        <v>662</v>
      </c>
      <c r="F1310" s="34">
        <v>10</v>
      </c>
    </row>
    <row r="1311" spans="1:6" x14ac:dyDescent="0.25">
      <c r="A1311" s="34">
        <v>126</v>
      </c>
      <c r="B1311" s="33" t="s">
        <v>656</v>
      </c>
      <c r="C1311" s="33" t="s">
        <v>642</v>
      </c>
      <c r="D1311" s="33" t="s">
        <v>621</v>
      </c>
      <c r="E1311" s="33" t="s">
        <v>663</v>
      </c>
      <c r="F1311" s="34">
        <v>10</v>
      </c>
    </row>
    <row r="1312" spans="1:6" x14ac:dyDescent="0.25">
      <c r="A1312" s="34">
        <v>126</v>
      </c>
      <c r="B1312" s="33" t="s">
        <v>656</v>
      </c>
      <c r="C1312" s="33" t="s">
        <v>642</v>
      </c>
      <c r="D1312" s="33" t="s">
        <v>621</v>
      </c>
      <c r="E1312" s="33" t="s">
        <v>664</v>
      </c>
      <c r="F1312" s="34">
        <v>11</v>
      </c>
    </row>
    <row r="1313" spans="1:6" x14ac:dyDescent="0.25">
      <c r="A1313" s="34">
        <v>126</v>
      </c>
      <c r="B1313" s="33" t="s">
        <v>656</v>
      </c>
      <c r="C1313" s="33" t="s">
        <v>642</v>
      </c>
      <c r="D1313" s="33" t="s">
        <v>621</v>
      </c>
      <c r="E1313" s="33" t="s">
        <v>665</v>
      </c>
      <c r="F1313" s="34">
        <v>46</v>
      </c>
    </row>
    <row r="1314" spans="1:6" x14ac:dyDescent="0.25">
      <c r="A1314" s="34">
        <v>126</v>
      </c>
      <c r="B1314" s="33" t="s">
        <v>656</v>
      </c>
      <c r="C1314" s="33" t="s">
        <v>642</v>
      </c>
      <c r="D1314" s="33" t="s">
        <v>630</v>
      </c>
      <c r="E1314" s="33" t="s">
        <v>650</v>
      </c>
      <c r="F1314" s="34">
        <v>85</v>
      </c>
    </row>
    <row r="1315" spans="1:6" x14ac:dyDescent="0.25">
      <c r="A1315" s="34">
        <v>126</v>
      </c>
      <c r="B1315" s="33" t="s">
        <v>656</v>
      </c>
      <c r="C1315" s="33" t="s">
        <v>642</v>
      </c>
      <c r="D1315" s="33" t="s">
        <v>630</v>
      </c>
      <c r="E1315" s="33" t="s">
        <v>651</v>
      </c>
      <c r="F1315" s="33" t="s">
        <v>462</v>
      </c>
    </row>
    <row r="1316" spans="1:6" x14ac:dyDescent="0.25">
      <c r="A1316" s="34">
        <v>126</v>
      </c>
      <c r="B1316" s="33" t="s">
        <v>656</v>
      </c>
      <c r="C1316" s="33" t="s">
        <v>642</v>
      </c>
      <c r="D1316" s="33" t="s">
        <v>630</v>
      </c>
      <c r="E1316" s="33" t="s">
        <v>652</v>
      </c>
      <c r="F1316" s="34">
        <v>85</v>
      </c>
    </row>
    <row r="1317" spans="1:6" x14ac:dyDescent="0.25">
      <c r="A1317" s="34">
        <v>126</v>
      </c>
      <c r="B1317" s="33" t="s">
        <v>656</v>
      </c>
      <c r="C1317" s="33" t="s">
        <v>653</v>
      </c>
      <c r="D1317" s="33" t="s">
        <v>621</v>
      </c>
      <c r="E1317" s="33" t="s">
        <v>666</v>
      </c>
      <c r="F1317" s="34">
        <v>22</v>
      </c>
    </row>
    <row r="1318" spans="1:6" x14ac:dyDescent="0.25">
      <c r="A1318" s="34">
        <v>126</v>
      </c>
      <c r="B1318" s="33" t="s">
        <v>656</v>
      </c>
      <c r="C1318" s="33" t="s">
        <v>653</v>
      </c>
      <c r="D1318" s="33" t="s">
        <v>621</v>
      </c>
      <c r="E1318" s="33" t="s">
        <v>667</v>
      </c>
      <c r="F1318" s="34">
        <v>10</v>
      </c>
    </row>
    <row r="1319" spans="1:6" x14ac:dyDescent="0.25">
      <c r="A1319" s="34">
        <v>126</v>
      </c>
      <c r="B1319" s="33" t="s">
        <v>656</v>
      </c>
      <c r="C1319" s="33" t="s">
        <v>653</v>
      </c>
      <c r="D1319" s="33" t="s">
        <v>653</v>
      </c>
      <c r="E1319" s="33" t="s">
        <v>668</v>
      </c>
      <c r="F1319" s="34">
        <v>28</v>
      </c>
    </row>
    <row r="1320" spans="1:6" x14ac:dyDescent="0.25">
      <c r="A1320" s="34">
        <v>126</v>
      </c>
      <c r="B1320" s="33" t="s">
        <v>656</v>
      </c>
      <c r="C1320" s="33" t="s">
        <v>653</v>
      </c>
      <c r="D1320" s="33" t="s">
        <v>653</v>
      </c>
      <c r="E1320" s="33" t="s">
        <v>669</v>
      </c>
      <c r="F1320" s="34">
        <v>100</v>
      </c>
    </row>
    <row r="1321" spans="1:6" x14ac:dyDescent="0.25">
      <c r="A1321" s="34">
        <v>126</v>
      </c>
      <c r="B1321" s="33" t="s">
        <v>656</v>
      </c>
      <c r="C1321" s="33" t="s">
        <v>653</v>
      </c>
      <c r="D1321" s="33" t="s">
        <v>653</v>
      </c>
      <c r="E1321" s="33" t="s">
        <v>654</v>
      </c>
      <c r="F1321" s="34">
        <v>95</v>
      </c>
    </row>
    <row r="1322" spans="1:6" x14ac:dyDescent="0.25">
      <c r="A1322" s="34">
        <v>127</v>
      </c>
      <c r="B1322" s="33" t="s">
        <v>656</v>
      </c>
      <c r="C1322" s="33" t="s">
        <v>620</v>
      </c>
      <c r="D1322" s="33" t="s">
        <v>621</v>
      </c>
      <c r="E1322" s="33" t="s">
        <v>657</v>
      </c>
      <c r="F1322" s="34">
        <v>15</v>
      </c>
    </row>
    <row r="1323" spans="1:6" x14ac:dyDescent="0.25">
      <c r="A1323" s="34">
        <v>127</v>
      </c>
      <c r="B1323" s="33" t="s">
        <v>656</v>
      </c>
      <c r="C1323" s="33" t="s">
        <v>620</v>
      </c>
      <c r="D1323" s="33" t="s">
        <v>621</v>
      </c>
      <c r="E1323" s="33" t="s">
        <v>658</v>
      </c>
      <c r="F1323" s="34">
        <v>15</v>
      </c>
    </row>
    <row r="1324" spans="1:6" x14ac:dyDescent="0.25">
      <c r="A1324" s="34">
        <v>127</v>
      </c>
      <c r="B1324" s="33" t="s">
        <v>656</v>
      </c>
      <c r="C1324" s="33" t="s">
        <v>620</v>
      </c>
      <c r="D1324" s="33" t="s">
        <v>621</v>
      </c>
      <c r="E1324" s="33" t="s">
        <v>629</v>
      </c>
      <c r="F1324" s="34">
        <v>41</v>
      </c>
    </row>
    <row r="1325" spans="1:6" x14ac:dyDescent="0.25">
      <c r="A1325" s="34">
        <v>127</v>
      </c>
      <c r="B1325" s="33" t="s">
        <v>656</v>
      </c>
      <c r="C1325" s="33" t="s">
        <v>620</v>
      </c>
      <c r="D1325" s="33" t="s">
        <v>630</v>
      </c>
      <c r="E1325" s="33" t="s">
        <v>631</v>
      </c>
      <c r="F1325" s="34">
        <v>82</v>
      </c>
    </row>
    <row r="1326" spans="1:6" x14ac:dyDescent="0.25">
      <c r="A1326" s="34">
        <v>127</v>
      </c>
      <c r="B1326" s="33" t="s">
        <v>656</v>
      </c>
      <c r="C1326" s="33" t="s">
        <v>620</v>
      </c>
      <c r="D1326" s="33" t="s">
        <v>630</v>
      </c>
      <c r="E1326" s="33" t="s">
        <v>632</v>
      </c>
      <c r="F1326" s="33" t="s">
        <v>462</v>
      </c>
    </row>
    <row r="1327" spans="1:6" x14ac:dyDescent="0.25">
      <c r="A1327" s="34">
        <v>127</v>
      </c>
      <c r="B1327" s="33" t="s">
        <v>656</v>
      </c>
      <c r="C1327" s="33" t="s">
        <v>620</v>
      </c>
      <c r="D1327" s="33" t="s">
        <v>630</v>
      </c>
      <c r="E1327" s="33" t="s">
        <v>633</v>
      </c>
      <c r="F1327" s="34">
        <v>82</v>
      </c>
    </row>
    <row r="1328" spans="1:6" x14ac:dyDescent="0.25">
      <c r="A1328" s="34">
        <v>127</v>
      </c>
      <c r="B1328" s="33" t="s">
        <v>656</v>
      </c>
      <c r="C1328" s="33" t="s">
        <v>634</v>
      </c>
      <c r="D1328" s="33" t="s">
        <v>621</v>
      </c>
      <c r="E1328" s="33" t="s">
        <v>659</v>
      </c>
      <c r="F1328" s="34">
        <v>17</v>
      </c>
    </row>
    <row r="1329" spans="1:6" x14ac:dyDescent="0.25">
      <c r="A1329" s="34">
        <v>127</v>
      </c>
      <c r="B1329" s="33" t="s">
        <v>656</v>
      </c>
      <c r="C1329" s="33" t="s">
        <v>634</v>
      </c>
      <c r="D1329" s="33" t="s">
        <v>621</v>
      </c>
      <c r="E1329" s="33" t="s">
        <v>660</v>
      </c>
      <c r="F1329" s="34">
        <v>11</v>
      </c>
    </row>
    <row r="1330" spans="1:6" x14ac:dyDescent="0.25">
      <c r="A1330" s="34">
        <v>127</v>
      </c>
      <c r="B1330" s="33" t="s">
        <v>656</v>
      </c>
      <c r="C1330" s="33" t="s">
        <v>634</v>
      </c>
      <c r="D1330" s="33" t="s">
        <v>621</v>
      </c>
      <c r="E1330" s="33" t="s">
        <v>638</v>
      </c>
      <c r="F1330" s="34">
        <v>47.5</v>
      </c>
    </row>
    <row r="1331" spans="1:6" x14ac:dyDescent="0.25">
      <c r="A1331" s="34">
        <v>127</v>
      </c>
      <c r="B1331" s="33" t="s">
        <v>656</v>
      </c>
      <c r="C1331" s="33" t="s">
        <v>634</v>
      </c>
      <c r="D1331" s="33" t="s">
        <v>630</v>
      </c>
      <c r="E1331" s="33" t="s">
        <v>639</v>
      </c>
      <c r="F1331" s="34">
        <v>72</v>
      </c>
    </row>
    <row r="1332" spans="1:6" x14ac:dyDescent="0.25">
      <c r="A1332" s="34">
        <v>127</v>
      </c>
      <c r="B1332" s="33" t="s">
        <v>656</v>
      </c>
      <c r="C1332" s="33" t="s">
        <v>634</v>
      </c>
      <c r="D1332" s="33" t="s">
        <v>630</v>
      </c>
      <c r="E1332" s="33" t="s">
        <v>640</v>
      </c>
      <c r="F1332" s="33" t="s">
        <v>462</v>
      </c>
    </row>
    <row r="1333" spans="1:6" x14ac:dyDescent="0.25">
      <c r="A1333" s="34">
        <v>127</v>
      </c>
      <c r="B1333" s="33" t="s">
        <v>656</v>
      </c>
      <c r="C1333" s="33" t="s">
        <v>634</v>
      </c>
      <c r="D1333" s="33" t="s">
        <v>630</v>
      </c>
      <c r="E1333" s="33" t="s">
        <v>661</v>
      </c>
      <c r="F1333" s="34">
        <v>72</v>
      </c>
    </row>
    <row r="1334" spans="1:6" x14ac:dyDescent="0.25">
      <c r="A1334" s="34">
        <v>127</v>
      </c>
      <c r="B1334" s="33" t="s">
        <v>656</v>
      </c>
      <c r="C1334" s="33" t="s">
        <v>642</v>
      </c>
      <c r="D1334" s="33" t="s">
        <v>621</v>
      </c>
      <c r="E1334" s="33" t="s">
        <v>662</v>
      </c>
      <c r="F1334" s="34">
        <v>10</v>
      </c>
    </row>
    <row r="1335" spans="1:6" x14ac:dyDescent="0.25">
      <c r="A1335" s="34">
        <v>127</v>
      </c>
      <c r="B1335" s="33" t="s">
        <v>656</v>
      </c>
      <c r="C1335" s="33" t="s">
        <v>642</v>
      </c>
      <c r="D1335" s="33" t="s">
        <v>621</v>
      </c>
      <c r="E1335" s="33" t="s">
        <v>663</v>
      </c>
      <c r="F1335" s="34">
        <v>9</v>
      </c>
    </row>
    <row r="1336" spans="1:6" x14ac:dyDescent="0.25">
      <c r="A1336" s="34">
        <v>127</v>
      </c>
      <c r="B1336" s="33" t="s">
        <v>656</v>
      </c>
      <c r="C1336" s="33" t="s">
        <v>642</v>
      </c>
      <c r="D1336" s="33" t="s">
        <v>621</v>
      </c>
      <c r="E1336" s="33" t="s">
        <v>664</v>
      </c>
      <c r="F1336" s="34">
        <v>11</v>
      </c>
    </row>
    <row r="1337" spans="1:6" x14ac:dyDescent="0.25">
      <c r="A1337" s="34">
        <v>127</v>
      </c>
      <c r="B1337" s="33" t="s">
        <v>656</v>
      </c>
      <c r="C1337" s="33" t="s">
        <v>642</v>
      </c>
      <c r="D1337" s="33" t="s">
        <v>621</v>
      </c>
      <c r="E1337" s="33" t="s">
        <v>665</v>
      </c>
      <c r="F1337" s="34">
        <v>44</v>
      </c>
    </row>
    <row r="1338" spans="1:6" x14ac:dyDescent="0.25">
      <c r="A1338" s="34">
        <v>127</v>
      </c>
      <c r="B1338" s="33" t="s">
        <v>656</v>
      </c>
      <c r="C1338" s="33" t="s">
        <v>642</v>
      </c>
      <c r="D1338" s="33" t="s">
        <v>630</v>
      </c>
      <c r="E1338" s="33" t="s">
        <v>650</v>
      </c>
      <c r="F1338" s="34">
        <v>68</v>
      </c>
    </row>
    <row r="1339" spans="1:6" x14ac:dyDescent="0.25">
      <c r="A1339" s="34">
        <v>127</v>
      </c>
      <c r="B1339" s="33" t="s">
        <v>656</v>
      </c>
      <c r="C1339" s="33" t="s">
        <v>642</v>
      </c>
      <c r="D1339" s="33" t="s">
        <v>630</v>
      </c>
      <c r="E1339" s="33" t="s">
        <v>651</v>
      </c>
      <c r="F1339" s="33" t="s">
        <v>462</v>
      </c>
    </row>
    <row r="1340" spans="1:6" x14ac:dyDescent="0.25">
      <c r="A1340" s="34">
        <v>127</v>
      </c>
      <c r="B1340" s="33" t="s">
        <v>656</v>
      </c>
      <c r="C1340" s="33" t="s">
        <v>642</v>
      </c>
      <c r="D1340" s="33" t="s">
        <v>630</v>
      </c>
      <c r="E1340" s="33" t="s">
        <v>652</v>
      </c>
      <c r="F1340" s="34">
        <v>68</v>
      </c>
    </row>
    <row r="1341" spans="1:6" x14ac:dyDescent="0.25">
      <c r="A1341" s="34">
        <v>127</v>
      </c>
      <c r="B1341" s="33" t="s">
        <v>656</v>
      </c>
      <c r="C1341" s="33" t="s">
        <v>653</v>
      </c>
      <c r="D1341" s="33" t="s">
        <v>621</v>
      </c>
      <c r="E1341" s="33" t="s">
        <v>666</v>
      </c>
      <c r="F1341" s="34">
        <v>21</v>
      </c>
    </row>
    <row r="1342" spans="1:6" x14ac:dyDescent="0.25">
      <c r="A1342" s="34">
        <v>127</v>
      </c>
      <c r="B1342" s="33" t="s">
        <v>656</v>
      </c>
      <c r="C1342" s="33" t="s">
        <v>653</v>
      </c>
      <c r="D1342" s="33" t="s">
        <v>621</v>
      </c>
      <c r="E1342" s="33" t="s">
        <v>667</v>
      </c>
      <c r="F1342" s="34">
        <v>6.5</v>
      </c>
    </row>
    <row r="1343" spans="1:6" x14ac:dyDescent="0.25">
      <c r="A1343" s="34">
        <v>127</v>
      </c>
      <c r="B1343" s="33" t="s">
        <v>656</v>
      </c>
      <c r="C1343" s="33" t="s">
        <v>653</v>
      </c>
      <c r="D1343" s="33" t="s">
        <v>653</v>
      </c>
      <c r="E1343" s="33" t="s">
        <v>668</v>
      </c>
      <c r="F1343" s="34">
        <v>19</v>
      </c>
    </row>
    <row r="1344" spans="1:6" x14ac:dyDescent="0.25">
      <c r="A1344" s="34">
        <v>127</v>
      </c>
      <c r="B1344" s="33" t="s">
        <v>656</v>
      </c>
      <c r="C1344" s="33" t="s">
        <v>653</v>
      </c>
      <c r="D1344" s="33" t="s">
        <v>653</v>
      </c>
      <c r="E1344" s="33" t="s">
        <v>669</v>
      </c>
      <c r="F1344" s="34">
        <v>100</v>
      </c>
    </row>
    <row r="1345" spans="1:6" x14ac:dyDescent="0.25">
      <c r="A1345" s="34">
        <v>127</v>
      </c>
      <c r="B1345" s="33" t="s">
        <v>656</v>
      </c>
      <c r="C1345" s="33" t="s">
        <v>653</v>
      </c>
      <c r="D1345" s="33" t="s">
        <v>653</v>
      </c>
      <c r="E1345" s="33" t="s">
        <v>654</v>
      </c>
      <c r="F1345" s="34">
        <v>75</v>
      </c>
    </row>
    <row r="1346" spans="1:6" x14ac:dyDescent="0.25">
      <c r="A1346" s="34">
        <v>128</v>
      </c>
      <c r="B1346" s="33" t="s">
        <v>656</v>
      </c>
      <c r="C1346" s="33" t="s">
        <v>620</v>
      </c>
      <c r="D1346" s="33" t="s">
        <v>621</v>
      </c>
      <c r="E1346" s="33" t="s">
        <v>657</v>
      </c>
      <c r="F1346" s="33" t="s">
        <v>462</v>
      </c>
    </row>
    <row r="1347" spans="1:6" x14ac:dyDescent="0.25">
      <c r="A1347" s="34">
        <v>128</v>
      </c>
      <c r="B1347" s="33" t="s">
        <v>656</v>
      </c>
      <c r="C1347" s="33" t="s">
        <v>620</v>
      </c>
      <c r="D1347" s="33" t="s">
        <v>621</v>
      </c>
      <c r="E1347" s="33" t="s">
        <v>658</v>
      </c>
      <c r="F1347" s="33" t="s">
        <v>462</v>
      </c>
    </row>
    <row r="1348" spans="1:6" x14ac:dyDescent="0.25">
      <c r="A1348" s="34">
        <v>128</v>
      </c>
      <c r="B1348" s="33" t="s">
        <v>656</v>
      </c>
      <c r="C1348" s="33" t="s">
        <v>620</v>
      </c>
      <c r="D1348" s="33" t="s">
        <v>621</v>
      </c>
      <c r="E1348" s="33" t="s">
        <v>629</v>
      </c>
      <c r="F1348" s="33" t="s">
        <v>462</v>
      </c>
    </row>
    <row r="1349" spans="1:6" x14ac:dyDescent="0.25">
      <c r="A1349" s="34">
        <v>128</v>
      </c>
      <c r="B1349" s="33" t="s">
        <v>656</v>
      </c>
      <c r="C1349" s="33" t="s">
        <v>620</v>
      </c>
      <c r="D1349" s="33" t="s">
        <v>630</v>
      </c>
      <c r="E1349" s="33" t="s">
        <v>631</v>
      </c>
      <c r="F1349" s="34">
        <v>92</v>
      </c>
    </row>
    <row r="1350" spans="1:6" x14ac:dyDescent="0.25">
      <c r="A1350" s="34">
        <v>128</v>
      </c>
      <c r="B1350" s="33" t="s">
        <v>656</v>
      </c>
      <c r="C1350" s="33" t="s">
        <v>620</v>
      </c>
      <c r="D1350" s="33" t="s">
        <v>630</v>
      </c>
      <c r="E1350" s="33" t="s">
        <v>632</v>
      </c>
      <c r="F1350" s="33" t="s">
        <v>462</v>
      </c>
    </row>
    <row r="1351" spans="1:6" x14ac:dyDescent="0.25">
      <c r="A1351" s="34">
        <v>128</v>
      </c>
      <c r="B1351" s="33" t="s">
        <v>656</v>
      </c>
      <c r="C1351" s="33" t="s">
        <v>620</v>
      </c>
      <c r="D1351" s="33" t="s">
        <v>630</v>
      </c>
      <c r="E1351" s="33" t="s">
        <v>633</v>
      </c>
      <c r="F1351" s="34">
        <v>92</v>
      </c>
    </row>
    <row r="1352" spans="1:6" x14ac:dyDescent="0.25">
      <c r="A1352" s="34">
        <v>128</v>
      </c>
      <c r="B1352" s="33" t="s">
        <v>656</v>
      </c>
      <c r="C1352" s="33" t="s">
        <v>634</v>
      </c>
      <c r="D1352" s="33" t="s">
        <v>621</v>
      </c>
      <c r="E1352" s="33" t="s">
        <v>659</v>
      </c>
      <c r="F1352" s="34">
        <v>15</v>
      </c>
    </row>
    <row r="1353" spans="1:6" x14ac:dyDescent="0.25">
      <c r="A1353" s="34">
        <v>128</v>
      </c>
      <c r="B1353" s="33" t="s">
        <v>656</v>
      </c>
      <c r="C1353" s="33" t="s">
        <v>634</v>
      </c>
      <c r="D1353" s="33" t="s">
        <v>621</v>
      </c>
      <c r="E1353" s="33" t="s">
        <v>660</v>
      </c>
      <c r="F1353" s="34">
        <v>4.7</v>
      </c>
    </row>
    <row r="1354" spans="1:6" x14ac:dyDescent="0.25">
      <c r="A1354" s="34">
        <v>128</v>
      </c>
      <c r="B1354" s="33" t="s">
        <v>656</v>
      </c>
      <c r="C1354" s="33" t="s">
        <v>634</v>
      </c>
      <c r="D1354" s="33" t="s">
        <v>621</v>
      </c>
      <c r="E1354" s="33" t="s">
        <v>638</v>
      </c>
      <c r="F1354" s="34">
        <v>47.5</v>
      </c>
    </row>
    <row r="1355" spans="1:6" x14ac:dyDescent="0.25">
      <c r="A1355" s="34">
        <v>128</v>
      </c>
      <c r="B1355" s="33" t="s">
        <v>656</v>
      </c>
      <c r="C1355" s="33" t="s">
        <v>634</v>
      </c>
      <c r="D1355" s="33" t="s">
        <v>630</v>
      </c>
      <c r="E1355" s="33" t="s">
        <v>639</v>
      </c>
      <c r="F1355" s="34">
        <v>92</v>
      </c>
    </row>
    <row r="1356" spans="1:6" x14ac:dyDescent="0.25">
      <c r="A1356" s="34">
        <v>128</v>
      </c>
      <c r="B1356" s="33" t="s">
        <v>656</v>
      </c>
      <c r="C1356" s="33" t="s">
        <v>634</v>
      </c>
      <c r="D1356" s="33" t="s">
        <v>630</v>
      </c>
      <c r="E1356" s="33" t="s">
        <v>640</v>
      </c>
      <c r="F1356" s="33" t="s">
        <v>462</v>
      </c>
    </row>
    <row r="1357" spans="1:6" x14ac:dyDescent="0.25">
      <c r="A1357" s="34">
        <v>128</v>
      </c>
      <c r="B1357" s="33" t="s">
        <v>656</v>
      </c>
      <c r="C1357" s="33" t="s">
        <v>634</v>
      </c>
      <c r="D1357" s="33" t="s">
        <v>630</v>
      </c>
      <c r="E1357" s="33" t="s">
        <v>661</v>
      </c>
      <c r="F1357" s="34">
        <v>92</v>
      </c>
    </row>
    <row r="1358" spans="1:6" x14ac:dyDescent="0.25">
      <c r="A1358" s="34">
        <v>128</v>
      </c>
      <c r="B1358" s="33" t="s">
        <v>656</v>
      </c>
      <c r="C1358" s="33" t="s">
        <v>642</v>
      </c>
      <c r="D1358" s="33" t="s">
        <v>621</v>
      </c>
      <c r="E1358" s="33" t="s">
        <v>662</v>
      </c>
      <c r="F1358" s="34">
        <v>10</v>
      </c>
    </row>
    <row r="1359" spans="1:6" x14ac:dyDescent="0.25">
      <c r="A1359" s="34">
        <v>128</v>
      </c>
      <c r="B1359" s="33" t="s">
        <v>656</v>
      </c>
      <c r="C1359" s="33" t="s">
        <v>642</v>
      </c>
      <c r="D1359" s="33" t="s">
        <v>621</v>
      </c>
      <c r="E1359" s="33" t="s">
        <v>663</v>
      </c>
      <c r="F1359" s="34">
        <v>10</v>
      </c>
    </row>
    <row r="1360" spans="1:6" x14ac:dyDescent="0.25">
      <c r="A1360" s="34">
        <v>128</v>
      </c>
      <c r="B1360" s="33" t="s">
        <v>656</v>
      </c>
      <c r="C1360" s="33" t="s">
        <v>642</v>
      </c>
      <c r="D1360" s="33" t="s">
        <v>621</v>
      </c>
      <c r="E1360" s="33" t="s">
        <v>664</v>
      </c>
      <c r="F1360" s="34">
        <v>11</v>
      </c>
    </row>
    <row r="1361" spans="1:6" x14ac:dyDescent="0.25">
      <c r="A1361" s="34">
        <v>128</v>
      </c>
      <c r="B1361" s="33" t="s">
        <v>656</v>
      </c>
      <c r="C1361" s="33" t="s">
        <v>642</v>
      </c>
      <c r="D1361" s="33" t="s">
        <v>621</v>
      </c>
      <c r="E1361" s="33" t="s">
        <v>665</v>
      </c>
      <c r="F1361" s="34">
        <v>47.5</v>
      </c>
    </row>
    <row r="1362" spans="1:6" x14ac:dyDescent="0.25">
      <c r="A1362" s="34">
        <v>128</v>
      </c>
      <c r="B1362" s="33" t="s">
        <v>656</v>
      </c>
      <c r="C1362" s="33" t="s">
        <v>642</v>
      </c>
      <c r="D1362" s="33" t="s">
        <v>630</v>
      </c>
      <c r="E1362" s="33" t="s">
        <v>650</v>
      </c>
      <c r="F1362" s="34">
        <v>95</v>
      </c>
    </row>
    <row r="1363" spans="1:6" x14ac:dyDescent="0.25">
      <c r="A1363" s="34">
        <v>128</v>
      </c>
      <c r="B1363" s="33" t="s">
        <v>656</v>
      </c>
      <c r="C1363" s="33" t="s">
        <v>642</v>
      </c>
      <c r="D1363" s="33" t="s">
        <v>630</v>
      </c>
      <c r="E1363" s="33" t="s">
        <v>651</v>
      </c>
      <c r="F1363" s="33" t="s">
        <v>462</v>
      </c>
    </row>
    <row r="1364" spans="1:6" x14ac:dyDescent="0.25">
      <c r="A1364" s="34">
        <v>128</v>
      </c>
      <c r="B1364" s="33" t="s">
        <v>656</v>
      </c>
      <c r="C1364" s="33" t="s">
        <v>642</v>
      </c>
      <c r="D1364" s="33" t="s">
        <v>630</v>
      </c>
      <c r="E1364" s="33" t="s">
        <v>652</v>
      </c>
      <c r="F1364" s="34">
        <v>95</v>
      </c>
    </row>
    <row r="1365" spans="1:6" x14ac:dyDescent="0.25">
      <c r="A1365" s="34">
        <v>128</v>
      </c>
      <c r="B1365" s="33" t="s">
        <v>656</v>
      </c>
      <c r="C1365" s="33" t="s">
        <v>653</v>
      </c>
      <c r="D1365" s="33" t="s">
        <v>621</v>
      </c>
      <c r="E1365" s="33" t="s">
        <v>666</v>
      </c>
      <c r="F1365" s="34">
        <v>22</v>
      </c>
    </row>
    <row r="1366" spans="1:6" x14ac:dyDescent="0.25">
      <c r="A1366" s="34">
        <v>128</v>
      </c>
      <c r="B1366" s="33" t="s">
        <v>656</v>
      </c>
      <c r="C1366" s="33" t="s">
        <v>653</v>
      </c>
      <c r="D1366" s="33" t="s">
        <v>621</v>
      </c>
      <c r="E1366" s="33" t="s">
        <v>667</v>
      </c>
      <c r="F1366" s="34">
        <v>10</v>
      </c>
    </row>
    <row r="1367" spans="1:6" x14ac:dyDescent="0.25">
      <c r="A1367" s="34">
        <v>128</v>
      </c>
      <c r="B1367" s="33" t="s">
        <v>656</v>
      </c>
      <c r="C1367" s="33" t="s">
        <v>653</v>
      </c>
      <c r="D1367" s="33" t="s">
        <v>653</v>
      </c>
      <c r="E1367" s="33" t="s">
        <v>668</v>
      </c>
      <c r="F1367" s="34">
        <v>27</v>
      </c>
    </row>
    <row r="1368" spans="1:6" x14ac:dyDescent="0.25">
      <c r="A1368" s="34">
        <v>128</v>
      </c>
      <c r="B1368" s="33" t="s">
        <v>656</v>
      </c>
      <c r="C1368" s="33" t="s">
        <v>653</v>
      </c>
      <c r="D1368" s="33" t="s">
        <v>653</v>
      </c>
      <c r="E1368" s="33" t="s">
        <v>669</v>
      </c>
      <c r="F1368" s="34">
        <v>100</v>
      </c>
    </row>
    <row r="1369" spans="1:6" x14ac:dyDescent="0.25">
      <c r="A1369" s="34">
        <v>128</v>
      </c>
      <c r="B1369" s="33" t="s">
        <v>656</v>
      </c>
      <c r="C1369" s="33" t="s">
        <v>653</v>
      </c>
      <c r="D1369" s="33" t="s">
        <v>653</v>
      </c>
      <c r="E1369" s="33" t="s">
        <v>654</v>
      </c>
      <c r="F1369" s="34">
        <v>92</v>
      </c>
    </row>
    <row r="1370" spans="1:6" x14ac:dyDescent="0.25">
      <c r="A1370" s="34">
        <v>129</v>
      </c>
      <c r="B1370" s="33" t="s">
        <v>656</v>
      </c>
      <c r="C1370" s="33" t="s">
        <v>620</v>
      </c>
      <c r="D1370" s="33" t="s">
        <v>621</v>
      </c>
      <c r="E1370" s="33" t="s">
        <v>657</v>
      </c>
      <c r="F1370" s="34">
        <v>14.5</v>
      </c>
    </row>
    <row r="1371" spans="1:6" x14ac:dyDescent="0.25">
      <c r="A1371" s="34">
        <v>129</v>
      </c>
      <c r="B1371" s="33" t="s">
        <v>656</v>
      </c>
      <c r="C1371" s="33" t="s">
        <v>620</v>
      </c>
      <c r="D1371" s="33" t="s">
        <v>621</v>
      </c>
      <c r="E1371" s="33" t="s">
        <v>658</v>
      </c>
      <c r="F1371" s="34">
        <v>14.5</v>
      </c>
    </row>
    <row r="1372" spans="1:6" x14ac:dyDescent="0.25">
      <c r="A1372" s="34">
        <v>129</v>
      </c>
      <c r="B1372" s="33" t="s">
        <v>656</v>
      </c>
      <c r="C1372" s="33" t="s">
        <v>620</v>
      </c>
      <c r="D1372" s="33" t="s">
        <v>621</v>
      </c>
      <c r="E1372" s="33" t="s">
        <v>629</v>
      </c>
      <c r="F1372" s="34">
        <v>46</v>
      </c>
    </row>
    <row r="1373" spans="1:6" x14ac:dyDescent="0.25">
      <c r="A1373" s="34">
        <v>129</v>
      </c>
      <c r="B1373" s="33" t="s">
        <v>656</v>
      </c>
      <c r="C1373" s="33" t="s">
        <v>620</v>
      </c>
      <c r="D1373" s="33" t="s">
        <v>630</v>
      </c>
      <c r="E1373" s="33" t="s">
        <v>631</v>
      </c>
      <c r="F1373" s="34">
        <v>78</v>
      </c>
    </row>
    <row r="1374" spans="1:6" x14ac:dyDescent="0.25">
      <c r="A1374" s="34">
        <v>129</v>
      </c>
      <c r="B1374" s="33" t="s">
        <v>656</v>
      </c>
      <c r="C1374" s="33" t="s">
        <v>620</v>
      </c>
      <c r="D1374" s="33" t="s">
        <v>630</v>
      </c>
      <c r="E1374" s="33" t="s">
        <v>632</v>
      </c>
      <c r="F1374" s="33" t="s">
        <v>462</v>
      </c>
    </row>
    <row r="1375" spans="1:6" x14ac:dyDescent="0.25">
      <c r="A1375" s="34">
        <v>129</v>
      </c>
      <c r="B1375" s="33" t="s">
        <v>656</v>
      </c>
      <c r="C1375" s="33" t="s">
        <v>620</v>
      </c>
      <c r="D1375" s="33" t="s">
        <v>630</v>
      </c>
      <c r="E1375" s="33" t="s">
        <v>633</v>
      </c>
      <c r="F1375" s="34">
        <v>78</v>
      </c>
    </row>
    <row r="1376" spans="1:6" x14ac:dyDescent="0.25">
      <c r="A1376" s="34">
        <v>129</v>
      </c>
      <c r="B1376" s="33" t="s">
        <v>656</v>
      </c>
      <c r="C1376" s="33" t="s">
        <v>634</v>
      </c>
      <c r="D1376" s="33" t="s">
        <v>621</v>
      </c>
      <c r="E1376" s="33" t="s">
        <v>659</v>
      </c>
      <c r="F1376" s="34">
        <v>18</v>
      </c>
    </row>
    <row r="1377" spans="1:6" x14ac:dyDescent="0.25">
      <c r="A1377" s="34">
        <v>129</v>
      </c>
      <c r="B1377" s="33" t="s">
        <v>656</v>
      </c>
      <c r="C1377" s="33" t="s">
        <v>634</v>
      </c>
      <c r="D1377" s="33" t="s">
        <v>621</v>
      </c>
      <c r="E1377" s="33" t="s">
        <v>660</v>
      </c>
      <c r="F1377" s="34">
        <v>10</v>
      </c>
    </row>
    <row r="1378" spans="1:6" x14ac:dyDescent="0.25">
      <c r="A1378" s="34">
        <v>129</v>
      </c>
      <c r="B1378" s="33" t="s">
        <v>656</v>
      </c>
      <c r="C1378" s="33" t="s">
        <v>634</v>
      </c>
      <c r="D1378" s="33" t="s">
        <v>621</v>
      </c>
      <c r="E1378" s="33" t="s">
        <v>638</v>
      </c>
      <c r="F1378" s="34">
        <v>47.5</v>
      </c>
    </row>
    <row r="1379" spans="1:6" x14ac:dyDescent="0.25">
      <c r="A1379" s="34">
        <v>129</v>
      </c>
      <c r="B1379" s="33" t="s">
        <v>656</v>
      </c>
      <c r="C1379" s="33" t="s">
        <v>634</v>
      </c>
      <c r="D1379" s="33" t="s">
        <v>630</v>
      </c>
      <c r="E1379" s="33" t="s">
        <v>639</v>
      </c>
      <c r="F1379" s="34">
        <v>82</v>
      </c>
    </row>
    <row r="1380" spans="1:6" x14ac:dyDescent="0.25">
      <c r="A1380" s="34">
        <v>129</v>
      </c>
      <c r="B1380" s="33" t="s">
        <v>656</v>
      </c>
      <c r="C1380" s="33" t="s">
        <v>634</v>
      </c>
      <c r="D1380" s="33" t="s">
        <v>630</v>
      </c>
      <c r="E1380" s="33" t="s">
        <v>640</v>
      </c>
      <c r="F1380" s="33" t="s">
        <v>462</v>
      </c>
    </row>
    <row r="1381" spans="1:6" x14ac:dyDescent="0.25">
      <c r="A1381" s="34">
        <v>129</v>
      </c>
      <c r="B1381" s="33" t="s">
        <v>656</v>
      </c>
      <c r="C1381" s="33" t="s">
        <v>634</v>
      </c>
      <c r="D1381" s="33" t="s">
        <v>630</v>
      </c>
      <c r="E1381" s="33" t="s">
        <v>661</v>
      </c>
      <c r="F1381" s="34">
        <v>82</v>
      </c>
    </row>
    <row r="1382" spans="1:6" x14ac:dyDescent="0.25">
      <c r="A1382" s="34">
        <v>129</v>
      </c>
      <c r="B1382" s="33" t="s">
        <v>656</v>
      </c>
      <c r="C1382" s="33" t="s">
        <v>642</v>
      </c>
      <c r="D1382" s="33" t="s">
        <v>621</v>
      </c>
      <c r="E1382" s="33" t="s">
        <v>662</v>
      </c>
      <c r="F1382" s="34">
        <v>10</v>
      </c>
    </row>
    <row r="1383" spans="1:6" x14ac:dyDescent="0.25">
      <c r="A1383" s="34">
        <v>129</v>
      </c>
      <c r="B1383" s="33" t="s">
        <v>656</v>
      </c>
      <c r="C1383" s="33" t="s">
        <v>642</v>
      </c>
      <c r="D1383" s="33" t="s">
        <v>621</v>
      </c>
      <c r="E1383" s="33" t="s">
        <v>663</v>
      </c>
      <c r="F1383" s="34">
        <v>10</v>
      </c>
    </row>
    <row r="1384" spans="1:6" x14ac:dyDescent="0.25">
      <c r="A1384" s="34">
        <v>129</v>
      </c>
      <c r="B1384" s="33" t="s">
        <v>656</v>
      </c>
      <c r="C1384" s="33" t="s">
        <v>642</v>
      </c>
      <c r="D1384" s="33" t="s">
        <v>621</v>
      </c>
      <c r="E1384" s="33" t="s">
        <v>664</v>
      </c>
      <c r="F1384" s="34">
        <v>11</v>
      </c>
    </row>
    <row r="1385" spans="1:6" x14ac:dyDescent="0.25">
      <c r="A1385" s="34">
        <v>129</v>
      </c>
      <c r="B1385" s="33" t="s">
        <v>656</v>
      </c>
      <c r="C1385" s="33" t="s">
        <v>642</v>
      </c>
      <c r="D1385" s="33" t="s">
        <v>621</v>
      </c>
      <c r="E1385" s="33" t="s">
        <v>665</v>
      </c>
      <c r="F1385" s="34">
        <v>46</v>
      </c>
    </row>
    <row r="1386" spans="1:6" x14ac:dyDescent="0.25">
      <c r="A1386" s="34">
        <v>129</v>
      </c>
      <c r="B1386" s="33" t="s">
        <v>656</v>
      </c>
      <c r="C1386" s="33" t="s">
        <v>642</v>
      </c>
      <c r="D1386" s="33" t="s">
        <v>630</v>
      </c>
      <c r="E1386" s="33" t="s">
        <v>650</v>
      </c>
      <c r="F1386" s="34">
        <v>78</v>
      </c>
    </row>
    <row r="1387" spans="1:6" x14ac:dyDescent="0.25">
      <c r="A1387" s="34">
        <v>129</v>
      </c>
      <c r="B1387" s="33" t="s">
        <v>656</v>
      </c>
      <c r="C1387" s="33" t="s">
        <v>642</v>
      </c>
      <c r="D1387" s="33" t="s">
        <v>630</v>
      </c>
      <c r="E1387" s="33" t="s">
        <v>651</v>
      </c>
      <c r="F1387" s="33" t="s">
        <v>462</v>
      </c>
    </row>
    <row r="1388" spans="1:6" x14ac:dyDescent="0.25">
      <c r="A1388" s="34">
        <v>129</v>
      </c>
      <c r="B1388" s="33" t="s">
        <v>656</v>
      </c>
      <c r="C1388" s="33" t="s">
        <v>642</v>
      </c>
      <c r="D1388" s="33" t="s">
        <v>630</v>
      </c>
      <c r="E1388" s="33" t="s">
        <v>652</v>
      </c>
      <c r="F1388" s="34">
        <v>78</v>
      </c>
    </row>
    <row r="1389" spans="1:6" x14ac:dyDescent="0.25">
      <c r="A1389" s="34">
        <v>129</v>
      </c>
      <c r="B1389" s="33" t="s">
        <v>656</v>
      </c>
      <c r="C1389" s="33" t="s">
        <v>653</v>
      </c>
      <c r="D1389" s="33" t="s">
        <v>621</v>
      </c>
      <c r="E1389" s="33" t="s">
        <v>666</v>
      </c>
      <c r="F1389" s="34">
        <v>22</v>
      </c>
    </row>
    <row r="1390" spans="1:6" x14ac:dyDescent="0.25">
      <c r="A1390" s="34">
        <v>129</v>
      </c>
      <c r="B1390" s="33" t="s">
        <v>656</v>
      </c>
      <c r="C1390" s="33" t="s">
        <v>653</v>
      </c>
      <c r="D1390" s="33" t="s">
        <v>621</v>
      </c>
      <c r="E1390" s="33" t="s">
        <v>667</v>
      </c>
      <c r="F1390" s="34">
        <v>10</v>
      </c>
    </row>
    <row r="1391" spans="1:6" x14ac:dyDescent="0.25">
      <c r="A1391" s="34">
        <v>129</v>
      </c>
      <c r="B1391" s="33" t="s">
        <v>656</v>
      </c>
      <c r="C1391" s="33" t="s">
        <v>653</v>
      </c>
      <c r="D1391" s="33" t="s">
        <v>653</v>
      </c>
      <c r="E1391" s="33" t="s">
        <v>668</v>
      </c>
      <c r="F1391" s="34">
        <v>27</v>
      </c>
    </row>
    <row r="1392" spans="1:6" x14ac:dyDescent="0.25">
      <c r="A1392" s="34">
        <v>129</v>
      </c>
      <c r="B1392" s="33" t="s">
        <v>656</v>
      </c>
      <c r="C1392" s="33" t="s">
        <v>653</v>
      </c>
      <c r="D1392" s="33" t="s">
        <v>653</v>
      </c>
      <c r="E1392" s="33" t="s">
        <v>669</v>
      </c>
      <c r="F1392" s="34">
        <v>100</v>
      </c>
    </row>
    <row r="1393" spans="1:6" x14ac:dyDescent="0.25">
      <c r="A1393" s="34">
        <v>129</v>
      </c>
      <c r="B1393" s="33" t="s">
        <v>656</v>
      </c>
      <c r="C1393" s="33" t="s">
        <v>653</v>
      </c>
      <c r="D1393" s="33" t="s">
        <v>653</v>
      </c>
      <c r="E1393" s="33" t="s">
        <v>654</v>
      </c>
      <c r="F1393" s="34">
        <v>92</v>
      </c>
    </row>
    <row r="1394" spans="1:6" x14ac:dyDescent="0.25">
      <c r="A1394" s="34">
        <v>130</v>
      </c>
      <c r="B1394" s="33" t="s">
        <v>656</v>
      </c>
      <c r="C1394" s="33" t="s">
        <v>620</v>
      </c>
      <c r="D1394" s="33" t="s">
        <v>621</v>
      </c>
      <c r="E1394" s="33" t="s">
        <v>657</v>
      </c>
      <c r="F1394" s="34">
        <v>12.5</v>
      </c>
    </row>
    <row r="1395" spans="1:6" x14ac:dyDescent="0.25">
      <c r="A1395" s="34">
        <v>130</v>
      </c>
      <c r="B1395" s="33" t="s">
        <v>656</v>
      </c>
      <c r="C1395" s="33" t="s">
        <v>620</v>
      </c>
      <c r="D1395" s="33" t="s">
        <v>621</v>
      </c>
      <c r="E1395" s="33" t="s">
        <v>658</v>
      </c>
      <c r="F1395" s="34">
        <v>12.5</v>
      </c>
    </row>
    <row r="1396" spans="1:6" x14ac:dyDescent="0.25">
      <c r="A1396" s="34">
        <v>130</v>
      </c>
      <c r="B1396" s="33" t="s">
        <v>656</v>
      </c>
      <c r="C1396" s="33" t="s">
        <v>620</v>
      </c>
      <c r="D1396" s="33" t="s">
        <v>621</v>
      </c>
      <c r="E1396" s="33" t="s">
        <v>629</v>
      </c>
      <c r="F1396" s="34">
        <v>41</v>
      </c>
    </row>
    <row r="1397" spans="1:6" x14ac:dyDescent="0.25">
      <c r="A1397" s="34">
        <v>130</v>
      </c>
      <c r="B1397" s="33" t="s">
        <v>656</v>
      </c>
      <c r="C1397" s="33" t="s">
        <v>620</v>
      </c>
      <c r="D1397" s="33" t="s">
        <v>630</v>
      </c>
      <c r="E1397" s="33" t="s">
        <v>631</v>
      </c>
      <c r="F1397" s="34">
        <v>78</v>
      </c>
    </row>
    <row r="1398" spans="1:6" x14ac:dyDescent="0.25">
      <c r="A1398" s="34">
        <v>130</v>
      </c>
      <c r="B1398" s="33" t="s">
        <v>656</v>
      </c>
      <c r="C1398" s="33" t="s">
        <v>620</v>
      </c>
      <c r="D1398" s="33" t="s">
        <v>630</v>
      </c>
      <c r="E1398" s="33" t="s">
        <v>632</v>
      </c>
      <c r="F1398" s="33" t="s">
        <v>462</v>
      </c>
    </row>
    <row r="1399" spans="1:6" x14ac:dyDescent="0.25">
      <c r="A1399" s="34">
        <v>130</v>
      </c>
      <c r="B1399" s="33" t="s">
        <v>656</v>
      </c>
      <c r="C1399" s="33" t="s">
        <v>620</v>
      </c>
      <c r="D1399" s="33" t="s">
        <v>630</v>
      </c>
      <c r="E1399" s="33" t="s">
        <v>633</v>
      </c>
      <c r="F1399" s="34">
        <v>78</v>
      </c>
    </row>
    <row r="1400" spans="1:6" x14ac:dyDescent="0.25">
      <c r="A1400" s="34">
        <v>130</v>
      </c>
      <c r="B1400" s="33" t="s">
        <v>656</v>
      </c>
      <c r="C1400" s="33" t="s">
        <v>634</v>
      </c>
      <c r="D1400" s="33" t="s">
        <v>621</v>
      </c>
      <c r="E1400" s="33" t="s">
        <v>659</v>
      </c>
      <c r="F1400" s="34">
        <v>9</v>
      </c>
    </row>
    <row r="1401" spans="1:6" x14ac:dyDescent="0.25">
      <c r="A1401" s="34">
        <v>130</v>
      </c>
      <c r="B1401" s="33" t="s">
        <v>656</v>
      </c>
      <c r="C1401" s="33" t="s">
        <v>634</v>
      </c>
      <c r="D1401" s="33" t="s">
        <v>621</v>
      </c>
      <c r="E1401" s="33" t="s">
        <v>660</v>
      </c>
      <c r="F1401" s="34">
        <v>10</v>
      </c>
    </row>
    <row r="1402" spans="1:6" x14ac:dyDescent="0.25">
      <c r="A1402" s="34">
        <v>130</v>
      </c>
      <c r="B1402" s="33" t="s">
        <v>656</v>
      </c>
      <c r="C1402" s="33" t="s">
        <v>634</v>
      </c>
      <c r="D1402" s="33" t="s">
        <v>621</v>
      </c>
      <c r="E1402" s="33" t="s">
        <v>638</v>
      </c>
      <c r="F1402" s="34">
        <v>47.5</v>
      </c>
    </row>
    <row r="1403" spans="1:6" x14ac:dyDescent="0.25">
      <c r="A1403" s="34">
        <v>130</v>
      </c>
      <c r="B1403" s="33" t="s">
        <v>656</v>
      </c>
      <c r="C1403" s="33" t="s">
        <v>634</v>
      </c>
      <c r="D1403" s="33" t="s">
        <v>630</v>
      </c>
      <c r="E1403" s="33" t="s">
        <v>639</v>
      </c>
      <c r="F1403" s="34">
        <v>68</v>
      </c>
    </row>
    <row r="1404" spans="1:6" x14ac:dyDescent="0.25">
      <c r="A1404" s="34">
        <v>130</v>
      </c>
      <c r="B1404" s="33" t="s">
        <v>656</v>
      </c>
      <c r="C1404" s="33" t="s">
        <v>634</v>
      </c>
      <c r="D1404" s="33" t="s">
        <v>630</v>
      </c>
      <c r="E1404" s="33" t="s">
        <v>640</v>
      </c>
      <c r="F1404" s="34">
        <v>72</v>
      </c>
    </row>
    <row r="1405" spans="1:6" x14ac:dyDescent="0.25">
      <c r="A1405" s="34">
        <v>130</v>
      </c>
      <c r="B1405" s="33" t="s">
        <v>656</v>
      </c>
      <c r="C1405" s="33" t="s">
        <v>634</v>
      </c>
      <c r="D1405" s="33" t="s">
        <v>630</v>
      </c>
      <c r="E1405" s="33" t="s">
        <v>661</v>
      </c>
      <c r="F1405" s="34">
        <v>72</v>
      </c>
    </row>
    <row r="1406" spans="1:6" x14ac:dyDescent="0.25">
      <c r="A1406" s="34">
        <v>130</v>
      </c>
      <c r="B1406" s="33" t="s">
        <v>656</v>
      </c>
      <c r="C1406" s="33" t="s">
        <v>642</v>
      </c>
      <c r="D1406" s="33" t="s">
        <v>621</v>
      </c>
      <c r="E1406" s="33" t="s">
        <v>662</v>
      </c>
      <c r="F1406" s="34">
        <v>10</v>
      </c>
    </row>
    <row r="1407" spans="1:6" x14ac:dyDescent="0.25">
      <c r="A1407" s="34">
        <v>130</v>
      </c>
      <c r="B1407" s="33" t="s">
        <v>656</v>
      </c>
      <c r="C1407" s="33" t="s">
        <v>642</v>
      </c>
      <c r="D1407" s="33" t="s">
        <v>621</v>
      </c>
      <c r="E1407" s="33" t="s">
        <v>663</v>
      </c>
      <c r="F1407" s="34">
        <v>10</v>
      </c>
    </row>
    <row r="1408" spans="1:6" x14ac:dyDescent="0.25">
      <c r="A1408" s="34">
        <v>130</v>
      </c>
      <c r="B1408" s="33" t="s">
        <v>656</v>
      </c>
      <c r="C1408" s="33" t="s">
        <v>642</v>
      </c>
      <c r="D1408" s="33" t="s">
        <v>621</v>
      </c>
      <c r="E1408" s="33" t="s">
        <v>664</v>
      </c>
      <c r="F1408" s="34">
        <v>11</v>
      </c>
    </row>
    <row r="1409" spans="1:6" x14ac:dyDescent="0.25">
      <c r="A1409" s="34">
        <v>130</v>
      </c>
      <c r="B1409" s="33" t="s">
        <v>656</v>
      </c>
      <c r="C1409" s="33" t="s">
        <v>642</v>
      </c>
      <c r="D1409" s="33" t="s">
        <v>621</v>
      </c>
      <c r="E1409" s="33" t="s">
        <v>665</v>
      </c>
      <c r="F1409" s="34">
        <v>37.5</v>
      </c>
    </row>
    <row r="1410" spans="1:6" x14ac:dyDescent="0.25">
      <c r="A1410" s="34">
        <v>130</v>
      </c>
      <c r="B1410" s="33" t="s">
        <v>656</v>
      </c>
      <c r="C1410" s="33" t="s">
        <v>642</v>
      </c>
      <c r="D1410" s="33" t="s">
        <v>630</v>
      </c>
      <c r="E1410" s="33" t="s">
        <v>650</v>
      </c>
      <c r="F1410" s="34">
        <v>72</v>
      </c>
    </row>
    <row r="1411" spans="1:6" x14ac:dyDescent="0.25">
      <c r="A1411" s="34">
        <v>130</v>
      </c>
      <c r="B1411" s="33" t="s">
        <v>656</v>
      </c>
      <c r="C1411" s="33" t="s">
        <v>642</v>
      </c>
      <c r="D1411" s="33" t="s">
        <v>630</v>
      </c>
      <c r="E1411" s="33" t="s">
        <v>651</v>
      </c>
      <c r="F1411" s="34">
        <v>72</v>
      </c>
    </row>
    <row r="1412" spans="1:6" x14ac:dyDescent="0.25">
      <c r="A1412" s="34">
        <v>130</v>
      </c>
      <c r="B1412" s="33" t="s">
        <v>656</v>
      </c>
      <c r="C1412" s="33" t="s">
        <v>642</v>
      </c>
      <c r="D1412" s="33" t="s">
        <v>630</v>
      </c>
      <c r="E1412" s="33" t="s">
        <v>652</v>
      </c>
      <c r="F1412" s="34">
        <v>72</v>
      </c>
    </row>
    <row r="1413" spans="1:6" x14ac:dyDescent="0.25">
      <c r="A1413" s="34">
        <v>130</v>
      </c>
      <c r="B1413" s="33" t="s">
        <v>656</v>
      </c>
      <c r="C1413" s="33" t="s">
        <v>653</v>
      </c>
      <c r="D1413" s="33" t="s">
        <v>621</v>
      </c>
      <c r="E1413" s="33" t="s">
        <v>666</v>
      </c>
      <c r="F1413" s="34">
        <v>16</v>
      </c>
    </row>
    <row r="1414" spans="1:6" x14ac:dyDescent="0.25">
      <c r="A1414" s="34">
        <v>130</v>
      </c>
      <c r="B1414" s="33" t="s">
        <v>656</v>
      </c>
      <c r="C1414" s="33" t="s">
        <v>653</v>
      </c>
      <c r="D1414" s="33" t="s">
        <v>621</v>
      </c>
      <c r="E1414" s="33" t="s">
        <v>667</v>
      </c>
      <c r="F1414" s="34">
        <v>6.5</v>
      </c>
    </row>
    <row r="1415" spans="1:6" x14ac:dyDescent="0.25">
      <c r="A1415" s="34">
        <v>130</v>
      </c>
      <c r="B1415" s="33" t="s">
        <v>656</v>
      </c>
      <c r="C1415" s="33" t="s">
        <v>653</v>
      </c>
      <c r="D1415" s="33" t="s">
        <v>653</v>
      </c>
      <c r="E1415" s="33" t="s">
        <v>668</v>
      </c>
      <c r="F1415" s="34">
        <v>0</v>
      </c>
    </row>
    <row r="1416" spans="1:6" x14ac:dyDescent="0.25">
      <c r="A1416" s="34">
        <v>130</v>
      </c>
      <c r="B1416" s="33" t="s">
        <v>656</v>
      </c>
      <c r="C1416" s="33" t="s">
        <v>653</v>
      </c>
      <c r="D1416" s="33" t="s">
        <v>653</v>
      </c>
      <c r="E1416" s="33" t="s">
        <v>669</v>
      </c>
      <c r="F1416" s="34">
        <v>0</v>
      </c>
    </row>
    <row r="1417" spans="1:6" x14ac:dyDescent="0.25">
      <c r="A1417" s="34">
        <v>130</v>
      </c>
      <c r="B1417" s="33" t="s">
        <v>656</v>
      </c>
      <c r="C1417" s="33" t="s">
        <v>653</v>
      </c>
      <c r="D1417" s="33" t="s">
        <v>653</v>
      </c>
      <c r="E1417" s="33" t="s">
        <v>654</v>
      </c>
      <c r="F1417" s="34">
        <v>78</v>
      </c>
    </row>
    <row r="1418" spans="1:6" x14ac:dyDescent="0.25">
      <c r="A1418" s="34">
        <v>131</v>
      </c>
      <c r="B1418" s="33" t="s">
        <v>656</v>
      </c>
      <c r="C1418" s="33" t="s">
        <v>620</v>
      </c>
      <c r="D1418" s="33" t="s">
        <v>621</v>
      </c>
      <c r="E1418" s="33" t="s">
        <v>657</v>
      </c>
      <c r="F1418" s="34">
        <v>14.5</v>
      </c>
    </row>
    <row r="1419" spans="1:6" x14ac:dyDescent="0.25">
      <c r="A1419" s="34">
        <v>131</v>
      </c>
      <c r="B1419" s="33" t="s">
        <v>656</v>
      </c>
      <c r="C1419" s="33" t="s">
        <v>620</v>
      </c>
      <c r="D1419" s="33" t="s">
        <v>621</v>
      </c>
      <c r="E1419" s="33" t="s">
        <v>658</v>
      </c>
      <c r="F1419" s="34">
        <v>14.5</v>
      </c>
    </row>
    <row r="1420" spans="1:6" x14ac:dyDescent="0.25">
      <c r="A1420" s="34">
        <v>131</v>
      </c>
      <c r="B1420" s="33" t="s">
        <v>656</v>
      </c>
      <c r="C1420" s="33" t="s">
        <v>620</v>
      </c>
      <c r="D1420" s="33" t="s">
        <v>621</v>
      </c>
      <c r="E1420" s="33" t="s">
        <v>629</v>
      </c>
      <c r="F1420" s="34">
        <v>47.5</v>
      </c>
    </row>
    <row r="1421" spans="1:6" x14ac:dyDescent="0.25">
      <c r="A1421" s="34">
        <v>131</v>
      </c>
      <c r="B1421" s="33" t="s">
        <v>656</v>
      </c>
      <c r="C1421" s="33" t="s">
        <v>620</v>
      </c>
      <c r="D1421" s="33" t="s">
        <v>630</v>
      </c>
      <c r="E1421" s="33" t="s">
        <v>631</v>
      </c>
      <c r="F1421" s="34">
        <v>92</v>
      </c>
    </row>
    <row r="1422" spans="1:6" x14ac:dyDescent="0.25">
      <c r="A1422" s="34">
        <v>131</v>
      </c>
      <c r="B1422" s="33" t="s">
        <v>656</v>
      </c>
      <c r="C1422" s="33" t="s">
        <v>620</v>
      </c>
      <c r="D1422" s="33" t="s">
        <v>630</v>
      </c>
      <c r="E1422" s="33" t="s">
        <v>632</v>
      </c>
      <c r="F1422" s="33" t="s">
        <v>462</v>
      </c>
    </row>
    <row r="1423" spans="1:6" x14ac:dyDescent="0.25">
      <c r="A1423" s="34">
        <v>131</v>
      </c>
      <c r="B1423" s="33" t="s">
        <v>656</v>
      </c>
      <c r="C1423" s="33" t="s">
        <v>620</v>
      </c>
      <c r="D1423" s="33" t="s">
        <v>630</v>
      </c>
      <c r="E1423" s="33" t="s">
        <v>633</v>
      </c>
      <c r="F1423" s="34">
        <v>92</v>
      </c>
    </row>
    <row r="1424" spans="1:6" x14ac:dyDescent="0.25">
      <c r="A1424" s="34">
        <v>131</v>
      </c>
      <c r="B1424" s="33" t="s">
        <v>656</v>
      </c>
      <c r="C1424" s="33" t="s">
        <v>634</v>
      </c>
      <c r="D1424" s="33" t="s">
        <v>621</v>
      </c>
      <c r="E1424" s="33" t="s">
        <v>659</v>
      </c>
      <c r="F1424" s="34">
        <v>18</v>
      </c>
    </row>
    <row r="1425" spans="1:6" x14ac:dyDescent="0.25">
      <c r="A1425" s="34">
        <v>131</v>
      </c>
      <c r="B1425" s="33" t="s">
        <v>656</v>
      </c>
      <c r="C1425" s="33" t="s">
        <v>634</v>
      </c>
      <c r="D1425" s="33" t="s">
        <v>621</v>
      </c>
      <c r="E1425" s="33" t="s">
        <v>660</v>
      </c>
      <c r="F1425" s="34">
        <v>12</v>
      </c>
    </row>
    <row r="1426" spans="1:6" x14ac:dyDescent="0.25">
      <c r="A1426" s="34">
        <v>131</v>
      </c>
      <c r="B1426" s="33" t="s">
        <v>656</v>
      </c>
      <c r="C1426" s="33" t="s">
        <v>634</v>
      </c>
      <c r="D1426" s="33" t="s">
        <v>621</v>
      </c>
      <c r="E1426" s="33" t="s">
        <v>638</v>
      </c>
      <c r="F1426" s="34">
        <v>47.5</v>
      </c>
    </row>
    <row r="1427" spans="1:6" x14ac:dyDescent="0.25">
      <c r="A1427" s="34">
        <v>131</v>
      </c>
      <c r="B1427" s="33" t="s">
        <v>656</v>
      </c>
      <c r="C1427" s="33" t="s">
        <v>634</v>
      </c>
      <c r="D1427" s="33" t="s">
        <v>630</v>
      </c>
      <c r="E1427" s="33" t="s">
        <v>639</v>
      </c>
      <c r="F1427" s="34">
        <v>92</v>
      </c>
    </row>
    <row r="1428" spans="1:6" x14ac:dyDescent="0.25">
      <c r="A1428" s="34">
        <v>131</v>
      </c>
      <c r="B1428" s="33" t="s">
        <v>656</v>
      </c>
      <c r="C1428" s="33" t="s">
        <v>634</v>
      </c>
      <c r="D1428" s="33" t="s">
        <v>630</v>
      </c>
      <c r="E1428" s="33" t="s">
        <v>640</v>
      </c>
      <c r="F1428" s="34">
        <v>100</v>
      </c>
    </row>
    <row r="1429" spans="1:6" x14ac:dyDescent="0.25">
      <c r="A1429" s="34">
        <v>131</v>
      </c>
      <c r="B1429" s="33" t="s">
        <v>656</v>
      </c>
      <c r="C1429" s="33" t="s">
        <v>634</v>
      </c>
      <c r="D1429" s="33" t="s">
        <v>630</v>
      </c>
      <c r="E1429" s="33" t="s">
        <v>661</v>
      </c>
      <c r="F1429" s="34">
        <v>100</v>
      </c>
    </row>
    <row r="1430" spans="1:6" x14ac:dyDescent="0.25">
      <c r="A1430" s="34">
        <v>131</v>
      </c>
      <c r="B1430" s="33" t="s">
        <v>656</v>
      </c>
      <c r="C1430" s="33" t="s">
        <v>642</v>
      </c>
      <c r="D1430" s="33" t="s">
        <v>621</v>
      </c>
      <c r="E1430" s="33" t="s">
        <v>662</v>
      </c>
      <c r="F1430" s="34">
        <v>10</v>
      </c>
    </row>
    <row r="1431" spans="1:6" x14ac:dyDescent="0.25">
      <c r="A1431" s="34">
        <v>131</v>
      </c>
      <c r="B1431" s="33" t="s">
        <v>656</v>
      </c>
      <c r="C1431" s="33" t="s">
        <v>642</v>
      </c>
      <c r="D1431" s="33" t="s">
        <v>621</v>
      </c>
      <c r="E1431" s="33" t="s">
        <v>663</v>
      </c>
      <c r="F1431" s="34">
        <v>10</v>
      </c>
    </row>
    <row r="1432" spans="1:6" x14ac:dyDescent="0.25">
      <c r="A1432" s="34">
        <v>131</v>
      </c>
      <c r="B1432" s="33" t="s">
        <v>656</v>
      </c>
      <c r="C1432" s="33" t="s">
        <v>642</v>
      </c>
      <c r="D1432" s="33" t="s">
        <v>621</v>
      </c>
      <c r="E1432" s="33" t="s">
        <v>664</v>
      </c>
      <c r="F1432" s="34">
        <v>11</v>
      </c>
    </row>
    <row r="1433" spans="1:6" x14ac:dyDescent="0.25">
      <c r="A1433" s="34">
        <v>131</v>
      </c>
      <c r="B1433" s="33" t="s">
        <v>656</v>
      </c>
      <c r="C1433" s="33" t="s">
        <v>642</v>
      </c>
      <c r="D1433" s="33" t="s">
        <v>621</v>
      </c>
      <c r="E1433" s="33" t="s">
        <v>665</v>
      </c>
      <c r="F1433" s="34">
        <v>46</v>
      </c>
    </row>
    <row r="1434" spans="1:6" x14ac:dyDescent="0.25">
      <c r="A1434" s="34">
        <v>131</v>
      </c>
      <c r="B1434" s="33" t="s">
        <v>656</v>
      </c>
      <c r="C1434" s="33" t="s">
        <v>642</v>
      </c>
      <c r="D1434" s="33" t="s">
        <v>630</v>
      </c>
      <c r="E1434" s="33" t="s">
        <v>650</v>
      </c>
      <c r="F1434" s="34">
        <v>95</v>
      </c>
    </row>
    <row r="1435" spans="1:6" x14ac:dyDescent="0.25">
      <c r="A1435" s="34">
        <v>131</v>
      </c>
      <c r="B1435" s="33" t="s">
        <v>656</v>
      </c>
      <c r="C1435" s="33" t="s">
        <v>642</v>
      </c>
      <c r="D1435" s="33" t="s">
        <v>630</v>
      </c>
      <c r="E1435" s="33" t="s">
        <v>651</v>
      </c>
      <c r="F1435" s="33" t="s">
        <v>462</v>
      </c>
    </row>
    <row r="1436" spans="1:6" x14ac:dyDescent="0.25">
      <c r="A1436" s="34">
        <v>131</v>
      </c>
      <c r="B1436" s="33" t="s">
        <v>656</v>
      </c>
      <c r="C1436" s="33" t="s">
        <v>642</v>
      </c>
      <c r="D1436" s="33" t="s">
        <v>630</v>
      </c>
      <c r="E1436" s="33" t="s">
        <v>652</v>
      </c>
      <c r="F1436" s="34">
        <v>95</v>
      </c>
    </row>
    <row r="1437" spans="1:6" x14ac:dyDescent="0.25">
      <c r="A1437" s="34">
        <v>131</v>
      </c>
      <c r="B1437" s="33" t="s">
        <v>656</v>
      </c>
      <c r="C1437" s="33" t="s">
        <v>653</v>
      </c>
      <c r="D1437" s="33" t="s">
        <v>621</v>
      </c>
      <c r="E1437" s="33" t="s">
        <v>666</v>
      </c>
      <c r="F1437" s="34">
        <v>22</v>
      </c>
    </row>
    <row r="1438" spans="1:6" x14ac:dyDescent="0.25">
      <c r="A1438" s="34">
        <v>131</v>
      </c>
      <c r="B1438" s="33" t="s">
        <v>656</v>
      </c>
      <c r="C1438" s="33" t="s">
        <v>653</v>
      </c>
      <c r="D1438" s="33" t="s">
        <v>621</v>
      </c>
      <c r="E1438" s="33" t="s">
        <v>667</v>
      </c>
      <c r="F1438" s="34">
        <v>9.5</v>
      </c>
    </row>
    <row r="1439" spans="1:6" x14ac:dyDescent="0.25">
      <c r="A1439" s="34">
        <v>131</v>
      </c>
      <c r="B1439" s="33" t="s">
        <v>656</v>
      </c>
      <c r="C1439" s="33" t="s">
        <v>653</v>
      </c>
      <c r="D1439" s="33" t="s">
        <v>653</v>
      </c>
      <c r="E1439" s="33" t="s">
        <v>668</v>
      </c>
      <c r="F1439" s="34">
        <v>28</v>
      </c>
    </row>
    <row r="1440" spans="1:6" x14ac:dyDescent="0.25">
      <c r="A1440" s="34">
        <v>131</v>
      </c>
      <c r="B1440" s="33" t="s">
        <v>656</v>
      </c>
      <c r="C1440" s="33" t="s">
        <v>653</v>
      </c>
      <c r="D1440" s="33" t="s">
        <v>653</v>
      </c>
      <c r="E1440" s="33" t="s">
        <v>669</v>
      </c>
      <c r="F1440" s="34">
        <v>95</v>
      </c>
    </row>
    <row r="1441" spans="1:6" x14ac:dyDescent="0.25">
      <c r="A1441" s="34">
        <v>131</v>
      </c>
      <c r="B1441" s="33" t="s">
        <v>656</v>
      </c>
      <c r="C1441" s="33" t="s">
        <v>653</v>
      </c>
      <c r="D1441" s="33" t="s">
        <v>653</v>
      </c>
      <c r="E1441" s="33" t="s">
        <v>654</v>
      </c>
      <c r="F1441" s="34">
        <v>100</v>
      </c>
    </row>
    <row r="1442" spans="1:6" x14ac:dyDescent="0.25">
      <c r="A1442" s="34">
        <v>132</v>
      </c>
      <c r="B1442" s="33" t="s">
        <v>656</v>
      </c>
      <c r="C1442" s="33" t="s">
        <v>620</v>
      </c>
      <c r="D1442" s="33" t="s">
        <v>621</v>
      </c>
      <c r="E1442" s="33" t="s">
        <v>657</v>
      </c>
      <c r="F1442" s="34">
        <v>14</v>
      </c>
    </row>
    <row r="1443" spans="1:6" x14ac:dyDescent="0.25">
      <c r="A1443" s="34">
        <v>132</v>
      </c>
      <c r="B1443" s="33" t="s">
        <v>656</v>
      </c>
      <c r="C1443" s="33" t="s">
        <v>620</v>
      </c>
      <c r="D1443" s="33" t="s">
        <v>621</v>
      </c>
      <c r="E1443" s="33" t="s">
        <v>658</v>
      </c>
      <c r="F1443" s="34">
        <v>14</v>
      </c>
    </row>
    <row r="1444" spans="1:6" x14ac:dyDescent="0.25">
      <c r="A1444" s="34">
        <v>132</v>
      </c>
      <c r="B1444" s="33" t="s">
        <v>656</v>
      </c>
      <c r="C1444" s="33" t="s">
        <v>620</v>
      </c>
      <c r="D1444" s="33" t="s">
        <v>621</v>
      </c>
      <c r="E1444" s="33" t="s">
        <v>629</v>
      </c>
      <c r="F1444" s="34">
        <v>46</v>
      </c>
    </row>
    <row r="1445" spans="1:6" x14ac:dyDescent="0.25">
      <c r="A1445" s="34">
        <v>132</v>
      </c>
      <c r="B1445" s="33" t="s">
        <v>656</v>
      </c>
      <c r="C1445" s="33" t="s">
        <v>620</v>
      </c>
      <c r="D1445" s="33" t="s">
        <v>630</v>
      </c>
      <c r="E1445" s="33" t="s">
        <v>631</v>
      </c>
      <c r="F1445" s="34">
        <v>78</v>
      </c>
    </row>
    <row r="1446" spans="1:6" x14ac:dyDescent="0.25">
      <c r="A1446" s="34">
        <v>132</v>
      </c>
      <c r="B1446" s="33" t="s">
        <v>656</v>
      </c>
      <c r="C1446" s="33" t="s">
        <v>620</v>
      </c>
      <c r="D1446" s="33" t="s">
        <v>630</v>
      </c>
      <c r="E1446" s="33" t="s">
        <v>632</v>
      </c>
      <c r="F1446" s="33" t="s">
        <v>462</v>
      </c>
    </row>
    <row r="1447" spans="1:6" x14ac:dyDescent="0.25">
      <c r="A1447" s="34">
        <v>132</v>
      </c>
      <c r="B1447" s="33" t="s">
        <v>656</v>
      </c>
      <c r="C1447" s="33" t="s">
        <v>620</v>
      </c>
      <c r="D1447" s="33" t="s">
        <v>630</v>
      </c>
      <c r="E1447" s="33" t="s">
        <v>633</v>
      </c>
      <c r="F1447" s="34">
        <v>78</v>
      </c>
    </row>
    <row r="1448" spans="1:6" x14ac:dyDescent="0.25">
      <c r="A1448" s="34">
        <v>132</v>
      </c>
      <c r="B1448" s="33" t="s">
        <v>656</v>
      </c>
      <c r="C1448" s="33" t="s">
        <v>634</v>
      </c>
      <c r="D1448" s="33" t="s">
        <v>621</v>
      </c>
      <c r="E1448" s="33" t="s">
        <v>659</v>
      </c>
      <c r="F1448" s="34">
        <v>0</v>
      </c>
    </row>
    <row r="1449" spans="1:6" x14ac:dyDescent="0.25">
      <c r="A1449" s="34">
        <v>132</v>
      </c>
      <c r="B1449" s="33" t="s">
        <v>656</v>
      </c>
      <c r="C1449" s="33" t="s">
        <v>634</v>
      </c>
      <c r="D1449" s="33" t="s">
        <v>621</v>
      </c>
      <c r="E1449" s="33" t="s">
        <v>660</v>
      </c>
      <c r="F1449" s="34">
        <v>9</v>
      </c>
    </row>
    <row r="1450" spans="1:6" x14ac:dyDescent="0.25">
      <c r="A1450" s="34">
        <v>132</v>
      </c>
      <c r="B1450" s="33" t="s">
        <v>656</v>
      </c>
      <c r="C1450" s="33" t="s">
        <v>634</v>
      </c>
      <c r="D1450" s="33" t="s">
        <v>621</v>
      </c>
      <c r="E1450" s="33" t="s">
        <v>638</v>
      </c>
      <c r="F1450" s="34">
        <v>0</v>
      </c>
    </row>
    <row r="1451" spans="1:6" x14ac:dyDescent="0.25">
      <c r="A1451" s="34">
        <v>132</v>
      </c>
      <c r="B1451" s="33" t="s">
        <v>656</v>
      </c>
      <c r="C1451" s="33" t="s">
        <v>634</v>
      </c>
      <c r="D1451" s="33" t="s">
        <v>630</v>
      </c>
      <c r="E1451" s="33" t="s">
        <v>639</v>
      </c>
      <c r="F1451" s="34">
        <v>78</v>
      </c>
    </row>
    <row r="1452" spans="1:6" x14ac:dyDescent="0.25">
      <c r="A1452" s="34">
        <v>132</v>
      </c>
      <c r="B1452" s="33" t="s">
        <v>656</v>
      </c>
      <c r="C1452" s="33" t="s">
        <v>634</v>
      </c>
      <c r="D1452" s="33" t="s">
        <v>630</v>
      </c>
      <c r="E1452" s="33" t="s">
        <v>640</v>
      </c>
      <c r="F1452" s="33" t="s">
        <v>462</v>
      </c>
    </row>
    <row r="1453" spans="1:6" x14ac:dyDescent="0.25">
      <c r="A1453" s="34">
        <v>132</v>
      </c>
      <c r="B1453" s="33" t="s">
        <v>656</v>
      </c>
      <c r="C1453" s="33" t="s">
        <v>634</v>
      </c>
      <c r="D1453" s="33" t="s">
        <v>630</v>
      </c>
      <c r="E1453" s="33" t="s">
        <v>661</v>
      </c>
      <c r="F1453" s="34">
        <v>78</v>
      </c>
    </row>
    <row r="1454" spans="1:6" x14ac:dyDescent="0.25">
      <c r="A1454" s="34">
        <v>132</v>
      </c>
      <c r="B1454" s="33" t="s">
        <v>656</v>
      </c>
      <c r="C1454" s="33" t="s">
        <v>642</v>
      </c>
      <c r="D1454" s="33" t="s">
        <v>621</v>
      </c>
      <c r="E1454" s="33" t="s">
        <v>662</v>
      </c>
      <c r="F1454" s="34">
        <v>10</v>
      </c>
    </row>
    <row r="1455" spans="1:6" x14ac:dyDescent="0.25">
      <c r="A1455" s="34">
        <v>132</v>
      </c>
      <c r="B1455" s="33" t="s">
        <v>656</v>
      </c>
      <c r="C1455" s="33" t="s">
        <v>642</v>
      </c>
      <c r="D1455" s="33" t="s">
        <v>621</v>
      </c>
      <c r="E1455" s="33" t="s">
        <v>663</v>
      </c>
      <c r="F1455" s="34">
        <v>10</v>
      </c>
    </row>
    <row r="1456" spans="1:6" x14ac:dyDescent="0.25">
      <c r="A1456" s="34">
        <v>132</v>
      </c>
      <c r="B1456" s="33" t="s">
        <v>656</v>
      </c>
      <c r="C1456" s="33" t="s">
        <v>642</v>
      </c>
      <c r="D1456" s="33" t="s">
        <v>621</v>
      </c>
      <c r="E1456" s="33" t="s">
        <v>664</v>
      </c>
      <c r="F1456" s="34">
        <v>11</v>
      </c>
    </row>
    <row r="1457" spans="1:6" x14ac:dyDescent="0.25">
      <c r="A1457" s="34">
        <v>132</v>
      </c>
      <c r="B1457" s="33" t="s">
        <v>656</v>
      </c>
      <c r="C1457" s="33" t="s">
        <v>642</v>
      </c>
      <c r="D1457" s="33" t="s">
        <v>621</v>
      </c>
      <c r="E1457" s="33" t="s">
        <v>665</v>
      </c>
      <c r="F1457" s="34">
        <v>42.5</v>
      </c>
    </row>
    <row r="1458" spans="1:6" x14ac:dyDescent="0.25">
      <c r="A1458" s="34">
        <v>132</v>
      </c>
      <c r="B1458" s="33" t="s">
        <v>656</v>
      </c>
      <c r="C1458" s="33" t="s">
        <v>642</v>
      </c>
      <c r="D1458" s="33" t="s">
        <v>630</v>
      </c>
      <c r="E1458" s="33" t="s">
        <v>650</v>
      </c>
      <c r="F1458" s="34">
        <v>75</v>
      </c>
    </row>
    <row r="1459" spans="1:6" x14ac:dyDescent="0.25">
      <c r="A1459" s="34">
        <v>132</v>
      </c>
      <c r="B1459" s="33" t="s">
        <v>656</v>
      </c>
      <c r="C1459" s="33" t="s">
        <v>642</v>
      </c>
      <c r="D1459" s="33" t="s">
        <v>630</v>
      </c>
      <c r="E1459" s="33" t="s">
        <v>651</v>
      </c>
      <c r="F1459" s="33" t="s">
        <v>462</v>
      </c>
    </row>
    <row r="1460" spans="1:6" x14ac:dyDescent="0.25">
      <c r="A1460" s="34">
        <v>132</v>
      </c>
      <c r="B1460" s="33" t="s">
        <v>656</v>
      </c>
      <c r="C1460" s="33" t="s">
        <v>642</v>
      </c>
      <c r="D1460" s="33" t="s">
        <v>630</v>
      </c>
      <c r="E1460" s="33" t="s">
        <v>652</v>
      </c>
      <c r="F1460" s="34">
        <v>75</v>
      </c>
    </row>
    <row r="1461" spans="1:6" x14ac:dyDescent="0.25">
      <c r="A1461" s="34">
        <v>132</v>
      </c>
      <c r="B1461" s="33" t="s">
        <v>656</v>
      </c>
      <c r="C1461" s="33" t="s">
        <v>653</v>
      </c>
      <c r="D1461" s="33" t="s">
        <v>621</v>
      </c>
      <c r="E1461" s="33" t="s">
        <v>666</v>
      </c>
      <c r="F1461" s="34">
        <v>21</v>
      </c>
    </row>
    <row r="1462" spans="1:6" x14ac:dyDescent="0.25">
      <c r="A1462" s="34">
        <v>132</v>
      </c>
      <c r="B1462" s="33" t="s">
        <v>656</v>
      </c>
      <c r="C1462" s="33" t="s">
        <v>653</v>
      </c>
      <c r="D1462" s="33" t="s">
        <v>621</v>
      </c>
      <c r="E1462" s="33" t="s">
        <v>667</v>
      </c>
      <c r="F1462" s="34">
        <v>0</v>
      </c>
    </row>
    <row r="1463" spans="1:6" x14ac:dyDescent="0.25">
      <c r="A1463" s="34">
        <v>132</v>
      </c>
      <c r="B1463" s="33" t="s">
        <v>656</v>
      </c>
      <c r="C1463" s="33" t="s">
        <v>653</v>
      </c>
      <c r="D1463" s="33" t="s">
        <v>653</v>
      </c>
      <c r="E1463" s="33" t="s">
        <v>668</v>
      </c>
      <c r="F1463" s="34">
        <v>0</v>
      </c>
    </row>
    <row r="1464" spans="1:6" x14ac:dyDescent="0.25">
      <c r="A1464" s="34">
        <v>132</v>
      </c>
      <c r="B1464" s="33" t="s">
        <v>656</v>
      </c>
      <c r="C1464" s="33" t="s">
        <v>653</v>
      </c>
      <c r="D1464" s="33" t="s">
        <v>653</v>
      </c>
      <c r="E1464" s="33" t="s">
        <v>669</v>
      </c>
      <c r="F1464" s="34">
        <v>95</v>
      </c>
    </row>
    <row r="1465" spans="1:6" x14ac:dyDescent="0.25">
      <c r="A1465" s="34">
        <v>132</v>
      </c>
      <c r="B1465" s="33" t="s">
        <v>656</v>
      </c>
      <c r="C1465" s="33" t="s">
        <v>653</v>
      </c>
      <c r="D1465" s="33" t="s">
        <v>653</v>
      </c>
      <c r="E1465" s="33" t="s">
        <v>654</v>
      </c>
      <c r="F1465" s="34">
        <v>65</v>
      </c>
    </row>
    <row r="1466" spans="1:6" x14ac:dyDescent="0.25">
      <c r="A1466" s="34">
        <v>133</v>
      </c>
      <c r="B1466" s="33" t="s">
        <v>656</v>
      </c>
      <c r="C1466" s="33" t="s">
        <v>620</v>
      </c>
      <c r="D1466" s="33" t="s">
        <v>621</v>
      </c>
      <c r="E1466" s="63" t="s">
        <v>657</v>
      </c>
      <c r="F1466" s="64"/>
    </row>
    <row r="1467" spans="1:6" x14ac:dyDescent="0.25">
      <c r="A1467" s="34">
        <v>133</v>
      </c>
      <c r="B1467" s="33" t="s">
        <v>656</v>
      </c>
      <c r="C1467" s="33" t="s">
        <v>620</v>
      </c>
      <c r="D1467" s="33" t="s">
        <v>621</v>
      </c>
      <c r="E1467" s="63" t="s">
        <v>658</v>
      </c>
      <c r="F1467" s="64"/>
    </row>
    <row r="1468" spans="1:6" x14ac:dyDescent="0.25">
      <c r="A1468" s="34">
        <v>133</v>
      </c>
      <c r="B1468" s="33" t="s">
        <v>656</v>
      </c>
      <c r="C1468" s="33" t="s">
        <v>620</v>
      </c>
      <c r="D1468" s="33" t="s">
        <v>621</v>
      </c>
      <c r="E1468" s="33" t="s">
        <v>629</v>
      </c>
      <c r="F1468" s="34">
        <v>44</v>
      </c>
    </row>
    <row r="1469" spans="1:6" x14ac:dyDescent="0.25">
      <c r="A1469" s="34">
        <v>133</v>
      </c>
      <c r="B1469" s="33" t="s">
        <v>656</v>
      </c>
      <c r="C1469" s="33" t="s">
        <v>620</v>
      </c>
      <c r="D1469" s="33" t="s">
        <v>630</v>
      </c>
      <c r="E1469" s="33" t="s">
        <v>631</v>
      </c>
      <c r="F1469" s="34">
        <v>88</v>
      </c>
    </row>
    <row r="1470" spans="1:6" x14ac:dyDescent="0.25">
      <c r="A1470" s="34">
        <v>133</v>
      </c>
      <c r="B1470" s="33" t="s">
        <v>656</v>
      </c>
      <c r="C1470" s="33" t="s">
        <v>620</v>
      </c>
      <c r="D1470" s="33" t="s">
        <v>630</v>
      </c>
      <c r="E1470" s="33" t="s">
        <v>632</v>
      </c>
      <c r="F1470" s="33" t="s">
        <v>462</v>
      </c>
    </row>
    <row r="1471" spans="1:6" x14ac:dyDescent="0.25">
      <c r="A1471" s="34">
        <v>133</v>
      </c>
      <c r="B1471" s="33" t="s">
        <v>656</v>
      </c>
      <c r="C1471" s="33" t="s">
        <v>620</v>
      </c>
      <c r="D1471" s="33" t="s">
        <v>630</v>
      </c>
      <c r="E1471" s="33" t="s">
        <v>633</v>
      </c>
      <c r="F1471" s="34">
        <v>88</v>
      </c>
    </row>
    <row r="1472" spans="1:6" x14ac:dyDescent="0.25">
      <c r="A1472" s="34">
        <v>133</v>
      </c>
      <c r="B1472" s="33" t="s">
        <v>656</v>
      </c>
      <c r="C1472" s="33" t="s">
        <v>634</v>
      </c>
      <c r="D1472" s="33" t="s">
        <v>621</v>
      </c>
      <c r="E1472" s="33" t="s">
        <v>659</v>
      </c>
      <c r="F1472" s="34">
        <v>18</v>
      </c>
    </row>
    <row r="1473" spans="1:6" x14ac:dyDescent="0.25">
      <c r="A1473" s="34">
        <v>133</v>
      </c>
      <c r="B1473" s="33" t="s">
        <v>656</v>
      </c>
      <c r="C1473" s="33" t="s">
        <v>634</v>
      </c>
      <c r="D1473" s="33" t="s">
        <v>621</v>
      </c>
      <c r="E1473" s="33" t="s">
        <v>660</v>
      </c>
      <c r="F1473" s="34">
        <v>10</v>
      </c>
    </row>
    <row r="1474" spans="1:6" x14ac:dyDescent="0.25">
      <c r="A1474" s="34">
        <v>133</v>
      </c>
      <c r="B1474" s="33" t="s">
        <v>656</v>
      </c>
      <c r="C1474" s="33" t="s">
        <v>634</v>
      </c>
      <c r="D1474" s="33" t="s">
        <v>621</v>
      </c>
      <c r="E1474" s="33" t="s">
        <v>638</v>
      </c>
      <c r="F1474" s="34">
        <v>47.5</v>
      </c>
    </row>
    <row r="1475" spans="1:6" x14ac:dyDescent="0.25">
      <c r="A1475" s="34">
        <v>133</v>
      </c>
      <c r="B1475" s="33" t="s">
        <v>656</v>
      </c>
      <c r="C1475" s="33" t="s">
        <v>634</v>
      </c>
      <c r="D1475" s="33" t="s">
        <v>630</v>
      </c>
      <c r="E1475" s="33" t="s">
        <v>639</v>
      </c>
      <c r="F1475" s="34">
        <v>85</v>
      </c>
    </row>
    <row r="1476" spans="1:6" x14ac:dyDescent="0.25">
      <c r="A1476" s="34">
        <v>133</v>
      </c>
      <c r="B1476" s="33" t="s">
        <v>656</v>
      </c>
      <c r="C1476" s="33" t="s">
        <v>634</v>
      </c>
      <c r="D1476" s="33" t="s">
        <v>630</v>
      </c>
      <c r="E1476" s="33" t="s">
        <v>640</v>
      </c>
      <c r="F1476" s="33" t="s">
        <v>462</v>
      </c>
    </row>
    <row r="1477" spans="1:6" x14ac:dyDescent="0.25">
      <c r="A1477" s="34">
        <v>133</v>
      </c>
      <c r="B1477" s="33" t="s">
        <v>656</v>
      </c>
      <c r="C1477" s="33" t="s">
        <v>634</v>
      </c>
      <c r="D1477" s="33" t="s">
        <v>630</v>
      </c>
      <c r="E1477" s="33" t="s">
        <v>661</v>
      </c>
      <c r="F1477" s="34">
        <v>85</v>
      </c>
    </row>
    <row r="1478" spans="1:6" x14ac:dyDescent="0.25">
      <c r="A1478" s="34">
        <v>133</v>
      </c>
      <c r="B1478" s="33" t="s">
        <v>656</v>
      </c>
      <c r="C1478" s="33" t="s">
        <v>642</v>
      </c>
      <c r="D1478" s="33" t="s">
        <v>621</v>
      </c>
      <c r="E1478" s="33" t="s">
        <v>662</v>
      </c>
      <c r="F1478" s="34">
        <v>10</v>
      </c>
    </row>
    <row r="1479" spans="1:6" x14ac:dyDescent="0.25">
      <c r="A1479" s="34">
        <v>133</v>
      </c>
      <c r="B1479" s="33" t="s">
        <v>656</v>
      </c>
      <c r="C1479" s="33" t="s">
        <v>642</v>
      </c>
      <c r="D1479" s="33" t="s">
        <v>621</v>
      </c>
      <c r="E1479" s="33" t="s">
        <v>663</v>
      </c>
      <c r="F1479" s="34">
        <v>10</v>
      </c>
    </row>
    <row r="1480" spans="1:6" x14ac:dyDescent="0.25">
      <c r="A1480" s="34">
        <v>133</v>
      </c>
      <c r="B1480" s="33" t="s">
        <v>656</v>
      </c>
      <c r="C1480" s="33" t="s">
        <v>642</v>
      </c>
      <c r="D1480" s="33" t="s">
        <v>621</v>
      </c>
      <c r="E1480" s="33" t="s">
        <v>664</v>
      </c>
      <c r="F1480" s="34">
        <v>11</v>
      </c>
    </row>
    <row r="1481" spans="1:6" x14ac:dyDescent="0.25">
      <c r="A1481" s="34">
        <v>133</v>
      </c>
      <c r="B1481" s="33" t="s">
        <v>656</v>
      </c>
      <c r="C1481" s="33" t="s">
        <v>642</v>
      </c>
      <c r="D1481" s="33" t="s">
        <v>621</v>
      </c>
      <c r="E1481" s="33" t="s">
        <v>665</v>
      </c>
      <c r="F1481" s="34">
        <v>46</v>
      </c>
    </row>
    <row r="1482" spans="1:6" x14ac:dyDescent="0.25">
      <c r="A1482" s="34">
        <v>133</v>
      </c>
      <c r="B1482" s="33" t="s">
        <v>656</v>
      </c>
      <c r="C1482" s="33" t="s">
        <v>642</v>
      </c>
      <c r="D1482" s="33" t="s">
        <v>630</v>
      </c>
      <c r="E1482" s="33" t="s">
        <v>650</v>
      </c>
      <c r="F1482" s="34">
        <v>95</v>
      </c>
    </row>
    <row r="1483" spans="1:6" x14ac:dyDescent="0.25">
      <c r="A1483" s="34">
        <v>133</v>
      </c>
      <c r="B1483" s="33" t="s">
        <v>656</v>
      </c>
      <c r="C1483" s="33" t="s">
        <v>642</v>
      </c>
      <c r="D1483" s="33" t="s">
        <v>630</v>
      </c>
      <c r="E1483" s="33" t="s">
        <v>651</v>
      </c>
      <c r="F1483" s="33" t="s">
        <v>462</v>
      </c>
    </row>
    <row r="1484" spans="1:6" x14ac:dyDescent="0.25">
      <c r="A1484" s="34">
        <v>133</v>
      </c>
      <c r="B1484" s="33" t="s">
        <v>656</v>
      </c>
      <c r="C1484" s="33" t="s">
        <v>642</v>
      </c>
      <c r="D1484" s="33" t="s">
        <v>630</v>
      </c>
      <c r="E1484" s="33" t="s">
        <v>652</v>
      </c>
      <c r="F1484" s="34">
        <v>95</v>
      </c>
    </row>
    <row r="1485" spans="1:6" x14ac:dyDescent="0.25">
      <c r="A1485" s="34">
        <v>133</v>
      </c>
      <c r="B1485" s="33" t="s">
        <v>656</v>
      </c>
      <c r="C1485" s="33" t="s">
        <v>653</v>
      </c>
      <c r="D1485" s="33" t="s">
        <v>621</v>
      </c>
      <c r="E1485" s="33" t="s">
        <v>666</v>
      </c>
      <c r="F1485" s="34">
        <v>21</v>
      </c>
    </row>
    <row r="1486" spans="1:6" x14ac:dyDescent="0.25">
      <c r="A1486" s="34">
        <v>133</v>
      </c>
      <c r="B1486" s="33" t="s">
        <v>656</v>
      </c>
      <c r="C1486" s="33" t="s">
        <v>653</v>
      </c>
      <c r="D1486" s="33" t="s">
        <v>621</v>
      </c>
      <c r="E1486" s="33" t="s">
        <v>667</v>
      </c>
      <c r="F1486" s="34">
        <v>9</v>
      </c>
    </row>
    <row r="1487" spans="1:6" x14ac:dyDescent="0.25">
      <c r="A1487" s="34">
        <v>133</v>
      </c>
      <c r="B1487" s="33" t="s">
        <v>656</v>
      </c>
      <c r="C1487" s="33" t="s">
        <v>653</v>
      </c>
      <c r="D1487" s="33" t="s">
        <v>653</v>
      </c>
      <c r="E1487" s="33" t="s">
        <v>668</v>
      </c>
      <c r="F1487" s="34">
        <v>27.5</v>
      </c>
    </row>
    <row r="1488" spans="1:6" x14ac:dyDescent="0.25">
      <c r="A1488" s="34">
        <v>133</v>
      </c>
      <c r="B1488" s="33" t="s">
        <v>656</v>
      </c>
      <c r="C1488" s="33" t="s">
        <v>653</v>
      </c>
      <c r="D1488" s="33" t="s">
        <v>653</v>
      </c>
      <c r="E1488" s="33" t="s">
        <v>669</v>
      </c>
      <c r="F1488" s="34">
        <v>95</v>
      </c>
    </row>
    <row r="1489" spans="1:6" x14ac:dyDescent="0.25">
      <c r="A1489" s="34">
        <v>133</v>
      </c>
      <c r="B1489" s="33" t="s">
        <v>656</v>
      </c>
      <c r="C1489" s="33" t="s">
        <v>653</v>
      </c>
      <c r="D1489" s="33" t="s">
        <v>653</v>
      </c>
      <c r="E1489" s="33" t="s">
        <v>654</v>
      </c>
      <c r="F1489" s="34">
        <v>92</v>
      </c>
    </row>
    <row r="1490" spans="1:6" x14ac:dyDescent="0.25">
      <c r="A1490" s="34">
        <v>134</v>
      </c>
      <c r="B1490" s="33" t="s">
        <v>656</v>
      </c>
      <c r="C1490" s="33" t="s">
        <v>620</v>
      </c>
      <c r="D1490" s="33" t="s">
        <v>621</v>
      </c>
      <c r="E1490" s="33" t="s">
        <v>657</v>
      </c>
      <c r="F1490" s="34">
        <v>13</v>
      </c>
    </row>
    <row r="1491" spans="1:6" x14ac:dyDescent="0.25">
      <c r="A1491" s="34">
        <v>134</v>
      </c>
      <c r="B1491" s="33" t="s">
        <v>656</v>
      </c>
      <c r="C1491" s="33" t="s">
        <v>620</v>
      </c>
      <c r="D1491" s="33" t="s">
        <v>621</v>
      </c>
      <c r="E1491" s="33" t="s">
        <v>658</v>
      </c>
      <c r="F1491" s="34">
        <v>13</v>
      </c>
    </row>
    <row r="1492" spans="1:6" x14ac:dyDescent="0.25">
      <c r="A1492" s="34">
        <v>134</v>
      </c>
      <c r="B1492" s="33" t="s">
        <v>656</v>
      </c>
      <c r="C1492" s="33" t="s">
        <v>620</v>
      </c>
      <c r="D1492" s="33" t="s">
        <v>621</v>
      </c>
      <c r="E1492" s="33" t="s">
        <v>629</v>
      </c>
      <c r="F1492" s="34">
        <v>0</v>
      </c>
    </row>
    <row r="1493" spans="1:6" x14ac:dyDescent="0.25">
      <c r="A1493" s="34">
        <v>134</v>
      </c>
      <c r="B1493" s="33" t="s">
        <v>656</v>
      </c>
      <c r="C1493" s="33" t="s">
        <v>620</v>
      </c>
      <c r="D1493" s="33" t="s">
        <v>630</v>
      </c>
      <c r="E1493" s="33" t="s">
        <v>631</v>
      </c>
      <c r="F1493" s="34">
        <v>92</v>
      </c>
    </row>
    <row r="1494" spans="1:6" x14ac:dyDescent="0.25">
      <c r="A1494" s="34">
        <v>134</v>
      </c>
      <c r="B1494" s="33" t="s">
        <v>656</v>
      </c>
      <c r="C1494" s="33" t="s">
        <v>620</v>
      </c>
      <c r="D1494" s="33" t="s">
        <v>630</v>
      </c>
      <c r="E1494" s="33" t="s">
        <v>632</v>
      </c>
      <c r="F1494" s="33" t="s">
        <v>462</v>
      </c>
    </row>
    <row r="1495" spans="1:6" x14ac:dyDescent="0.25">
      <c r="A1495" s="34">
        <v>134</v>
      </c>
      <c r="B1495" s="33" t="s">
        <v>656</v>
      </c>
      <c r="C1495" s="33" t="s">
        <v>620</v>
      </c>
      <c r="D1495" s="33" t="s">
        <v>630</v>
      </c>
      <c r="E1495" s="33" t="s">
        <v>633</v>
      </c>
      <c r="F1495" s="34">
        <v>92</v>
      </c>
    </row>
    <row r="1496" spans="1:6" x14ac:dyDescent="0.25">
      <c r="A1496" s="34">
        <v>134</v>
      </c>
      <c r="B1496" s="33" t="s">
        <v>656</v>
      </c>
      <c r="C1496" s="33" t="s">
        <v>634</v>
      </c>
      <c r="D1496" s="33" t="s">
        <v>621</v>
      </c>
      <c r="E1496" s="33" t="s">
        <v>659</v>
      </c>
      <c r="F1496" s="34">
        <v>17</v>
      </c>
    </row>
    <row r="1497" spans="1:6" x14ac:dyDescent="0.25">
      <c r="A1497" s="34">
        <v>134</v>
      </c>
      <c r="B1497" s="33" t="s">
        <v>656</v>
      </c>
      <c r="C1497" s="33" t="s">
        <v>634</v>
      </c>
      <c r="D1497" s="33" t="s">
        <v>621</v>
      </c>
      <c r="E1497" s="33" t="s">
        <v>660</v>
      </c>
      <c r="F1497" s="34">
        <v>9.9499999999999993</v>
      </c>
    </row>
    <row r="1498" spans="1:6" x14ac:dyDescent="0.25">
      <c r="A1498" s="34">
        <v>134</v>
      </c>
      <c r="B1498" s="33" t="s">
        <v>656</v>
      </c>
      <c r="C1498" s="33" t="s">
        <v>634</v>
      </c>
      <c r="D1498" s="33" t="s">
        <v>621</v>
      </c>
      <c r="E1498" s="33" t="s">
        <v>638</v>
      </c>
      <c r="F1498" s="34">
        <v>44</v>
      </c>
    </row>
    <row r="1499" spans="1:6" x14ac:dyDescent="0.25">
      <c r="A1499" s="34">
        <v>134</v>
      </c>
      <c r="B1499" s="33" t="s">
        <v>656</v>
      </c>
      <c r="C1499" s="33" t="s">
        <v>634</v>
      </c>
      <c r="D1499" s="33" t="s">
        <v>630</v>
      </c>
      <c r="E1499" s="33" t="s">
        <v>639</v>
      </c>
      <c r="F1499" s="34">
        <v>78</v>
      </c>
    </row>
    <row r="1500" spans="1:6" x14ac:dyDescent="0.25">
      <c r="A1500" s="34">
        <v>134</v>
      </c>
      <c r="B1500" s="33" t="s">
        <v>656</v>
      </c>
      <c r="C1500" s="33" t="s">
        <v>634</v>
      </c>
      <c r="D1500" s="33" t="s">
        <v>630</v>
      </c>
      <c r="E1500" s="33" t="s">
        <v>640</v>
      </c>
      <c r="F1500" s="33" t="s">
        <v>462</v>
      </c>
    </row>
    <row r="1501" spans="1:6" x14ac:dyDescent="0.25">
      <c r="A1501" s="34">
        <v>134</v>
      </c>
      <c r="B1501" s="33" t="s">
        <v>656</v>
      </c>
      <c r="C1501" s="33" t="s">
        <v>634</v>
      </c>
      <c r="D1501" s="33" t="s">
        <v>630</v>
      </c>
      <c r="E1501" s="33" t="s">
        <v>661</v>
      </c>
      <c r="F1501" s="34">
        <v>78</v>
      </c>
    </row>
    <row r="1502" spans="1:6" x14ac:dyDescent="0.25">
      <c r="A1502" s="34">
        <v>134</v>
      </c>
      <c r="B1502" s="33" t="s">
        <v>656</v>
      </c>
      <c r="C1502" s="33" t="s">
        <v>642</v>
      </c>
      <c r="D1502" s="33" t="s">
        <v>621</v>
      </c>
      <c r="E1502" s="33" t="s">
        <v>662</v>
      </c>
      <c r="F1502" s="34">
        <v>10</v>
      </c>
    </row>
    <row r="1503" spans="1:6" x14ac:dyDescent="0.25">
      <c r="A1503" s="34">
        <v>134</v>
      </c>
      <c r="B1503" s="33" t="s">
        <v>656</v>
      </c>
      <c r="C1503" s="33" t="s">
        <v>642</v>
      </c>
      <c r="D1503" s="33" t="s">
        <v>621</v>
      </c>
      <c r="E1503" s="33" t="s">
        <v>663</v>
      </c>
      <c r="F1503" s="34">
        <v>10</v>
      </c>
    </row>
    <row r="1504" spans="1:6" x14ac:dyDescent="0.25">
      <c r="A1504" s="34">
        <v>134</v>
      </c>
      <c r="B1504" s="33" t="s">
        <v>656</v>
      </c>
      <c r="C1504" s="33" t="s">
        <v>642</v>
      </c>
      <c r="D1504" s="33" t="s">
        <v>621</v>
      </c>
      <c r="E1504" s="33" t="s">
        <v>664</v>
      </c>
      <c r="F1504" s="34">
        <v>8</v>
      </c>
    </row>
    <row r="1505" spans="1:6" x14ac:dyDescent="0.25">
      <c r="A1505" s="34">
        <v>134</v>
      </c>
      <c r="B1505" s="33" t="s">
        <v>656</v>
      </c>
      <c r="C1505" s="33" t="s">
        <v>642</v>
      </c>
      <c r="D1505" s="33" t="s">
        <v>621</v>
      </c>
      <c r="E1505" s="33" t="s">
        <v>665</v>
      </c>
      <c r="F1505" s="34">
        <v>34</v>
      </c>
    </row>
    <row r="1506" spans="1:6" x14ac:dyDescent="0.25">
      <c r="A1506" s="34">
        <v>134</v>
      </c>
      <c r="B1506" s="33" t="s">
        <v>656</v>
      </c>
      <c r="C1506" s="33" t="s">
        <v>642</v>
      </c>
      <c r="D1506" s="33" t="s">
        <v>630</v>
      </c>
      <c r="E1506" s="33" t="s">
        <v>650</v>
      </c>
      <c r="F1506" s="34">
        <v>68</v>
      </c>
    </row>
    <row r="1507" spans="1:6" x14ac:dyDescent="0.25">
      <c r="A1507" s="34">
        <v>134</v>
      </c>
      <c r="B1507" s="33" t="s">
        <v>656</v>
      </c>
      <c r="C1507" s="33" t="s">
        <v>642</v>
      </c>
      <c r="D1507" s="33" t="s">
        <v>630</v>
      </c>
      <c r="E1507" s="33" t="s">
        <v>651</v>
      </c>
      <c r="F1507" s="34">
        <v>72</v>
      </c>
    </row>
    <row r="1508" spans="1:6" x14ac:dyDescent="0.25">
      <c r="A1508" s="34">
        <v>134</v>
      </c>
      <c r="B1508" s="33" t="s">
        <v>656</v>
      </c>
      <c r="C1508" s="33" t="s">
        <v>642</v>
      </c>
      <c r="D1508" s="33" t="s">
        <v>630</v>
      </c>
      <c r="E1508" s="33" t="s">
        <v>652</v>
      </c>
      <c r="F1508" s="34">
        <v>72</v>
      </c>
    </row>
    <row r="1509" spans="1:6" x14ac:dyDescent="0.25">
      <c r="A1509" s="34">
        <v>134</v>
      </c>
      <c r="B1509" s="33" t="s">
        <v>656</v>
      </c>
      <c r="C1509" s="33" t="s">
        <v>653</v>
      </c>
      <c r="D1509" s="33" t="s">
        <v>621</v>
      </c>
      <c r="E1509" s="33" t="s">
        <v>666</v>
      </c>
      <c r="F1509" s="34">
        <v>22</v>
      </c>
    </row>
    <row r="1510" spans="1:6" x14ac:dyDescent="0.25">
      <c r="A1510" s="34">
        <v>134</v>
      </c>
      <c r="B1510" s="33" t="s">
        <v>656</v>
      </c>
      <c r="C1510" s="33" t="s">
        <v>653</v>
      </c>
      <c r="D1510" s="33" t="s">
        <v>621</v>
      </c>
      <c r="E1510" s="33" t="s">
        <v>667</v>
      </c>
      <c r="F1510" s="34">
        <v>8</v>
      </c>
    </row>
    <row r="1511" spans="1:6" x14ac:dyDescent="0.25">
      <c r="A1511" s="34">
        <v>134</v>
      </c>
      <c r="B1511" s="33" t="s">
        <v>656</v>
      </c>
      <c r="C1511" s="33" t="s">
        <v>653</v>
      </c>
      <c r="D1511" s="33" t="s">
        <v>653</v>
      </c>
      <c r="E1511" s="33" t="s">
        <v>668</v>
      </c>
      <c r="F1511" s="34">
        <v>27.5</v>
      </c>
    </row>
    <row r="1512" spans="1:6" x14ac:dyDescent="0.25">
      <c r="A1512" s="34">
        <v>134</v>
      </c>
      <c r="B1512" s="33" t="s">
        <v>656</v>
      </c>
      <c r="C1512" s="33" t="s">
        <v>653</v>
      </c>
      <c r="D1512" s="33" t="s">
        <v>653</v>
      </c>
      <c r="E1512" s="33" t="s">
        <v>669</v>
      </c>
      <c r="F1512" s="34">
        <v>95</v>
      </c>
    </row>
    <row r="1513" spans="1:6" x14ac:dyDescent="0.25">
      <c r="A1513" s="34">
        <v>134</v>
      </c>
      <c r="B1513" s="33" t="s">
        <v>656</v>
      </c>
      <c r="C1513" s="33" t="s">
        <v>653</v>
      </c>
      <c r="D1513" s="33" t="s">
        <v>653</v>
      </c>
      <c r="E1513" s="33" t="s">
        <v>654</v>
      </c>
      <c r="F1513" s="34">
        <v>85</v>
      </c>
    </row>
    <row r="1514" spans="1:6" x14ac:dyDescent="0.25">
      <c r="A1514" s="34">
        <v>135</v>
      </c>
      <c r="B1514" s="33" t="s">
        <v>656</v>
      </c>
      <c r="C1514" s="33" t="s">
        <v>620</v>
      </c>
      <c r="D1514" s="33" t="s">
        <v>621</v>
      </c>
      <c r="E1514" s="33" t="s">
        <v>657</v>
      </c>
      <c r="F1514" s="34">
        <v>15</v>
      </c>
    </row>
    <row r="1515" spans="1:6" x14ac:dyDescent="0.25">
      <c r="A1515" s="34">
        <v>135</v>
      </c>
      <c r="B1515" s="33" t="s">
        <v>656</v>
      </c>
      <c r="C1515" s="33" t="s">
        <v>620</v>
      </c>
      <c r="D1515" s="33" t="s">
        <v>621</v>
      </c>
      <c r="E1515" s="33" t="s">
        <v>658</v>
      </c>
      <c r="F1515" s="34">
        <v>15</v>
      </c>
    </row>
    <row r="1516" spans="1:6" x14ac:dyDescent="0.25">
      <c r="A1516" s="34">
        <v>135</v>
      </c>
      <c r="B1516" s="33" t="s">
        <v>656</v>
      </c>
      <c r="C1516" s="33" t="s">
        <v>620</v>
      </c>
      <c r="D1516" s="33" t="s">
        <v>621</v>
      </c>
      <c r="E1516" s="33" t="s">
        <v>629</v>
      </c>
      <c r="F1516" s="34">
        <v>46</v>
      </c>
    </row>
    <row r="1517" spans="1:6" x14ac:dyDescent="0.25">
      <c r="A1517" s="34">
        <v>135</v>
      </c>
      <c r="B1517" s="33" t="s">
        <v>656</v>
      </c>
      <c r="C1517" s="33" t="s">
        <v>620</v>
      </c>
      <c r="D1517" s="33" t="s">
        <v>630</v>
      </c>
      <c r="E1517" s="33" t="s">
        <v>631</v>
      </c>
      <c r="F1517" s="34">
        <v>92</v>
      </c>
    </row>
    <row r="1518" spans="1:6" x14ac:dyDescent="0.25">
      <c r="A1518" s="34">
        <v>135</v>
      </c>
      <c r="B1518" s="33" t="s">
        <v>656</v>
      </c>
      <c r="C1518" s="33" t="s">
        <v>620</v>
      </c>
      <c r="D1518" s="33" t="s">
        <v>630</v>
      </c>
      <c r="E1518" s="33" t="s">
        <v>632</v>
      </c>
      <c r="F1518" s="33" t="s">
        <v>462</v>
      </c>
    </row>
    <row r="1519" spans="1:6" x14ac:dyDescent="0.25">
      <c r="A1519" s="34">
        <v>135</v>
      </c>
      <c r="B1519" s="33" t="s">
        <v>656</v>
      </c>
      <c r="C1519" s="33" t="s">
        <v>620</v>
      </c>
      <c r="D1519" s="33" t="s">
        <v>630</v>
      </c>
      <c r="E1519" s="33" t="s">
        <v>633</v>
      </c>
      <c r="F1519" s="34">
        <v>92</v>
      </c>
    </row>
    <row r="1520" spans="1:6" x14ac:dyDescent="0.25">
      <c r="A1520" s="34">
        <v>135</v>
      </c>
      <c r="B1520" s="33" t="s">
        <v>656</v>
      </c>
      <c r="C1520" s="33" t="s">
        <v>634</v>
      </c>
      <c r="D1520" s="33" t="s">
        <v>621</v>
      </c>
      <c r="E1520" s="33" t="s">
        <v>659</v>
      </c>
      <c r="F1520" s="34">
        <v>18</v>
      </c>
    </row>
    <row r="1521" spans="1:6" x14ac:dyDescent="0.25">
      <c r="A1521" s="34">
        <v>135</v>
      </c>
      <c r="B1521" s="33" t="s">
        <v>656</v>
      </c>
      <c r="C1521" s="33" t="s">
        <v>634</v>
      </c>
      <c r="D1521" s="33" t="s">
        <v>621</v>
      </c>
      <c r="E1521" s="33" t="s">
        <v>660</v>
      </c>
      <c r="F1521" s="34">
        <v>13</v>
      </c>
    </row>
    <row r="1522" spans="1:6" x14ac:dyDescent="0.25">
      <c r="A1522" s="34">
        <v>135</v>
      </c>
      <c r="B1522" s="33" t="s">
        <v>656</v>
      </c>
      <c r="C1522" s="33" t="s">
        <v>634</v>
      </c>
      <c r="D1522" s="33" t="s">
        <v>621</v>
      </c>
      <c r="E1522" s="33" t="s">
        <v>638</v>
      </c>
      <c r="F1522" s="34">
        <v>47.5</v>
      </c>
    </row>
    <row r="1523" spans="1:6" x14ac:dyDescent="0.25">
      <c r="A1523" s="34">
        <v>135</v>
      </c>
      <c r="B1523" s="33" t="s">
        <v>656</v>
      </c>
      <c r="C1523" s="33" t="s">
        <v>634</v>
      </c>
      <c r="D1523" s="33" t="s">
        <v>630</v>
      </c>
      <c r="E1523" s="33" t="s">
        <v>639</v>
      </c>
      <c r="F1523" s="34">
        <v>92</v>
      </c>
    </row>
    <row r="1524" spans="1:6" x14ac:dyDescent="0.25">
      <c r="A1524" s="34">
        <v>135</v>
      </c>
      <c r="B1524" s="33" t="s">
        <v>656</v>
      </c>
      <c r="C1524" s="33" t="s">
        <v>634</v>
      </c>
      <c r="D1524" s="33" t="s">
        <v>630</v>
      </c>
      <c r="E1524" s="33" t="s">
        <v>640</v>
      </c>
      <c r="F1524" s="33" t="s">
        <v>462</v>
      </c>
    </row>
    <row r="1525" spans="1:6" x14ac:dyDescent="0.25">
      <c r="A1525" s="34">
        <v>135</v>
      </c>
      <c r="B1525" s="33" t="s">
        <v>656</v>
      </c>
      <c r="C1525" s="33" t="s">
        <v>634</v>
      </c>
      <c r="D1525" s="33" t="s">
        <v>630</v>
      </c>
      <c r="E1525" s="33" t="s">
        <v>661</v>
      </c>
      <c r="F1525" s="34">
        <v>92</v>
      </c>
    </row>
    <row r="1526" spans="1:6" x14ac:dyDescent="0.25">
      <c r="A1526" s="34">
        <v>135</v>
      </c>
      <c r="B1526" s="33" t="s">
        <v>656</v>
      </c>
      <c r="C1526" s="33" t="s">
        <v>642</v>
      </c>
      <c r="D1526" s="33" t="s">
        <v>621</v>
      </c>
      <c r="E1526" s="33" t="s">
        <v>662</v>
      </c>
      <c r="F1526" s="34">
        <v>10</v>
      </c>
    </row>
    <row r="1527" spans="1:6" x14ac:dyDescent="0.25">
      <c r="A1527" s="34">
        <v>135</v>
      </c>
      <c r="B1527" s="33" t="s">
        <v>656</v>
      </c>
      <c r="C1527" s="33" t="s">
        <v>642</v>
      </c>
      <c r="D1527" s="33" t="s">
        <v>621</v>
      </c>
      <c r="E1527" s="33" t="s">
        <v>663</v>
      </c>
      <c r="F1527" s="34">
        <v>10</v>
      </c>
    </row>
    <row r="1528" spans="1:6" x14ac:dyDescent="0.25">
      <c r="A1528" s="34">
        <v>135</v>
      </c>
      <c r="B1528" s="33" t="s">
        <v>656</v>
      </c>
      <c r="C1528" s="33" t="s">
        <v>642</v>
      </c>
      <c r="D1528" s="33" t="s">
        <v>621</v>
      </c>
      <c r="E1528" s="33" t="s">
        <v>664</v>
      </c>
      <c r="F1528" s="34">
        <v>11</v>
      </c>
    </row>
    <row r="1529" spans="1:6" x14ac:dyDescent="0.25">
      <c r="A1529" s="34">
        <v>135</v>
      </c>
      <c r="B1529" s="33" t="s">
        <v>656</v>
      </c>
      <c r="C1529" s="33" t="s">
        <v>642</v>
      </c>
      <c r="D1529" s="33" t="s">
        <v>621</v>
      </c>
      <c r="E1529" s="33" t="s">
        <v>665</v>
      </c>
      <c r="F1529" s="34">
        <v>46</v>
      </c>
    </row>
    <row r="1530" spans="1:6" x14ac:dyDescent="0.25">
      <c r="A1530" s="34">
        <v>135</v>
      </c>
      <c r="B1530" s="33" t="s">
        <v>656</v>
      </c>
      <c r="C1530" s="33" t="s">
        <v>642</v>
      </c>
      <c r="D1530" s="33" t="s">
        <v>630</v>
      </c>
      <c r="E1530" s="33" t="s">
        <v>650</v>
      </c>
      <c r="F1530" s="34">
        <v>100</v>
      </c>
    </row>
    <row r="1531" spans="1:6" x14ac:dyDescent="0.25">
      <c r="A1531" s="34">
        <v>135</v>
      </c>
      <c r="B1531" s="33" t="s">
        <v>656</v>
      </c>
      <c r="C1531" s="33" t="s">
        <v>642</v>
      </c>
      <c r="D1531" s="33" t="s">
        <v>630</v>
      </c>
      <c r="E1531" s="33" t="s">
        <v>651</v>
      </c>
      <c r="F1531" s="33" t="s">
        <v>462</v>
      </c>
    </row>
    <row r="1532" spans="1:6" x14ac:dyDescent="0.25">
      <c r="A1532" s="34">
        <v>135</v>
      </c>
      <c r="B1532" s="33" t="s">
        <v>656</v>
      </c>
      <c r="C1532" s="33" t="s">
        <v>642</v>
      </c>
      <c r="D1532" s="33" t="s">
        <v>630</v>
      </c>
      <c r="E1532" s="33" t="s">
        <v>652</v>
      </c>
      <c r="F1532" s="34">
        <v>100</v>
      </c>
    </row>
    <row r="1533" spans="1:6" x14ac:dyDescent="0.25">
      <c r="A1533" s="34">
        <v>135</v>
      </c>
      <c r="B1533" s="33" t="s">
        <v>656</v>
      </c>
      <c r="C1533" s="33" t="s">
        <v>653</v>
      </c>
      <c r="D1533" s="33" t="s">
        <v>621</v>
      </c>
      <c r="E1533" s="33" t="s">
        <v>666</v>
      </c>
      <c r="F1533" s="34">
        <v>22</v>
      </c>
    </row>
    <row r="1534" spans="1:6" x14ac:dyDescent="0.25">
      <c r="A1534" s="34">
        <v>135</v>
      </c>
      <c r="B1534" s="33" t="s">
        <v>656</v>
      </c>
      <c r="C1534" s="33" t="s">
        <v>653</v>
      </c>
      <c r="D1534" s="33" t="s">
        <v>621</v>
      </c>
      <c r="E1534" s="33" t="s">
        <v>667</v>
      </c>
      <c r="F1534" s="34">
        <v>10</v>
      </c>
    </row>
    <row r="1535" spans="1:6" x14ac:dyDescent="0.25">
      <c r="A1535" s="34">
        <v>135</v>
      </c>
      <c r="B1535" s="33" t="s">
        <v>656</v>
      </c>
      <c r="C1535" s="33" t="s">
        <v>653</v>
      </c>
      <c r="D1535" s="33" t="s">
        <v>653</v>
      </c>
      <c r="E1535" s="33" t="s">
        <v>668</v>
      </c>
      <c r="F1535" s="34">
        <v>28</v>
      </c>
    </row>
    <row r="1536" spans="1:6" x14ac:dyDescent="0.25">
      <c r="A1536" s="34">
        <v>135</v>
      </c>
      <c r="B1536" s="33" t="s">
        <v>656</v>
      </c>
      <c r="C1536" s="33" t="s">
        <v>653</v>
      </c>
      <c r="D1536" s="33" t="s">
        <v>653</v>
      </c>
      <c r="E1536" s="33" t="s">
        <v>669</v>
      </c>
      <c r="F1536" s="34">
        <v>95</v>
      </c>
    </row>
    <row r="1537" spans="1:6" x14ac:dyDescent="0.25">
      <c r="A1537" s="34">
        <v>135</v>
      </c>
      <c r="B1537" s="33" t="s">
        <v>656</v>
      </c>
      <c r="C1537" s="33" t="s">
        <v>653</v>
      </c>
      <c r="D1537" s="33" t="s">
        <v>653</v>
      </c>
      <c r="E1537" s="33" t="s">
        <v>654</v>
      </c>
      <c r="F1537" s="34">
        <v>100</v>
      </c>
    </row>
    <row r="1538" spans="1:6" x14ac:dyDescent="0.25">
      <c r="A1538" s="34">
        <v>136</v>
      </c>
      <c r="B1538" s="33" t="s">
        <v>656</v>
      </c>
      <c r="C1538" s="33" t="s">
        <v>620</v>
      </c>
      <c r="D1538" s="33" t="s">
        <v>621</v>
      </c>
      <c r="E1538" s="33" t="s">
        <v>657</v>
      </c>
      <c r="F1538" s="34">
        <v>6.5</v>
      </c>
    </row>
    <row r="1539" spans="1:6" x14ac:dyDescent="0.25">
      <c r="A1539" s="34">
        <v>136</v>
      </c>
      <c r="B1539" s="33" t="s">
        <v>656</v>
      </c>
      <c r="C1539" s="33" t="s">
        <v>620</v>
      </c>
      <c r="D1539" s="33" t="s">
        <v>621</v>
      </c>
      <c r="E1539" s="33" t="s">
        <v>658</v>
      </c>
      <c r="F1539" s="34">
        <v>6.5</v>
      </c>
    </row>
    <row r="1540" spans="1:6" x14ac:dyDescent="0.25">
      <c r="A1540" s="34">
        <v>136</v>
      </c>
      <c r="B1540" s="33" t="s">
        <v>656</v>
      </c>
      <c r="C1540" s="33" t="s">
        <v>620</v>
      </c>
      <c r="D1540" s="33" t="s">
        <v>621</v>
      </c>
      <c r="E1540" s="33" t="s">
        <v>629</v>
      </c>
      <c r="F1540" s="34">
        <v>41</v>
      </c>
    </row>
    <row r="1541" spans="1:6" x14ac:dyDescent="0.25">
      <c r="A1541" s="34">
        <v>136</v>
      </c>
      <c r="B1541" s="33" t="s">
        <v>656</v>
      </c>
      <c r="C1541" s="33" t="s">
        <v>620</v>
      </c>
      <c r="D1541" s="33" t="s">
        <v>630</v>
      </c>
      <c r="E1541" s="33" t="s">
        <v>631</v>
      </c>
      <c r="F1541" s="34">
        <v>85</v>
      </c>
    </row>
    <row r="1542" spans="1:6" x14ac:dyDescent="0.25">
      <c r="A1542" s="34">
        <v>136</v>
      </c>
      <c r="B1542" s="33" t="s">
        <v>656</v>
      </c>
      <c r="C1542" s="33" t="s">
        <v>620</v>
      </c>
      <c r="D1542" s="33" t="s">
        <v>630</v>
      </c>
      <c r="E1542" s="33" t="s">
        <v>632</v>
      </c>
      <c r="F1542" s="33" t="s">
        <v>462</v>
      </c>
    </row>
    <row r="1543" spans="1:6" x14ac:dyDescent="0.25">
      <c r="A1543" s="34">
        <v>136</v>
      </c>
      <c r="B1543" s="33" t="s">
        <v>656</v>
      </c>
      <c r="C1543" s="33" t="s">
        <v>620</v>
      </c>
      <c r="D1543" s="33" t="s">
        <v>630</v>
      </c>
      <c r="E1543" s="33" t="s">
        <v>633</v>
      </c>
      <c r="F1543" s="34">
        <v>85</v>
      </c>
    </row>
    <row r="1544" spans="1:6" x14ac:dyDescent="0.25">
      <c r="A1544" s="34">
        <v>136</v>
      </c>
      <c r="B1544" s="33" t="s">
        <v>656</v>
      </c>
      <c r="C1544" s="33" t="s">
        <v>634</v>
      </c>
      <c r="D1544" s="33" t="s">
        <v>621</v>
      </c>
      <c r="E1544" s="33" t="s">
        <v>659</v>
      </c>
      <c r="F1544" s="34">
        <v>18</v>
      </c>
    </row>
    <row r="1545" spans="1:6" x14ac:dyDescent="0.25">
      <c r="A1545" s="34">
        <v>136</v>
      </c>
      <c r="B1545" s="33" t="s">
        <v>656</v>
      </c>
      <c r="C1545" s="33" t="s">
        <v>634</v>
      </c>
      <c r="D1545" s="33" t="s">
        <v>621</v>
      </c>
      <c r="E1545" s="33" t="s">
        <v>660</v>
      </c>
      <c r="F1545" s="34">
        <v>9.6999999999999993</v>
      </c>
    </row>
    <row r="1546" spans="1:6" x14ac:dyDescent="0.25">
      <c r="A1546" s="34">
        <v>136</v>
      </c>
      <c r="B1546" s="33" t="s">
        <v>656</v>
      </c>
      <c r="C1546" s="33" t="s">
        <v>634</v>
      </c>
      <c r="D1546" s="33" t="s">
        <v>621</v>
      </c>
      <c r="E1546" s="33" t="s">
        <v>638</v>
      </c>
      <c r="F1546" s="34">
        <v>47.5</v>
      </c>
    </row>
    <row r="1547" spans="1:6" x14ac:dyDescent="0.25">
      <c r="A1547" s="34">
        <v>136</v>
      </c>
      <c r="B1547" s="33" t="s">
        <v>656</v>
      </c>
      <c r="C1547" s="33" t="s">
        <v>634</v>
      </c>
      <c r="D1547" s="33" t="s">
        <v>630</v>
      </c>
      <c r="E1547" s="33" t="s">
        <v>639</v>
      </c>
      <c r="F1547" s="34">
        <v>75</v>
      </c>
    </row>
    <row r="1548" spans="1:6" x14ac:dyDescent="0.25">
      <c r="A1548" s="34">
        <v>136</v>
      </c>
      <c r="B1548" s="33" t="s">
        <v>656</v>
      </c>
      <c r="C1548" s="33" t="s">
        <v>634</v>
      </c>
      <c r="D1548" s="33" t="s">
        <v>630</v>
      </c>
      <c r="E1548" s="33" t="s">
        <v>640</v>
      </c>
      <c r="F1548" s="34">
        <v>92</v>
      </c>
    </row>
    <row r="1549" spans="1:6" x14ac:dyDescent="0.25">
      <c r="A1549" s="34">
        <v>136</v>
      </c>
      <c r="B1549" s="33" t="s">
        <v>656</v>
      </c>
      <c r="C1549" s="33" t="s">
        <v>634</v>
      </c>
      <c r="D1549" s="33" t="s">
        <v>630</v>
      </c>
      <c r="E1549" s="33" t="s">
        <v>661</v>
      </c>
      <c r="F1549" s="34">
        <v>92</v>
      </c>
    </row>
    <row r="1550" spans="1:6" x14ac:dyDescent="0.25">
      <c r="A1550" s="34">
        <v>136</v>
      </c>
      <c r="B1550" s="33" t="s">
        <v>656</v>
      </c>
      <c r="C1550" s="33" t="s">
        <v>642</v>
      </c>
      <c r="D1550" s="33" t="s">
        <v>621</v>
      </c>
      <c r="E1550" s="33" t="s">
        <v>662</v>
      </c>
      <c r="F1550" s="34">
        <v>10</v>
      </c>
    </row>
    <row r="1551" spans="1:6" x14ac:dyDescent="0.25">
      <c r="A1551" s="34">
        <v>136</v>
      </c>
      <c r="B1551" s="33" t="s">
        <v>656</v>
      </c>
      <c r="C1551" s="33" t="s">
        <v>642</v>
      </c>
      <c r="D1551" s="33" t="s">
        <v>621</v>
      </c>
      <c r="E1551" s="33" t="s">
        <v>663</v>
      </c>
      <c r="F1551" s="34">
        <v>10</v>
      </c>
    </row>
    <row r="1552" spans="1:6" x14ac:dyDescent="0.25">
      <c r="A1552" s="34">
        <v>136</v>
      </c>
      <c r="B1552" s="33" t="s">
        <v>656</v>
      </c>
      <c r="C1552" s="33" t="s">
        <v>642</v>
      </c>
      <c r="D1552" s="33" t="s">
        <v>621</v>
      </c>
      <c r="E1552" s="33" t="s">
        <v>664</v>
      </c>
      <c r="F1552" s="34">
        <v>11</v>
      </c>
    </row>
    <row r="1553" spans="1:6" x14ac:dyDescent="0.25">
      <c r="A1553" s="34">
        <v>136</v>
      </c>
      <c r="B1553" s="33" t="s">
        <v>656</v>
      </c>
      <c r="C1553" s="33" t="s">
        <v>642</v>
      </c>
      <c r="D1553" s="33" t="s">
        <v>621</v>
      </c>
      <c r="E1553" s="33" t="s">
        <v>665</v>
      </c>
      <c r="F1553" s="34">
        <v>46</v>
      </c>
    </row>
    <row r="1554" spans="1:6" x14ac:dyDescent="0.25">
      <c r="A1554" s="34">
        <v>136</v>
      </c>
      <c r="B1554" s="33" t="s">
        <v>656</v>
      </c>
      <c r="C1554" s="33" t="s">
        <v>642</v>
      </c>
      <c r="D1554" s="33" t="s">
        <v>630</v>
      </c>
      <c r="E1554" s="33" t="s">
        <v>650</v>
      </c>
      <c r="F1554" s="34">
        <v>75</v>
      </c>
    </row>
    <row r="1555" spans="1:6" x14ac:dyDescent="0.25">
      <c r="A1555" s="34">
        <v>136</v>
      </c>
      <c r="B1555" s="33" t="s">
        <v>656</v>
      </c>
      <c r="C1555" s="33" t="s">
        <v>642</v>
      </c>
      <c r="D1555" s="33" t="s">
        <v>630</v>
      </c>
      <c r="E1555" s="33" t="s">
        <v>651</v>
      </c>
      <c r="F1555" s="34">
        <v>75</v>
      </c>
    </row>
    <row r="1556" spans="1:6" x14ac:dyDescent="0.25">
      <c r="A1556" s="34">
        <v>136</v>
      </c>
      <c r="B1556" s="33" t="s">
        <v>656</v>
      </c>
      <c r="C1556" s="33" t="s">
        <v>642</v>
      </c>
      <c r="D1556" s="33" t="s">
        <v>630</v>
      </c>
      <c r="E1556" s="33" t="s">
        <v>652</v>
      </c>
      <c r="F1556" s="34">
        <v>75</v>
      </c>
    </row>
    <row r="1557" spans="1:6" x14ac:dyDescent="0.25">
      <c r="A1557" s="34">
        <v>136</v>
      </c>
      <c r="B1557" s="33" t="s">
        <v>656</v>
      </c>
      <c r="C1557" s="33" t="s">
        <v>653</v>
      </c>
      <c r="D1557" s="33" t="s">
        <v>621</v>
      </c>
      <c r="E1557" s="33" t="s">
        <v>666</v>
      </c>
      <c r="F1557" s="34">
        <v>21.8</v>
      </c>
    </row>
    <row r="1558" spans="1:6" x14ac:dyDescent="0.25">
      <c r="A1558" s="34">
        <v>136</v>
      </c>
      <c r="B1558" s="33" t="s">
        <v>656</v>
      </c>
      <c r="C1558" s="33" t="s">
        <v>653</v>
      </c>
      <c r="D1558" s="33" t="s">
        <v>621</v>
      </c>
      <c r="E1558" s="33" t="s">
        <v>667</v>
      </c>
      <c r="F1558" s="34">
        <v>9.25</v>
      </c>
    </row>
    <row r="1559" spans="1:6" x14ac:dyDescent="0.25">
      <c r="A1559" s="34">
        <v>136</v>
      </c>
      <c r="B1559" s="33" t="s">
        <v>656</v>
      </c>
      <c r="C1559" s="33" t="s">
        <v>653</v>
      </c>
      <c r="D1559" s="33" t="s">
        <v>653</v>
      </c>
      <c r="E1559" s="33" t="s">
        <v>668</v>
      </c>
      <c r="F1559" s="34">
        <v>17</v>
      </c>
    </row>
    <row r="1560" spans="1:6" x14ac:dyDescent="0.25">
      <c r="A1560" s="34">
        <v>136</v>
      </c>
      <c r="B1560" s="33" t="s">
        <v>656</v>
      </c>
      <c r="C1560" s="33" t="s">
        <v>653</v>
      </c>
      <c r="D1560" s="33" t="s">
        <v>653</v>
      </c>
      <c r="E1560" s="33" t="s">
        <v>669</v>
      </c>
      <c r="F1560" s="34">
        <v>100</v>
      </c>
    </row>
    <row r="1561" spans="1:6" x14ac:dyDescent="0.25">
      <c r="A1561" s="34">
        <v>136</v>
      </c>
      <c r="B1561" s="33" t="s">
        <v>656</v>
      </c>
      <c r="C1561" s="33" t="s">
        <v>653</v>
      </c>
      <c r="D1561" s="33" t="s">
        <v>653</v>
      </c>
      <c r="E1561" s="33" t="s">
        <v>654</v>
      </c>
      <c r="F1561" s="34">
        <v>82</v>
      </c>
    </row>
    <row r="1562" spans="1:6" x14ac:dyDescent="0.25">
      <c r="A1562" s="34">
        <v>137</v>
      </c>
      <c r="B1562" s="33" t="s">
        <v>656</v>
      </c>
      <c r="C1562" s="33" t="s">
        <v>620</v>
      </c>
      <c r="D1562" s="33" t="s">
        <v>621</v>
      </c>
      <c r="E1562" s="33" t="s">
        <v>657</v>
      </c>
      <c r="F1562" s="34">
        <v>10.5</v>
      </c>
    </row>
    <row r="1563" spans="1:6" x14ac:dyDescent="0.25">
      <c r="A1563" s="34">
        <v>137</v>
      </c>
      <c r="B1563" s="33" t="s">
        <v>656</v>
      </c>
      <c r="C1563" s="33" t="s">
        <v>620</v>
      </c>
      <c r="D1563" s="33" t="s">
        <v>621</v>
      </c>
      <c r="E1563" s="33" t="s">
        <v>658</v>
      </c>
      <c r="F1563" s="34">
        <v>10.5</v>
      </c>
    </row>
    <row r="1564" spans="1:6" x14ac:dyDescent="0.25">
      <c r="A1564" s="34">
        <v>137</v>
      </c>
      <c r="B1564" s="33" t="s">
        <v>656</v>
      </c>
      <c r="C1564" s="33" t="s">
        <v>620</v>
      </c>
      <c r="D1564" s="33" t="s">
        <v>621</v>
      </c>
      <c r="E1564" s="33" t="s">
        <v>629</v>
      </c>
      <c r="F1564" s="34">
        <v>42.5</v>
      </c>
    </row>
    <row r="1565" spans="1:6" x14ac:dyDescent="0.25">
      <c r="A1565" s="34">
        <v>137</v>
      </c>
      <c r="B1565" s="33" t="s">
        <v>656</v>
      </c>
      <c r="C1565" s="33" t="s">
        <v>620</v>
      </c>
      <c r="D1565" s="33" t="s">
        <v>630</v>
      </c>
      <c r="E1565" s="33" t="s">
        <v>631</v>
      </c>
      <c r="F1565" s="34">
        <v>75</v>
      </c>
    </row>
    <row r="1566" spans="1:6" x14ac:dyDescent="0.25">
      <c r="A1566" s="34">
        <v>137</v>
      </c>
      <c r="B1566" s="33" t="s">
        <v>656</v>
      </c>
      <c r="C1566" s="33" t="s">
        <v>620</v>
      </c>
      <c r="D1566" s="33" t="s">
        <v>630</v>
      </c>
      <c r="E1566" s="33" t="s">
        <v>632</v>
      </c>
      <c r="F1566" s="33" t="s">
        <v>462</v>
      </c>
    </row>
    <row r="1567" spans="1:6" x14ac:dyDescent="0.25">
      <c r="A1567" s="34">
        <v>137</v>
      </c>
      <c r="B1567" s="33" t="s">
        <v>656</v>
      </c>
      <c r="C1567" s="33" t="s">
        <v>620</v>
      </c>
      <c r="D1567" s="33" t="s">
        <v>630</v>
      </c>
      <c r="E1567" s="33" t="s">
        <v>633</v>
      </c>
      <c r="F1567" s="34">
        <v>75</v>
      </c>
    </row>
    <row r="1568" spans="1:6" x14ac:dyDescent="0.25">
      <c r="A1568" s="34">
        <v>137</v>
      </c>
      <c r="B1568" s="33" t="s">
        <v>656</v>
      </c>
      <c r="C1568" s="33" t="s">
        <v>634</v>
      </c>
      <c r="D1568" s="33" t="s">
        <v>621</v>
      </c>
      <c r="E1568" s="33" t="s">
        <v>659</v>
      </c>
      <c r="F1568" s="34">
        <v>16</v>
      </c>
    </row>
    <row r="1569" spans="1:6" x14ac:dyDescent="0.25">
      <c r="A1569" s="34">
        <v>137</v>
      </c>
      <c r="B1569" s="33" t="s">
        <v>656</v>
      </c>
      <c r="C1569" s="33" t="s">
        <v>634</v>
      </c>
      <c r="D1569" s="33" t="s">
        <v>621</v>
      </c>
      <c r="E1569" s="33" t="s">
        <v>660</v>
      </c>
      <c r="F1569" s="34">
        <v>8.1</v>
      </c>
    </row>
    <row r="1570" spans="1:6" x14ac:dyDescent="0.25">
      <c r="A1570" s="34">
        <v>137</v>
      </c>
      <c r="B1570" s="33" t="s">
        <v>656</v>
      </c>
      <c r="C1570" s="33" t="s">
        <v>634</v>
      </c>
      <c r="D1570" s="33" t="s">
        <v>621</v>
      </c>
      <c r="E1570" s="33" t="s">
        <v>638</v>
      </c>
      <c r="F1570" s="34">
        <v>47.5</v>
      </c>
    </row>
    <row r="1571" spans="1:6" x14ac:dyDescent="0.25">
      <c r="A1571" s="34">
        <v>137</v>
      </c>
      <c r="B1571" s="33" t="s">
        <v>656</v>
      </c>
      <c r="C1571" s="33" t="s">
        <v>634</v>
      </c>
      <c r="D1571" s="33" t="s">
        <v>630</v>
      </c>
      <c r="E1571" s="33" t="s">
        <v>639</v>
      </c>
      <c r="F1571" s="34">
        <v>72</v>
      </c>
    </row>
    <row r="1572" spans="1:6" x14ac:dyDescent="0.25">
      <c r="A1572" s="34">
        <v>137</v>
      </c>
      <c r="B1572" s="33" t="s">
        <v>656</v>
      </c>
      <c r="C1572" s="33" t="s">
        <v>634</v>
      </c>
      <c r="D1572" s="33" t="s">
        <v>630</v>
      </c>
      <c r="E1572" s="33" t="s">
        <v>640</v>
      </c>
      <c r="F1572" s="34">
        <v>85</v>
      </c>
    </row>
    <row r="1573" spans="1:6" x14ac:dyDescent="0.25">
      <c r="A1573" s="34">
        <v>137</v>
      </c>
      <c r="B1573" s="33" t="s">
        <v>656</v>
      </c>
      <c r="C1573" s="33" t="s">
        <v>634</v>
      </c>
      <c r="D1573" s="33" t="s">
        <v>630</v>
      </c>
      <c r="E1573" s="33" t="s">
        <v>661</v>
      </c>
      <c r="F1573" s="34">
        <v>85</v>
      </c>
    </row>
    <row r="1574" spans="1:6" x14ac:dyDescent="0.25">
      <c r="A1574" s="34">
        <v>137</v>
      </c>
      <c r="B1574" s="33" t="s">
        <v>656</v>
      </c>
      <c r="C1574" s="33" t="s">
        <v>642</v>
      </c>
      <c r="D1574" s="33" t="s">
        <v>621</v>
      </c>
      <c r="E1574" s="33" t="s">
        <v>662</v>
      </c>
      <c r="F1574" s="34">
        <v>10</v>
      </c>
    </row>
    <row r="1575" spans="1:6" x14ac:dyDescent="0.25">
      <c r="A1575" s="34">
        <v>137</v>
      </c>
      <c r="B1575" s="33" t="s">
        <v>656</v>
      </c>
      <c r="C1575" s="33" t="s">
        <v>642</v>
      </c>
      <c r="D1575" s="33" t="s">
        <v>621</v>
      </c>
      <c r="E1575" s="33" t="s">
        <v>663</v>
      </c>
      <c r="F1575" s="34">
        <v>8</v>
      </c>
    </row>
    <row r="1576" spans="1:6" x14ac:dyDescent="0.25">
      <c r="A1576" s="34">
        <v>137</v>
      </c>
      <c r="B1576" s="33" t="s">
        <v>656</v>
      </c>
      <c r="C1576" s="33" t="s">
        <v>642</v>
      </c>
      <c r="D1576" s="33" t="s">
        <v>621</v>
      </c>
      <c r="E1576" s="33" t="s">
        <v>664</v>
      </c>
      <c r="F1576" s="34">
        <v>10</v>
      </c>
    </row>
    <row r="1577" spans="1:6" x14ac:dyDescent="0.25">
      <c r="A1577" s="34">
        <v>137</v>
      </c>
      <c r="B1577" s="33" t="s">
        <v>656</v>
      </c>
      <c r="C1577" s="33" t="s">
        <v>642</v>
      </c>
      <c r="D1577" s="33" t="s">
        <v>621</v>
      </c>
      <c r="E1577" s="33" t="s">
        <v>665</v>
      </c>
      <c r="F1577" s="34">
        <v>44</v>
      </c>
    </row>
    <row r="1578" spans="1:6" x14ac:dyDescent="0.25">
      <c r="A1578" s="34">
        <v>137</v>
      </c>
      <c r="B1578" s="33" t="s">
        <v>656</v>
      </c>
      <c r="C1578" s="33" t="s">
        <v>642</v>
      </c>
      <c r="D1578" s="33" t="s">
        <v>630</v>
      </c>
      <c r="E1578" s="33" t="s">
        <v>650</v>
      </c>
      <c r="F1578" s="34">
        <v>75</v>
      </c>
    </row>
    <row r="1579" spans="1:6" x14ac:dyDescent="0.25">
      <c r="A1579" s="34">
        <v>137</v>
      </c>
      <c r="B1579" s="33" t="s">
        <v>656</v>
      </c>
      <c r="C1579" s="33" t="s">
        <v>642</v>
      </c>
      <c r="D1579" s="33" t="s">
        <v>630</v>
      </c>
      <c r="E1579" s="33" t="s">
        <v>651</v>
      </c>
      <c r="F1579" s="33" t="s">
        <v>462</v>
      </c>
    </row>
    <row r="1580" spans="1:6" x14ac:dyDescent="0.25">
      <c r="A1580" s="34">
        <v>137</v>
      </c>
      <c r="B1580" s="33" t="s">
        <v>656</v>
      </c>
      <c r="C1580" s="33" t="s">
        <v>642</v>
      </c>
      <c r="D1580" s="33" t="s">
        <v>630</v>
      </c>
      <c r="E1580" s="33" t="s">
        <v>652</v>
      </c>
      <c r="F1580" s="34">
        <v>75</v>
      </c>
    </row>
    <row r="1581" spans="1:6" x14ac:dyDescent="0.25">
      <c r="A1581" s="34">
        <v>137</v>
      </c>
      <c r="B1581" s="33" t="s">
        <v>656</v>
      </c>
      <c r="C1581" s="33" t="s">
        <v>653</v>
      </c>
      <c r="D1581" s="33" t="s">
        <v>621</v>
      </c>
      <c r="E1581" s="33" t="s">
        <v>666</v>
      </c>
      <c r="F1581" s="34">
        <v>21</v>
      </c>
    </row>
    <row r="1582" spans="1:6" x14ac:dyDescent="0.25">
      <c r="A1582" s="34">
        <v>137</v>
      </c>
      <c r="B1582" s="33" t="s">
        <v>656</v>
      </c>
      <c r="C1582" s="33" t="s">
        <v>653</v>
      </c>
      <c r="D1582" s="33" t="s">
        <v>621</v>
      </c>
      <c r="E1582" s="33" t="s">
        <v>667</v>
      </c>
      <c r="F1582" s="34">
        <v>8</v>
      </c>
    </row>
    <row r="1583" spans="1:6" x14ac:dyDescent="0.25">
      <c r="A1583" s="34">
        <v>137</v>
      </c>
      <c r="B1583" s="33" t="s">
        <v>656</v>
      </c>
      <c r="C1583" s="33" t="s">
        <v>653</v>
      </c>
      <c r="D1583" s="33" t="s">
        <v>653</v>
      </c>
      <c r="E1583" s="33" t="s">
        <v>668</v>
      </c>
      <c r="F1583" s="34">
        <v>27</v>
      </c>
    </row>
    <row r="1584" spans="1:6" x14ac:dyDescent="0.25">
      <c r="A1584" s="34">
        <v>137</v>
      </c>
      <c r="B1584" s="33" t="s">
        <v>656</v>
      </c>
      <c r="C1584" s="33" t="s">
        <v>653</v>
      </c>
      <c r="D1584" s="33" t="s">
        <v>653</v>
      </c>
      <c r="E1584" s="33" t="s">
        <v>669</v>
      </c>
      <c r="F1584" s="34">
        <v>95</v>
      </c>
    </row>
    <row r="1585" spans="1:6" x14ac:dyDescent="0.25">
      <c r="A1585" s="34">
        <v>137</v>
      </c>
      <c r="B1585" s="33" t="s">
        <v>656</v>
      </c>
      <c r="C1585" s="33" t="s">
        <v>653</v>
      </c>
      <c r="D1585" s="33" t="s">
        <v>653</v>
      </c>
      <c r="E1585" s="33" t="s">
        <v>654</v>
      </c>
      <c r="F1585" s="34">
        <v>72</v>
      </c>
    </row>
  </sheetData>
  <mergeCells count="6">
    <mergeCell ref="E1467:F1467"/>
    <mergeCell ref="E540:F540"/>
    <mergeCell ref="E564:F564"/>
    <mergeCell ref="E1020:F1020"/>
    <mergeCell ref="E1130:F1130"/>
    <mergeCell ref="E1466:F14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30"/>
  <sheetViews>
    <sheetView workbookViewId="0">
      <pane ySplit="1" topLeftCell="A2" activePane="bottomLeft" state="frozen"/>
      <selection pane="bottomLeft" activeCell="B27" sqref="B27:B29"/>
    </sheetView>
  </sheetViews>
  <sheetFormatPr defaultColWidth="14.42578125" defaultRowHeight="15" customHeight="1" x14ac:dyDescent="0.2"/>
  <cols>
    <col min="1" max="2" width="22.7109375" customWidth="1"/>
  </cols>
  <sheetData>
    <row r="1" spans="1:3" ht="15" customHeight="1" x14ac:dyDescent="0.2">
      <c r="A1" s="24" t="s">
        <v>617</v>
      </c>
      <c r="B1" s="24" t="s">
        <v>672</v>
      </c>
      <c r="C1" s="24" t="s">
        <v>673</v>
      </c>
    </row>
    <row r="2" spans="1:3" ht="15" customHeight="1" x14ac:dyDescent="0.2">
      <c r="A2" s="35" t="s">
        <v>674</v>
      </c>
      <c r="B2" s="35" t="s">
        <v>621</v>
      </c>
      <c r="C2" s="21">
        <v>1</v>
      </c>
    </row>
    <row r="3" spans="1:3" ht="15" customHeight="1" x14ac:dyDescent="0.2">
      <c r="A3" s="35" t="s">
        <v>432</v>
      </c>
      <c r="B3" s="35" t="s">
        <v>621</v>
      </c>
      <c r="C3" s="21">
        <v>1</v>
      </c>
    </row>
    <row r="4" spans="1:3" ht="15" customHeight="1" x14ac:dyDescent="0.2">
      <c r="A4" s="35" t="s">
        <v>433</v>
      </c>
      <c r="B4" s="35" t="s">
        <v>621</v>
      </c>
      <c r="C4" s="21">
        <v>1</v>
      </c>
    </row>
    <row r="5" spans="1:3" ht="15" customHeight="1" x14ac:dyDescent="0.2">
      <c r="A5" s="35" t="s">
        <v>675</v>
      </c>
      <c r="B5" s="35" t="s">
        <v>621</v>
      </c>
      <c r="C5" s="21">
        <v>1</v>
      </c>
    </row>
    <row r="6" spans="1:3" ht="15" customHeight="1" x14ac:dyDescent="0.2">
      <c r="A6" s="35" t="s">
        <v>676</v>
      </c>
      <c r="B6" s="35" t="s">
        <v>621</v>
      </c>
      <c r="C6" s="21">
        <v>1</v>
      </c>
    </row>
    <row r="7" spans="1:3" ht="15" customHeight="1" x14ac:dyDescent="0.2">
      <c r="A7" s="35" t="s">
        <v>677</v>
      </c>
      <c r="B7" s="35" t="s">
        <v>621</v>
      </c>
      <c r="C7" s="21">
        <v>1</v>
      </c>
    </row>
    <row r="8" spans="1:3" ht="15" customHeight="1" x14ac:dyDescent="0.2">
      <c r="A8" s="35" t="s">
        <v>437</v>
      </c>
      <c r="B8" s="35" t="s">
        <v>621</v>
      </c>
      <c r="C8" s="21">
        <v>5</v>
      </c>
    </row>
    <row r="9" spans="1:3" ht="15" customHeight="1" x14ac:dyDescent="0.2">
      <c r="A9" s="35" t="s">
        <v>438</v>
      </c>
      <c r="B9" s="35" t="s">
        <v>621</v>
      </c>
      <c r="C9" s="21">
        <v>50</v>
      </c>
    </row>
    <row r="10" spans="1:3" ht="15" customHeight="1" x14ac:dyDescent="0.2">
      <c r="A10" s="35" t="s">
        <v>439</v>
      </c>
      <c r="B10" s="35" t="s">
        <v>630</v>
      </c>
      <c r="C10" s="21">
        <v>100</v>
      </c>
    </row>
    <row r="11" spans="1:3" ht="15" customHeight="1" x14ac:dyDescent="0.2">
      <c r="A11" s="35" t="s">
        <v>440</v>
      </c>
      <c r="B11" s="35" t="s">
        <v>630</v>
      </c>
    </row>
    <row r="12" spans="1:3" ht="15" customHeight="1" x14ac:dyDescent="0.2">
      <c r="A12" s="35" t="s">
        <v>441</v>
      </c>
      <c r="B12" s="35" t="s">
        <v>630</v>
      </c>
    </row>
    <row r="13" spans="1:3" ht="15" customHeight="1" x14ac:dyDescent="0.2">
      <c r="A13" s="35" t="s">
        <v>442</v>
      </c>
      <c r="B13" s="35" t="s">
        <v>621</v>
      </c>
      <c r="C13" s="21">
        <v>1</v>
      </c>
    </row>
    <row r="14" spans="1:3" ht="15" customHeight="1" x14ac:dyDescent="0.2">
      <c r="A14" s="35" t="s">
        <v>443</v>
      </c>
      <c r="B14" s="35" t="s">
        <v>621</v>
      </c>
      <c r="C14" s="21">
        <v>1</v>
      </c>
    </row>
    <row r="15" spans="1:3" ht="15" customHeight="1" x14ac:dyDescent="0.2">
      <c r="A15" s="35" t="s">
        <v>678</v>
      </c>
      <c r="B15" s="35" t="s">
        <v>621</v>
      </c>
      <c r="C15" s="21">
        <v>5</v>
      </c>
    </row>
    <row r="16" spans="1:3" ht="15" customHeight="1" x14ac:dyDescent="0.2">
      <c r="A16" s="35" t="s">
        <v>445</v>
      </c>
      <c r="B16" s="35" t="s">
        <v>621</v>
      </c>
      <c r="C16" s="21">
        <v>50</v>
      </c>
    </row>
    <row r="17" spans="1:3" ht="15" customHeight="1" x14ac:dyDescent="0.2">
      <c r="A17" s="35" t="s">
        <v>446</v>
      </c>
      <c r="B17" s="35" t="s">
        <v>630</v>
      </c>
      <c r="C17" s="21">
        <v>100</v>
      </c>
    </row>
    <row r="18" spans="1:3" ht="15" customHeight="1" x14ac:dyDescent="0.2">
      <c r="A18" s="35" t="s">
        <v>447</v>
      </c>
      <c r="B18" s="35" t="s">
        <v>630</v>
      </c>
    </row>
    <row r="19" spans="1:3" ht="15" customHeight="1" x14ac:dyDescent="0.2">
      <c r="A19" s="35" t="s">
        <v>448</v>
      </c>
      <c r="B19" s="35" t="s">
        <v>630</v>
      </c>
    </row>
    <row r="20" spans="1:3" ht="15" customHeight="1" x14ac:dyDescent="0.2">
      <c r="A20" s="35" t="s">
        <v>679</v>
      </c>
      <c r="B20" s="35" t="s">
        <v>621</v>
      </c>
      <c r="C20" s="21">
        <v>5</v>
      </c>
    </row>
    <row r="21" spans="1:3" ht="15" customHeight="1" x14ac:dyDescent="0.2">
      <c r="A21" s="35" t="s">
        <v>450</v>
      </c>
      <c r="B21" s="35" t="s">
        <v>621</v>
      </c>
      <c r="C21" s="21">
        <v>5</v>
      </c>
    </row>
    <row r="22" spans="1:3" ht="15" customHeight="1" x14ac:dyDescent="0.2">
      <c r="A22" s="35" t="s">
        <v>451</v>
      </c>
      <c r="B22" s="35" t="s">
        <v>621</v>
      </c>
      <c r="C22" s="21">
        <v>5</v>
      </c>
    </row>
    <row r="23" spans="1:3" ht="15" customHeight="1" x14ac:dyDescent="0.2">
      <c r="A23" s="35" t="s">
        <v>452</v>
      </c>
      <c r="B23" s="35" t="s">
        <v>621</v>
      </c>
      <c r="C23" s="21">
        <v>5</v>
      </c>
    </row>
    <row r="24" spans="1:3" ht="15" customHeight="1" x14ac:dyDescent="0.2">
      <c r="A24" s="35" t="s">
        <v>453</v>
      </c>
      <c r="B24" s="35" t="s">
        <v>621</v>
      </c>
      <c r="C24" s="21">
        <v>5</v>
      </c>
    </row>
    <row r="25" spans="1:3" ht="15" customHeight="1" x14ac:dyDescent="0.2">
      <c r="A25" s="36" t="s">
        <v>454</v>
      </c>
      <c r="B25" s="35" t="s">
        <v>621</v>
      </c>
      <c r="C25" s="21">
        <v>5</v>
      </c>
    </row>
    <row r="26" spans="1:3" ht="15" customHeight="1" x14ac:dyDescent="0.2">
      <c r="A26" s="35" t="s">
        <v>455</v>
      </c>
      <c r="B26" s="35" t="s">
        <v>621</v>
      </c>
      <c r="C26" s="21">
        <v>50</v>
      </c>
    </row>
    <row r="27" spans="1:3" ht="15" customHeight="1" x14ac:dyDescent="0.2">
      <c r="A27" s="35" t="s">
        <v>456</v>
      </c>
      <c r="B27" s="35" t="s">
        <v>630</v>
      </c>
      <c r="C27" s="21">
        <v>100</v>
      </c>
    </row>
    <row r="28" spans="1:3" ht="15" customHeight="1" x14ac:dyDescent="0.2">
      <c r="A28" s="35" t="s">
        <v>457</v>
      </c>
      <c r="B28" s="35" t="s">
        <v>630</v>
      </c>
    </row>
    <row r="29" spans="1:3" ht="15" customHeight="1" x14ac:dyDescent="0.2">
      <c r="A29" s="35" t="s">
        <v>458</v>
      </c>
      <c r="B29" s="35" t="s">
        <v>630</v>
      </c>
    </row>
    <row r="30" spans="1:3" ht="15" customHeight="1" x14ac:dyDescent="0.2">
      <c r="A30" s="37" t="s">
        <v>680</v>
      </c>
      <c r="B30" s="37" t="s">
        <v>653</v>
      </c>
      <c r="C30" s="2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25"/>
  <sheetViews>
    <sheetView workbookViewId="0">
      <pane ySplit="1" topLeftCell="A2" activePane="bottomLeft" state="frozen"/>
      <selection pane="bottomLeft" activeCell="B27" sqref="B27"/>
    </sheetView>
  </sheetViews>
  <sheetFormatPr defaultColWidth="14.42578125" defaultRowHeight="15" customHeight="1" x14ac:dyDescent="0.2"/>
  <cols>
    <col min="1" max="2" width="22.7109375" customWidth="1"/>
  </cols>
  <sheetData>
    <row r="1" spans="1:3" ht="15" customHeight="1" x14ac:dyDescent="0.2">
      <c r="A1" s="24" t="s">
        <v>617</v>
      </c>
      <c r="B1" s="24" t="s">
        <v>672</v>
      </c>
      <c r="C1" s="24" t="s">
        <v>673</v>
      </c>
    </row>
    <row r="2" spans="1:3" ht="15" customHeight="1" x14ac:dyDescent="0.2">
      <c r="A2" s="38" t="s">
        <v>535</v>
      </c>
      <c r="B2" s="20" t="s">
        <v>621</v>
      </c>
      <c r="C2" s="21">
        <v>15</v>
      </c>
    </row>
    <row r="3" spans="1:3" ht="15" customHeight="1" x14ac:dyDescent="0.2">
      <c r="A3" s="38" t="s">
        <v>536</v>
      </c>
      <c r="B3" s="20" t="s">
        <v>621</v>
      </c>
      <c r="C3" s="21">
        <v>14</v>
      </c>
    </row>
    <row r="4" spans="1:3" ht="15" customHeight="1" x14ac:dyDescent="0.2">
      <c r="A4" s="38" t="s">
        <v>438</v>
      </c>
      <c r="B4" s="20" t="s">
        <v>621</v>
      </c>
      <c r="C4" s="21">
        <v>50</v>
      </c>
    </row>
    <row r="5" spans="1:3" ht="15" customHeight="1" x14ac:dyDescent="0.2">
      <c r="A5" s="38" t="s">
        <v>439</v>
      </c>
      <c r="B5" s="20" t="s">
        <v>630</v>
      </c>
      <c r="C5" s="21">
        <v>100</v>
      </c>
    </row>
    <row r="6" spans="1:3" ht="15" customHeight="1" x14ac:dyDescent="0.2">
      <c r="A6" s="38" t="s">
        <v>440</v>
      </c>
      <c r="B6" s="20" t="s">
        <v>630</v>
      </c>
    </row>
    <row r="7" spans="1:3" ht="15" customHeight="1" x14ac:dyDescent="0.2">
      <c r="A7" s="38" t="s">
        <v>681</v>
      </c>
      <c r="B7" s="20" t="s">
        <v>630</v>
      </c>
    </row>
    <row r="8" spans="1:3" ht="15" customHeight="1" x14ac:dyDescent="0.2">
      <c r="A8" s="38" t="s">
        <v>537</v>
      </c>
      <c r="B8" s="20" t="s">
        <v>621</v>
      </c>
      <c r="C8" s="21">
        <v>18</v>
      </c>
    </row>
    <row r="9" spans="1:3" ht="15" customHeight="1" x14ac:dyDescent="0.2">
      <c r="A9" s="38" t="s">
        <v>538</v>
      </c>
      <c r="B9" s="20" t="s">
        <v>682</v>
      </c>
      <c r="C9" s="21">
        <v>12</v>
      </c>
    </row>
    <row r="10" spans="1:3" ht="15" customHeight="1" x14ac:dyDescent="0.2">
      <c r="A10" s="38" t="s">
        <v>445</v>
      </c>
      <c r="B10" s="20" t="s">
        <v>621</v>
      </c>
      <c r="C10" s="21">
        <v>50</v>
      </c>
    </row>
    <row r="11" spans="1:3" ht="15" customHeight="1" x14ac:dyDescent="0.2">
      <c r="A11" s="38" t="s">
        <v>446</v>
      </c>
      <c r="B11" s="20" t="s">
        <v>630</v>
      </c>
      <c r="C11" s="21">
        <v>100</v>
      </c>
    </row>
    <row r="12" spans="1:3" ht="15" customHeight="1" x14ac:dyDescent="0.2">
      <c r="A12" s="38" t="s">
        <v>447</v>
      </c>
      <c r="B12" s="20" t="s">
        <v>630</v>
      </c>
    </row>
    <row r="13" spans="1:3" ht="15" customHeight="1" x14ac:dyDescent="0.2">
      <c r="A13" s="38" t="s">
        <v>683</v>
      </c>
      <c r="B13" s="20" t="s">
        <v>630</v>
      </c>
    </row>
    <row r="14" spans="1:3" ht="15" customHeight="1" x14ac:dyDescent="0.2">
      <c r="A14" s="38" t="s">
        <v>541</v>
      </c>
      <c r="B14" s="20" t="s">
        <v>621</v>
      </c>
      <c r="C14" s="21">
        <v>10</v>
      </c>
    </row>
    <row r="15" spans="1:3" ht="15" customHeight="1" x14ac:dyDescent="0.2">
      <c r="A15" s="38" t="s">
        <v>542</v>
      </c>
      <c r="B15" s="20" t="s">
        <v>621</v>
      </c>
      <c r="C15" s="21">
        <v>10</v>
      </c>
    </row>
    <row r="16" spans="1:3" ht="15" customHeight="1" x14ac:dyDescent="0.2">
      <c r="A16" s="38" t="s">
        <v>543</v>
      </c>
      <c r="B16" s="20" t="s">
        <v>621</v>
      </c>
      <c r="C16" s="21">
        <v>11</v>
      </c>
    </row>
    <row r="17" spans="1:3" ht="15" customHeight="1" x14ac:dyDescent="0.2">
      <c r="A17" s="38" t="s">
        <v>684</v>
      </c>
      <c r="B17" s="20" t="s">
        <v>621</v>
      </c>
      <c r="C17" s="21">
        <v>50</v>
      </c>
    </row>
    <row r="18" spans="1:3" ht="15" customHeight="1" x14ac:dyDescent="0.2">
      <c r="A18" s="38" t="s">
        <v>456</v>
      </c>
      <c r="B18" s="20" t="s">
        <v>630</v>
      </c>
      <c r="C18" s="21">
        <v>100</v>
      </c>
    </row>
    <row r="19" spans="1:3" ht="15" customHeight="1" x14ac:dyDescent="0.2">
      <c r="A19" s="38" t="s">
        <v>457</v>
      </c>
      <c r="B19" s="20" t="s">
        <v>630</v>
      </c>
    </row>
    <row r="20" spans="1:3" ht="15" customHeight="1" x14ac:dyDescent="0.2">
      <c r="A20" s="38" t="s">
        <v>685</v>
      </c>
      <c r="B20" s="20" t="s">
        <v>630</v>
      </c>
    </row>
    <row r="21" spans="1:3" ht="15" customHeight="1" x14ac:dyDescent="0.2">
      <c r="A21" s="38" t="s">
        <v>545</v>
      </c>
      <c r="B21" s="20" t="s">
        <v>621</v>
      </c>
      <c r="C21" s="21">
        <v>22</v>
      </c>
    </row>
    <row r="22" spans="1:3" ht="15" customHeight="1" x14ac:dyDescent="0.2">
      <c r="A22" s="38" t="s">
        <v>546</v>
      </c>
      <c r="B22" s="20" t="s">
        <v>621</v>
      </c>
      <c r="C22" s="21">
        <v>10</v>
      </c>
    </row>
    <row r="23" spans="1:3" ht="15" customHeight="1" x14ac:dyDescent="0.2">
      <c r="A23" s="38" t="s">
        <v>547</v>
      </c>
      <c r="B23" s="20" t="s">
        <v>621</v>
      </c>
      <c r="C23" s="21">
        <v>28</v>
      </c>
    </row>
    <row r="24" spans="1:3" ht="15" customHeight="1" x14ac:dyDescent="0.2">
      <c r="A24" s="38" t="s">
        <v>548</v>
      </c>
      <c r="B24" s="20" t="s">
        <v>621</v>
      </c>
      <c r="C24" s="21">
        <v>50</v>
      </c>
    </row>
    <row r="25" spans="1:3" ht="15" customHeight="1" x14ac:dyDescent="0.2">
      <c r="A25" s="38" t="s">
        <v>459</v>
      </c>
      <c r="B25" s="21" t="s">
        <v>653</v>
      </c>
      <c r="C25" s="2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38"/>
  <sheetViews>
    <sheetView workbookViewId="0">
      <pane ySplit="1" topLeftCell="A11" activePane="bottomLeft" state="frozen"/>
      <selection pane="bottomLeft" activeCell="B3" sqref="B3"/>
    </sheetView>
  </sheetViews>
  <sheetFormatPr defaultColWidth="14.42578125" defaultRowHeight="15" customHeight="1" x14ac:dyDescent="0.2"/>
  <cols>
    <col min="2" max="2" width="10.140625" customWidth="1"/>
  </cols>
  <sheetData>
    <row r="1" spans="1:4" ht="15" customHeight="1" x14ac:dyDescent="0.2">
      <c r="A1" s="24" t="s">
        <v>686</v>
      </c>
      <c r="B1" s="14" t="s">
        <v>429</v>
      </c>
      <c r="C1" s="24" t="s">
        <v>687</v>
      </c>
      <c r="D1" s="24" t="s">
        <v>688</v>
      </c>
    </row>
    <row r="2" spans="1:4" x14ac:dyDescent="0.25">
      <c r="A2" s="17" t="s">
        <v>460</v>
      </c>
      <c r="B2" s="18" t="s">
        <v>461</v>
      </c>
      <c r="C2" s="19" t="s">
        <v>9</v>
      </c>
      <c r="D2" s="21" t="s">
        <v>619</v>
      </c>
    </row>
    <row r="3" spans="1:4" x14ac:dyDescent="0.25">
      <c r="A3" s="17" t="s">
        <v>463</v>
      </c>
      <c r="B3" s="18" t="s">
        <v>464</v>
      </c>
      <c r="C3" s="19" t="s">
        <v>9</v>
      </c>
      <c r="D3" s="21" t="s">
        <v>619</v>
      </c>
    </row>
    <row r="4" spans="1:4" x14ac:dyDescent="0.25">
      <c r="A4" s="17" t="s">
        <v>465</v>
      </c>
      <c r="B4" s="18" t="s">
        <v>464</v>
      </c>
      <c r="C4" s="19" t="s">
        <v>9</v>
      </c>
      <c r="D4" s="21" t="s">
        <v>619</v>
      </c>
    </row>
    <row r="5" spans="1:4" x14ac:dyDescent="0.25">
      <c r="A5" s="17" t="s">
        <v>466</v>
      </c>
      <c r="B5" s="18" t="s">
        <v>461</v>
      </c>
      <c r="C5" s="19" t="s">
        <v>9</v>
      </c>
      <c r="D5" s="21" t="s">
        <v>619</v>
      </c>
    </row>
    <row r="6" spans="1:4" x14ac:dyDescent="0.25">
      <c r="A6" s="17" t="s">
        <v>467</v>
      </c>
      <c r="B6" s="18" t="s">
        <v>461</v>
      </c>
      <c r="C6" s="19" t="s">
        <v>9</v>
      </c>
      <c r="D6" s="21" t="s">
        <v>619</v>
      </c>
    </row>
    <row r="7" spans="1:4" x14ac:dyDescent="0.25">
      <c r="A7" s="17" t="s">
        <v>468</v>
      </c>
      <c r="B7" s="18" t="s">
        <v>461</v>
      </c>
      <c r="C7" s="19" t="s">
        <v>10</v>
      </c>
      <c r="D7" s="21" t="s">
        <v>619</v>
      </c>
    </row>
    <row r="8" spans="1:4" x14ac:dyDescent="0.25">
      <c r="A8" s="17" t="s">
        <v>469</v>
      </c>
      <c r="B8" s="18" t="s">
        <v>461</v>
      </c>
      <c r="C8" s="19" t="s">
        <v>9</v>
      </c>
      <c r="D8" s="21" t="s">
        <v>619</v>
      </c>
    </row>
    <row r="9" spans="1:4" x14ac:dyDescent="0.25">
      <c r="A9" s="17" t="s">
        <v>470</v>
      </c>
      <c r="B9" s="18" t="s">
        <v>464</v>
      </c>
      <c r="C9" s="19" t="s">
        <v>8</v>
      </c>
      <c r="D9" s="21" t="s">
        <v>619</v>
      </c>
    </row>
    <row r="10" spans="1:4" x14ac:dyDescent="0.25">
      <c r="A10" s="17" t="s">
        <v>471</v>
      </c>
      <c r="B10" s="18" t="s">
        <v>461</v>
      </c>
      <c r="C10" s="19" t="s">
        <v>9</v>
      </c>
      <c r="D10" s="21" t="s">
        <v>619</v>
      </c>
    </row>
    <row r="11" spans="1:4" x14ac:dyDescent="0.25">
      <c r="A11" s="17" t="s">
        <v>472</v>
      </c>
      <c r="B11" s="18" t="s">
        <v>461</v>
      </c>
      <c r="C11" s="19" t="s">
        <v>8</v>
      </c>
      <c r="D11" s="21" t="s">
        <v>619</v>
      </c>
    </row>
    <row r="12" spans="1:4" x14ac:dyDescent="0.25">
      <c r="A12" s="17" t="s">
        <v>473</v>
      </c>
      <c r="B12" s="18" t="s">
        <v>464</v>
      </c>
      <c r="C12" s="19" t="s">
        <v>9</v>
      </c>
      <c r="D12" s="21" t="s">
        <v>619</v>
      </c>
    </row>
    <row r="13" spans="1:4" x14ac:dyDescent="0.25">
      <c r="A13" s="17" t="s">
        <v>474</v>
      </c>
      <c r="B13" s="18" t="s">
        <v>461</v>
      </c>
      <c r="C13" s="19" t="s">
        <v>9</v>
      </c>
      <c r="D13" s="21" t="s">
        <v>619</v>
      </c>
    </row>
    <row r="14" spans="1:4" x14ac:dyDescent="0.25">
      <c r="A14" s="17" t="s">
        <v>475</v>
      </c>
      <c r="B14" s="18" t="s">
        <v>461</v>
      </c>
      <c r="C14" s="19" t="s">
        <v>8</v>
      </c>
      <c r="D14" s="21" t="s">
        <v>619</v>
      </c>
    </row>
    <row r="15" spans="1:4" x14ac:dyDescent="0.25">
      <c r="A15" s="17" t="s">
        <v>476</v>
      </c>
      <c r="B15" s="18" t="s">
        <v>461</v>
      </c>
      <c r="C15" s="19" t="s">
        <v>9</v>
      </c>
      <c r="D15" s="21" t="s">
        <v>619</v>
      </c>
    </row>
    <row r="16" spans="1:4" x14ac:dyDescent="0.25">
      <c r="A16" s="17" t="s">
        <v>477</v>
      </c>
      <c r="B16" s="18" t="s">
        <v>461</v>
      </c>
      <c r="C16" s="19" t="s">
        <v>8</v>
      </c>
      <c r="D16" s="21" t="s">
        <v>619</v>
      </c>
    </row>
    <row r="17" spans="1:4" x14ac:dyDescent="0.25">
      <c r="A17" s="17" t="s">
        <v>478</v>
      </c>
      <c r="B17" s="18" t="s">
        <v>464</v>
      </c>
      <c r="C17" s="19" t="s">
        <v>9</v>
      </c>
      <c r="D17" s="21" t="s">
        <v>619</v>
      </c>
    </row>
    <row r="18" spans="1:4" x14ac:dyDescent="0.25">
      <c r="A18" s="17" t="s">
        <v>479</v>
      </c>
      <c r="B18" s="18" t="s">
        <v>461</v>
      </c>
      <c r="C18" s="19" t="s">
        <v>9</v>
      </c>
      <c r="D18" s="21" t="s">
        <v>619</v>
      </c>
    </row>
    <row r="19" spans="1:4" x14ac:dyDescent="0.25">
      <c r="A19" s="17" t="s">
        <v>480</v>
      </c>
      <c r="B19" s="18" t="s">
        <v>464</v>
      </c>
      <c r="C19" s="19" t="s">
        <v>9</v>
      </c>
      <c r="D19" s="21" t="s">
        <v>619</v>
      </c>
    </row>
    <row r="20" spans="1:4" x14ac:dyDescent="0.25">
      <c r="A20" s="17" t="s">
        <v>481</v>
      </c>
      <c r="B20" s="18" t="s">
        <v>464</v>
      </c>
      <c r="C20" s="19" t="s">
        <v>9</v>
      </c>
      <c r="D20" s="21" t="s">
        <v>619</v>
      </c>
    </row>
    <row r="21" spans="1:4" x14ac:dyDescent="0.25">
      <c r="A21" s="17" t="s">
        <v>482</v>
      </c>
      <c r="B21" s="18" t="s">
        <v>461</v>
      </c>
      <c r="C21" s="19" t="s">
        <v>8</v>
      </c>
      <c r="D21" s="21" t="s">
        <v>619</v>
      </c>
    </row>
    <row r="22" spans="1:4" x14ac:dyDescent="0.25">
      <c r="A22" s="17" t="s">
        <v>483</v>
      </c>
      <c r="B22" s="18" t="s">
        <v>464</v>
      </c>
      <c r="C22" s="19" t="s">
        <v>9</v>
      </c>
      <c r="D22" s="21" t="s">
        <v>619</v>
      </c>
    </row>
    <row r="23" spans="1:4" x14ac:dyDescent="0.25">
      <c r="A23" s="17" t="s">
        <v>484</v>
      </c>
      <c r="B23" s="18" t="s">
        <v>464</v>
      </c>
      <c r="C23" s="19" t="s">
        <v>9</v>
      </c>
      <c r="D23" s="21" t="s">
        <v>619</v>
      </c>
    </row>
    <row r="24" spans="1:4" x14ac:dyDescent="0.25">
      <c r="A24" s="17" t="s">
        <v>485</v>
      </c>
      <c r="B24" s="18" t="s">
        <v>464</v>
      </c>
      <c r="C24" s="19" t="s">
        <v>10</v>
      </c>
      <c r="D24" s="21" t="s">
        <v>619</v>
      </c>
    </row>
    <row r="25" spans="1:4" x14ac:dyDescent="0.25">
      <c r="A25" s="17" t="s">
        <v>486</v>
      </c>
      <c r="B25" s="18" t="s">
        <v>464</v>
      </c>
      <c r="C25" s="19" t="s">
        <v>8</v>
      </c>
      <c r="D25" s="21" t="s">
        <v>619</v>
      </c>
    </row>
    <row r="26" spans="1:4" x14ac:dyDescent="0.25">
      <c r="A26" s="17" t="s">
        <v>487</v>
      </c>
      <c r="B26" s="18" t="s">
        <v>464</v>
      </c>
      <c r="C26" s="19" t="s">
        <v>10</v>
      </c>
      <c r="D26" s="21" t="s">
        <v>619</v>
      </c>
    </row>
    <row r="27" spans="1:4" x14ac:dyDescent="0.25">
      <c r="A27" s="17" t="s">
        <v>488</v>
      </c>
      <c r="B27" s="18" t="s">
        <v>464</v>
      </c>
      <c r="C27" s="19" t="s">
        <v>9</v>
      </c>
      <c r="D27" s="21" t="s">
        <v>619</v>
      </c>
    </row>
    <row r="28" spans="1:4" x14ac:dyDescent="0.25">
      <c r="A28" s="17" t="s">
        <v>489</v>
      </c>
      <c r="B28" s="18" t="s">
        <v>461</v>
      </c>
      <c r="C28" s="19" t="s">
        <v>8</v>
      </c>
      <c r="D28" s="21" t="s">
        <v>619</v>
      </c>
    </row>
    <row r="29" spans="1:4" x14ac:dyDescent="0.25">
      <c r="A29" s="17" t="s">
        <v>490</v>
      </c>
      <c r="B29" s="18" t="s">
        <v>461</v>
      </c>
      <c r="C29" s="19" t="s">
        <v>8</v>
      </c>
      <c r="D29" s="21" t="s">
        <v>619</v>
      </c>
    </row>
    <row r="30" spans="1:4" x14ac:dyDescent="0.25">
      <c r="A30" s="17" t="s">
        <v>491</v>
      </c>
      <c r="B30" s="18" t="s">
        <v>464</v>
      </c>
      <c r="C30" s="19" t="s">
        <v>9</v>
      </c>
      <c r="D30" s="21" t="s">
        <v>619</v>
      </c>
    </row>
    <row r="31" spans="1:4" x14ac:dyDescent="0.25">
      <c r="A31" s="17" t="s">
        <v>492</v>
      </c>
      <c r="B31" s="18" t="s">
        <v>461</v>
      </c>
      <c r="C31" s="19" t="s">
        <v>8</v>
      </c>
      <c r="D31" s="21" t="s">
        <v>619</v>
      </c>
    </row>
    <row r="32" spans="1:4" x14ac:dyDescent="0.25">
      <c r="A32" s="17" t="s">
        <v>493</v>
      </c>
      <c r="B32" s="18" t="s">
        <v>464</v>
      </c>
      <c r="C32" s="19" t="s">
        <v>9</v>
      </c>
      <c r="D32" s="21" t="s">
        <v>619</v>
      </c>
    </row>
    <row r="33" spans="1:4" x14ac:dyDescent="0.25">
      <c r="A33" s="17" t="s">
        <v>494</v>
      </c>
      <c r="B33" s="18" t="s">
        <v>464</v>
      </c>
      <c r="C33" s="19" t="s">
        <v>8</v>
      </c>
      <c r="D33" s="21" t="s">
        <v>619</v>
      </c>
    </row>
    <row r="34" spans="1:4" x14ac:dyDescent="0.25">
      <c r="A34" s="17" t="s">
        <v>495</v>
      </c>
      <c r="B34" s="18" t="s">
        <v>461</v>
      </c>
      <c r="C34" s="19" t="s">
        <v>9</v>
      </c>
      <c r="D34" s="21" t="s">
        <v>619</v>
      </c>
    </row>
    <row r="35" spans="1:4" x14ac:dyDescent="0.25">
      <c r="A35" s="17" t="s">
        <v>496</v>
      </c>
      <c r="B35" s="18" t="s">
        <v>461</v>
      </c>
      <c r="C35" s="19" t="s">
        <v>9</v>
      </c>
      <c r="D35" s="21" t="s">
        <v>619</v>
      </c>
    </row>
    <row r="36" spans="1:4" x14ac:dyDescent="0.25">
      <c r="A36" s="17" t="s">
        <v>497</v>
      </c>
      <c r="B36" s="18" t="s">
        <v>464</v>
      </c>
      <c r="C36" s="19" t="s">
        <v>8</v>
      </c>
      <c r="D36" s="21" t="s">
        <v>619</v>
      </c>
    </row>
    <row r="37" spans="1:4" x14ac:dyDescent="0.25">
      <c r="A37" s="17" t="s">
        <v>498</v>
      </c>
      <c r="B37" s="22" t="s">
        <v>461</v>
      </c>
      <c r="C37" s="19" t="s">
        <v>9</v>
      </c>
      <c r="D37" s="21" t="s">
        <v>619</v>
      </c>
    </row>
    <row r="38" spans="1:4" x14ac:dyDescent="0.25">
      <c r="A38" s="17" t="s">
        <v>499</v>
      </c>
      <c r="B38" s="22" t="s">
        <v>461</v>
      </c>
      <c r="C38" s="19" t="s">
        <v>9</v>
      </c>
      <c r="D38" s="21" t="s">
        <v>619</v>
      </c>
    </row>
    <row r="39" spans="1:4" x14ac:dyDescent="0.25">
      <c r="A39" s="17" t="s">
        <v>500</v>
      </c>
      <c r="B39" s="22" t="s">
        <v>464</v>
      </c>
      <c r="C39" s="19" t="s">
        <v>9</v>
      </c>
      <c r="D39" s="21" t="s">
        <v>619</v>
      </c>
    </row>
    <row r="40" spans="1:4" x14ac:dyDescent="0.25">
      <c r="A40" s="17" t="s">
        <v>501</v>
      </c>
      <c r="B40" s="22" t="s">
        <v>464</v>
      </c>
      <c r="C40" s="19" t="s">
        <v>9</v>
      </c>
      <c r="D40" s="21" t="s">
        <v>619</v>
      </c>
    </row>
    <row r="41" spans="1:4" x14ac:dyDescent="0.25">
      <c r="A41" s="17" t="s">
        <v>502</v>
      </c>
      <c r="B41" s="22" t="s">
        <v>464</v>
      </c>
      <c r="C41" s="19" t="s">
        <v>8</v>
      </c>
      <c r="D41" s="21" t="s">
        <v>619</v>
      </c>
    </row>
    <row r="42" spans="1:4" x14ac:dyDescent="0.25">
      <c r="A42" s="17" t="s">
        <v>503</v>
      </c>
      <c r="B42" s="22" t="s">
        <v>464</v>
      </c>
      <c r="C42" s="19" t="s">
        <v>9</v>
      </c>
      <c r="D42" s="21" t="s">
        <v>619</v>
      </c>
    </row>
    <row r="43" spans="1:4" x14ac:dyDescent="0.25">
      <c r="A43" s="17" t="s">
        <v>504</v>
      </c>
      <c r="B43" s="22" t="s">
        <v>464</v>
      </c>
      <c r="C43" s="19" t="s">
        <v>9</v>
      </c>
      <c r="D43" s="21" t="s">
        <v>619</v>
      </c>
    </row>
    <row r="44" spans="1:4" x14ac:dyDescent="0.25">
      <c r="A44" s="17" t="s">
        <v>505</v>
      </c>
      <c r="B44" s="22" t="s">
        <v>461</v>
      </c>
      <c r="C44" s="19" t="s">
        <v>9</v>
      </c>
      <c r="D44" s="21" t="s">
        <v>619</v>
      </c>
    </row>
    <row r="45" spans="1:4" x14ac:dyDescent="0.25">
      <c r="A45" s="17" t="s">
        <v>506</v>
      </c>
      <c r="B45" s="22" t="s">
        <v>464</v>
      </c>
      <c r="C45" s="19" t="s">
        <v>9</v>
      </c>
      <c r="D45" s="21" t="s">
        <v>619</v>
      </c>
    </row>
    <row r="46" spans="1:4" x14ac:dyDescent="0.25">
      <c r="A46" s="17" t="s">
        <v>507</v>
      </c>
      <c r="B46" s="22" t="s">
        <v>464</v>
      </c>
      <c r="C46" s="19" t="s">
        <v>9</v>
      </c>
      <c r="D46" s="21" t="s">
        <v>619</v>
      </c>
    </row>
    <row r="47" spans="1:4" x14ac:dyDescent="0.25">
      <c r="A47" s="17" t="s">
        <v>508</v>
      </c>
      <c r="B47" s="22" t="s">
        <v>464</v>
      </c>
      <c r="C47" s="19" t="s">
        <v>9</v>
      </c>
      <c r="D47" s="21" t="s">
        <v>619</v>
      </c>
    </row>
    <row r="48" spans="1:4" x14ac:dyDescent="0.25">
      <c r="A48" s="17" t="s">
        <v>509</v>
      </c>
      <c r="B48" s="22" t="s">
        <v>464</v>
      </c>
      <c r="C48" s="19" t="s">
        <v>8</v>
      </c>
      <c r="D48" s="21" t="s">
        <v>619</v>
      </c>
    </row>
    <row r="49" spans="1:4" x14ac:dyDescent="0.25">
      <c r="A49" s="17" t="s">
        <v>510</v>
      </c>
      <c r="B49" s="22" t="s">
        <v>464</v>
      </c>
      <c r="C49" s="19" t="s">
        <v>9</v>
      </c>
      <c r="D49" s="21" t="s">
        <v>619</v>
      </c>
    </row>
    <row r="50" spans="1:4" x14ac:dyDescent="0.25">
      <c r="A50" s="17" t="s">
        <v>511</v>
      </c>
      <c r="B50" s="22" t="s">
        <v>461</v>
      </c>
      <c r="C50" s="19" t="s">
        <v>9</v>
      </c>
      <c r="D50" s="21" t="s">
        <v>619</v>
      </c>
    </row>
    <row r="51" spans="1:4" x14ac:dyDescent="0.25">
      <c r="A51" s="17" t="s">
        <v>512</v>
      </c>
      <c r="B51" s="22" t="s">
        <v>461</v>
      </c>
      <c r="C51" s="19" t="s">
        <v>9</v>
      </c>
      <c r="D51" s="21" t="s">
        <v>619</v>
      </c>
    </row>
    <row r="52" spans="1:4" x14ac:dyDescent="0.25">
      <c r="A52" s="17" t="s">
        <v>513</v>
      </c>
      <c r="B52" s="22" t="s">
        <v>461</v>
      </c>
      <c r="C52" s="19" t="s">
        <v>9</v>
      </c>
      <c r="D52" s="21" t="s">
        <v>619</v>
      </c>
    </row>
    <row r="53" spans="1:4" x14ac:dyDescent="0.25">
      <c r="A53" s="17" t="s">
        <v>514</v>
      </c>
      <c r="B53" s="22" t="s">
        <v>461</v>
      </c>
      <c r="C53" s="19" t="s">
        <v>9</v>
      </c>
      <c r="D53" s="21" t="s">
        <v>619</v>
      </c>
    </row>
    <row r="54" spans="1:4" x14ac:dyDescent="0.25">
      <c r="A54" s="17" t="s">
        <v>515</v>
      </c>
      <c r="B54" s="22" t="s">
        <v>464</v>
      </c>
      <c r="C54" s="19" t="s">
        <v>9</v>
      </c>
      <c r="D54" s="21" t="s">
        <v>619</v>
      </c>
    </row>
    <row r="55" spans="1:4" x14ac:dyDescent="0.25">
      <c r="A55" s="17" t="s">
        <v>516</v>
      </c>
      <c r="B55" s="22" t="s">
        <v>461</v>
      </c>
      <c r="C55" s="19" t="s">
        <v>10</v>
      </c>
      <c r="D55" s="21" t="s">
        <v>619</v>
      </c>
    </row>
    <row r="56" spans="1:4" x14ac:dyDescent="0.25">
      <c r="A56" s="17" t="s">
        <v>517</v>
      </c>
      <c r="B56" s="22" t="s">
        <v>464</v>
      </c>
      <c r="C56" s="19" t="s">
        <v>9</v>
      </c>
      <c r="D56" s="21" t="s">
        <v>619</v>
      </c>
    </row>
    <row r="57" spans="1:4" x14ac:dyDescent="0.25">
      <c r="A57" s="17" t="s">
        <v>518</v>
      </c>
      <c r="B57" s="22" t="s">
        <v>464</v>
      </c>
      <c r="C57" s="19" t="s">
        <v>8</v>
      </c>
      <c r="D57" s="21" t="s">
        <v>619</v>
      </c>
    </row>
    <row r="58" spans="1:4" x14ac:dyDescent="0.25">
      <c r="A58" s="17" t="s">
        <v>519</v>
      </c>
      <c r="B58" s="22" t="s">
        <v>464</v>
      </c>
      <c r="C58" s="19" t="s">
        <v>9</v>
      </c>
      <c r="D58" s="21" t="s">
        <v>619</v>
      </c>
    </row>
    <row r="59" spans="1:4" x14ac:dyDescent="0.25">
      <c r="A59" s="17" t="s">
        <v>520</v>
      </c>
      <c r="B59" s="22" t="s">
        <v>461</v>
      </c>
      <c r="C59" s="19" t="s">
        <v>9</v>
      </c>
      <c r="D59" s="21" t="s">
        <v>619</v>
      </c>
    </row>
    <row r="60" spans="1:4" x14ac:dyDescent="0.25">
      <c r="A60" s="17" t="s">
        <v>521</v>
      </c>
      <c r="B60" s="22" t="s">
        <v>461</v>
      </c>
      <c r="C60" s="19" t="s">
        <v>8</v>
      </c>
      <c r="D60" s="21" t="s">
        <v>619</v>
      </c>
    </row>
    <row r="61" spans="1:4" x14ac:dyDescent="0.25">
      <c r="A61" s="17" t="s">
        <v>522</v>
      </c>
      <c r="B61" s="22" t="s">
        <v>464</v>
      </c>
      <c r="C61" s="19" t="s">
        <v>9</v>
      </c>
      <c r="D61" s="21" t="s">
        <v>619</v>
      </c>
    </row>
    <row r="62" spans="1:4" x14ac:dyDescent="0.25">
      <c r="A62" s="17" t="s">
        <v>523</v>
      </c>
      <c r="B62" s="22" t="s">
        <v>461</v>
      </c>
      <c r="C62" s="19" t="s">
        <v>8</v>
      </c>
      <c r="D62" s="21" t="s">
        <v>619</v>
      </c>
    </row>
    <row r="63" spans="1:4" x14ac:dyDescent="0.25">
      <c r="A63" s="17" t="s">
        <v>524</v>
      </c>
      <c r="B63" s="22" t="s">
        <v>464</v>
      </c>
      <c r="C63" s="19" t="s">
        <v>8</v>
      </c>
      <c r="D63" s="21" t="s">
        <v>619</v>
      </c>
    </row>
    <row r="64" spans="1:4" x14ac:dyDescent="0.25">
      <c r="A64" s="17" t="s">
        <v>525</v>
      </c>
      <c r="B64" s="22" t="s">
        <v>464</v>
      </c>
      <c r="C64" s="19" t="s">
        <v>9</v>
      </c>
      <c r="D64" s="21" t="s">
        <v>619</v>
      </c>
    </row>
    <row r="65" spans="1:4" x14ac:dyDescent="0.25">
      <c r="A65" s="17" t="s">
        <v>526</v>
      </c>
      <c r="B65" s="22" t="s">
        <v>461</v>
      </c>
      <c r="C65" s="19" t="s">
        <v>8</v>
      </c>
      <c r="D65" s="21" t="s">
        <v>619</v>
      </c>
    </row>
    <row r="66" spans="1:4" x14ac:dyDescent="0.25">
      <c r="A66" s="17" t="s">
        <v>527</v>
      </c>
      <c r="B66" s="22" t="s">
        <v>461</v>
      </c>
      <c r="C66" s="19" t="s">
        <v>8</v>
      </c>
      <c r="D66" s="21" t="s">
        <v>619</v>
      </c>
    </row>
    <row r="67" spans="1:4" x14ac:dyDescent="0.25">
      <c r="A67" s="17" t="s">
        <v>528</v>
      </c>
      <c r="B67" s="22" t="s">
        <v>464</v>
      </c>
      <c r="C67" s="19" t="s">
        <v>9</v>
      </c>
      <c r="D67" s="21" t="s">
        <v>619</v>
      </c>
    </row>
    <row r="68" spans="1:4" x14ac:dyDescent="0.25">
      <c r="A68" s="17" t="s">
        <v>529</v>
      </c>
      <c r="B68" s="22" t="s">
        <v>464</v>
      </c>
      <c r="C68" s="19" t="s">
        <v>9</v>
      </c>
      <c r="D68" s="21" t="s">
        <v>619</v>
      </c>
    </row>
    <row r="69" spans="1:4" x14ac:dyDescent="0.25">
      <c r="A69" s="17" t="s">
        <v>530</v>
      </c>
      <c r="B69" s="22" t="s">
        <v>464</v>
      </c>
      <c r="C69" s="19" t="s">
        <v>9</v>
      </c>
      <c r="D69" s="21" t="s">
        <v>619</v>
      </c>
    </row>
    <row r="70" spans="1:4" x14ac:dyDescent="0.25">
      <c r="A70" s="17" t="s">
        <v>531</v>
      </c>
      <c r="B70" s="22" t="s">
        <v>464</v>
      </c>
      <c r="C70" s="19" t="s">
        <v>9</v>
      </c>
      <c r="D70" s="21" t="s">
        <v>619</v>
      </c>
    </row>
    <row r="71" spans="1:4" x14ac:dyDescent="0.25">
      <c r="A71" s="17" t="s">
        <v>532</v>
      </c>
      <c r="B71" s="22" t="s">
        <v>464</v>
      </c>
      <c r="C71" s="19" t="s">
        <v>9</v>
      </c>
      <c r="D71" s="21" t="s">
        <v>619</v>
      </c>
    </row>
    <row r="72" spans="1:4" x14ac:dyDescent="0.25">
      <c r="A72" s="17" t="s">
        <v>533</v>
      </c>
      <c r="B72" s="22" t="s">
        <v>464</v>
      </c>
      <c r="C72" s="19" t="s">
        <v>9</v>
      </c>
      <c r="D72" s="21" t="s">
        <v>619</v>
      </c>
    </row>
    <row r="73" spans="1:4" x14ac:dyDescent="0.25">
      <c r="A73" s="17" t="s">
        <v>549</v>
      </c>
      <c r="B73" s="26" t="s">
        <v>464</v>
      </c>
      <c r="C73" s="19" t="s">
        <v>7</v>
      </c>
      <c r="D73" s="21" t="s">
        <v>656</v>
      </c>
    </row>
    <row r="74" spans="1:4" x14ac:dyDescent="0.25">
      <c r="A74" s="17" t="s">
        <v>550</v>
      </c>
      <c r="B74" s="26" t="s">
        <v>464</v>
      </c>
      <c r="C74" s="19" t="s">
        <v>9</v>
      </c>
      <c r="D74" s="21" t="s">
        <v>656</v>
      </c>
    </row>
    <row r="75" spans="1:4" x14ac:dyDescent="0.25">
      <c r="A75" s="17" t="s">
        <v>551</v>
      </c>
      <c r="B75" s="26" t="s">
        <v>464</v>
      </c>
      <c r="C75" s="19" t="s">
        <v>8</v>
      </c>
      <c r="D75" s="21" t="s">
        <v>656</v>
      </c>
    </row>
    <row r="76" spans="1:4" x14ac:dyDescent="0.25">
      <c r="A76" s="17" t="s">
        <v>552</v>
      </c>
      <c r="B76" s="26" t="s">
        <v>464</v>
      </c>
      <c r="C76" s="19" t="s">
        <v>8</v>
      </c>
      <c r="D76" s="21" t="s">
        <v>656</v>
      </c>
    </row>
    <row r="77" spans="1:4" x14ac:dyDescent="0.25">
      <c r="A77" s="17" t="s">
        <v>553</v>
      </c>
      <c r="B77" s="26" t="s">
        <v>464</v>
      </c>
      <c r="C77" s="19" t="s">
        <v>8</v>
      </c>
      <c r="D77" s="21" t="s">
        <v>656</v>
      </c>
    </row>
    <row r="78" spans="1:4" x14ac:dyDescent="0.25">
      <c r="A78" s="17" t="s">
        <v>554</v>
      </c>
      <c r="B78" s="26" t="s">
        <v>461</v>
      </c>
      <c r="C78" s="19" t="s">
        <v>8</v>
      </c>
      <c r="D78" s="21" t="s">
        <v>656</v>
      </c>
    </row>
    <row r="79" spans="1:4" x14ac:dyDescent="0.25">
      <c r="A79" s="17" t="s">
        <v>555</v>
      </c>
      <c r="B79" s="26" t="s">
        <v>461</v>
      </c>
      <c r="C79" s="19" t="s">
        <v>9</v>
      </c>
      <c r="D79" s="21" t="s">
        <v>656</v>
      </c>
    </row>
    <row r="80" spans="1:4" x14ac:dyDescent="0.25">
      <c r="A80" s="17" t="s">
        <v>556</v>
      </c>
      <c r="B80" s="26" t="s">
        <v>461</v>
      </c>
      <c r="C80" s="19" t="s">
        <v>8</v>
      </c>
      <c r="D80" s="21" t="s">
        <v>656</v>
      </c>
    </row>
    <row r="81" spans="1:4" x14ac:dyDescent="0.25">
      <c r="A81" s="17" t="s">
        <v>557</v>
      </c>
      <c r="B81" s="26" t="s">
        <v>464</v>
      </c>
      <c r="C81" s="19" t="s">
        <v>8</v>
      </c>
      <c r="D81" s="21" t="s">
        <v>656</v>
      </c>
    </row>
    <row r="82" spans="1:4" x14ac:dyDescent="0.25">
      <c r="A82" s="17" t="s">
        <v>558</v>
      </c>
      <c r="B82" s="26" t="s">
        <v>461</v>
      </c>
      <c r="C82" s="19" t="s">
        <v>7</v>
      </c>
      <c r="D82" s="21" t="s">
        <v>656</v>
      </c>
    </row>
    <row r="83" spans="1:4" x14ac:dyDescent="0.25">
      <c r="A83" s="17" t="s">
        <v>559</v>
      </c>
      <c r="B83" s="26" t="s">
        <v>461</v>
      </c>
      <c r="C83" s="19" t="s">
        <v>8</v>
      </c>
      <c r="D83" s="21" t="s">
        <v>656</v>
      </c>
    </row>
    <row r="84" spans="1:4" x14ac:dyDescent="0.25">
      <c r="A84" s="17" t="s">
        <v>560</v>
      </c>
      <c r="B84" s="26" t="s">
        <v>464</v>
      </c>
      <c r="C84" s="19" t="s">
        <v>8</v>
      </c>
      <c r="D84" s="21" t="s">
        <v>656</v>
      </c>
    </row>
    <row r="85" spans="1:4" x14ac:dyDescent="0.25">
      <c r="A85" s="17" t="s">
        <v>561</v>
      </c>
      <c r="B85" s="26" t="s">
        <v>461</v>
      </c>
      <c r="C85" s="19" t="s">
        <v>9</v>
      </c>
      <c r="D85" s="21" t="s">
        <v>656</v>
      </c>
    </row>
    <row r="86" spans="1:4" x14ac:dyDescent="0.25">
      <c r="A86" s="17" t="s">
        <v>562</v>
      </c>
      <c r="B86" s="26" t="s">
        <v>464</v>
      </c>
      <c r="C86" s="19" t="s">
        <v>7</v>
      </c>
      <c r="D86" s="21" t="s">
        <v>656</v>
      </c>
    </row>
    <row r="87" spans="1:4" x14ac:dyDescent="0.25">
      <c r="A87" s="17" t="s">
        <v>563</v>
      </c>
      <c r="B87" s="26" t="s">
        <v>464</v>
      </c>
      <c r="C87" s="19" t="s">
        <v>9</v>
      </c>
      <c r="D87" s="21" t="s">
        <v>656</v>
      </c>
    </row>
    <row r="88" spans="1:4" x14ac:dyDescent="0.25">
      <c r="A88" s="17" t="s">
        <v>564</v>
      </c>
      <c r="B88" s="26" t="s">
        <v>464</v>
      </c>
      <c r="C88" s="19" t="s">
        <v>8</v>
      </c>
      <c r="D88" s="21" t="s">
        <v>656</v>
      </c>
    </row>
    <row r="89" spans="1:4" x14ac:dyDescent="0.25">
      <c r="A89" s="17" t="s">
        <v>565</v>
      </c>
      <c r="B89" s="26" t="s">
        <v>461</v>
      </c>
      <c r="C89" s="19" t="s">
        <v>8</v>
      </c>
      <c r="D89" s="21" t="s">
        <v>656</v>
      </c>
    </row>
    <row r="90" spans="1:4" x14ac:dyDescent="0.25">
      <c r="A90" s="17" t="s">
        <v>566</v>
      </c>
      <c r="B90" s="26" t="s">
        <v>464</v>
      </c>
      <c r="C90" s="19" t="s">
        <v>8</v>
      </c>
      <c r="D90" s="21" t="s">
        <v>656</v>
      </c>
    </row>
    <row r="91" spans="1:4" x14ac:dyDescent="0.25">
      <c r="A91" s="17" t="s">
        <v>567</v>
      </c>
      <c r="B91" s="26" t="s">
        <v>464</v>
      </c>
      <c r="C91" s="19" t="s">
        <v>8</v>
      </c>
      <c r="D91" s="21" t="s">
        <v>656</v>
      </c>
    </row>
    <row r="92" spans="1:4" x14ac:dyDescent="0.25">
      <c r="A92" s="17" t="s">
        <v>568</v>
      </c>
      <c r="B92" s="26" t="s">
        <v>464</v>
      </c>
      <c r="C92" s="19" t="s">
        <v>8</v>
      </c>
      <c r="D92" s="21" t="s">
        <v>656</v>
      </c>
    </row>
    <row r="93" spans="1:4" x14ac:dyDescent="0.25">
      <c r="A93" s="17" t="s">
        <v>569</v>
      </c>
      <c r="B93" s="26" t="s">
        <v>461</v>
      </c>
      <c r="C93" s="19" t="s">
        <v>7</v>
      </c>
      <c r="D93" s="21" t="s">
        <v>656</v>
      </c>
    </row>
    <row r="94" spans="1:4" x14ac:dyDescent="0.25">
      <c r="A94" s="17" t="s">
        <v>570</v>
      </c>
      <c r="B94" s="26" t="s">
        <v>464</v>
      </c>
      <c r="C94" s="19" t="s">
        <v>8</v>
      </c>
      <c r="D94" s="21" t="s">
        <v>656</v>
      </c>
    </row>
    <row r="95" spans="1:4" x14ac:dyDescent="0.25">
      <c r="A95" s="17" t="s">
        <v>571</v>
      </c>
      <c r="B95" s="26" t="s">
        <v>461</v>
      </c>
      <c r="C95" s="19" t="s">
        <v>9</v>
      </c>
      <c r="D95" s="21" t="s">
        <v>656</v>
      </c>
    </row>
    <row r="96" spans="1:4" x14ac:dyDescent="0.25">
      <c r="A96" s="17" t="s">
        <v>572</v>
      </c>
      <c r="B96" s="26" t="s">
        <v>461</v>
      </c>
      <c r="C96" s="19" t="s">
        <v>8</v>
      </c>
      <c r="D96" s="21" t="s">
        <v>656</v>
      </c>
    </row>
    <row r="97" spans="1:4" x14ac:dyDescent="0.25">
      <c r="A97" s="17" t="s">
        <v>573</v>
      </c>
      <c r="B97" s="26" t="s">
        <v>461</v>
      </c>
      <c r="C97" s="19" t="s">
        <v>8</v>
      </c>
      <c r="D97" s="21" t="s">
        <v>656</v>
      </c>
    </row>
    <row r="98" spans="1:4" x14ac:dyDescent="0.25">
      <c r="A98" s="17" t="s">
        <v>574</v>
      </c>
      <c r="B98" s="26" t="s">
        <v>464</v>
      </c>
      <c r="C98" s="19" t="s">
        <v>8</v>
      </c>
      <c r="D98" s="21" t="s">
        <v>656</v>
      </c>
    </row>
    <row r="99" spans="1:4" x14ac:dyDescent="0.25">
      <c r="A99" s="17" t="s">
        <v>575</v>
      </c>
      <c r="B99" s="26" t="s">
        <v>461</v>
      </c>
      <c r="C99" s="28" t="s">
        <v>8</v>
      </c>
      <c r="D99" s="21" t="s">
        <v>656</v>
      </c>
    </row>
    <row r="100" spans="1:4" x14ac:dyDescent="0.25">
      <c r="A100" s="17" t="s">
        <v>576</v>
      </c>
      <c r="B100" s="26" t="s">
        <v>464</v>
      </c>
      <c r="C100" s="19" t="s">
        <v>8</v>
      </c>
      <c r="D100" s="21" t="s">
        <v>656</v>
      </c>
    </row>
    <row r="101" spans="1:4" x14ac:dyDescent="0.25">
      <c r="A101" s="17" t="s">
        <v>23</v>
      </c>
      <c r="B101" s="26" t="s">
        <v>464</v>
      </c>
      <c r="C101" s="19" t="s">
        <v>8</v>
      </c>
      <c r="D101" s="21" t="s">
        <v>656</v>
      </c>
    </row>
    <row r="102" spans="1:4" x14ac:dyDescent="0.25">
      <c r="A102" s="17" t="s">
        <v>577</v>
      </c>
      <c r="B102" s="26" t="s">
        <v>464</v>
      </c>
      <c r="C102" s="19" t="s">
        <v>8</v>
      </c>
      <c r="D102" s="21" t="s">
        <v>656</v>
      </c>
    </row>
    <row r="103" spans="1:4" x14ac:dyDescent="0.25">
      <c r="A103" s="17" t="s">
        <v>578</v>
      </c>
      <c r="B103" s="26" t="s">
        <v>461</v>
      </c>
      <c r="C103" s="19" t="s">
        <v>9</v>
      </c>
      <c r="D103" s="21" t="s">
        <v>656</v>
      </c>
    </row>
    <row r="104" spans="1:4" x14ac:dyDescent="0.25">
      <c r="A104" s="17" t="s">
        <v>579</v>
      </c>
      <c r="B104" s="26" t="s">
        <v>461</v>
      </c>
      <c r="C104" s="19" t="s">
        <v>8</v>
      </c>
      <c r="D104" s="21" t="s">
        <v>656</v>
      </c>
    </row>
    <row r="105" spans="1:4" x14ac:dyDescent="0.25">
      <c r="A105" s="17" t="s">
        <v>580</v>
      </c>
      <c r="B105" s="26" t="s">
        <v>464</v>
      </c>
      <c r="C105" s="19" t="s">
        <v>7</v>
      </c>
      <c r="D105" s="21" t="s">
        <v>656</v>
      </c>
    </row>
    <row r="106" spans="1:4" x14ac:dyDescent="0.25">
      <c r="A106" s="17" t="s">
        <v>581</v>
      </c>
      <c r="B106" s="26" t="s">
        <v>464</v>
      </c>
      <c r="C106" s="19" t="s">
        <v>9</v>
      </c>
      <c r="D106" s="21" t="s">
        <v>656</v>
      </c>
    </row>
    <row r="107" spans="1:4" x14ac:dyDescent="0.25">
      <c r="A107" s="17" t="s">
        <v>582</v>
      </c>
      <c r="B107" s="26" t="s">
        <v>461</v>
      </c>
      <c r="C107" s="19" t="s">
        <v>8</v>
      </c>
      <c r="D107" s="21" t="s">
        <v>656</v>
      </c>
    </row>
    <row r="108" spans="1:4" x14ac:dyDescent="0.25">
      <c r="A108" s="17" t="s">
        <v>583</v>
      </c>
      <c r="B108" s="26" t="s">
        <v>461</v>
      </c>
      <c r="C108" s="19" t="s">
        <v>9</v>
      </c>
      <c r="D108" s="21" t="s">
        <v>656</v>
      </c>
    </row>
    <row r="109" spans="1:4" x14ac:dyDescent="0.25">
      <c r="A109" s="17" t="s">
        <v>584</v>
      </c>
      <c r="B109" s="26" t="s">
        <v>461</v>
      </c>
      <c r="C109" s="19" t="s">
        <v>8</v>
      </c>
      <c r="D109" s="21" t="s">
        <v>656</v>
      </c>
    </row>
    <row r="110" spans="1:4" x14ac:dyDescent="0.25">
      <c r="A110" s="17" t="s">
        <v>585</v>
      </c>
      <c r="B110" s="26" t="s">
        <v>464</v>
      </c>
      <c r="C110" s="19" t="s">
        <v>8</v>
      </c>
      <c r="D110" s="21" t="s">
        <v>656</v>
      </c>
    </row>
    <row r="111" spans="1:4" x14ac:dyDescent="0.25">
      <c r="A111" s="17" t="s">
        <v>586</v>
      </c>
      <c r="B111" s="26" t="s">
        <v>464</v>
      </c>
      <c r="C111" s="19" t="s">
        <v>8</v>
      </c>
      <c r="D111" s="21" t="s">
        <v>656</v>
      </c>
    </row>
    <row r="112" spans="1:4" x14ac:dyDescent="0.25">
      <c r="A112" s="17" t="s">
        <v>587</v>
      </c>
      <c r="B112" s="26" t="s">
        <v>464</v>
      </c>
      <c r="C112" s="19" t="s">
        <v>8</v>
      </c>
      <c r="D112" s="21" t="s">
        <v>656</v>
      </c>
    </row>
    <row r="113" spans="1:4" x14ac:dyDescent="0.25">
      <c r="A113" s="17" t="s">
        <v>588</v>
      </c>
      <c r="B113" s="26" t="s">
        <v>464</v>
      </c>
      <c r="C113" s="19" t="s">
        <v>8</v>
      </c>
      <c r="D113" s="21" t="s">
        <v>656</v>
      </c>
    </row>
    <row r="114" spans="1:4" x14ac:dyDescent="0.25">
      <c r="A114" s="17" t="s">
        <v>589</v>
      </c>
      <c r="B114" s="26" t="s">
        <v>464</v>
      </c>
      <c r="C114" s="19" t="s">
        <v>8</v>
      </c>
      <c r="D114" s="21" t="s">
        <v>656</v>
      </c>
    </row>
    <row r="115" spans="1:4" x14ac:dyDescent="0.25">
      <c r="A115" s="17" t="s">
        <v>590</v>
      </c>
      <c r="B115" s="26" t="s">
        <v>461</v>
      </c>
      <c r="C115" s="19" t="s">
        <v>8</v>
      </c>
      <c r="D115" s="21" t="s">
        <v>656</v>
      </c>
    </row>
    <row r="116" spans="1:4" x14ac:dyDescent="0.25">
      <c r="A116" s="17" t="s">
        <v>591</v>
      </c>
      <c r="B116" s="26" t="s">
        <v>464</v>
      </c>
      <c r="C116" s="19" t="s">
        <v>8</v>
      </c>
      <c r="D116" s="21" t="s">
        <v>656</v>
      </c>
    </row>
    <row r="117" spans="1:4" x14ac:dyDescent="0.25">
      <c r="A117" s="17" t="s">
        <v>592</v>
      </c>
      <c r="B117" s="26" t="s">
        <v>461</v>
      </c>
      <c r="C117" s="19" t="s">
        <v>9</v>
      </c>
      <c r="D117" s="21" t="s">
        <v>656</v>
      </c>
    </row>
    <row r="118" spans="1:4" x14ac:dyDescent="0.25">
      <c r="A118" s="17" t="s">
        <v>593</v>
      </c>
      <c r="B118" s="26" t="s">
        <v>464</v>
      </c>
      <c r="C118" s="19" t="s">
        <v>8</v>
      </c>
      <c r="D118" s="21" t="s">
        <v>656</v>
      </c>
    </row>
    <row r="119" spans="1:4" x14ac:dyDescent="0.25">
      <c r="A119" s="17" t="s">
        <v>594</v>
      </c>
      <c r="B119" s="26" t="s">
        <v>461</v>
      </c>
      <c r="C119" s="19" t="s">
        <v>8</v>
      </c>
      <c r="D119" s="21" t="s">
        <v>656</v>
      </c>
    </row>
    <row r="120" spans="1:4" x14ac:dyDescent="0.25">
      <c r="A120" s="17" t="s">
        <v>595</v>
      </c>
      <c r="B120" s="26" t="s">
        <v>464</v>
      </c>
      <c r="C120" s="19" t="s">
        <v>8</v>
      </c>
      <c r="D120" s="21" t="s">
        <v>656</v>
      </c>
    </row>
    <row r="121" spans="1:4" x14ac:dyDescent="0.25">
      <c r="A121" s="17" t="s">
        <v>596</v>
      </c>
      <c r="B121" s="26" t="s">
        <v>464</v>
      </c>
      <c r="C121" s="19" t="s">
        <v>7</v>
      </c>
      <c r="D121" s="21" t="s">
        <v>656</v>
      </c>
    </row>
    <row r="122" spans="1:4" x14ac:dyDescent="0.25">
      <c r="A122" s="17" t="s">
        <v>597</v>
      </c>
      <c r="B122" s="26" t="s">
        <v>464</v>
      </c>
      <c r="C122" s="19" t="s">
        <v>8</v>
      </c>
      <c r="D122" s="21" t="s">
        <v>656</v>
      </c>
    </row>
    <row r="123" spans="1:4" x14ac:dyDescent="0.25">
      <c r="A123" s="17" t="s">
        <v>598</v>
      </c>
      <c r="B123" s="26" t="s">
        <v>464</v>
      </c>
      <c r="C123" s="19" t="s">
        <v>8</v>
      </c>
      <c r="D123" s="21" t="s">
        <v>656</v>
      </c>
    </row>
    <row r="124" spans="1:4" x14ac:dyDescent="0.25">
      <c r="A124" s="17" t="s">
        <v>599</v>
      </c>
      <c r="B124" s="26" t="s">
        <v>464</v>
      </c>
      <c r="C124" s="19" t="s">
        <v>8</v>
      </c>
      <c r="D124" s="21" t="s">
        <v>656</v>
      </c>
    </row>
    <row r="125" spans="1:4" x14ac:dyDescent="0.25">
      <c r="A125" s="17" t="s">
        <v>600</v>
      </c>
      <c r="B125" s="26" t="s">
        <v>464</v>
      </c>
      <c r="C125" s="19" t="s">
        <v>8</v>
      </c>
      <c r="D125" s="21" t="s">
        <v>656</v>
      </c>
    </row>
    <row r="126" spans="1:4" x14ac:dyDescent="0.25">
      <c r="A126" s="17" t="s">
        <v>601</v>
      </c>
      <c r="B126" s="26" t="s">
        <v>464</v>
      </c>
      <c r="C126" s="19" t="s">
        <v>9</v>
      </c>
      <c r="D126" s="21" t="s">
        <v>656</v>
      </c>
    </row>
    <row r="127" spans="1:4" x14ac:dyDescent="0.25">
      <c r="A127" s="17" t="s">
        <v>602</v>
      </c>
      <c r="B127" s="26" t="s">
        <v>464</v>
      </c>
      <c r="C127" s="19" t="s">
        <v>8</v>
      </c>
      <c r="D127" s="21" t="s">
        <v>656</v>
      </c>
    </row>
    <row r="128" spans="1:4" x14ac:dyDescent="0.25">
      <c r="A128" s="17" t="s">
        <v>603</v>
      </c>
      <c r="B128" s="26" t="s">
        <v>461</v>
      </c>
      <c r="C128" s="19" t="s">
        <v>8</v>
      </c>
      <c r="D128" s="21" t="s">
        <v>656</v>
      </c>
    </row>
    <row r="129" spans="1:4" x14ac:dyDescent="0.25">
      <c r="A129" s="17" t="s">
        <v>604</v>
      </c>
      <c r="B129" s="26" t="s">
        <v>461</v>
      </c>
      <c r="C129" s="19" t="s">
        <v>7</v>
      </c>
      <c r="D129" s="21" t="s">
        <v>656</v>
      </c>
    </row>
    <row r="130" spans="1:4" x14ac:dyDescent="0.25">
      <c r="A130" s="17" t="s">
        <v>605</v>
      </c>
      <c r="B130" s="26" t="s">
        <v>461</v>
      </c>
      <c r="C130" s="19" t="s">
        <v>8</v>
      </c>
      <c r="D130" s="21" t="s">
        <v>656</v>
      </c>
    </row>
    <row r="131" spans="1:4" x14ac:dyDescent="0.25">
      <c r="A131" s="17" t="s">
        <v>606</v>
      </c>
      <c r="B131" s="26" t="s">
        <v>464</v>
      </c>
      <c r="C131" s="19" t="s">
        <v>8</v>
      </c>
      <c r="D131" s="21" t="s">
        <v>656</v>
      </c>
    </row>
    <row r="132" spans="1:4" x14ac:dyDescent="0.25">
      <c r="A132" s="17" t="s">
        <v>607</v>
      </c>
      <c r="B132" s="26" t="s">
        <v>464</v>
      </c>
      <c r="C132" s="19" t="s">
        <v>8</v>
      </c>
      <c r="D132" s="21" t="s">
        <v>656</v>
      </c>
    </row>
    <row r="133" spans="1:4" x14ac:dyDescent="0.25">
      <c r="A133" s="17" t="s">
        <v>608</v>
      </c>
      <c r="B133" s="26" t="s">
        <v>464</v>
      </c>
      <c r="C133" s="19" t="s">
        <v>8</v>
      </c>
      <c r="D133" s="21" t="s">
        <v>656</v>
      </c>
    </row>
    <row r="134" spans="1:4" x14ac:dyDescent="0.25">
      <c r="A134" s="17" t="s">
        <v>609</v>
      </c>
      <c r="B134" s="26" t="s">
        <v>461</v>
      </c>
      <c r="C134" s="19" t="s">
        <v>8</v>
      </c>
      <c r="D134" s="21" t="s">
        <v>656</v>
      </c>
    </row>
    <row r="135" spans="1:4" x14ac:dyDescent="0.25">
      <c r="A135" s="17" t="s">
        <v>610</v>
      </c>
      <c r="B135" s="26" t="s">
        <v>464</v>
      </c>
      <c r="C135" s="19" t="s">
        <v>8</v>
      </c>
      <c r="D135" s="21" t="s">
        <v>656</v>
      </c>
    </row>
    <row r="136" spans="1:4" x14ac:dyDescent="0.25">
      <c r="A136" s="17" t="s">
        <v>611</v>
      </c>
      <c r="B136" s="26" t="s">
        <v>461</v>
      </c>
      <c r="C136" s="19" t="s">
        <v>7</v>
      </c>
      <c r="D136" s="21" t="s">
        <v>656</v>
      </c>
    </row>
    <row r="137" spans="1:4" x14ac:dyDescent="0.25">
      <c r="A137" s="17" t="s">
        <v>612</v>
      </c>
      <c r="B137" s="26" t="s">
        <v>461</v>
      </c>
      <c r="C137" s="19" t="s">
        <v>8</v>
      </c>
      <c r="D137" s="21" t="s">
        <v>656</v>
      </c>
    </row>
    <row r="138" spans="1:4" x14ac:dyDescent="0.25">
      <c r="A138" s="17" t="s">
        <v>613</v>
      </c>
      <c r="B138" s="26" t="s">
        <v>464</v>
      </c>
      <c r="C138" s="19" t="s">
        <v>8</v>
      </c>
      <c r="D138" s="21" t="s">
        <v>656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W8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" customHeight="1" x14ac:dyDescent="0.2"/>
  <cols>
    <col min="1" max="1" width="22.28515625" customWidth="1"/>
    <col min="2" max="2" width="13" customWidth="1"/>
  </cols>
  <sheetData>
    <row r="1" spans="1:49" ht="15" customHeight="1" x14ac:dyDescent="0.2">
      <c r="A1" s="14" t="s">
        <v>689</v>
      </c>
      <c r="B1" s="14"/>
      <c r="C1" s="39"/>
      <c r="D1" s="14" t="s">
        <v>690</v>
      </c>
      <c r="E1" s="14" t="s">
        <v>690</v>
      </c>
      <c r="F1" s="14" t="s">
        <v>690</v>
      </c>
      <c r="G1" s="14" t="s">
        <v>690</v>
      </c>
      <c r="H1" s="14" t="s">
        <v>690</v>
      </c>
      <c r="I1" s="14" t="s">
        <v>690</v>
      </c>
      <c r="J1" s="14" t="s">
        <v>690</v>
      </c>
      <c r="K1" s="14" t="s">
        <v>690</v>
      </c>
      <c r="L1" s="14" t="s">
        <v>691</v>
      </c>
      <c r="M1" s="40"/>
      <c r="N1" s="14"/>
      <c r="O1" s="14" t="s">
        <v>692</v>
      </c>
      <c r="P1" s="40"/>
      <c r="Q1" s="14" t="s">
        <v>690</v>
      </c>
      <c r="R1" s="14" t="s">
        <v>690</v>
      </c>
      <c r="S1" s="14" t="s">
        <v>690</v>
      </c>
      <c r="T1" s="14" t="s">
        <v>690</v>
      </c>
      <c r="U1" s="14" t="s">
        <v>691</v>
      </c>
      <c r="V1" s="40"/>
      <c r="W1" s="14"/>
      <c r="X1" s="14" t="s">
        <v>692</v>
      </c>
      <c r="Y1" s="40"/>
      <c r="Z1" s="14" t="s">
        <v>690</v>
      </c>
      <c r="AA1" s="14" t="s">
        <v>690</v>
      </c>
      <c r="AB1" s="14" t="s">
        <v>690</v>
      </c>
      <c r="AC1" s="14" t="s">
        <v>690</v>
      </c>
      <c r="AD1" s="14" t="s">
        <v>690</v>
      </c>
      <c r="AE1" s="14" t="s">
        <v>690</v>
      </c>
      <c r="AF1" s="14" t="s">
        <v>690</v>
      </c>
      <c r="AG1" s="14" t="s">
        <v>691</v>
      </c>
      <c r="AH1" s="40"/>
      <c r="AI1" s="14"/>
      <c r="AJ1" s="14" t="s">
        <v>692</v>
      </c>
      <c r="AK1" s="40"/>
      <c r="AL1" s="40"/>
      <c r="AM1" s="41"/>
      <c r="AN1" s="41"/>
      <c r="AO1" s="41"/>
      <c r="AP1" s="41"/>
      <c r="AQ1" s="41"/>
      <c r="AR1" s="41"/>
      <c r="AS1" s="41"/>
      <c r="AT1" s="41"/>
      <c r="AU1" s="42"/>
      <c r="AV1" s="41"/>
      <c r="AW1" s="41"/>
    </row>
    <row r="2" spans="1:49" ht="15" customHeight="1" x14ac:dyDescent="0.2">
      <c r="A2" s="14" t="s">
        <v>693</v>
      </c>
      <c r="B2" s="14" t="s">
        <v>429</v>
      </c>
      <c r="C2" s="39" t="s">
        <v>694</v>
      </c>
      <c r="D2" s="14" t="s">
        <v>695</v>
      </c>
      <c r="E2" s="14" t="s">
        <v>696</v>
      </c>
      <c r="F2" s="14" t="s">
        <v>697</v>
      </c>
      <c r="G2" s="14" t="s">
        <v>698</v>
      </c>
      <c r="H2" s="14" t="s">
        <v>699</v>
      </c>
      <c r="I2" s="14" t="s">
        <v>700</v>
      </c>
      <c r="J2" s="14" t="s">
        <v>701</v>
      </c>
      <c r="K2" s="14" t="s">
        <v>702</v>
      </c>
      <c r="L2" s="14" t="s">
        <v>703</v>
      </c>
      <c r="M2" s="40" t="s">
        <v>704</v>
      </c>
      <c r="N2" s="14" t="s">
        <v>705</v>
      </c>
      <c r="O2" s="14" t="s">
        <v>706</v>
      </c>
      <c r="P2" s="40" t="s">
        <v>707</v>
      </c>
      <c r="Q2" s="14" t="s">
        <v>708</v>
      </c>
      <c r="R2" s="14" t="s">
        <v>709</v>
      </c>
      <c r="S2" s="14" t="s">
        <v>710</v>
      </c>
      <c r="T2" s="14" t="s">
        <v>711</v>
      </c>
      <c r="U2" s="14" t="s">
        <v>712</v>
      </c>
      <c r="V2" s="40" t="s">
        <v>704</v>
      </c>
      <c r="W2" s="14" t="s">
        <v>713</v>
      </c>
      <c r="X2" s="14" t="s">
        <v>714</v>
      </c>
      <c r="Y2" s="40" t="s">
        <v>715</v>
      </c>
      <c r="Z2" s="14" t="s">
        <v>716</v>
      </c>
      <c r="AA2" s="14" t="s">
        <v>717</v>
      </c>
      <c r="AB2" s="14" t="s">
        <v>718</v>
      </c>
      <c r="AC2" s="14" t="s">
        <v>719</v>
      </c>
      <c r="AD2" s="14" t="s">
        <v>720</v>
      </c>
      <c r="AE2" s="39" t="s">
        <v>721</v>
      </c>
      <c r="AF2" s="14" t="s">
        <v>722</v>
      </c>
      <c r="AG2" s="14" t="s">
        <v>723</v>
      </c>
      <c r="AH2" s="40" t="s">
        <v>724</v>
      </c>
      <c r="AI2" s="14" t="s">
        <v>725</v>
      </c>
      <c r="AJ2" s="14" t="s">
        <v>726</v>
      </c>
      <c r="AK2" s="40" t="s">
        <v>727</v>
      </c>
      <c r="AL2" s="40" t="s">
        <v>459</v>
      </c>
      <c r="AM2" s="41" t="s">
        <v>728</v>
      </c>
      <c r="AN2" s="41" t="s">
        <v>729</v>
      </c>
      <c r="AO2" s="41" t="s">
        <v>730</v>
      </c>
      <c r="AP2" s="41" t="s">
        <v>731</v>
      </c>
      <c r="AQ2" s="41" t="s">
        <v>732</v>
      </c>
      <c r="AR2" s="42" t="s">
        <v>733</v>
      </c>
      <c r="AS2" s="42" t="s">
        <v>734</v>
      </c>
      <c r="AT2" s="41" t="s">
        <v>735</v>
      </c>
      <c r="AU2" s="42" t="s">
        <v>736</v>
      </c>
      <c r="AV2" s="41" t="s">
        <v>737</v>
      </c>
      <c r="AW2" s="41" t="s">
        <v>738</v>
      </c>
    </row>
    <row r="3" spans="1:49" ht="15" customHeight="1" x14ac:dyDescent="0.2">
      <c r="A3" s="18" t="s">
        <v>121</v>
      </c>
      <c r="B3" s="18" t="s">
        <v>461</v>
      </c>
      <c r="C3" s="43" t="s">
        <v>9</v>
      </c>
      <c r="D3" s="44">
        <v>0.5</v>
      </c>
      <c r="E3" s="44">
        <v>1</v>
      </c>
      <c r="F3" s="44">
        <v>0.5</v>
      </c>
      <c r="G3" s="44">
        <v>1</v>
      </c>
      <c r="H3" s="44">
        <v>0</v>
      </c>
      <c r="I3" s="44">
        <v>0</v>
      </c>
      <c r="J3" s="44">
        <v>5</v>
      </c>
      <c r="K3" s="44">
        <v>44</v>
      </c>
      <c r="L3" s="44">
        <v>70</v>
      </c>
      <c r="M3" s="45">
        <f ca="1">IFERROR(__xludf.DUMMYFUNCTION("SUM( FILTER(C3:P3, ISNUMBER(SEARCH(""Practice"", $C$1:$P$1)) ) )  / 
  SUM( FILTER(C$77:P$77, ISNUMBER(SEARCH(""Practice"", $C$1:$P$1))))*0.1
+
SUM( FILTER(C3:P3, ISNUMBER(SEARCH(""BEFORE RETAKE"", $C$1:$P$1)) ) ) 
  / 
  SUM( FILTER(C$77:P$77, ISNUMBER(S"&amp;"EARCH(""BEFORE RETAKE"", $C$1:$P$1))))*0.6 
+
0.3"),0.805245901639344)</f>
        <v>0.80524590163934395</v>
      </c>
      <c r="N3" s="46" t="s">
        <v>462</v>
      </c>
      <c r="O3" s="44">
        <v>70</v>
      </c>
      <c r="P3" s="45">
        <f ca="1">IFERROR(__xludf.DUMMYFUNCTION("SUM( FILTER(C3:P3, ISNUMBER(SEARCH(""Practice"", $C$1:$P$1)) ) )  / 
  SUM( FILTER(C$77:P$77, ISNUMBER(SEARCH(""Practice"", $C$1:$P$1))))*0.1
+
SUM( FILTER(C3:P3, ISNUMBER(SEARCH(""After RETAKE"", $C$1:$P$1)) ) ) 
  / 
  SUM( FILTER(C$77:P$77, ISNUMBER(SE"&amp;"ARCH(""BEFORE RETAKE"", $C$1:$P$1))))*0.6 
+
0.3"),0.805245901639344)</f>
        <v>0.80524590163934395</v>
      </c>
      <c r="Q3" s="44">
        <v>0</v>
      </c>
      <c r="R3" s="44">
        <v>0</v>
      </c>
      <c r="S3" s="44">
        <v>5</v>
      </c>
      <c r="T3" s="44">
        <v>44</v>
      </c>
      <c r="U3" s="44">
        <v>66</v>
      </c>
      <c r="V3" s="45">
        <f ca="1">IFERROR(__xludf.DUMMYFUNCTION("SUM( FILTER(C3:X3, ISNUMBER(SEARCH(""Practice"", $C$1:$X$1)) ) )  / 
  SUM( FILTER(C$77:X$77, ISNUMBER(SEARCH(""Practice"", $C$1:$X$1))))*0.1
+
(SUM( FILTER(C3:P3, ISNUMBER(SEARCH(""After RETAKE"", $C$1:$P$1)) ) ) +
SUM( FILTER(P3:X3, ISNUMBER(SEARCH(""Be"&amp;"fore RETAKE"", $P$1:$X$1)) ) )
)  / 
  SUM( FILTER(C$77:X$77, ISNUMBER(SEARCH(""BEFORE RETAKE"", $C$1:$X$1))))*0.6 
+
0.3"),0.793593220338983)</f>
        <v>0.79359322033898305</v>
      </c>
      <c r="W3" s="46" t="s">
        <v>462</v>
      </c>
      <c r="X3" s="44">
        <v>66</v>
      </c>
      <c r="Y3" s="45">
        <f ca="1">IFERROR(__xludf.DUMMYFUNCTION("SUM( FILTER(C3:X3, ISNUMBER(SEARCH(""Practice"", $C$1:$X$1)) ) )  / 
  SUM( FILTER(C$77:X$77, ISNUMBER(SEARCH(""Practice"", $C$1:$X$1))))*0.1
+
(SUM( FILTER(C3:P3, ISNUMBER(SEARCH(""After RETAKE"", $C$1:$P$1)) ) ) +
SUM( FILTER(Q3:X3, ISNUMBER(SEARCH(""Af"&amp;"ter RETAKE"", $Q$1:$X$1)) ) )
)  / 
  SUM( FILTER(C$77:X$77, ISNUMBER(SEARCH(""BEFORE RETAKE"", $C$1:$X$1))))*0.6 
+
0.3"),0.793593220338983)</f>
        <v>0.79359322033898305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4">
        <v>50</v>
      </c>
      <c r="AG3" s="44">
        <v>68</v>
      </c>
      <c r="AH3" s="45">
        <f ca="1">IFERROR(__xludf.DUMMYFUNCTION("SUM( FILTER(C3:AJ3, ISNUMBER(SEARCH(""Practice"", $C$1:$AJ$1)) ) )  / 
  SUM( FILTER(C$77:AJ$77, ISNUMBER(SEARCH(""Practice"", $C$1:$AJ$1))))*0.1
+
(SUM( FILTER(C3:X3, ISNUMBER(SEARCH(""After RETAKE"", $C$1:$X$1)) ) ) +
SUM( FILTER(X3:AJ3, ISNUMBER(SEARCH"&amp;"(""Before RETAKE"", $X$1:$AJ$1)) ) )
)  / 
  SUM( FILTER(C$77:AJ$77, ISNUMBER(SEARCH(""BEFORE RETAKE"", $C$1:$AJ$1))))*0.6 
+
0.3"),0.784262626262626)</f>
        <v>0.78426262626262599</v>
      </c>
      <c r="AI3" s="46" t="s">
        <v>462</v>
      </c>
      <c r="AJ3" s="44">
        <v>68</v>
      </c>
      <c r="AK3" s="45">
        <f ca="1">IFERROR(__xludf.DUMMYFUNCTION("SUM( FILTER(C3:AK3, ISNUMBER(SEARCH(""Practice"", $C$1:$AK$1)) ) )  / 
  SUM( FILTER(C$77:AK$77, ISNUMBER(SEARCH(""Practice"", $C$1:$AK$1))))*0.1
+
(SUM( FILTER(C3:P3, ISNUMBER(SEARCH(""After RETAKE"", $C$1:$P$1)) ) ) +
SUM( FILTER(P3:AK3, ISNUMBER(SEARCH"&amp;"(""After RETAKE"", $P$1:$AK$1)) ) )
)  / 
  SUM( FILTER(C$77:AK$77, ISNUMBER(SEARCH(""BEFORE RETAKE"", $C$1:$AK$1))))*0.6 
+
0.3"),0.784262626262626)</f>
        <v>0.78426262626262599</v>
      </c>
      <c r="AL3" s="45">
        <v>0.62</v>
      </c>
      <c r="AM3" s="21">
        <f t="shared" ref="AM3:AM73" si="0">COUNTIF(D3:K3, "&lt;=0")</f>
        <v>2</v>
      </c>
      <c r="AN3" s="21">
        <f t="shared" ref="AN3:AN73" si="1">COUNTIF(Q3:T3, "&lt;=0")</f>
        <v>2</v>
      </c>
      <c r="AO3" s="21">
        <f t="shared" ref="AO3:AO73" si="2">COUNTIF(Z3:AF3, "&lt;=0")</f>
        <v>6</v>
      </c>
      <c r="AP3" s="20">
        <f t="shared" ref="AP3:AP73" si="3">AVERAGE(L3, U3, AG3)</f>
        <v>68</v>
      </c>
      <c r="AQ3" s="20">
        <f t="shared" ref="AQ3:AQ73" si="4">AVERAGE(O3, X3, AJ3)</f>
        <v>68</v>
      </c>
      <c r="AR3" s="47">
        <f ca="1">IFERROR(__xludf.DUMMYFUNCTION("SUM( FILTER(C3:AK3, ISNUMBER(SEARCH(""Practice"", $C$1:$AK$1)) ) )  / 
  SUM( FILTER(C$77:AK$77, ISNUMBER(SEARCH(""Practice"", $C$1:$AK$1))))*0.1
+
(SUM( FILTER(C3:P3, ISNUMBER(SEARCH(""before RETAKE"", $C$1:$P$1)) ) ) +
SUM( FILTER(P3:AK3, ISNUMBER(SEARC"&amp;"H(""before RETAKE"", $P$1:$AK$1)) ) )
)  / 
  SUM( FILTER(C$77:AK$77, ISNUMBER(SEARCH(""BEFORE RETAKE"", $C$1:$AK$1))))*0.6 
+
0.3*AL3"),0.670262626262626)</f>
        <v>0.670262626262626</v>
      </c>
      <c r="AS3" s="47">
        <f ca="1">IFERROR(__xludf.DUMMYFUNCTION("SUM( FILTER(C3:AK3, ISNUMBER(SEARCH(""Practice"", $C$1:$AK$1)) ) )  / 
  SUM( FILTER(C$77:AK$77, ISNUMBER(SEARCH(""Practice"", $C$1:$AK$1))))*0.1
+
(SUM( FILTER(C3:P3, ISNUMBER(SEARCH(""after RETAKE"", $C$1:$P$1)) ) ) +
SUM( FILTER(P3:AK3, ISNUMBER(SEARCH"&amp;"(""after RETAKE"", $P$1:$AK$1)) ) )
)  / 
  SUM( FILTER(C$77:AK$77, ISNUMBER(SEARCH(""BEFORE RETAKE"", $C$1:$AK$1))))*0.6 
+
0.3*AL3"),0.670262626262626)</f>
        <v>0.670262626262626</v>
      </c>
      <c r="AT3" s="47">
        <v>0.6762626263</v>
      </c>
      <c r="AU3" s="48">
        <f t="shared" ref="AU3:AU73" si="5">SUM(D3:K3, Q3:T3, Z3:AF3) / SUM(D$77:K$77, Q$77:T$77, Z$77:AF$77)</f>
        <v>0.76262626262626265</v>
      </c>
      <c r="AV3" s="21">
        <v>10</v>
      </c>
      <c r="AW3" s="20">
        <f t="shared" ref="AW3:AW73" si="6">AVERAGE(K3, T3, AF3)</f>
        <v>46</v>
      </c>
    </row>
    <row r="4" spans="1:49" ht="15" customHeight="1" x14ac:dyDescent="0.2">
      <c r="A4" s="18" t="s">
        <v>123</v>
      </c>
      <c r="B4" s="18" t="s">
        <v>464</v>
      </c>
      <c r="C4" s="43" t="s">
        <v>9</v>
      </c>
      <c r="D4" s="44">
        <v>0</v>
      </c>
      <c r="E4" s="44">
        <v>1</v>
      </c>
      <c r="F4" s="44">
        <v>1</v>
      </c>
      <c r="G4" s="44">
        <v>0</v>
      </c>
      <c r="H4" s="44">
        <v>0</v>
      </c>
      <c r="I4" s="44">
        <v>0</v>
      </c>
      <c r="J4" s="44">
        <v>5</v>
      </c>
      <c r="K4" s="44">
        <v>35</v>
      </c>
      <c r="L4" s="44">
        <v>78</v>
      </c>
      <c r="M4" s="45">
        <f ca="1">IFERROR(__xludf.DUMMYFUNCTION("SUM( FILTER(C4:P4, ISNUMBER(SEARCH(""Practice"", $C$1:$P$1)) ) )  / 
  SUM( FILTER(C$77:P$77, ISNUMBER(SEARCH(""Practice"", $C$1:$P$1))))*0.1
+
SUM( FILTER(C4:P4, ISNUMBER(SEARCH(""BEFORE RETAKE"", $C$1:$P$1)) ) ) 
  / 
  SUM( FILTER(C$77:P$77, ISNUMBER(S"&amp;"EARCH(""BEFORE RETAKE"", $C$1:$P$1))))*0.6 
+
0.3"),0.836852459016393)</f>
        <v>0.83685245901639305</v>
      </c>
      <c r="N4" s="46" t="s">
        <v>462</v>
      </c>
      <c r="O4" s="44">
        <v>78</v>
      </c>
      <c r="P4" s="45">
        <f ca="1">IFERROR(__xludf.DUMMYFUNCTION("SUM( FILTER(C4:P4, ISNUMBER(SEARCH(""Practice"", $C$1:$P$1)) ) )  / 
  SUM( FILTER(C$77:P$77, ISNUMBER(SEARCH(""Practice"", $C$1:$P$1))))*0.1
+
SUM( FILTER(C4:P4, ISNUMBER(SEARCH(""After RETAKE"", $C$1:$P$1)) ) ) 
  / 
  SUM( FILTER(C$77:P$77, ISNUMBER(SE"&amp;"ARCH(""BEFORE RETAKE"", $C$1:$P$1))))*0.6 
+
0.3"),0.836852459016393)</f>
        <v>0.83685245901639305</v>
      </c>
      <c r="Q4" s="44">
        <v>0</v>
      </c>
      <c r="R4" s="44">
        <v>1</v>
      </c>
      <c r="S4" s="44">
        <v>5</v>
      </c>
      <c r="T4" s="44">
        <v>49.5</v>
      </c>
      <c r="U4" s="44">
        <v>73</v>
      </c>
      <c r="V4" s="45">
        <f ca="1">IFERROR(__xludf.DUMMYFUNCTION("SUM( FILTER(C4:X4, ISNUMBER(SEARCH(""Practice"", $C$1:$X$1)) ) )  / 
  SUM( FILTER(C$77:X$77, ISNUMBER(SEARCH(""Practice"", $C$1:$X$1))))*0.1
+
(SUM( FILTER(C4:P4, ISNUMBER(SEARCH(""After RETAKE"", $C$1:$P$1)) ) ) +
SUM( FILTER(P4:X4, ISNUMBER(SEARCH(""Be"&amp;"fore RETAKE"", $P$1:$X$1)) ) )
)  / 
  SUM( FILTER(C$77:X$77, ISNUMBER(SEARCH(""BEFORE RETAKE"", $C$1:$X$1))))*0.6 
+
0.3"),0.835627118644067)</f>
        <v>0.83562711864406702</v>
      </c>
      <c r="W4" s="46" t="s">
        <v>462</v>
      </c>
      <c r="X4" s="44">
        <v>73</v>
      </c>
      <c r="Y4" s="45">
        <f ca="1">IFERROR(__xludf.DUMMYFUNCTION("SUM( FILTER(C4:X4, ISNUMBER(SEARCH(""Practice"", $C$1:$X$1)) ) )  / 
  SUM( FILTER(C$77:X$77, ISNUMBER(SEARCH(""Practice"", $C$1:$X$1))))*0.1
+
(SUM( FILTER(C4:P4, ISNUMBER(SEARCH(""After RETAKE"", $C$1:$P$1)) ) ) +
SUM( FILTER(Q4:X4, ISNUMBER(SEARCH(""Af"&amp;"ter RETAKE"", $Q$1:$X$1)) ) )
)  / 
  SUM( FILTER(C$77:X$77, ISNUMBER(SEARCH(""BEFORE RETAKE"", $C$1:$X$1))))*0.6 
+
0.3"),0.835627118644067)</f>
        <v>0.83562711864406702</v>
      </c>
      <c r="Z4" s="44">
        <v>5</v>
      </c>
      <c r="AA4" s="44">
        <v>5</v>
      </c>
      <c r="AB4" s="44">
        <v>5</v>
      </c>
      <c r="AC4" s="44">
        <v>5</v>
      </c>
      <c r="AD4" s="44">
        <v>0</v>
      </c>
      <c r="AE4" s="44">
        <v>0</v>
      </c>
      <c r="AF4" s="44">
        <v>44</v>
      </c>
      <c r="AG4" s="44">
        <v>65</v>
      </c>
      <c r="AH4" s="45">
        <f ca="1">IFERROR(__xludf.DUMMYFUNCTION("SUM( FILTER(C4:AJ4, ISNUMBER(SEARCH(""Practice"", $C$1:$AJ$1)) ) )  / 
  SUM( FILTER(C$77:AJ$77, ISNUMBER(SEARCH(""Practice"", $C$1:$AJ$1))))*0.1
+
(SUM( FILTER(C4:X4, ISNUMBER(SEARCH(""After RETAKE"", $C$1:$X$1)) ) ) +
SUM( FILTER(X4:AJ4, ISNUMBER(SEARCH"&amp;"(""Before RETAKE"", $X$1:$AJ$1)) ) )
)  / 
  SUM( FILTER(C$77:AJ$77, ISNUMBER(SEARCH(""BEFORE RETAKE"", $C$1:$AJ$1))))*0.6 
+
0.3"),0.813565656565656)</f>
        <v>0.81356565656565605</v>
      </c>
      <c r="AI4" s="46">
        <v>78</v>
      </c>
      <c r="AJ4" s="44">
        <v>78</v>
      </c>
      <c r="AK4" s="45">
        <f ca="1">IFERROR(__xludf.DUMMYFUNCTION("SUM( FILTER(C4:AK4, ISNUMBER(SEARCH(""Practice"", $C$1:$AK$1)) ) )  / 
  SUM( FILTER(C$77:AK$77, ISNUMBER(SEARCH(""Practice"", $C$1:$AK$1))))*0.1
+
(SUM( FILTER(C4:P4, ISNUMBER(SEARCH(""After RETAKE"", $C$1:$P$1)) ) ) +
SUM( FILTER(P4:AK4, ISNUMBER(SEARCH"&amp;"(""After RETAKE"", $P$1:$AK$1)) ) )
)  / 
  SUM( FILTER(C$77:AK$77, ISNUMBER(SEARCH(""BEFORE RETAKE"", $C$1:$AK$1))))*0.6 
+
0.3"),0.839565656565656)</f>
        <v>0.83956565656565596</v>
      </c>
      <c r="AL4" s="45">
        <v>0.72</v>
      </c>
      <c r="AM4" s="21">
        <f t="shared" si="0"/>
        <v>4</v>
      </c>
      <c r="AN4" s="21">
        <f t="shared" si="1"/>
        <v>1</v>
      </c>
      <c r="AO4" s="21">
        <f t="shared" si="2"/>
        <v>2</v>
      </c>
      <c r="AP4" s="20">
        <f t="shared" si="3"/>
        <v>72</v>
      </c>
      <c r="AQ4" s="20">
        <f t="shared" si="4"/>
        <v>76.333333333333329</v>
      </c>
      <c r="AR4" s="47">
        <f ca="1">IFERROR(__xludf.DUMMYFUNCTION("SUM( FILTER(C4:AK4, ISNUMBER(SEARCH(""Practice"", $C$1:$AK$1)) ) )  / 
  SUM( FILTER(C$77:AK$77, ISNUMBER(SEARCH(""Practice"", $C$1:$AK$1))))*0.1
+
(SUM( FILTER(C4:P4, ISNUMBER(SEARCH(""before RETAKE"", $C$1:$P$1)) ) ) +
SUM( FILTER(P4:AK4, ISNUMBER(SEARC"&amp;"H(""before RETAKE"", $P$1:$AK$1)) ) )
)  / 
  SUM( FILTER(C$77:AK$77, ISNUMBER(SEARCH(""BEFORE RETAKE"", $C$1:$AK$1))))*0.6 
+
0.3*AL4"),0.729565656565656)</f>
        <v>0.72956565656565597</v>
      </c>
      <c r="AS4" s="47">
        <f ca="1">IFERROR(__xludf.DUMMYFUNCTION("SUM( FILTER(C4:AK4, ISNUMBER(SEARCH(""Practice"", $C$1:$AK$1)) ) )  / 
  SUM( FILTER(C$77:AK$77, ISNUMBER(SEARCH(""Practice"", $C$1:$AK$1))))*0.1
+
(SUM( FILTER(C4:P4, ISNUMBER(SEARCH(""after RETAKE"", $C$1:$P$1)) ) ) +
SUM( FILTER(P4:AK4, ISNUMBER(SEARCH"&amp;"(""after RETAKE"", $P$1:$AK$1)) ) )
)  / 
  SUM( FILTER(C$77:AK$77, ISNUMBER(SEARCH(""BEFORE RETAKE"", $C$1:$AK$1))))*0.6 
+
0.3*AL4"),0.755565656565656)</f>
        <v>0.755565656565656</v>
      </c>
      <c r="AT4" s="47">
        <v>0.76556565659999998</v>
      </c>
      <c r="AU4" s="48">
        <f t="shared" si="5"/>
        <v>0.81565656565656564</v>
      </c>
      <c r="AV4" s="21">
        <v>7</v>
      </c>
      <c r="AW4" s="20">
        <f t="shared" si="6"/>
        <v>42.833333333333336</v>
      </c>
    </row>
    <row r="5" spans="1:49" ht="15" customHeight="1" x14ac:dyDescent="0.2">
      <c r="A5" s="18" t="s">
        <v>125</v>
      </c>
      <c r="B5" s="18" t="s">
        <v>464</v>
      </c>
      <c r="C5" s="43" t="s">
        <v>9</v>
      </c>
      <c r="D5" s="44">
        <v>1</v>
      </c>
      <c r="E5" s="44">
        <v>1</v>
      </c>
      <c r="F5" s="44">
        <v>1</v>
      </c>
      <c r="G5" s="44">
        <v>1</v>
      </c>
      <c r="H5" s="44">
        <v>1</v>
      </c>
      <c r="I5" s="44">
        <v>1</v>
      </c>
      <c r="J5" s="44">
        <v>5</v>
      </c>
      <c r="K5" s="44">
        <v>45</v>
      </c>
      <c r="L5" s="44">
        <v>68</v>
      </c>
      <c r="M5" s="45">
        <f ca="1">IFERROR(__xludf.DUMMYFUNCTION("SUM( FILTER(C5:P5, ISNUMBER(SEARCH(""Practice"", $C$1:$P$1)) ) )  / 
  SUM( FILTER(C$77:P$77, ISNUMBER(SEARCH(""Practice"", $C$1:$P$1))))*0.1
+
SUM( FILTER(C5:P5, ISNUMBER(SEARCH(""BEFORE RETAKE"", $C$1:$P$1)) ) ) 
  / 
  SUM( FILTER(C$77:P$77, ISNUMBER(S"&amp;"EARCH(""BEFORE RETAKE"", $C$1:$P$1))))*0.6 
+
0.3"),0.799803278688524)</f>
        <v>0.79980327868852397</v>
      </c>
      <c r="N5" s="46" t="s">
        <v>462</v>
      </c>
      <c r="O5" s="44">
        <v>68</v>
      </c>
      <c r="P5" s="45">
        <f ca="1">IFERROR(__xludf.DUMMYFUNCTION("SUM( FILTER(C5:P5, ISNUMBER(SEARCH(""Practice"", $C$1:$P$1)) ) )  / 
  SUM( FILTER(C$77:P$77, ISNUMBER(SEARCH(""Practice"", $C$1:$P$1))))*0.1
+
SUM( FILTER(C5:P5, ISNUMBER(SEARCH(""After RETAKE"", $C$1:$P$1)) ) ) 
  / 
  SUM( FILTER(C$77:P$77, ISNUMBER(SE"&amp;"ARCH(""BEFORE RETAKE"", $C$1:$P$1))))*0.6 
+
0.3"),0.799803278688524)</f>
        <v>0.79980327868852397</v>
      </c>
      <c r="Q5" s="44">
        <v>1</v>
      </c>
      <c r="R5" s="44">
        <v>1</v>
      </c>
      <c r="S5" s="44">
        <v>5</v>
      </c>
      <c r="T5" s="44">
        <v>49.5</v>
      </c>
      <c r="U5" s="44">
        <v>65</v>
      </c>
      <c r="V5" s="45">
        <f ca="1">IFERROR(__xludf.DUMMYFUNCTION("SUM( FILTER(C5:X5, ISNUMBER(SEARCH(""Practice"", $C$1:$X$1)) ) )  / 
  SUM( FILTER(C$77:X$77, ISNUMBER(SEARCH(""Practice"", $C$1:$X$1))))*0.1
+
(SUM( FILTER(C5:P5, ISNUMBER(SEARCH(""After RETAKE"", $C$1:$P$1)) ) ) +
SUM( FILTER(P5:X5, ISNUMBER(SEARCH(""Be"&amp;"fore RETAKE"", $P$1:$X$1)) ) )
)  / 
  SUM( FILTER(C$77:X$77, ISNUMBER(SEARCH(""BEFORE RETAKE"", $C$1:$X$1))))*0.6 
+
0.3"),0.794338983050847)</f>
        <v>0.79433898305084705</v>
      </c>
      <c r="W5" s="46">
        <v>70</v>
      </c>
      <c r="X5" s="44">
        <v>70</v>
      </c>
      <c r="Y5" s="45">
        <f ca="1">IFERROR(__xludf.DUMMYFUNCTION("SUM( FILTER(C5:X5, ISNUMBER(SEARCH(""Practice"", $C$1:$X$1)) ) )  / 
  SUM( FILTER(C$77:X$77, ISNUMBER(SEARCH(""Practice"", $C$1:$X$1))))*0.1
+
(SUM( FILTER(C5:P5, ISNUMBER(SEARCH(""After RETAKE"", $C$1:$P$1)) ) ) +
SUM( FILTER(Q5:X5, ISNUMBER(SEARCH(""Af"&amp;"ter RETAKE"", $Q$1:$X$1)) ) )
)  / 
  SUM( FILTER(C$77:X$77, ISNUMBER(SEARCH(""BEFORE RETAKE"", $C$1:$X$1))))*0.6 
+
0.3"),0.809338983050847)</f>
        <v>0.80933898305084695</v>
      </c>
      <c r="Z5" s="44">
        <v>5</v>
      </c>
      <c r="AA5" s="44">
        <v>5</v>
      </c>
      <c r="AB5" s="44">
        <v>5</v>
      </c>
      <c r="AC5" s="44">
        <v>5</v>
      </c>
      <c r="AD5" s="44">
        <v>5</v>
      </c>
      <c r="AE5" s="44">
        <v>5</v>
      </c>
      <c r="AF5" s="44">
        <v>46</v>
      </c>
      <c r="AG5" s="44">
        <v>65</v>
      </c>
      <c r="AH5" s="45">
        <f ca="1">IFERROR(__xludf.DUMMYFUNCTION("SUM( FILTER(C5:AJ5, ISNUMBER(SEARCH(""Practice"", $C$1:$AJ$1)) ) )  / 
  SUM( FILTER(C$77:AJ$77, ISNUMBER(SEARCH(""Practice"", $C$1:$AJ$1))))*0.1
+
(SUM( FILTER(C5:X5, ISNUMBER(SEARCH(""After RETAKE"", $C$1:$X$1)) ) ) +
SUM( FILTER(X5:AJ5, ISNUMBER(SEARCH"&amp;"(""Before RETAKE"", $X$1:$AJ$1)) ) )
)  / 
  SUM( FILTER(C$77:AJ$77, ISNUMBER(SEARCH(""BEFORE RETAKE"", $C$1:$AJ$1))))*0.6 
+
0.3"),0.80120202020202)</f>
        <v>0.80120202020202003</v>
      </c>
      <c r="AI5" s="46">
        <v>62</v>
      </c>
      <c r="AJ5" s="44">
        <v>65</v>
      </c>
      <c r="AK5" s="45">
        <f ca="1">IFERROR(__xludf.DUMMYFUNCTION("SUM( FILTER(C5:AK5, ISNUMBER(SEARCH(""Practice"", $C$1:$AK$1)) ) )  / 
  SUM( FILTER(C$77:AK$77, ISNUMBER(SEARCH(""Practice"", $C$1:$AK$1))))*0.1
+
(SUM( FILTER(C5:P5, ISNUMBER(SEARCH(""After RETAKE"", $C$1:$P$1)) ) ) +
SUM( FILTER(P5:AK5, ISNUMBER(SEARCH"&amp;"(""After RETAKE"", $P$1:$AK$1)) ) )
)  / 
  SUM( FILTER(C$77:AK$77, ISNUMBER(SEARCH(""BEFORE RETAKE"", $C$1:$AK$1))))*0.6 
+
0.3"),0.80120202020202)</f>
        <v>0.80120202020202003</v>
      </c>
      <c r="AL5" s="45">
        <v>0.68</v>
      </c>
      <c r="AM5" s="21">
        <f t="shared" si="0"/>
        <v>0</v>
      </c>
      <c r="AN5" s="21">
        <f t="shared" si="1"/>
        <v>0</v>
      </c>
      <c r="AO5" s="21">
        <f t="shared" si="2"/>
        <v>0</v>
      </c>
      <c r="AP5" s="20">
        <f t="shared" si="3"/>
        <v>66</v>
      </c>
      <c r="AQ5" s="20">
        <f t="shared" si="4"/>
        <v>67.666666666666671</v>
      </c>
      <c r="AR5" s="47">
        <f ca="1">IFERROR(__xludf.DUMMYFUNCTION("SUM( FILTER(C5:AK5, ISNUMBER(SEARCH(""Practice"", $C$1:$AK$1)) ) )  / 
  SUM( FILTER(C$77:AK$77, ISNUMBER(SEARCH(""Practice"", $C$1:$AK$1))))*0.1
+
(SUM( FILTER(C5:P5, ISNUMBER(SEARCH(""before RETAKE"", $C$1:$P$1)) ) ) +
SUM( FILTER(P5:AK5, ISNUMBER(SEARC"&amp;"H(""before RETAKE"", $P$1:$AK$1)) ) )
)  / 
  SUM( FILTER(C$77:AK$77, ISNUMBER(SEARCH(""BEFORE RETAKE"", $C$1:$AK$1))))*0.6 
+
0.3*AL5"),0.69520202020202)</f>
        <v>0.69520202020202004</v>
      </c>
      <c r="AS5" s="47">
        <f ca="1">IFERROR(__xludf.DUMMYFUNCTION("SUM( FILTER(C5:AK5, ISNUMBER(SEARCH(""Practice"", $C$1:$AK$1)) ) )  / 
  SUM( FILTER(C$77:AK$77, ISNUMBER(SEARCH(""Practice"", $C$1:$AK$1))))*0.1
+
(SUM( FILTER(C5:P5, ISNUMBER(SEARCH(""after RETAKE"", $C$1:$P$1)) ) ) +
SUM( FILTER(P5:AK5, ISNUMBER(SEARCH"&amp;"(""after RETAKE"", $P$1:$AK$1)) ) )
)  / 
  SUM( FILTER(C$77:AK$77, ISNUMBER(SEARCH(""BEFORE RETAKE"", $C$1:$AK$1))))*0.6 
+
0.3*AL5"),0.70520202020202)</f>
        <v>0.70520202020202005</v>
      </c>
      <c r="AT5" s="47">
        <v>0.71320202020000001</v>
      </c>
      <c r="AU5" s="48">
        <f t="shared" si="5"/>
        <v>0.95202020202020199</v>
      </c>
      <c r="AV5" s="21">
        <v>0</v>
      </c>
      <c r="AW5" s="20">
        <f t="shared" si="6"/>
        <v>46.833333333333336</v>
      </c>
    </row>
    <row r="6" spans="1:49" ht="15" customHeight="1" x14ac:dyDescent="0.2">
      <c r="A6" s="18" t="s">
        <v>127</v>
      </c>
      <c r="B6" s="18" t="s">
        <v>461</v>
      </c>
      <c r="C6" s="43" t="s">
        <v>9</v>
      </c>
      <c r="D6" s="44" t="s">
        <v>462</v>
      </c>
      <c r="E6" s="44" t="s">
        <v>462</v>
      </c>
      <c r="F6" s="44" t="s">
        <v>462</v>
      </c>
      <c r="G6" s="44" t="s">
        <v>462</v>
      </c>
      <c r="H6" s="44" t="s">
        <v>462</v>
      </c>
      <c r="I6" s="44" t="s">
        <v>462</v>
      </c>
      <c r="J6" s="44" t="s">
        <v>462</v>
      </c>
      <c r="K6" s="44" t="s">
        <v>462</v>
      </c>
      <c r="L6" s="44">
        <v>85</v>
      </c>
      <c r="M6" s="45">
        <f ca="1">IFERROR(__xludf.DUMMYFUNCTION("SUM( FILTER(C6:P6, ISNUMBER(SEARCH(""Practice"", $C$1:$P$1)) ) )  / 
  SUM( FILTER(C$77:P$77, ISNUMBER(SEARCH(""Practice"", $C$1:$P$1))))*0.1
+
SUM( FILTER(C6:P6, ISNUMBER(SEARCH(""BEFORE RETAKE"", $C$1:$P$1)) ) ) 
  / 
  SUM( FILTER(C$77:P$77, ISNUMBER(S"&amp;"EARCH(""BEFORE RETAKE"", $C$1:$P$1))))*0.6 
+
0.3"),0.81)</f>
        <v>0.81</v>
      </c>
      <c r="N6" s="46" t="s">
        <v>462</v>
      </c>
      <c r="O6" s="44">
        <v>85</v>
      </c>
      <c r="P6" s="45">
        <f ca="1">IFERROR(__xludf.DUMMYFUNCTION("SUM( FILTER(C6:P6, ISNUMBER(SEARCH(""Practice"", $C$1:$P$1)) ) )  / 
  SUM( FILTER(C$77:P$77, ISNUMBER(SEARCH(""Practice"", $C$1:$P$1))))*0.1
+
SUM( FILTER(C6:P6, ISNUMBER(SEARCH(""After RETAKE"", $C$1:$P$1)) ) ) 
  / 
  SUM( FILTER(C$77:P$77, ISNUMBER(SE"&amp;"ARCH(""BEFORE RETAKE"", $C$1:$P$1))))*0.6 
+
0.3"),0.81)</f>
        <v>0.81</v>
      </c>
      <c r="Q6" s="44">
        <v>0</v>
      </c>
      <c r="R6" s="44">
        <v>0</v>
      </c>
      <c r="S6" s="44">
        <v>5</v>
      </c>
      <c r="T6" s="44">
        <v>45.5</v>
      </c>
      <c r="U6" s="44">
        <v>78</v>
      </c>
      <c r="V6" s="45">
        <f ca="1">IFERROR(__xludf.DUMMYFUNCTION("SUM( FILTER(C6:X6, ISNUMBER(SEARCH(""Practice"", $C$1:$X$1)) ) )  / 
  SUM( FILTER(C$77:X$77, ISNUMBER(SEARCH(""Practice"", $C$1:$X$1))))*0.1
+
(SUM( FILTER(C6:P6, ISNUMBER(SEARCH(""After RETAKE"", $C$1:$P$1)) ) ) +
SUM( FILTER(P6:X6, ISNUMBER(SEARCH(""Be"&amp;"fore RETAKE"", $P$1:$X$1)) ) )
)  / 
  SUM( FILTER(C$77:X$77, ISNUMBER(SEARCH(""BEFORE RETAKE"", $C$1:$X$1))))*0.6 
+
0.3"),0.831796610169491)</f>
        <v>0.83179661016949102</v>
      </c>
      <c r="W6" s="46" t="s">
        <v>462</v>
      </c>
      <c r="X6" s="44">
        <v>78</v>
      </c>
      <c r="Y6" s="45">
        <f ca="1">IFERROR(__xludf.DUMMYFUNCTION("SUM( FILTER(C6:X6, ISNUMBER(SEARCH(""Practice"", $C$1:$X$1)) ) )  / 
  SUM( FILTER(C$77:X$77, ISNUMBER(SEARCH(""Practice"", $C$1:$X$1))))*0.1
+
(SUM( FILTER(C6:P6, ISNUMBER(SEARCH(""After RETAKE"", $C$1:$P$1)) ) ) +
SUM( FILTER(Q6:X6, ISNUMBER(SEARCH(""Af"&amp;"ter RETAKE"", $Q$1:$X$1)) ) )
)  / 
  SUM( FILTER(C$77:X$77, ISNUMBER(SEARCH(""BEFORE RETAKE"", $C$1:$X$1))))*0.6 
+
0.3"),0.831796610169491)</f>
        <v>0.83179661016949102</v>
      </c>
      <c r="Z6" s="44">
        <v>5</v>
      </c>
      <c r="AA6" s="44">
        <v>5</v>
      </c>
      <c r="AB6" s="44">
        <v>5</v>
      </c>
      <c r="AC6" s="44">
        <v>0</v>
      </c>
      <c r="AD6" s="44">
        <v>0</v>
      </c>
      <c r="AE6" s="44">
        <v>0</v>
      </c>
      <c r="AF6" s="44">
        <v>50</v>
      </c>
      <c r="AG6" s="44">
        <v>68</v>
      </c>
      <c r="AH6" s="45">
        <f ca="1">IFERROR(__xludf.DUMMYFUNCTION("SUM( FILTER(C6:AJ6, ISNUMBER(SEARCH(""Practice"", $C$1:$AJ$1)) ) )  / 
  SUM( FILTER(C$77:AJ$77, ISNUMBER(SEARCH(""Practice"", $C$1:$AJ$1))))*0.1
+
(SUM( FILTER(C6:X6, ISNUMBER(SEARCH(""After RETAKE"", $C$1:$X$1)) ) ) +
SUM( FILTER(X6:AJ6, ISNUMBER(SEARCH"&amp;"(""Before RETAKE"", $X$1:$AJ$1)) ) )
)  / 
  SUM( FILTER(C$77:AJ$77, ISNUMBER(SEARCH(""BEFORE RETAKE"", $C$1:$AJ$1))))*0.6 
+
0.3"),0.820333333333333)</f>
        <v>0.82033333333333303</v>
      </c>
      <c r="AI6" s="46">
        <v>75</v>
      </c>
      <c r="AJ6" s="44">
        <v>75</v>
      </c>
      <c r="AK6" s="45">
        <f ca="1">IFERROR(__xludf.DUMMYFUNCTION("SUM( FILTER(C6:AK6, ISNUMBER(SEARCH(""Practice"", $C$1:$AK$1)) ) )  / 
  SUM( FILTER(C$77:AK$77, ISNUMBER(SEARCH(""Practice"", $C$1:$AK$1))))*0.1
+
(SUM( FILTER(C6:P6, ISNUMBER(SEARCH(""After RETAKE"", $C$1:$P$1)) ) ) +
SUM( FILTER(P6:AK6, ISNUMBER(SEARCH"&amp;"(""After RETAKE"", $P$1:$AK$1)) ) )
)  / 
  SUM( FILTER(C$77:AK$77, ISNUMBER(SEARCH(""BEFORE RETAKE"", $C$1:$AK$1))))*0.6 
+
0.3"),0.834333333333333)</f>
        <v>0.83433333333333304</v>
      </c>
      <c r="AL6" s="45">
        <v>0.8</v>
      </c>
      <c r="AM6" s="21">
        <f t="shared" si="0"/>
        <v>0</v>
      </c>
      <c r="AN6" s="21">
        <f t="shared" si="1"/>
        <v>2</v>
      </c>
      <c r="AO6" s="21">
        <f t="shared" si="2"/>
        <v>3</v>
      </c>
      <c r="AP6" s="20">
        <f t="shared" si="3"/>
        <v>77</v>
      </c>
      <c r="AQ6" s="20">
        <f t="shared" si="4"/>
        <v>79.333333333333329</v>
      </c>
      <c r="AR6" s="47">
        <f ca="1">IFERROR(__xludf.DUMMYFUNCTION("SUM( FILTER(C6:AK6, ISNUMBER(SEARCH(""Practice"", $C$1:$AK$1)) ) )  / 
  SUM( FILTER(C$77:AK$77, ISNUMBER(SEARCH(""Practice"", $C$1:$AK$1))))*0.1
+
(SUM( FILTER(C6:P6, ISNUMBER(SEARCH(""before RETAKE"", $C$1:$P$1)) ) ) +
SUM( FILTER(P6:AK6, ISNUMBER(SEARC"&amp;"H(""before RETAKE"", $P$1:$AK$1)) ) )
)  / 
  SUM( FILTER(C$77:AK$77, ISNUMBER(SEARCH(""BEFORE RETAKE"", $C$1:$AK$1))))*0.6 
+
0.3*AL6"),0.760333333333333)</f>
        <v>0.76033333333333297</v>
      </c>
      <c r="AS6" s="47">
        <f ca="1">IFERROR(__xludf.DUMMYFUNCTION("SUM( FILTER(C6:AK6, ISNUMBER(SEARCH(""Practice"", $C$1:$AK$1)) ) )  / 
  SUM( FILTER(C$77:AK$77, ISNUMBER(SEARCH(""Practice"", $C$1:$AK$1))))*0.1
+
(SUM( FILTER(C6:P6, ISNUMBER(SEARCH(""after RETAKE"", $C$1:$P$1)) ) ) +
SUM( FILTER(P6:AK6, ISNUMBER(SEARCH"&amp;"(""after RETAKE"", $P$1:$AK$1)) ) )
)  / 
  SUM( FILTER(C$77:AK$77, ISNUMBER(SEARCH(""BEFORE RETAKE"", $C$1:$AK$1))))*0.6 
+
0.3*AL6"),0.774333333333333)</f>
        <v>0.77433333333333298</v>
      </c>
      <c r="AT6" s="47">
        <v>0.78733333329999999</v>
      </c>
      <c r="AU6" s="48">
        <f t="shared" si="5"/>
        <v>0.58333333333333337</v>
      </c>
      <c r="AV6" s="21">
        <v>5</v>
      </c>
      <c r="AW6" s="20">
        <f t="shared" si="6"/>
        <v>47.75</v>
      </c>
    </row>
    <row r="7" spans="1:49" ht="15" customHeight="1" x14ac:dyDescent="0.2">
      <c r="A7" s="18" t="s">
        <v>129</v>
      </c>
      <c r="B7" s="18" t="s">
        <v>461</v>
      </c>
      <c r="C7" s="43" t="s">
        <v>9</v>
      </c>
      <c r="D7" s="44" t="s">
        <v>462</v>
      </c>
      <c r="E7" s="44" t="s">
        <v>462</v>
      </c>
      <c r="F7" s="44" t="s">
        <v>462</v>
      </c>
      <c r="G7" s="44" t="s">
        <v>462</v>
      </c>
      <c r="H7" s="44" t="s">
        <v>462</v>
      </c>
      <c r="I7" s="44" t="s">
        <v>462</v>
      </c>
      <c r="J7" s="44" t="s">
        <v>462</v>
      </c>
      <c r="K7" s="44" t="s">
        <v>462</v>
      </c>
      <c r="L7" s="44">
        <v>78</v>
      </c>
      <c r="M7" s="45">
        <f ca="1">IFERROR(__xludf.DUMMYFUNCTION("SUM( FILTER(C7:P7, ISNUMBER(SEARCH(""Practice"", $C$1:$P$1)) ) )  / 
  SUM( FILTER(C$77:P$77, ISNUMBER(SEARCH(""Practice"", $C$1:$P$1))))*0.1
+
SUM( FILTER(C7:P7, ISNUMBER(SEARCH(""BEFORE RETAKE"", $C$1:$P$1)) ) ) 
  / 
  SUM( FILTER(C$77:P$77, ISNUMBER(S"&amp;"EARCH(""BEFORE RETAKE"", $C$1:$P$1))))*0.6 
+
0.3"),0.768)</f>
        <v>0.76800000000000002</v>
      </c>
      <c r="N7" s="46">
        <v>76</v>
      </c>
      <c r="O7" s="44">
        <v>78</v>
      </c>
      <c r="P7" s="45">
        <f ca="1">IFERROR(__xludf.DUMMYFUNCTION("SUM( FILTER(C7:P7, ISNUMBER(SEARCH(""Practice"", $C$1:$P$1)) ) )  / 
  SUM( FILTER(C$77:P$77, ISNUMBER(SEARCH(""Practice"", $C$1:$P$1))))*0.1
+
SUM( FILTER(C7:P7, ISNUMBER(SEARCH(""After RETAKE"", $C$1:$P$1)) ) ) 
  / 
  SUM( FILTER(C$77:P$77, ISNUMBER(SE"&amp;"ARCH(""BEFORE RETAKE"", $C$1:$P$1))))*0.6 
+
0.3"),0.768)</f>
        <v>0.76800000000000002</v>
      </c>
      <c r="Q7" s="44">
        <v>1</v>
      </c>
      <c r="R7" s="44">
        <v>1</v>
      </c>
      <c r="S7" s="44">
        <v>5</v>
      </c>
      <c r="T7" s="44">
        <v>45</v>
      </c>
      <c r="U7" s="44">
        <v>83</v>
      </c>
      <c r="V7" s="45">
        <f ca="1">IFERROR(__xludf.DUMMYFUNCTION("SUM( FILTER(C7:X7, ISNUMBER(SEARCH(""Practice"", $C$1:$X$1)) ) )  / 
  SUM( FILTER(C$77:X$77, ISNUMBER(SEARCH(""Practice"", $C$1:$X$1))))*0.1
+
(SUM( FILTER(C7:P7, ISNUMBER(SEARCH(""After RETAKE"", $C$1:$P$1)) ) ) +
SUM( FILTER(P7:X7, ISNUMBER(SEARCH(""Be"&amp;"fore RETAKE"", $P$1:$X$1)) ) )
)  / 
  SUM( FILTER(C$77:X$77, ISNUMBER(SEARCH(""BEFORE RETAKE"", $C$1:$X$1))))*0.6 
+
0.3"),0.827067796610169)</f>
        <v>0.82706779661016905</v>
      </c>
      <c r="W7" s="46" t="s">
        <v>462</v>
      </c>
      <c r="X7" s="44">
        <v>83</v>
      </c>
      <c r="Y7" s="45">
        <f ca="1">IFERROR(__xludf.DUMMYFUNCTION("SUM( FILTER(C7:X7, ISNUMBER(SEARCH(""Practice"", $C$1:$X$1)) ) )  / 
  SUM( FILTER(C$77:X$77, ISNUMBER(SEARCH(""Practice"", $C$1:$X$1))))*0.1
+
(SUM( FILTER(C7:P7, ISNUMBER(SEARCH(""After RETAKE"", $C$1:$P$1)) ) ) +
SUM( FILTER(Q7:X7, ISNUMBER(SEARCH(""Af"&amp;"ter RETAKE"", $Q$1:$X$1)) ) )
)  / 
  SUM( FILTER(C$77:X$77, ISNUMBER(SEARCH(""BEFORE RETAKE"", $C$1:$X$1))))*0.6 
+
0.3"),0.827067796610169)</f>
        <v>0.82706779661016905</v>
      </c>
      <c r="Z7" s="44">
        <v>0</v>
      </c>
      <c r="AA7" s="44">
        <v>5</v>
      </c>
      <c r="AB7" s="44">
        <v>5</v>
      </c>
      <c r="AC7" s="44">
        <v>5</v>
      </c>
      <c r="AD7" s="44">
        <v>0</v>
      </c>
      <c r="AE7" s="44">
        <v>0</v>
      </c>
      <c r="AF7" s="44">
        <v>50</v>
      </c>
      <c r="AG7" s="44">
        <v>75</v>
      </c>
      <c r="AH7" s="45">
        <f ca="1">IFERROR(__xludf.DUMMYFUNCTION("SUM( FILTER(C7:AJ7, ISNUMBER(SEARCH(""Practice"", $C$1:$AJ$1)) ) )  / 
  SUM( FILTER(C$77:AJ$77, ISNUMBER(SEARCH(""Practice"", $C$1:$AJ$1))))*0.1
+
(SUM( FILTER(C7:X7, ISNUMBER(SEARCH(""After RETAKE"", $C$1:$X$1)) ) ) +
SUM( FILTER(X7:AJ7, ISNUMBER(SEARCH"&amp;"(""Before RETAKE"", $X$1:$AJ$1)) ) )
)  / 
  SUM( FILTER(C$77:AJ$77, ISNUMBER(SEARCH(""BEFORE RETAKE"", $C$1:$AJ$1))))*0.6 
+
0.3"),0.831090909090909)</f>
        <v>0.83109090909090899</v>
      </c>
      <c r="AI7" s="46">
        <v>78</v>
      </c>
      <c r="AJ7" s="44">
        <v>78</v>
      </c>
      <c r="AK7" s="45">
        <f ca="1">IFERROR(__xludf.DUMMYFUNCTION("SUM( FILTER(C7:AK7, ISNUMBER(SEARCH(""Practice"", $C$1:$AK$1)) ) )  / 
  SUM( FILTER(C$77:AK$77, ISNUMBER(SEARCH(""Practice"", $C$1:$AK$1))))*0.1
+
(SUM( FILTER(C7:P7, ISNUMBER(SEARCH(""After RETAKE"", $C$1:$P$1)) ) ) +
SUM( FILTER(P7:AK7, ISNUMBER(SEARCH"&amp;"(""After RETAKE"", $P$1:$AK$1)) ) )
)  / 
  SUM( FILTER(C$77:AK$77, ISNUMBER(SEARCH(""BEFORE RETAKE"", $C$1:$AK$1))))*0.6 
+
0.3"),0.837090909090909)</f>
        <v>0.837090909090909</v>
      </c>
      <c r="AL7" s="45">
        <v>0.75</v>
      </c>
      <c r="AM7" s="21">
        <f t="shared" si="0"/>
        <v>0</v>
      </c>
      <c r="AN7" s="21">
        <f t="shared" si="1"/>
        <v>0</v>
      </c>
      <c r="AO7" s="21">
        <f t="shared" si="2"/>
        <v>3</v>
      </c>
      <c r="AP7" s="20">
        <f t="shared" si="3"/>
        <v>78.666666666666671</v>
      </c>
      <c r="AQ7" s="20">
        <f t="shared" si="4"/>
        <v>79.666666666666671</v>
      </c>
      <c r="AR7" s="47">
        <f ca="1">IFERROR(__xludf.DUMMYFUNCTION("SUM( FILTER(C7:AK7, ISNUMBER(SEARCH(""Practice"", $C$1:$AK$1)) ) )  / 
  SUM( FILTER(C$77:AK$77, ISNUMBER(SEARCH(""Practice"", $C$1:$AK$1))))*0.1
+
(SUM( FILTER(C7:P7, ISNUMBER(SEARCH(""before RETAKE"", $C$1:$P$1)) ) ) +
SUM( FILTER(P7:AK7, ISNUMBER(SEARC"&amp;"H(""before RETAKE"", $P$1:$AK$1)) ) )
)  / 
  SUM( FILTER(C$77:AK$77, ISNUMBER(SEARCH(""BEFORE RETAKE"", $C$1:$AK$1))))*0.6 
+
0.3*AL7"),0.756090909090909)</f>
        <v>0.75609090909090904</v>
      </c>
      <c r="AS7" s="47">
        <f ca="1">IFERROR(__xludf.DUMMYFUNCTION("SUM( FILTER(C7:AK7, ISNUMBER(SEARCH(""Practice"", $C$1:$AK$1)) ) )  / 
  SUM( FILTER(C$77:AK$77, ISNUMBER(SEARCH(""Practice"", $C$1:$AK$1))))*0.1
+
(SUM( FILTER(C7:P7, ISNUMBER(SEARCH(""after RETAKE"", $C$1:$P$1)) ) ) +
SUM( FILTER(P7:AK7, ISNUMBER(SEARCH"&amp;"(""after RETAKE"", $P$1:$AK$1)) ) )
)  / 
  SUM( FILTER(C$77:AK$77, ISNUMBER(SEARCH(""BEFORE RETAKE"", $C$1:$AK$1))))*0.6 
+
0.3*AL7"),0.762090909090909)</f>
        <v>0.76209090909090904</v>
      </c>
      <c r="AT7" s="47">
        <v>0.7670909091</v>
      </c>
      <c r="AU7" s="48">
        <f t="shared" si="5"/>
        <v>0.59090909090909094</v>
      </c>
      <c r="AV7" s="21">
        <v>3</v>
      </c>
      <c r="AW7" s="20">
        <f t="shared" si="6"/>
        <v>47.5</v>
      </c>
    </row>
    <row r="8" spans="1:49" ht="15" customHeight="1" x14ac:dyDescent="0.2">
      <c r="A8" s="18" t="s">
        <v>131</v>
      </c>
      <c r="B8" s="18" t="s">
        <v>461</v>
      </c>
      <c r="C8" s="43" t="s">
        <v>10</v>
      </c>
      <c r="D8" s="44">
        <v>1</v>
      </c>
      <c r="E8" s="44">
        <v>1</v>
      </c>
      <c r="F8" s="44">
        <v>1</v>
      </c>
      <c r="G8" s="44">
        <v>1</v>
      </c>
      <c r="H8" s="44">
        <v>0</v>
      </c>
      <c r="I8" s="44">
        <v>0</v>
      </c>
      <c r="J8" s="44">
        <v>5</v>
      </c>
      <c r="K8" s="44">
        <v>43</v>
      </c>
      <c r="L8" s="44">
        <v>60</v>
      </c>
      <c r="M8" s="45">
        <f ca="1">IFERROR(__xludf.DUMMYFUNCTION("SUM( FILTER(C8:P8, ISNUMBER(SEARCH(""Practice"", $C$1:$P$1)) ) )  / 
  SUM( FILTER(C$77:P$77, ISNUMBER(SEARCH(""Practice"", $C$1:$P$1))))*0.1
+
SUM( FILTER(C8:P8, ISNUMBER(SEARCH(""BEFORE RETAKE"", $C$1:$P$1)) ) ) 
  / 
  SUM( FILTER(C$77:P$77, ISNUMBER(S"&amp;"EARCH(""BEFORE RETAKE"", $C$1:$P$1))))*0.6 
+
0.3"),0.745245901639344)</f>
        <v>0.74524590163934401</v>
      </c>
      <c r="N8" s="46" t="s">
        <v>462</v>
      </c>
      <c r="O8" s="44">
        <v>60</v>
      </c>
      <c r="P8" s="45">
        <f ca="1">IFERROR(__xludf.DUMMYFUNCTION("SUM( FILTER(C8:P8, ISNUMBER(SEARCH(""Practice"", $C$1:$P$1)) ) )  / 
  SUM( FILTER(C$77:P$77, ISNUMBER(SEARCH(""Practice"", $C$1:$P$1))))*0.1
+
SUM( FILTER(C8:P8, ISNUMBER(SEARCH(""After RETAKE"", $C$1:$P$1)) ) ) 
  / 
  SUM( FILTER(C$77:P$77, ISNUMBER(SE"&amp;"ARCH(""BEFORE RETAKE"", $C$1:$P$1))))*0.6 
+
0.3"),0.745245901639344)</f>
        <v>0.74524590163934401</v>
      </c>
      <c r="Q8" s="44">
        <v>1</v>
      </c>
      <c r="R8" s="44">
        <v>0</v>
      </c>
      <c r="S8" s="44">
        <v>5</v>
      </c>
      <c r="T8" s="44">
        <v>39.5</v>
      </c>
      <c r="U8" s="44">
        <v>86</v>
      </c>
      <c r="V8" s="45">
        <f ca="1">IFERROR(__xludf.DUMMYFUNCTION("SUM( FILTER(C8:X8, ISNUMBER(SEARCH(""Practice"", $C$1:$X$1)) ) )  / 
  SUM( FILTER(C$77:X$77, ISNUMBER(SEARCH(""Practice"", $C$1:$X$1))))*0.1
+
(SUM( FILTER(C8:P8, ISNUMBER(SEARCH(""After RETAKE"", $C$1:$P$1)) ) ) +
SUM( FILTER(P8:X8, ISNUMBER(SEARCH(""Be"&amp;"fore RETAKE"", $P$1:$X$1)) ) )
)  / 
  SUM( FILTER(C$77:X$77, ISNUMBER(SEARCH(""BEFORE RETAKE"", $C$1:$X$1))))*0.6 
+
0.3"),0.820627118644067)</f>
        <v>0.82062711864406701</v>
      </c>
      <c r="W8" s="46" t="s">
        <v>462</v>
      </c>
      <c r="X8" s="44">
        <v>86</v>
      </c>
      <c r="Y8" s="45">
        <f ca="1">IFERROR(__xludf.DUMMYFUNCTION("SUM( FILTER(C8:X8, ISNUMBER(SEARCH(""Practice"", $C$1:$X$1)) ) )  / 
  SUM( FILTER(C$77:X$77, ISNUMBER(SEARCH(""Practice"", $C$1:$X$1))))*0.1
+
(SUM( FILTER(C8:P8, ISNUMBER(SEARCH(""After RETAKE"", $C$1:$P$1)) ) ) +
SUM( FILTER(Q8:X8, ISNUMBER(SEARCH(""Af"&amp;"ter RETAKE"", $Q$1:$X$1)) ) )
)  / 
  SUM( FILTER(C$77:X$77, ISNUMBER(SEARCH(""BEFORE RETAKE"", $C$1:$X$1))))*0.6 
+
0.3"),0.820627118644067)</f>
        <v>0.82062711864406701</v>
      </c>
      <c r="Z8" s="44">
        <v>0</v>
      </c>
      <c r="AA8" s="44">
        <v>5</v>
      </c>
      <c r="AB8" s="44">
        <v>5</v>
      </c>
      <c r="AC8" s="44">
        <v>5</v>
      </c>
      <c r="AD8" s="44">
        <v>5</v>
      </c>
      <c r="AE8" s="44">
        <v>5</v>
      </c>
      <c r="AF8" s="44">
        <v>50</v>
      </c>
      <c r="AG8" s="44">
        <v>72</v>
      </c>
      <c r="AH8" s="45">
        <f ca="1">IFERROR(__xludf.DUMMYFUNCTION("SUM( FILTER(C8:AJ8, ISNUMBER(SEARCH(""Practice"", $C$1:$AJ$1)) ) )  / 
  SUM( FILTER(C$77:AJ$77, ISNUMBER(SEARCH(""Practice"", $C$1:$AJ$1))))*0.1
+
(SUM( FILTER(C8:X8, ISNUMBER(SEARCH(""After RETAKE"", $C$1:$X$1)) ) ) +
SUM( FILTER(X8:AJ8, ISNUMBER(SEARCH"&amp;"(""Before RETAKE"", $X$1:$AJ$1)) ) )
)  / 
  SUM( FILTER(C$77:AJ$77, ISNUMBER(SEARCH(""BEFORE RETAKE"", $C$1:$AJ$1))))*0.6 
+
0.3"),0.823121212121212)</f>
        <v>0.82312121212121203</v>
      </c>
      <c r="AI8" s="46">
        <v>65</v>
      </c>
      <c r="AJ8" s="44">
        <v>72</v>
      </c>
      <c r="AK8" s="45">
        <f ca="1">IFERROR(__xludf.DUMMYFUNCTION("SUM( FILTER(C8:AK8, ISNUMBER(SEARCH(""Practice"", $C$1:$AK$1)) ) )  / 
  SUM( FILTER(C$77:AK$77, ISNUMBER(SEARCH(""Practice"", $C$1:$AK$1))))*0.1
+
(SUM( FILTER(C8:P8, ISNUMBER(SEARCH(""After RETAKE"", $C$1:$P$1)) ) ) +
SUM( FILTER(P8:AK8, ISNUMBER(SEARCH"&amp;"(""After RETAKE"", $P$1:$AK$1)) ) )
)  / 
  SUM( FILTER(C$77:AK$77, ISNUMBER(SEARCH(""BEFORE RETAKE"", $C$1:$AK$1))))*0.6 
+
0.3"),0.823121212121212)</f>
        <v>0.82312121212121203</v>
      </c>
      <c r="AL8" s="45">
        <v>0.68</v>
      </c>
      <c r="AM8" s="21">
        <f t="shared" si="0"/>
        <v>2</v>
      </c>
      <c r="AN8" s="21">
        <f t="shared" si="1"/>
        <v>1</v>
      </c>
      <c r="AO8" s="21">
        <f t="shared" si="2"/>
        <v>1</v>
      </c>
      <c r="AP8" s="20">
        <f t="shared" si="3"/>
        <v>72.666666666666671</v>
      </c>
      <c r="AQ8" s="20">
        <f t="shared" si="4"/>
        <v>72.666666666666671</v>
      </c>
      <c r="AR8" s="47">
        <f ca="1">IFERROR(__xludf.DUMMYFUNCTION("SUM( FILTER(C8:AK8, ISNUMBER(SEARCH(""Practice"", $C$1:$AK$1)) ) )  / 
  SUM( FILTER(C$77:AK$77, ISNUMBER(SEARCH(""Practice"", $C$1:$AK$1))))*0.1
+
(SUM( FILTER(C8:P8, ISNUMBER(SEARCH(""before RETAKE"", $C$1:$P$1)) ) ) +
SUM( FILTER(P8:AK8, ISNUMBER(SEARC"&amp;"H(""before RETAKE"", $P$1:$AK$1)) ) )
)  / 
  SUM( FILTER(C$77:AK$77, ISNUMBER(SEARCH(""BEFORE RETAKE"", $C$1:$AK$1))))*0.6 
+
0.3*AL8"),0.727121212121212)</f>
        <v>0.72712121212121195</v>
      </c>
      <c r="AS8" s="47">
        <f ca="1">IFERROR(__xludf.DUMMYFUNCTION("SUM( FILTER(C8:AK8, ISNUMBER(SEARCH(""Practice"", $C$1:$AK$1)) ) )  / 
  SUM( FILTER(C$77:AK$77, ISNUMBER(SEARCH(""Practice"", $C$1:$AK$1))))*0.1
+
(SUM( FILTER(C8:P8, ISNUMBER(SEARCH(""after RETAKE"", $C$1:$P$1)) ) ) +
SUM( FILTER(P8:AK8, ISNUMBER(SEARCH"&amp;"(""after RETAKE"", $P$1:$AK$1)) ) )
)  / 
  SUM( FILTER(C$77:AK$77, ISNUMBER(SEARCH(""BEFORE RETAKE"", $C$1:$AK$1))))*0.6 
+
0.3*AL8"),0.727121212121212)</f>
        <v>0.72712121212121195</v>
      </c>
      <c r="AT8" s="47">
        <v>0.76512121209999995</v>
      </c>
      <c r="AU8" s="48">
        <f t="shared" si="5"/>
        <v>0.87121212121212122</v>
      </c>
      <c r="AV8" s="21">
        <v>4</v>
      </c>
      <c r="AW8" s="20">
        <f t="shared" si="6"/>
        <v>44.166666666666664</v>
      </c>
    </row>
    <row r="9" spans="1:49" ht="15" customHeight="1" x14ac:dyDescent="0.2">
      <c r="A9" s="18" t="s">
        <v>133</v>
      </c>
      <c r="B9" s="18" t="s">
        <v>461</v>
      </c>
      <c r="C9" s="43" t="s">
        <v>9</v>
      </c>
      <c r="D9" s="44">
        <v>1</v>
      </c>
      <c r="E9" s="44">
        <v>1</v>
      </c>
      <c r="F9" s="44">
        <v>0.5</v>
      </c>
      <c r="G9" s="44">
        <v>1</v>
      </c>
      <c r="H9" s="44">
        <v>1</v>
      </c>
      <c r="I9" s="44">
        <v>0</v>
      </c>
      <c r="J9" s="44">
        <v>5</v>
      </c>
      <c r="K9" s="44">
        <v>35</v>
      </c>
      <c r="L9" s="44">
        <v>85</v>
      </c>
      <c r="M9" s="45">
        <f ca="1">IFERROR(__xludf.DUMMYFUNCTION("SUM( FILTER(C9:P9, ISNUMBER(SEARCH(""Practice"", $C$1:$P$1)) ) )  / 
  SUM( FILTER(C$77:P$77, ISNUMBER(SEARCH(""Practice"", $C$1:$P$1))))*0.1
+
SUM( FILTER(C9:P9, ISNUMBER(SEARCH(""BEFORE RETAKE"", $C$1:$P$1)) ) ) 
  / 
  SUM( FILTER(C$77:P$77, ISNUMBER(S"&amp;"EARCH(""BEFORE RETAKE"", $C$1:$P$1))))*0.6 
+
0.3"),0.882950819672131)</f>
        <v>0.88295081967213096</v>
      </c>
      <c r="N9" s="46" t="s">
        <v>462</v>
      </c>
      <c r="O9" s="44">
        <v>85</v>
      </c>
      <c r="P9" s="45">
        <f ca="1">IFERROR(__xludf.DUMMYFUNCTION("SUM( FILTER(C9:P9, ISNUMBER(SEARCH(""Practice"", $C$1:$P$1)) ) )  / 
  SUM( FILTER(C$77:P$77, ISNUMBER(SEARCH(""Practice"", $C$1:$P$1))))*0.1
+
SUM( FILTER(C9:P9, ISNUMBER(SEARCH(""After RETAKE"", $C$1:$P$1)) ) ) 
  / 
  SUM( FILTER(C$77:P$77, ISNUMBER(SE"&amp;"ARCH(""BEFORE RETAKE"", $C$1:$P$1))))*0.6 
+
0.3"),0.882950819672131)</f>
        <v>0.88295081967213096</v>
      </c>
      <c r="Q9" s="44">
        <v>1</v>
      </c>
      <c r="R9" s="44">
        <v>1</v>
      </c>
      <c r="S9" s="44">
        <v>5</v>
      </c>
      <c r="T9" s="44">
        <v>38.5</v>
      </c>
      <c r="U9" s="44">
        <v>69</v>
      </c>
      <c r="V9" s="45">
        <f ca="1">IFERROR(__xludf.DUMMYFUNCTION("SUM( FILTER(C9:X9, ISNUMBER(SEARCH(""Practice"", $C$1:$X$1)) ) )  / 
  SUM( FILTER(C$77:X$77, ISNUMBER(SEARCH(""Practice"", $C$1:$X$1))))*0.1
+
(SUM( FILTER(C9:P9, ISNUMBER(SEARCH(""After RETAKE"", $C$1:$P$1)) ) ) +
SUM( FILTER(P9:X9, ISNUMBER(SEARCH(""Be"&amp;"fore RETAKE"", $P$1:$X$1)) ) )
)  / 
  SUM( FILTER(C$77:X$77, ISNUMBER(SEARCH(""BEFORE RETAKE"", $C$1:$X$1))))*0.6 
+
0.3"),0.838271186440678)</f>
        <v>0.838271186440678</v>
      </c>
      <c r="W9" s="46">
        <v>73</v>
      </c>
      <c r="X9" s="44">
        <v>73</v>
      </c>
      <c r="Y9" s="45">
        <f ca="1">IFERROR(__xludf.DUMMYFUNCTION("SUM( FILTER(C9:X9, ISNUMBER(SEARCH(""Practice"", $C$1:$X$1)) ) )  / 
  SUM( FILTER(C$77:X$77, ISNUMBER(SEARCH(""Practice"", $C$1:$X$1))))*0.1
+
(SUM( FILTER(C9:P9, ISNUMBER(SEARCH(""After RETAKE"", $C$1:$P$1)) ) ) +
SUM( FILTER(Q9:X9, ISNUMBER(SEARCH(""Af"&amp;"ter RETAKE"", $Q$1:$X$1)) ) )
)  / 
  SUM( FILTER(C$77:X$77, ISNUMBER(SEARCH(""BEFORE RETAKE"", $C$1:$X$1))))*0.6 
+
0.3"),0.850271186440678)</f>
        <v>0.85027118644067801</v>
      </c>
      <c r="Z9" s="44">
        <v>5</v>
      </c>
      <c r="AA9" s="44">
        <v>5</v>
      </c>
      <c r="AB9" s="44">
        <v>0</v>
      </c>
      <c r="AC9" s="44">
        <v>5</v>
      </c>
      <c r="AD9" s="44">
        <v>0</v>
      </c>
      <c r="AE9" s="44">
        <v>0</v>
      </c>
      <c r="AF9" s="44">
        <v>41</v>
      </c>
      <c r="AG9" s="44">
        <v>72</v>
      </c>
      <c r="AH9" s="45">
        <f ca="1">IFERROR(__xludf.DUMMYFUNCTION("SUM( FILTER(C9:AJ9, ISNUMBER(SEARCH(""Practice"", $C$1:$AJ$1)) ) )  / 
  SUM( FILTER(C$77:AJ$77, ISNUMBER(SEARCH(""Practice"", $C$1:$AJ$1))))*0.1
+
(SUM( FILTER(C9:X9, ISNUMBER(SEARCH(""After RETAKE"", $C$1:$X$1)) ) ) +
SUM( FILTER(X9:AJ9, ISNUMBER(SEARCH"&amp;"(""Before RETAKE"", $X$1:$AJ$1)) ) )
)  / 
  SUM( FILTER(C$77:AJ$77, ISNUMBER(SEARCH(""BEFORE RETAKE"", $C$1:$AJ$1))))*0.6 
+
0.3"),0.833737373737373)</f>
        <v>0.833737373737373</v>
      </c>
      <c r="AI9" s="46">
        <v>85</v>
      </c>
      <c r="AJ9" s="44">
        <v>85</v>
      </c>
      <c r="AK9" s="45">
        <f ca="1">IFERROR(__xludf.DUMMYFUNCTION("SUM( FILTER(C9:AK9, ISNUMBER(SEARCH(""Practice"", $C$1:$AK$1)) ) )  / 
  SUM( FILTER(C$77:AK$77, ISNUMBER(SEARCH(""Practice"", $C$1:$AK$1))))*0.1
+
(SUM( FILTER(C9:P9, ISNUMBER(SEARCH(""After RETAKE"", $C$1:$P$1)) ) ) +
SUM( FILTER(P9:AK9, ISNUMBER(SEARCH"&amp;"(""After RETAKE"", $P$1:$AK$1)) ) )
)  / 
  SUM( FILTER(C$77:AK$77, ISNUMBER(SEARCH(""BEFORE RETAKE"", $C$1:$AK$1))))*0.6 
+
0.3"),0.859737373737373)</f>
        <v>0.85973737373737302</v>
      </c>
      <c r="AL9" s="45">
        <v>0.75</v>
      </c>
      <c r="AM9" s="21">
        <f t="shared" si="0"/>
        <v>1</v>
      </c>
      <c r="AN9" s="21">
        <f t="shared" si="1"/>
        <v>0</v>
      </c>
      <c r="AO9" s="21">
        <f t="shared" si="2"/>
        <v>3</v>
      </c>
      <c r="AP9" s="20">
        <f t="shared" si="3"/>
        <v>75.333333333333329</v>
      </c>
      <c r="AQ9" s="20">
        <f t="shared" si="4"/>
        <v>81</v>
      </c>
      <c r="AR9" s="47">
        <f ca="1">IFERROR(__xludf.DUMMYFUNCTION("SUM( FILTER(C9:AK9, ISNUMBER(SEARCH(""Practice"", $C$1:$AK$1)) ) )  / 
  SUM( FILTER(C$77:AK$77, ISNUMBER(SEARCH(""Practice"", $C$1:$AK$1))))*0.1
+
(SUM( FILTER(C9:P9, ISNUMBER(SEARCH(""before RETAKE"", $C$1:$P$1)) ) ) +
SUM( FILTER(P9:AK9, ISNUMBER(SEARC"&amp;"H(""before RETAKE"", $P$1:$AK$1)) ) )
)  / 
  SUM( FILTER(C$77:AK$77, ISNUMBER(SEARCH(""BEFORE RETAKE"", $C$1:$AK$1))))*0.6 
+
0.3*AL9"),0.750737373737373)</f>
        <v>0.75073737373737304</v>
      </c>
      <c r="AS9" s="47">
        <f ca="1">IFERROR(__xludf.DUMMYFUNCTION("SUM( FILTER(C9:AK9, ISNUMBER(SEARCH(""Practice"", $C$1:$AK$1)) ) )  / 
  SUM( FILTER(C$77:AK$77, ISNUMBER(SEARCH(""Practice"", $C$1:$AK$1))))*0.1
+
(SUM( FILTER(C9:P9, ISNUMBER(SEARCH(""after RETAKE"", $C$1:$P$1)) ) ) +
SUM( FILTER(P9:AK9, ISNUMBER(SEARCH"&amp;"(""after RETAKE"", $P$1:$AK$1)) ) )
)  / 
  SUM( FILTER(C$77:AK$77, ISNUMBER(SEARCH(""BEFORE RETAKE"", $C$1:$AK$1))))*0.6 
+
0.3*AL9"),0.784737373737373)</f>
        <v>0.78473737373737296</v>
      </c>
      <c r="AT9" s="47">
        <v>0.80873737369999998</v>
      </c>
      <c r="AU9" s="48">
        <f t="shared" si="5"/>
        <v>0.73737373737373735</v>
      </c>
      <c r="AV9" s="21">
        <v>4</v>
      </c>
      <c r="AW9" s="20">
        <f t="shared" si="6"/>
        <v>38.166666666666664</v>
      </c>
    </row>
    <row r="10" spans="1:49" ht="15" customHeight="1" x14ac:dyDescent="0.2">
      <c r="A10" s="18" t="s">
        <v>135</v>
      </c>
      <c r="B10" s="18" t="s">
        <v>464</v>
      </c>
      <c r="C10" s="43" t="s">
        <v>8</v>
      </c>
      <c r="D10" s="44">
        <v>1</v>
      </c>
      <c r="E10" s="44">
        <v>1</v>
      </c>
      <c r="F10" s="44">
        <v>1</v>
      </c>
      <c r="G10" s="44">
        <v>1</v>
      </c>
      <c r="H10" s="44">
        <v>1</v>
      </c>
      <c r="I10" s="44">
        <v>1</v>
      </c>
      <c r="J10" s="44">
        <v>5</v>
      </c>
      <c r="K10" s="44">
        <v>48</v>
      </c>
      <c r="L10" s="44">
        <v>95</v>
      </c>
      <c r="M10" s="45">
        <f ca="1">IFERROR(__xludf.DUMMYFUNCTION("SUM( FILTER(C10:P10, ISNUMBER(SEARCH(""Practice"", $C$1:$P$1)) ) )  / 
  SUM( FILTER(C$77:P$77, ISNUMBER(SEARCH(""Practice"", $C$1:$P$1))))*0.1
+
SUM( FILTER(C10:P10, ISNUMBER(SEARCH(""BEFORE RETAKE"", $C$1:$P$1)) ) ) 
  / 
  SUM( FILTER(C$77:P$77, ISNUMB"&amp;"ER(SEARCH(""BEFORE RETAKE"", $C$1:$P$1))))*0.6 
+
0.3"),0.966721311475409)</f>
        <v>0.96672131147540896</v>
      </c>
      <c r="N10" s="46" t="s">
        <v>462</v>
      </c>
      <c r="O10" s="44">
        <v>95</v>
      </c>
      <c r="P10" s="45">
        <f ca="1">IFERROR(__xludf.DUMMYFUNCTION("SUM( FILTER(C10:P10, ISNUMBER(SEARCH(""Practice"", $C$1:$P$1)) ) )  / 
  SUM( FILTER(C$77:P$77, ISNUMBER(SEARCH(""Practice"", $C$1:$P$1))))*0.1
+
SUM( FILTER(C10:P10, ISNUMBER(SEARCH(""After RETAKE"", $C$1:$P$1)) ) ) 
  / 
  SUM( FILTER(C$77:P$77, ISNUMBE"&amp;"R(SEARCH(""BEFORE RETAKE"", $C$1:$P$1))))*0.6 
+
0.3"),0.966721311475409)</f>
        <v>0.96672131147540896</v>
      </c>
      <c r="Q10" s="44">
        <v>1</v>
      </c>
      <c r="R10" s="44">
        <v>1</v>
      </c>
      <c r="S10" s="44">
        <v>5</v>
      </c>
      <c r="T10" s="44">
        <v>50</v>
      </c>
      <c r="U10" s="44">
        <v>92</v>
      </c>
      <c r="V10" s="45">
        <f ca="1">IFERROR(__xludf.DUMMYFUNCTION("SUM( FILTER(C10:X10, ISNUMBER(SEARCH(""Practice"", $C$1:$X$1)) ) )  / 
  SUM( FILTER(C$77:X$77, ISNUMBER(SEARCH(""Practice"", $C$1:$X$1))))*0.1
+
(SUM( FILTER(C10:P10, ISNUMBER(SEARCH(""After RETAKE"", $C$1:$P$1)) ) ) +
SUM( FILTER(P10:X10, ISNUMBER(SEARC"&amp;"H(""Before RETAKE"", $P$1:$X$1)) ) )
)  / 
  SUM( FILTER(C$77:X$77, ISNUMBER(SEARCH(""BEFORE RETAKE"", $C$1:$X$1))))*0.6 
+
0.3"),0.959305084745762)</f>
        <v>0.95930508474576204</v>
      </c>
      <c r="W10" s="46" t="s">
        <v>462</v>
      </c>
      <c r="X10" s="44">
        <v>92</v>
      </c>
      <c r="Y10" s="45">
        <f ca="1">IFERROR(__xludf.DUMMYFUNCTION("SUM( FILTER(C10:X10, ISNUMBER(SEARCH(""Practice"", $C$1:$X$1)) ) )  / 
  SUM( FILTER(C$77:X$77, ISNUMBER(SEARCH(""Practice"", $C$1:$X$1))))*0.1
+
(SUM( FILTER(C10:P10, ISNUMBER(SEARCH(""After RETAKE"", $C$1:$P$1)) ) ) +
SUM( FILTER(Q10:X10, ISNUMBER(SEARC"&amp;"H(""After RETAKE"", $Q$1:$X$1)) ) )
)  / 
  SUM( FILTER(C$77:X$77, ISNUMBER(SEARCH(""BEFORE RETAKE"", $C$1:$X$1))))*0.6 
+
0.3"),0.959305084745762)</f>
        <v>0.95930508474576204</v>
      </c>
      <c r="Z10" s="44">
        <v>5</v>
      </c>
      <c r="AA10" s="44">
        <v>5</v>
      </c>
      <c r="AB10" s="44">
        <v>5</v>
      </c>
      <c r="AC10" s="44">
        <v>5</v>
      </c>
      <c r="AD10" s="44">
        <v>5</v>
      </c>
      <c r="AE10" s="44">
        <v>5</v>
      </c>
      <c r="AF10" s="44">
        <v>50</v>
      </c>
      <c r="AG10" s="44">
        <v>82</v>
      </c>
      <c r="AH10" s="45">
        <f ca="1">IFERROR(__xludf.DUMMYFUNCTION("SUM( FILTER(C10:AJ10, ISNUMBER(SEARCH(""Practice"", $C$1:$AJ$1)) ) )  / 
  SUM( FILTER(C$77:AJ$77, ISNUMBER(SEARCH(""Practice"", $C$1:$AJ$1))))*0.1
+
(SUM( FILTER(C10:X10, ISNUMBER(SEARCH(""After RETAKE"", $C$1:$X$1)) ) ) +
SUM( FILTER(X10:AJ10, ISNUMBER("&amp;"SEARCH(""Before RETAKE"", $X$1:$AJ$1)) ) )
)  / 
  SUM( FILTER(C$77:AJ$77, ISNUMBER(SEARCH(""BEFORE RETAKE"", $C$1:$AJ$1))))*0.6 
+
0.3"),0.936989898989898)</f>
        <v>0.93698989898989804</v>
      </c>
      <c r="AI10" s="46">
        <v>88</v>
      </c>
      <c r="AJ10" s="44">
        <v>88</v>
      </c>
      <c r="AK10" s="45">
        <f ca="1">IFERROR(__xludf.DUMMYFUNCTION("SUM( FILTER(C10:AK10, ISNUMBER(SEARCH(""Practice"", $C$1:$AK$1)) ) )  / 
  SUM( FILTER(C$77:AK$77, ISNUMBER(SEARCH(""Practice"", $C$1:$AK$1))))*0.1
+
(SUM( FILTER(C10:P10, ISNUMBER(SEARCH(""After RETAKE"", $C$1:$P$1)) ) ) +
SUM( FILTER(P10:AK10, ISNUMBER("&amp;"SEARCH(""After RETAKE"", $P$1:$AK$1)) ) )
)  / 
  SUM( FILTER(C$77:AK$77, ISNUMBER(SEARCH(""BEFORE RETAKE"", $C$1:$AK$1))))*0.6 
+
0.3"),0.948989898989898)</f>
        <v>0.94898989898989805</v>
      </c>
      <c r="AL10" s="45">
        <v>0.92</v>
      </c>
      <c r="AM10" s="21">
        <f t="shared" si="0"/>
        <v>0</v>
      </c>
      <c r="AN10" s="21">
        <f t="shared" si="1"/>
        <v>0</v>
      </c>
      <c r="AO10" s="21">
        <f t="shared" si="2"/>
        <v>0</v>
      </c>
      <c r="AP10" s="20">
        <f t="shared" si="3"/>
        <v>89.666666666666671</v>
      </c>
      <c r="AQ10" s="20">
        <f t="shared" si="4"/>
        <v>91.666666666666671</v>
      </c>
      <c r="AR10" s="47">
        <f ca="1">IFERROR(__xludf.DUMMYFUNCTION("SUM( FILTER(C10:AK10, ISNUMBER(SEARCH(""Practice"", $C$1:$AK$1)) ) )  / 
  SUM( FILTER(C$77:AK$77, ISNUMBER(SEARCH(""Practice"", $C$1:$AK$1))))*0.1
+
(SUM( FILTER(C10:P10, ISNUMBER(SEARCH(""before RETAKE"", $C$1:$P$1)) ) ) +
SUM( FILTER(P10:AK10, ISNUMBER"&amp;"(SEARCH(""before RETAKE"", $P$1:$AK$1)) ) )
)  / 
  SUM( FILTER(C$77:AK$77, ISNUMBER(SEARCH(""BEFORE RETAKE"", $C$1:$AK$1))))*0.6 
+
0.3*AL10"),0.912989898989898)</f>
        <v>0.91298989898989802</v>
      </c>
      <c r="AS10" s="47">
        <f ca="1">IFERROR(__xludf.DUMMYFUNCTION("SUM( FILTER(C10:AK10, ISNUMBER(SEARCH(""Practice"", $C$1:$AK$1)) ) )  / 
  SUM( FILTER(C$77:AK$77, ISNUMBER(SEARCH(""Practice"", $C$1:$AK$1))))*0.1
+
(SUM( FILTER(C10:P10, ISNUMBER(SEARCH(""after RETAKE"", $C$1:$P$1)) ) ) +
SUM( FILTER(P10:AK10, ISNUMBER("&amp;"SEARCH(""after RETAKE"", $P$1:$AK$1)) ) )
)  / 
  SUM( FILTER(C$77:AK$77, ISNUMBER(SEARCH(""BEFORE RETAKE"", $C$1:$AK$1))))*0.6 
+
0.3*AL10"),0.924989898989898)</f>
        <v>0.92498989898989803</v>
      </c>
      <c r="AT10" s="47">
        <v>0.93598989899999996</v>
      </c>
      <c r="AU10" s="48">
        <f t="shared" si="5"/>
        <v>0.98989898989898994</v>
      </c>
      <c r="AV10" s="21">
        <v>0</v>
      </c>
      <c r="AW10" s="20">
        <f t="shared" si="6"/>
        <v>49.333333333333336</v>
      </c>
    </row>
    <row r="11" spans="1:49" ht="15" customHeight="1" x14ac:dyDescent="0.2">
      <c r="A11" s="18" t="s">
        <v>137</v>
      </c>
      <c r="B11" s="18" t="s">
        <v>461</v>
      </c>
      <c r="C11" s="43" t="s">
        <v>9</v>
      </c>
      <c r="D11" s="44">
        <v>1</v>
      </c>
      <c r="E11" s="44">
        <v>1</v>
      </c>
      <c r="F11" s="44">
        <v>1</v>
      </c>
      <c r="G11" s="44">
        <v>1</v>
      </c>
      <c r="H11" s="44">
        <v>1</v>
      </c>
      <c r="I11" s="44">
        <v>1</v>
      </c>
      <c r="J11" s="44">
        <v>5</v>
      </c>
      <c r="K11" s="44">
        <v>48</v>
      </c>
      <c r="L11" s="44">
        <v>92</v>
      </c>
      <c r="M11" s="45">
        <f ca="1">IFERROR(__xludf.DUMMYFUNCTION("SUM( FILTER(C11:P11, ISNUMBER(SEARCH(""Practice"", $C$1:$P$1)) ) )  / 
  SUM( FILTER(C$77:P$77, ISNUMBER(SEARCH(""Practice"", $C$1:$P$1))))*0.1
+
SUM( FILTER(C11:P11, ISNUMBER(SEARCH(""BEFORE RETAKE"", $C$1:$P$1)) ) ) 
  / 
  SUM( FILTER(C$77:P$77, ISNUMB"&amp;"ER(SEARCH(""BEFORE RETAKE"", $C$1:$P$1))))*0.6 
+
0.3"),0.948721311475409)</f>
        <v>0.94872131147540895</v>
      </c>
      <c r="N11" s="46" t="s">
        <v>462</v>
      </c>
      <c r="O11" s="44">
        <v>92</v>
      </c>
      <c r="P11" s="45">
        <f ca="1">IFERROR(__xludf.DUMMYFUNCTION("SUM( FILTER(C11:P11, ISNUMBER(SEARCH(""Practice"", $C$1:$P$1)) ) )  / 
  SUM( FILTER(C$77:P$77, ISNUMBER(SEARCH(""Practice"", $C$1:$P$1))))*0.1
+
SUM( FILTER(C11:P11, ISNUMBER(SEARCH(""After RETAKE"", $C$1:$P$1)) ) ) 
  / 
  SUM( FILTER(C$77:P$77, ISNUMBE"&amp;"R(SEARCH(""BEFORE RETAKE"", $C$1:$P$1))))*0.6 
+
0.3"),0.948721311475409)</f>
        <v>0.94872131147540895</v>
      </c>
      <c r="Q11" s="44">
        <v>1</v>
      </c>
      <c r="R11" s="44">
        <v>1</v>
      </c>
      <c r="S11" s="44">
        <v>5</v>
      </c>
      <c r="T11" s="44">
        <v>50</v>
      </c>
      <c r="U11" s="44">
        <v>93</v>
      </c>
      <c r="V11" s="45">
        <f ca="1">IFERROR(__xludf.DUMMYFUNCTION("SUM( FILTER(C11:X11, ISNUMBER(SEARCH(""Practice"", $C$1:$X$1)) ) )  / 
  SUM( FILTER(C$77:X$77, ISNUMBER(SEARCH(""Practice"", $C$1:$X$1))))*0.1
+
(SUM( FILTER(C11:P11, ISNUMBER(SEARCH(""After RETAKE"", $C$1:$P$1)) ) ) +
SUM( FILTER(P11:X11, ISNUMBER(SEARC"&amp;"H(""Before RETAKE"", $P$1:$X$1)) ) )
)  / 
  SUM( FILTER(C$77:X$77, ISNUMBER(SEARCH(""BEFORE RETAKE"", $C$1:$X$1))))*0.6 
+
0.3"),0.953305084745762)</f>
        <v>0.95330508474576203</v>
      </c>
      <c r="W11" s="46">
        <v>86</v>
      </c>
      <c r="X11" s="44">
        <v>93</v>
      </c>
      <c r="Y11" s="45">
        <f ca="1">IFERROR(__xludf.DUMMYFUNCTION("SUM( FILTER(C11:X11, ISNUMBER(SEARCH(""Practice"", $C$1:$X$1)) ) )  / 
  SUM( FILTER(C$77:X$77, ISNUMBER(SEARCH(""Practice"", $C$1:$X$1))))*0.1
+
(SUM( FILTER(C11:P11, ISNUMBER(SEARCH(""After RETAKE"", $C$1:$P$1)) ) ) +
SUM( FILTER(Q11:X11, ISNUMBER(SEARC"&amp;"H(""After RETAKE"", $Q$1:$X$1)) ) )
)  / 
  SUM( FILTER(C$77:X$77, ISNUMBER(SEARCH(""BEFORE RETAKE"", $C$1:$X$1))))*0.6 
+
0.3"),0.953305084745762)</f>
        <v>0.95330508474576203</v>
      </c>
      <c r="Z11" s="44">
        <v>5</v>
      </c>
      <c r="AA11" s="44">
        <v>5</v>
      </c>
      <c r="AB11" s="44">
        <v>5</v>
      </c>
      <c r="AC11" s="44">
        <v>5</v>
      </c>
      <c r="AD11" s="44">
        <v>5</v>
      </c>
      <c r="AE11" s="44">
        <v>5</v>
      </c>
      <c r="AF11" s="44">
        <v>50</v>
      </c>
      <c r="AG11" s="44">
        <v>92</v>
      </c>
      <c r="AH11" s="45">
        <f ca="1">IFERROR(__xludf.DUMMYFUNCTION("SUM( FILTER(C11:AJ11, ISNUMBER(SEARCH(""Practice"", $C$1:$AJ$1)) ) )  / 
  SUM( FILTER(C$77:AJ$77, ISNUMBER(SEARCH(""Practice"", $C$1:$AJ$1))))*0.1
+
(SUM( FILTER(C11:X11, ISNUMBER(SEARCH(""After RETAKE"", $C$1:$X$1)) ) ) +
SUM( FILTER(X11:AJ11, ISNUMBER("&amp;"SEARCH(""Before RETAKE"", $X$1:$AJ$1)) ) )
)  / 
  SUM( FILTER(C$77:AJ$77, ISNUMBER(SEARCH(""BEFORE RETAKE"", $C$1:$AJ$1))))*0.6 
+
0.3"),0.952989898989898)</f>
        <v>0.95298989898989805</v>
      </c>
      <c r="AI11" s="46">
        <v>92</v>
      </c>
      <c r="AJ11" s="44">
        <v>92</v>
      </c>
      <c r="AK11" s="45">
        <f ca="1">IFERROR(__xludf.DUMMYFUNCTION("SUM( FILTER(C11:AK11, ISNUMBER(SEARCH(""Practice"", $C$1:$AK$1)) ) )  / 
  SUM( FILTER(C$77:AK$77, ISNUMBER(SEARCH(""Practice"", $C$1:$AK$1))))*0.1
+
(SUM( FILTER(C11:P11, ISNUMBER(SEARCH(""After RETAKE"", $C$1:$P$1)) ) ) +
SUM( FILTER(P11:AK11, ISNUMBER("&amp;"SEARCH(""After RETAKE"", $P$1:$AK$1)) ) )
)  / 
  SUM( FILTER(C$77:AK$77, ISNUMBER(SEARCH(""BEFORE RETAKE"", $C$1:$AK$1))))*0.6 
+
0.3"),0.952989898989898)</f>
        <v>0.95298989898989805</v>
      </c>
      <c r="AL11" s="45">
        <v>0.92</v>
      </c>
      <c r="AM11" s="21">
        <f t="shared" si="0"/>
        <v>0</v>
      </c>
      <c r="AN11" s="21">
        <f t="shared" si="1"/>
        <v>0</v>
      </c>
      <c r="AO11" s="21">
        <f t="shared" si="2"/>
        <v>0</v>
      </c>
      <c r="AP11" s="20">
        <f t="shared" si="3"/>
        <v>92.333333333333329</v>
      </c>
      <c r="AQ11" s="20">
        <f t="shared" si="4"/>
        <v>92.333333333333329</v>
      </c>
      <c r="AR11" s="47">
        <f ca="1">IFERROR(__xludf.DUMMYFUNCTION("SUM( FILTER(C11:AK11, ISNUMBER(SEARCH(""Practice"", $C$1:$AK$1)) ) )  / 
  SUM( FILTER(C$77:AK$77, ISNUMBER(SEARCH(""Practice"", $C$1:$AK$1))))*0.1
+
(SUM( FILTER(C11:P11, ISNUMBER(SEARCH(""before RETAKE"", $C$1:$P$1)) ) ) +
SUM( FILTER(P11:AK11, ISNUMBER"&amp;"(SEARCH(""before RETAKE"", $P$1:$AK$1)) ) )
)  / 
  SUM( FILTER(C$77:AK$77, ISNUMBER(SEARCH(""BEFORE RETAKE"", $C$1:$AK$1))))*0.6 
+
0.3*AL11"),0.928989898989898)</f>
        <v>0.92898989898989803</v>
      </c>
      <c r="AS11" s="47">
        <f ca="1">IFERROR(__xludf.DUMMYFUNCTION("SUM( FILTER(C11:AK11, ISNUMBER(SEARCH(""Practice"", $C$1:$AK$1)) ) )  / 
  SUM( FILTER(C$77:AK$77, ISNUMBER(SEARCH(""Practice"", $C$1:$AK$1))))*0.1
+
(SUM( FILTER(C11:P11, ISNUMBER(SEARCH(""after RETAKE"", $C$1:$P$1)) ) ) +
SUM( FILTER(P11:AK11, ISNUMBER("&amp;"SEARCH(""after RETAKE"", $P$1:$AK$1)) ) )
)  / 
  SUM( FILTER(C$77:AK$77, ISNUMBER(SEARCH(""BEFORE RETAKE"", $C$1:$AK$1))))*0.6 
+
0.3*AL11"),0.928989898989898)</f>
        <v>0.92898989898989803</v>
      </c>
      <c r="AT11" s="47">
        <v>0.92998989899999995</v>
      </c>
      <c r="AU11" s="48">
        <f t="shared" si="5"/>
        <v>0.98989898989898994</v>
      </c>
      <c r="AV11" s="21">
        <v>0</v>
      </c>
      <c r="AW11" s="20">
        <f t="shared" si="6"/>
        <v>49.333333333333336</v>
      </c>
    </row>
    <row r="12" spans="1:49" ht="15" customHeight="1" x14ac:dyDescent="0.2">
      <c r="A12" s="18" t="s">
        <v>139</v>
      </c>
      <c r="B12" s="18" t="s">
        <v>461</v>
      </c>
      <c r="C12" s="43" t="s">
        <v>8</v>
      </c>
      <c r="D12" s="44">
        <v>1</v>
      </c>
      <c r="E12" s="44">
        <v>1</v>
      </c>
      <c r="F12" s="44">
        <v>1</v>
      </c>
      <c r="G12" s="44">
        <v>1</v>
      </c>
      <c r="H12" s="44">
        <v>1</v>
      </c>
      <c r="I12" s="44">
        <v>1</v>
      </c>
      <c r="J12" s="44">
        <v>5</v>
      </c>
      <c r="K12" s="44">
        <v>47</v>
      </c>
      <c r="L12" s="44">
        <v>100</v>
      </c>
      <c r="M12" s="45">
        <f ca="1">IFERROR(__xludf.DUMMYFUNCTION("SUM( FILTER(C12:P12, ISNUMBER(SEARCH(""Practice"", $C$1:$P$1)) ) )  / 
  SUM( FILTER(C$77:P$77, ISNUMBER(SEARCH(""Practice"", $C$1:$P$1))))*0.1
+
SUM( FILTER(C12:P12, ISNUMBER(SEARCH(""BEFORE RETAKE"", $C$1:$P$1)) ) ) 
  / 
  SUM( FILTER(C$77:P$77, ISNUMB"&amp;"ER(SEARCH(""BEFORE RETAKE"", $C$1:$P$1))))*0.6 
+
0.3"),0.995081967213114)</f>
        <v>0.99508196721311404</v>
      </c>
      <c r="N12" s="46" t="s">
        <v>462</v>
      </c>
      <c r="O12" s="44">
        <v>100</v>
      </c>
      <c r="P12" s="45">
        <f ca="1">IFERROR(__xludf.DUMMYFUNCTION("SUM( FILTER(C12:P12, ISNUMBER(SEARCH(""Practice"", $C$1:$P$1)) ) )  / 
  SUM( FILTER(C$77:P$77, ISNUMBER(SEARCH(""Practice"", $C$1:$P$1))))*0.1
+
SUM( FILTER(C12:P12, ISNUMBER(SEARCH(""After RETAKE"", $C$1:$P$1)) ) ) 
  / 
  SUM( FILTER(C$77:P$77, ISNUMBE"&amp;"R(SEARCH(""BEFORE RETAKE"", $C$1:$P$1))))*0.6 
+
0.3"),0.995081967213114)</f>
        <v>0.99508196721311404</v>
      </c>
      <c r="Q12" s="44">
        <v>1</v>
      </c>
      <c r="R12" s="44">
        <v>1</v>
      </c>
      <c r="S12" s="44">
        <v>5</v>
      </c>
      <c r="T12" s="44">
        <v>50</v>
      </c>
      <c r="U12" s="44">
        <v>86</v>
      </c>
      <c r="V12" s="45">
        <f ca="1">IFERROR(__xludf.DUMMYFUNCTION("SUM( FILTER(C12:X12, ISNUMBER(SEARCH(""Practice"", $C$1:$X$1)) ) )  / 
  SUM( FILTER(C$77:X$77, ISNUMBER(SEARCH(""Practice"", $C$1:$X$1))))*0.1
+
(SUM( FILTER(C12:P12, ISNUMBER(SEARCH(""After RETAKE"", $C$1:$P$1)) ) ) +
SUM( FILTER(P12:X12, ISNUMBER(SEARC"&amp;"H(""Before RETAKE"", $P$1:$X$1)) ) )
)  / 
  SUM( FILTER(C$77:X$77, ISNUMBER(SEARCH(""BEFORE RETAKE"", $C$1:$X$1))))*0.6 
+
0.3"),0.955457627118644)</f>
        <v>0.95545762711864402</v>
      </c>
      <c r="W12" s="46" t="s">
        <v>462</v>
      </c>
      <c r="X12" s="44">
        <v>86</v>
      </c>
      <c r="Y12" s="45">
        <f ca="1">IFERROR(__xludf.DUMMYFUNCTION("SUM( FILTER(C12:X12, ISNUMBER(SEARCH(""Practice"", $C$1:$X$1)) ) )  / 
  SUM( FILTER(C$77:X$77, ISNUMBER(SEARCH(""Practice"", $C$1:$X$1))))*0.1
+
(SUM( FILTER(C12:P12, ISNUMBER(SEARCH(""After RETAKE"", $C$1:$P$1)) ) ) +
SUM( FILTER(Q12:X12, ISNUMBER(SEARC"&amp;"H(""After RETAKE"", $Q$1:$X$1)) ) )
)  / 
  SUM( FILTER(C$77:X$77, ISNUMBER(SEARCH(""BEFORE RETAKE"", $C$1:$X$1))))*0.6 
+
0.3"),0.955457627118644)</f>
        <v>0.95545762711864402</v>
      </c>
      <c r="Z12" s="44">
        <v>5</v>
      </c>
      <c r="AA12" s="44">
        <v>5</v>
      </c>
      <c r="AB12" s="44">
        <v>5</v>
      </c>
      <c r="AC12" s="44">
        <v>5</v>
      </c>
      <c r="AD12" s="44">
        <v>5</v>
      </c>
      <c r="AE12" s="44">
        <v>5</v>
      </c>
      <c r="AF12" s="44">
        <v>50</v>
      </c>
      <c r="AG12" s="44">
        <v>95</v>
      </c>
      <c r="AH12" s="45">
        <f ca="1">IFERROR(__xludf.DUMMYFUNCTION("SUM( FILTER(C12:AJ12, ISNUMBER(SEARCH(""Practice"", $C$1:$AJ$1)) ) )  / 
  SUM( FILTER(C$77:AJ$77, ISNUMBER(SEARCH(""Practice"", $C$1:$AJ$1))))*0.1
+
(SUM( FILTER(C12:X12, ISNUMBER(SEARCH(""After RETAKE"", $C$1:$X$1)) ) ) +
SUM( FILTER(X12:AJ12, ISNUMBER("&amp;"SEARCH(""Before RETAKE"", $X$1:$AJ$1)) ) )
)  / 
  SUM( FILTER(C$77:AJ$77, ISNUMBER(SEARCH(""BEFORE RETAKE"", $C$1:$AJ$1))))*0.6 
+
0.3"),0.960484848484848)</f>
        <v>0.96048484848484805</v>
      </c>
      <c r="AI12" s="46" t="s">
        <v>462</v>
      </c>
      <c r="AJ12" s="44">
        <v>95</v>
      </c>
      <c r="AK12" s="45">
        <f ca="1">IFERROR(__xludf.DUMMYFUNCTION("SUM( FILTER(C12:AK12, ISNUMBER(SEARCH(""Practice"", $C$1:$AK$1)) ) )  / 
  SUM( FILTER(C$77:AK$77, ISNUMBER(SEARCH(""Practice"", $C$1:$AK$1))))*0.1
+
(SUM( FILTER(C12:P12, ISNUMBER(SEARCH(""After RETAKE"", $C$1:$P$1)) ) ) +
SUM( FILTER(P12:AK12, ISNUMBER("&amp;"SEARCH(""After RETAKE"", $P$1:$AK$1)) ) )
)  / 
  SUM( FILTER(C$77:AK$77, ISNUMBER(SEARCH(""BEFORE RETAKE"", $C$1:$AK$1))))*0.6 
+
0.3"),0.960484848484848)</f>
        <v>0.96048484848484805</v>
      </c>
      <c r="AL12" s="45">
        <v>0.92</v>
      </c>
      <c r="AM12" s="21">
        <f t="shared" si="0"/>
        <v>0</v>
      </c>
      <c r="AN12" s="21">
        <f t="shared" si="1"/>
        <v>0</v>
      </c>
      <c r="AO12" s="21">
        <f t="shared" si="2"/>
        <v>0</v>
      </c>
      <c r="AP12" s="20">
        <f t="shared" si="3"/>
        <v>93.666666666666671</v>
      </c>
      <c r="AQ12" s="20">
        <f t="shared" si="4"/>
        <v>93.666666666666671</v>
      </c>
      <c r="AR12" s="47">
        <f ca="1">IFERROR(__xludf.DUMMYFUNCTION("SUM( FILTER(C12:AK12, ISNUMBER(SEARCH(""Practice"", $C$1:$AK$1)) ) )  / 
  SUM( FILTER(C$77:AK$77, ISNUMBER(SEARCH(""Practice"", $C$1:$AK$1))))*0.1
+
(SUM( FILTER(C12:P12, ISNUMBER(SEARCH(""before RETAKE"", $C$1:$P$1)) ) ) +
SUM( FILTER(P12:AK12, ISNUMBER"&amp;"(SEARCH(""before RETAKE"", $P$1:$AK$1)) ) )
)  / 
  SUM( FILTER(C$77:AK$77, ISNUMBER(SEARCH(""BEFORE RETAKE"", $C$1:$AK$1))))*0.6 
+
0.3*AL12"),0.936484848484848)</f>
        <v>0.93648484848484803</v>
      </c>
      <c r="AS12" s="47">
        <f ca="1">IFERROR(__xludf.DUMMYFUNCTION("SUM( FILTER(C12:AK12, ISNUMBER(SEARCH(""Practice"", $C$1:$AK$1)) ) )  / 
  SUM( FILTER(C$77:AK$77, ISNUMBER(SEARCH(""Practice"", $C$1:$AK$1))))*0.1
+
(SUM( FILTER(C12:P12, ISNUMBER(SEARCH(""after RETAKE"", $C$1:$P$1)) ) ) +
SUM( FILTER(P12:AK12, ISNUMBER("&amp;"SEARCH(""after RETAKE"", $P$1:$AK$1)) ) )
)  / 
  SUM( FILTER(C$77:AK$77, ISNUMBER(SEARCH(""BEFORE RETAKE"", $C$1:$AK$1))))*0.6 
+
0.3*AL12"),0.936484848484848)</f>
        <v>0.93648484848484803</v>
      </c>
      <c r="AT12" s="47">
        <v>0.95948484850000004</v>
      </c>
      <c r="AU12" s="48">
        <f t="shared" si="5"/>
        <v>0.98484848484848486</v>
      </c>
      <c r="AV12" s="21">
        <v>0</v>
      </c>
      <c r="AW12" s="20">
        <f t="shared" si="6"/>
        <v>49</v>
      </c>
    </row>
    <row r="13" spans="1:49" ht="15" customHeight="1" x14ac:dyDescent="0.2">
      <c r="A13" s="18" t="s">
        <v>141</v>
      </c>
      <c r="B13" s="18" t="s">
        <v>464</v>
      </c>
      <c r="C13" s="43" t="s">
        <v>9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44</v>
      </c>
      <c r="L13" s="44">
        <v>60</v>
      </c>
      <c r="M13" s="45">
        <f ca="1">IFERROR(__xludf.DUMMYFUNCTION("SUM( FILTER(C13:P13, ISNUMBER(SEARCH(""Practice"", $C$1:$P$1)) ) )  / 
  SUM( FILTER(C$77:P$77, ISNUMBER(SEARCH(""Practice"", $C$1:$P$1))))*0.1
+
SUM( FILTER(C13:P13, ISNUMBER(SEARCH(""BEFORE RETAKE"", $C$1:$P$1)) ) ) 
  / 
  SUM( FILTER(C$77:P$77, ISNUMB"&amp;"ER(SEARCH(""BEFORE RETAKE"", $C$1:$P$1))))*0.6 
+
0.3"),0.732131147540983)</f>
        <v>0.73213114754098296</v>
      </c>
      <c r="N13" s="46" t="s">
        <v>462</v>
      </c>
      <c r="O13" s="44">
        <v>60</v>
      </c>
      <c r="P13" s="45">
        <f ca="1">IFERROR(__xludf.DUMMYFUNCTION("SUM( FILTER(C13:P13, ISNUMBER(SEARCH(""Practice"", $C$1:$P$1)) ) )  / 
  SUM( FILTER(C$77:P$77, ISNUMBER(SEARCH(""Practice"", $C$1:$P$1))))*0.1
+
SUM( FILTER(C13:P13, ISNUMBER(SEARCH(""After RETAKE"", $C$1:$P$1)) ) ) 
  / 
  SUM( FILTER(C$77:P$77, ISNUMBE"&amp;"R(SEARCH(""BEFORE RETAKE"", $C$1:$P$1))))*0.6 
+
0.3"),0.732131147540983)</f>
        <v>0.73213114754098296</v>
      </c>
      <c r="Q13" s="44">
        <v>0</v>
      </c>
      <c r="R13" s="44">
        <v>0</v>
      </c>
      <c r="S13" s="44">
        <v>4</v>
      </c>
      <c r="T13" s="44">
        <v>31.5</v>
      </c>
      <c r="U13" s="44">
        <v>78</v>
      </c>
      <c r="V13" s="45">
        <f ca="1">IFERROR(__xludf.DUMMYFUNCTION("SUM( FILTER(C13:X13, ISNUMBER(SEARCH(""Practice"", $C$1:$X$1)) ) )  / 
  SUM( FILTER(C$77:X$77, ISNUMBER(SEARCH(""Practice"", $C$1:$X$1))))*0.1
+
(SUM( FILTER(C13:P13, ISNUMBER(SEARCH(""After RETAKE"", $C$1:$P$1)) ) ) +
SUM( FILTER(P13:X13, ISNUMBER(SEARC"&amp;"H(""Before RETAKE"", $P$1:$X$1)) ) )
)  / 
  SUM( FILTER(C$77:X$77, ISNUMBER(SEARCH(""BEFORE RETAKE"", $C$1:$X$1))))*0.6 
+
0.3"),0.781372881355932)</f>
        <v>0.78137288135593197</v>
      </c>
      <c r="W13" s="46" t="s">
        <v>462</v>
      </c>
      <c r="X13" s="44">
        <v>78</v>
      </c>
      <c r="Y13" s="45">
        <f ca="1">IFERROR(__xludf.DUMMYFUNCTION("SUM( FILTER(C13:X13, ISNUMBER(SEARCH(""Practice"", $C$1:$X$1)) ) )  / 
  SUM( FILTER(C$77:X$77, ISNUMBER(SEARCH(""Practice"", $C$1:$X$1))))*0.1
+
(SUM( FILTER(C13:P13, ISNUMBER(SEARCH(""After RETAKE"", $C$1:$P$1)) ) ) +
SUM( FILTER(Q13:X13, ISNUMBER(SEARC"&amp;"H(""After RETAKE"", $Q$1:$X$1)) ) )
)  / 
  SUM( FILTER(C$77:X$77, ISNUMBER(SEARCH(""BEFORE RETAKE"", $C$1:$X$1))))*0.6 
+
0.3"),0.781372881355932)</f>
        <v>0.78137288135593197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12</v>
      </c>
      <c r="AG13" s="44">
        <v>30</v>
      </c>
      <c r="AH13" s="45">
        <f ca="1">IFERROR(__xludf.DUMMYFUNCTION("SUM( FILTER(C13:AJ13, ISNUMBER(SEARCH(""Practice"", $C$1:$AJ$1)) ) )  / 
  SUM( FILTER(C$77:AJ$77, ISNUMBER(SEARCH(""Practice"", $C$1:$AJ$1))))*0.1
+
(SUM( FILTER(C13:X13, ISNUMBER(SEARCH(""After RETAKE"", $C$1:$X$1)) ) ) +
SUM( FILTER(X13:AJ13, ISNUMBER("&amp;"SEARCH(""Before RETAKE"", $X$1:$AJ$1)) ) )
)  / 
  SUM( FILTER(C$77:AJ$77, ISNUMBER(SEARCH(""BEFORE RETAKE"", $C$1:$AJ$1))))*0.6 
+
0.3"),0.682212121212121)</f>
        <v>0.68221212121212105</v>
      </c>
      <c r="AI13" s="46" t="s">
        <v>462</v>
      </c>
      <c r="AJ13" s="44">
        <v>30</v>
      </c>
      <c r="AK13" s="45">
        <f ca="1">IFERROR(__xludf.DUMMYFUNCTION("SUM( FILTER(C13:AK13, ISNUMBER(SEARCH(""Practice"", $C$1:$AK$1)) ) )  / 
  SUM( FILTER(C$77:AK$77, ISNUMBER(SEARCH(""Practice"", $C$1:$AK$1))))*0.1
+
(SUM( FILTER(C13:P13, ISNUMBER(SEARCH(""After RETAKE"", $C$1:$P$1)) ) ) +
SUM( FILTER(P13:AK13, ISNUMBER("&amp;"SEARCH(""After RETAKE"", $P$1:$AK$1)) ) )
)  / 
  SUM( FILTER(C$77:AK$77, ISNUMBER(SEARCH(""BEFORE RETAKE"", $C$1:$AK$1))))*0.6 
+
0.3"),0.682212121212121)</f>
        <v>0.68221212121212105</v>
      </c>
      <c r="AL13" s="45" t="s">
        <v>462</v>
      </c>
      <c r="AM13" s="21">
        <f t="shared" si="0"/>
        <v>7</v>
      </c>
      <c r="AN13" s="21">
        <f t="shared" si="1"/>
        <v>2</v>
      </c>
      <c r="AO13" s="21">
        <f t="shared" si="2"/>
        <v>6</v>
      </c>
      <c r="AP13" s="20">
        <f t="shared" si="3"/>
        <v>56</v>
      </c>
      <c r="AQ13" s="20">
        <f t="shared" si="4"/>
        <v>56</v>
      </c>
      <c r="AR13" s="24" t="s">
        <v>462</v>
      </c>
      <c r="AS13" s="24" t="s">
        <v>462</v>
      </c>
      <c r="AT13" s="24" t="s">
        <v>462</v>
      </c>
      <c r="AU13" s="48">
        <f t="shared" si="5"/>
        <v>0.4621212121212121</v>
      </c>
      <c r="AV13" s="21">
        <v>15</v>
      </c>
      <c r="AW13" s="20">
        <f t="shared" si="6"/>
        <v>29.166666666666668</v>
      </c>
    </row>
    <row r="14" spans="1:49" ht="15" customHeight="1" x14ac:dyDescent="0.2">
      <c r="A14" s="18" t="s">
        <v>143</v>
      </c>
      <c r="B14" s="18" t="s">
        <v>461</v>
      </c>
      <c r="C14" s="43" t="s">
        <v>9</v>
      </c>
      <c r="D14" s="44">
        <v>1</v>
      </c>
      <c r="E14" s="44">
        <v>1</v>
      </c>
      <c r="F14" s="44">
        <v>1</v>
      </c>
      <c r="G14" s="44">
        <v>1</v>
      </c>
      <c r="H14" s="44">
        <v>0</v>
      </c>
      <c r="I14" s="44">
        <v>0</v>
      </c>
      <c r="J14" s="44">
        <v>5</v>
      </c>
      <c r="K14" s="44">
        <v>48</v>
      </c>
      <c r="L14" s="44">
        <v>68</v>
      </c>
      <c r="M14" s="45">
        <f ca="1">IFERROR(__xludf.DUMMYFUNCTION("SUM( FILTER(C14:P14, ISNUMBER(SEARCH(""Practice"", $C$1:$P$1)) ) )  / 
  SUM( FILTER(C$77:P$77, ISNUMBER(SEARCH(""Practice"", $C$1:$P$1))))*0.1
+
SUM( FILTER(C14:P14, ISNUMBER(SEARCH(""BEFORE RETAKE"", $C$1:$P$1)) ) ) 
  / 
  SUM( FILTER(C$77:P$77, ISNUMB"&amp;"ER(SEARCH(""BEFORE RETAKE"", $C$1:$P$1))))*0.6 
+
0.3"),0.801442622950819)</f>
        <v>0.80144262295081903</v>
      </c>
      <c r="N14" s="46">
        <v>78</v>
      </c>
      <c r="O14" s="44">
        <v>78</v>
      </c>
      <c r="P14" s="45">
        <f ca="1">IFERROR(__xludf.DUMMYFUNCTION("SUM( FILTER(C14:P14, ISNUMBER(SEARCH(""Practice"", $C$1:$P$1)) ) )  / 
  SUM( FILTER(C$77:P$77, ISNUMBER(SEARCH(""Practice"", $C$1:$P$1))))*0.1
+
SUM( FILTER(C14:P14, ISNUMBER(SEARCH(""After RETAKE"", $C$1:$P$1)) ) ) 
  / 
  SUM( FILTER(C$77:P$77, ISNUMBE"&amp;"R(SEARCH(""BEFORE RETAKE"", $C$1:$P$1))))*0.6 
+
0.3"),0.861442622950819)</f>
        <v>0.86144262295081897</v>
      </c>
      <c r="Q14" s="44">
        <v>0</v>
      </c>
      <c r="R14" s="44">
        <v>0</v>
      </c>
      <c r="S14" s="44">
        <v>5</v>
      </c>
      <c r="T14" s="44">
        <v>40</v>
      </c>
      <c r="U14" s="44">
        <v>80</v>
      </c>
      <c r="V14" s="45">
        <f ca="1">IFERROR(__xludf.DUMMYFUNCTION("SUM( FILTER(C14:X14, ISNUMBER(SEARCH(""Practice"", $C$1:$X$1)) ) )  / 
  SUM( FILTER(C$77:X$77, ISNUMBER(SEARCH(""Practice"", $C$1:$X$1))))*0.1
+
(SUM( FILTER(C14:P14, ISNUMBER(SEARCH(""After RETAKE"", $C$1:$P$1)) ) ) +
SUM( FILTER(P14:X14, ISNUMBER(SEARC"&amp;"H(""Before RETAKE"", $P$1:$X$1)) ) )
)  / 
  SUM( FILTER(C$77:X$77, ISNUMBER(SEARCH(""BEFORE RETAKE"", $C$1:$X$1))))*0.6 
+
0.3"),0.860440677966101)</f>
        <v>0.86044067796610102</v>
      </c>
      <c r="W14" s="46" t="s">
        <v>462</v>
      </c>
      <c r="X14" s="44">
        <v>80</v>
      </c>
      <c r="Y14" s="45">
        <f ca="1">IFERROR(__xludf.DUMMYFUNCTION("SUM( FILTER(C14:X14, ISNUMBER(SEARCH(""Practice"", $C$1:$X$1)) ) )  / 
  SUM( FILTER(C$77:X$77, ISNUMBER(SEARCH(""Practice"", $C$1:$X$1))))*0.1
+
(SUM( FILTER(C14:P14, ISNUMBER(SEARCH(""After RETAKE"", $C$1:$P$1)) ) ) +
SUM( FILTER(Q14:X14, ISNUMBER(SEARC"&amp;"H(""After RETAKE"", $Q$1:$X$1)) ) )
)  / 
  SUM( FILTER(C$77:X$77, ISNUMBER(SEARCH(""BEFORE RETAKE"", $C$1:$X$1))))*0.6 
+
0.3"),0.860440677966101)</f>
        <v>0.86044067796610102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50</v>
      </c>
      <c r="AG14" s="44">
        <v>65</v>
      </c>
      <c r="AH14" s="45">
        <f ca="1">IFERROR(__xludf.DUMMYFUNCTION("SUM( FILTER(C14:AJ14, ISNUMBER(SEARCH(""Practice"", $C$1:$AJ$1)) ) )  / 
  SUM( FILTER(C$77:AJ$77, ISNUMBER(SEARCH(""Practice"", $C$1:$AJ$1))))*0.1
+
(SUM( FILTER(C14:X14, ISNUMBER(SEARCH(""After RETAKE"", $C$1:$X$1)) ) ) +
SUM( FILTER(X14:AJ14, ISNUMBER("&amp;"SEARCH(""Before RETAKE"", $X$1:$AJ$1)) ) )
)  / 
  SUM( FILTER(C$77:AJ$77, ISNUMBER(SEARCH(""BEFORE RETAKE"", $C$1:$AJ$1))))*0.6 
+
0.3"),0.822767676767676)</f>
        <v>0.82276767676767604</v>
      </c>
      <c r="AI14" s="46">
        <v>68</v>
      </c>
      <c r="AJ14" s="44">
        <v>68</v>
      </c>
      <c r="AK14" s="45">
        <f ca="1">IFERROR(__xludf.DUMMYFUNCTION("SUM( FILTER(C14:AK14, ISNUMBER(SEARCH(""Practice"", $C$1:$AK$1)) ) )  / 
  SUM( FILTER(C$77:AK$77, ISNUMBER(SEARCH(""Practice"", $C$1:$AK$1))))*0.1
+
(SUM( FILTER(C14:P14, ISNUMBER(SEARCH(""After RETAKE"", $C$1:$P$1)) ) ) +
SUM( FILTER(P14:AK14, ISNUMBER("&amp;"SEARCH(""After RETAKE"", $P$1:$AK$1)) ) )
)  / 
  SUM( FILTER(C$77:AK$77, ISNUMBER(SEARCH(""BEFORE RETAKE"", $C$1:$AK$1))))*0.6 
+
0.3"),0.828767676767676)</f>
        <v>0.82876767676767604</v>
      </c>
      <c r="AL14" s="45">
        <v>0.72</v>
      </c>
      <c r="AM14" s="21">
        <f t="shared" si="0"/>
        <v>2</v>
      </c>
      <c r="AN14" s="21">
        <f t="shared" si="1"/>
        <v>2</v>
      </c>
      <c r="AO14" s="21">
        <f t="shared" si="2"/>
        <v>6</v>
      </c>
      <c r="AP14" s="20">
        <f t="shared" si="3"/>
        <v>71</v>
      </c>
      <c r="AQ14" s="20">
        <f t="shared" si="4"/>
        <v>75.333333333333329</v>
      </c>
      <c r="AR14" s="47">
        <f ca="1">IFERROR(__xludf.DUMMYFUNCTION("SUM( FILTER(C14:AK14, ISNUMBER(SEARCH(""Practice"", $C$1:$AK$1)) ) )  / 
  SUM( FILTER(C$77:AK$77, ISNUMBER(SEARCH(""Practice"", $C$1:$AK$1))))*0.1
+
(SUM( FILTER(C14:P14, ISNUMBER(SEARCH(""before RETAKE"", $C$1:$P$1)) ) ) +
SUM( FILTER(P14:AK14, ISNUMBER"&amp;"(SEARCH(""before RETAKE"", $P$1:$AK$1)) ) )
)  / 
  SUM( FILTER(C$77:AK$77, ISNUMBER(SEARCH(""BEFORE RETAKE"", $C$1:$AK$1))))*0.6 
+
0.3*AL14"),0.718767676767676)</f>
        <v>0.71876767676767594</v>
      </c>
      <c r="AS14" s="47">
        <f ca="1">IFERROR(__xludf.DUMMYFUNCTION("SUM( FILTER(C14:AK14, ISNUMBER(SEARCH(""Practice"", $C$1:$AK$1)) ) )  / 
  SUM( FILTER(C$77:AK$77, ISNUMBER(SEARCH(""Practice"", $C$1:$AK$1))))*0.1
+
(SUM( FILTER(C14:P14, ISNUMBER(SEARCH(""after RETAKE"", $C$1:$P$1)) ) ) +
SUM( FILTER(P14:AK14, ISNUMBER("&amp;"SEARCH(""after RETAKE"", $P$1:$AK$1)) ) )
)  / 
  SUM( FILTER(C$77:AK$77, ISNUMBER(SEARCH(""BEFORE RETAKE"", $C$1:$AK$1))))*0.6 
+
0.3*AL14"),0.744767676767676)</f>
        <v>0.74476767676767597</v>
      </c>
      <c r="AT14" s="47">
        <v>0.76676767680000002</v>
      </c>
      <c r="AU14" s="48">
        <f t="shared" si="5"/>
        <v>0.76767676767676762</v>
      </c>
      <c r="AV14" s="21">
        <v>10</v>
      </c>
      <c r="AW14" s="20">
        <f t="shared" si="6"/>
        <v>46</v>
      </c>
    </row>
    <row r="15" spans="1:49" ht="15" customHeight="1" x14ac:dyDescent="0.2">
      <c r="A15" s="18" t="s">
        <v>145</v>
      </c>
      <c r="B15" s="18" t="s">
        <v>461</v>
      </c>
      <c r="C15" s="43" t="s">
        <v>8</v>
      </c>
      <c r="D15" s="44">
        <v>1</v>
      </c>
      <c r="E15" s="44">
        <v>1</v>
      </c>
      <c r="F15" s="44">
        <v>1</v>
      </c>
      <c r="G15" s="44">
        <v>1</v>
      </c>
      <c r="H15" s="44">
        <v>1</v>
      </c>
      <c r="I15" s="44">
        <v>0</v>
      </c>
      <c r="J15" s="44">
        <v>5</v>
      </c>
      <c r="K15" s="44">
        <v>48</v>
      </c>
      <c r="L15" s="44">
        <v>72</v>
      </c>
      <c r="M15" s="45">
        <f ca="1">IFERROR(__xludf.DUMMYFUNCTION("SUM( FILTER(C15:P15, ISNUMBER(SEARCH(""Practice"", $C$1:$P$1)) ) )  / 
  SUM( FILTER(C$77:P$77, ISNUMBER(SEARCH(""Practice"", $C$1:$P$1))))*0.1
+
SUM( FILTER(C15:P15, ISNUMBER(SEARCH(""BEFORE RETAKE"", $C$1:$P$1)) ) ) 
  / 
  SUM( FILTER(C$77:P$77, ISNUMB"&amp;"ER(SEARCH(""BEFORE RETAKE"", $C$1:$P$1))))*0.6 
+
0.3"),0.827081967213114)</f>
        <v>0.827081967213114</v>
      </c>
      <c r="N15" s="46">
        <v>78</v>
      </c>
      <c r="O15" s="44">
        <v>78</v>
      </c>
      <c r="P15" s="45">
        <f ca="1">IFERROR(__xludf.DUMMYFUNCTION("SUM( FILTER(C15:P15, ISNUMBER(SEARCH(""Practice"", $C$1:$P$1)) ) )  / 
  SUM( FILTER(C$77:P$77, ISNUMBER(SEARCH(""Practice"", $C$1:$P$1))))*0.1
+
SUM( FILTER(C15:P15, ISNUMBER(SEARCH(""After RETAKE"", $C$1:$P$1)) ) ) 
  / 
  SUM( FILTER(C$77:P$77, ISNUMBE"&amp;"R(SEARCH(""BEFORE RETAKE"", $C$1:$P$1))))*0.6 
+
0.3"),0.863081967213114)</f>
        <v>0.86308196721311403</v>
      </c>
      <c r="Q15" s="44">
        <v>1</v>
      </c>
      <c r="R15" s="44">
        <v>0</v>
      </c>
      <c r="S15" s="44">
        <v>5</v>
      </c>
      <c r="T15" s="44">
        <v>50</v>
      </c>
      <c r="U15" s="44">
        <v>88</v>
      </c>
      <c r="V15" s="45">
        <f ca="1">IFERROR(__xludf.DUMMYFUNCTION("SUM( FILTER(C15:X15, ISNUMBER(SEARCH(""Practice"", $C$1:$X$1)) ) )  / 
  SUM( FILTER(C$77:X$77, ISNUMBER(SEARCH(""Practice"", $C$1:$X$1))))*0.1
+
(SUM( FILTER(C15:P15, ISNUMBER(SEARCH(""After RETAKE"", $C$1:$P$1)) ) ) +
SUM( FILTER(P15:X15, ISNUMBER(SEARC"&amp;"H(""Before RETAKE"", $P$1:$X$1)) ) )
)  / 
  SUM( FILTER(C$77:X$77, ISNUMBER(SEARCH(""BEFORE RETAKE"", $C$1:$X$1))))*0.6 
+
0.3"),0.894610169491525)</f>
        <v>0.89461016949152505</v>
      </c>
      <c r="W15" s="46" t="s">
        <v>462</v>
      </c>
      <c r="X15" s="44">
        <v>88</v>
      </c>
      <c r="Y15" s="45">
        <f ca="1">IFERROR(__xludf.DUMMYFUNCTION("SUM( FILTER(C15:X15, ISNUMBER(SEARCH(""Practice"", $C$1:$X$1)) ) )  / 
  SUM( FILTER(C$77:X$77, ISNUMBER(SEARCH(""Practice"", $C$1:$X$1))))*0.1
+
(SUM( FILTER(C15:P15, ISNUMBER(SEARCH(""After RETAKE"", $C$1:$P$1)) ) ) +
SUM( FILTER(Q15:X15, ISNUMBER(SEARC"&amp;"H(""After RETAKE"", $Q$1:$X$1)) ) )
)  / 
  SUM( FILTER(C$77:X$77, ISNUMBER(SEARCH(""BEFORE RETAKE"", $C$1:$X$1))))*0.6 
+
0.3"),0.894610169491525)</f>
        <v>0.89461016949152505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47</v>
      </c>
      <c r="AG15" s="44">
        <v>65</v>
      </c>
      <c r="AH15" s="45">
        <f ca="1">IFERROR(__xludf.DUMMYFUNCTION("SUM( FILTER(C15:AJ15, ISNUMBER(SEARCH(""Practice"", $C$1:$AJ$1)) ) )  / 
  SUM( FILTER(C$77:AJ$77, ISNUMBER(SEARCH(""Practice"", $C$1:$AJ$1))))*0.1
+
(SUM( FILTER(C15:X15, ISNUMBER(SEARCH(""After RETAKE"", $C$1:$X$1)) ) ) +
SUM( FILTER(X15:AJ15, ISNUMBER("&amp;"SEARCH(""Before RETAKE"", $X$1:$AJ$1)) ) )
)  / 
  SUM( FILTER(C$77:AJ$77, ISNUMBER(SEARCH(""BEFORE RETAKE"", $C$1:$AJ$1))))*0.6 
+
0.3"),0.843313131313131)</f>
        <v>0.84331313131313101</v>
      </c>
      <c r="AI15" s="46">
        <v>65</v>
      </c>
      <c r="AJ15" s="44">
        <v>65</v>
      </c>
      <c r="AK15" s="45">
        <f ca="1">IFERROR(__xludf.DUMMYFUNCTION("SUM( FILTER(C15:AK15, ISNUMBER(SEARCH(""Practice"", $C$1:$AK$1)) ) )  / 
  SUM( FILTER(C$77:AK$77, ISNUMBER(SEARCH(""Practice"", $C$1:$AK$1))))*0.1
+
(SUM( FILTER(C15:P15, ISNUMBER(SEARCH(""After RETAKE"", $C$1:$P$1)) ) ) +
SUM( FILTER(P15:AK15, ISNUMBER("&amp;"SEARCH(""After RETAKE"", $P$1:$AK$1)) ) )
)  / 
  SUM( FILTER(C$77:AK$77, ISNUMBER(SEARCH(""BEFORE RETAKE"", $C$1:$AK$1))))*0.6 
+
0.3"),0.843313131313131)</f>
        <v>0.84331313131313101</v>
      </c>
      <c r="AL15" s="45">
        <v>0.82</v>
      </c>
      <c r="AM15" s="21">
        <f t="shared" si="0"/>
        <v>1</v>
      </c>
      <c r="AN15" s="21">
        <f t="shared" si="1"/>
        <v>1</v>
      </c>
      <c r="AO15" s="21">
        <f t="shared" si="2"/>
        <v>6</v>
      </c>
      <c r="AP15" s="20">
        <f t="shared" si="3"/>
        <v>75</v>
      </c>
      <c r="AQ15" s="20">
        <f t="shared" si="4"/>
        <v>77</v>
      </c>
      <c r="AR15" s="47">
        <f ca="1">IFERROR(__xludf.DUMMYFUNCTION("SUM( FILTER(C15:AK15, ISNUMBER(SEARCH(""Practice"", $C$1:$AK$1)) ) )  / 
  SUM( FILTER(C$77:AK$77, ISNUMBER(SEARCH(""Practice"", $C$1:$AK$1))))*0.1
+
(SUM( FILTER(C15:P15, ISNUMBER(SEARCH(""before RETAKE"", $C$1:$P$1)) ) ) +
SUM( FILTER(P15:AK15, ISNUMBER"&amp;"(SEARCH(""before RETAKE"", $P$1:$AK$1)) ) )
)  / 
  SUM( FILTER(C$77:AK$77, ISNUMBER(SEARCH(""BEFORE RETAKE"", $C$1:$AK$1))))*0.6 
+
0.3*AL15"),0.777313131313131)</f>
        <v>0.77731313131313096</v>
      </c>
      <c r="AS15" s="47">
        <f ca="1">IFERROR(__xludf.DUMMYFUNCTION("SUM( FILTER(C15:AK15, ISNUMBER(SEARCH(""Practice"", $C$1:$AK$1)) ) )  / 
  SUM( FILTER(C$77:AK$77, ISNUMBER(SEARCH(""Practice"", $C$1:$AK$1))))*0.1
+
(SUM( FILTER(C15:P15, ISNUMBER(SEARCH(""after RETAKE"", $C$1:$P$1)) ) ) +
SUM( FILTER(P15:AK15, ISNUMBER("&amp;"SEARCH(""after RETAKE"", $P$1:$AK$1)) ) )
)  / 
  SUM( FILTER(C$77:AK$77, ISNUMBER(SEARCH(""BEFORE RETAKE"", $C$1:$AK$1))))*0.6 
+
0.3*AL15"),0.789313131313131)</f>
        <v>0.78931313131313097</v>
      </c>
      <c r="AT15" s="47">
        <v>0.82531313129999995</v>
      </c>
      <c r="AU15" s="48">
        <f t="shared" si="5"/>
        <v>0.81313131313131315</v>
      </c>
      <c r="AV15" s="21">
        <v>8</v>
      </c>
      <c r="AW15" s="20">
        <f t="shared" si="6"/>
        <v>48.333333333333336</v>
      </c>
    </row>
    <row r="16" spans="1:49" ht="15" customHeight="1" x14ac:dyDescent="0.2">
      <c r="A16" s="18" t="s">
        <v>147</v>
      </c>
      <c r="B16" s="18" t="s">
        <v>461</v>
      </c>
      <c r="C16" s="43" t="s">
        <v>9</v>
      </c>
      <c r="D16" s="44">
        <v>1</v>
      </c>
      <c r="E16" s="44">
        <v>1</v>
      </c>
      <c r="F16" s="44">
        <v>1</v>
      </c>
      <c r="G16" s="44">
        <v>1</v>
      </c>
      <c r="H16" s="44">
        <v>0</v>
      </c>
      <c r="I16" s="44">
        <v>0</v>
      </c>
      <c r="J16" s="44">
        <v>5</v>
      </c>
      <c r="K16" s="44">
        <v>48</v>
      </c>
      <c r="L16" s="44">
        <v>72</v>
      </c>
      <c r="M16" s="45">
        <f ca="1">IFERROR(__xludf.DUMMYFUNCTION("SUM( FILTER(C16:P16, ISNUMBER(SEARCH(""Practice"", $C$1:$P$1)) ) )  / 
  SUM( FILTER(C$77:P$77, ISNUMBER(SEARCH(""Practice"", $C$1:$P$1))))*0.1
+
SUM( FILTER(C16:P16, ISNUMBER(SEARCH(""BEFORE RETAKE"", $C$1:$P$1)) ) ) 
  / 
  SUM( FILTER(C$77:P$77, ISNUMB"&amp;"ER(SEARCH(""BEFORE RETAKE"", $C$1:$P$1))))*0.6 
+
0.3"),0.825442622950819)</f>
        <v>0.82544262295081905</v>
      </c>
      <c r="N16" s="46" t="s">
        <v>462</v>
      </c>
      <c r="O16" s="44">
        <v>72</v>
      </c>
      <c r="P16" s="45">
        <f ca="1">IFERROR(__xludf.DUMMYFUNCTION("SUM( FILTER(C16:P16, ISNUMBER(SEARCH(""Practice"", $C$1:$P$1)) ) )  / 
  SUM( FILTER(C$77:P$77, ISNUMBER(SEARCH(""Practice"", $C$1:$P$1))))*0.1
+
SUM( FILTER(C16:P16, ISNUMBER(SEARCH(""After RETAKE"", $C$1:$P$1)) ) ) 
  / 
  SUM( FILTER(C$77:P$77, ISNUMBE"&amp;"R(SEARCH(""BEFORE RETAKE"", $C$1:$P$1))))*0.6 
+
0.3"),0.825442622950819)</f>
        <v>0.82544262295081905</v>
      </c>
      <c r="Q16" s="44">
        <v>0</v>
      </c>
      <c r="R16" s="44">
        <v>0</v>
      </c>
      <c r="S16" s="44">
        <v>5</v>
      </c>
      <c r="T16" s="44">
        <v>29</v>
      </c>
      <c r="U16" s="44">
        <v>67</v>
      </c>
      <c r="V16" s="45">
        <f ca="1">IFERROR(__xludf.DUMMYFUNCTION("SUM( FILTER(C16:X16, ISNUMBER(SEARCH(""Practice"", $C$1:$X$1)) ) )  / 
  SUM( FILTER(C$77:X$77, ISNUMBER(SEARCH(""Practice"", $C$1:$X$1))))*0.1
+
(SUM( FILTER(C16:P16, ISNUMBER(SEARCH(""After RETAKE"", $C$1:$P$1)) ) ) +
SUM( FILTER(P16:X16, ISNUMBER(SEARC"&amp;"H(""Before RETAKE"", $P$1:$X$1)) ) )
)  / 
  SUM( FILTER(C$77:X$77, ISNUMBER(SEARCH(""BEFORE RETAKE"", $C$1:$X$1))))*0.6 
+
0.3"),0.794118644067796)</f>
        <v>0.79411864406779598</v>
      </c>
      <c r="W16" s="46" t="s">
        <v>462</v>
      </c>
      <c r="X16" s="44">
        <v>67</v>
      </c>
      <c r="Y16" s="45">
        <f ca="1">IFERROR(__xludf.DUMMYFUNCTION("SUM( FILTER(C16:X16, ISNUMBER(SEARCH(""Practice"", $C$1:$X$1)) ) )  / 
  SUM( FILTER(C$77:X$77, ISNUMBER(SEARCH(""Practice"", $C$1:$X$1))))*0.1
+
(SUM( FILTER(C16:P16, ISNUMBER(SEARCH(""After RETAKE"", $C$1:$P$1)) ) ) +
SUM( FILTER(Q16:X16, ISNUMBER(SEARC"&amp;"H(""After RETAKE"", $Q$1:$X$1)) ) )
)  / 
  SUM( FILTER(C$77:X$77, ISNUMBER(SEARCH(""BEFORE RETAKE"", $C$1:$X$1))))*0.6 
+
0.3"),0.794118644067796)</f>
        <v>0.79411864406779598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47</v>
      </c>
      <c r="AG16" s="44">
        <v>65</v>
      </c>
      <c r="AH16" s="45">
        <f ca="1">IFERROR(__xludf.DUMMYFUNCTION("SUM( FILTER(C16:AJ16, ISNUMBER(SEARCH(""Practice"", $C$1:$AJ$1)) ) )  / 
  SUM( FILTER(C$77:AJ$77, ISNUMBER(SEARCH(""Practice"", $C$1:$AJ$1))))*0.1
+
(SUM( FILTER(C16:X16, ISNUMBER(SEARCH(""After RETAKE"", $C$1:$X$1)) ) ) +
SUM( FILTER(X16:AJ16, ISNUMBER("&amp;"SEARCH(""Before RETAKE"", $X$1:$AJ$1)) ) )
)  / 
  SUM( FILTER(C$77:AJ$77, ISNUMBER(SEARCH(""BEFORE RETAKE"", $C$1:$AJ$1))))*0.6 
+
0.3"),0.777696969696969)</f>
        <v>0.777696969696969</v>
      </c>
      <c r="AI16" s="46">
        <v>76</v>
      </c>
      <c r="AJ16" s="44">
        <v>76</v>
      </c>
      <c r="AK16" s="45">
        <f ca="1">IFERROR(__xludf.DUMMYFUNCTION("SUM( FILTER(C16:AK16, ISNUMBER(SEARCH(""Practice"", $C$1:$AK$1)) ) )  / 
  SUM( FILTER(C$77:AK$77, ISNUMBER(SEARCH(""Practice"", $C$1:$AK$1))))*0.1
+
(SUM( FILTER(C16:P16, ISNUMBER(SEARCH(""After RETAKE"", $C$1:$P$1)) ) ) +
SUM( FILTER(P16:AK16, ISNUMBER("&amp;"SEARCH(""After RETAKE"", $P$1:$AK$1)) ) )
)  / 
  SUM( FILTER(C$77:AK$77, ISNUMBER(SEARCH(""BEFORE RETAKE"", $C$1:$AK$1))))*0.6 
+
0.3"),0.799696969696969)</f>
        <v>0.79969696969696902</v>
      </c>
      <c r="AL16" s="45">
        <v>0.62</v>
      </c>
      <c r="AM16" s="21">
        <f t="shared" si="0"/>
        <v>2</v>
      </c>
      <c r="AN16" s="21">
        <f t="shared" si="1"/>
        <v>2</v>
      </c>
      <c r="AO16" s="21">
        <f t="shared" si="2"/>
        <v>6</v>
      </c>
      <c r="AP16" s="20">
        <f t="shared" si="3"/>
        <v>68</v>
      </c>
      <c r="AQ16" s="20">
        <f t="shared" si="4"/>
        <v>71.666666666666671</v>
      </c>
      <c r="AR16" s="47">
        <f ca="1">IFERROR(__xludf.DUMMYFUNCTION("SUM( FILTER(C16:AK16, ISNUMBER(SEARCH(""Practice"", $C$1:$AK$1)) ) )  / 
  SUM( FILTER(C$77:AK$77, ISNUMBER(SEARCH(""Practice"", $C$1:$AK$1))))*0.1
+
(SUM( FILTER(C16:P16, ISNUMBER(SEARCH(""before RETAKE"", $C$1:$P$1)) ) ) +
SUM( FILTER(P16:AK16, ISNUMBER"&amp;"(SEARCH(""before RETAKE"", $P$1:$AK$1)) ) )
)  / 
  SUM( FILTER(C$77:AK$77, ISNUMBER(SEARCH(""BEFORE RETAKE"", $C$1:$AK$1))))*0.6 
+
0.3*AL16"),0.663696969696969)</f>
        <v>0.66369696969696901</v>
      </c>
      <c r="AS16" s="47">
        <f ca="1">IFERROR(__xludf.DUMMYFUNCTION("SUM( FILTER(C16:AK16, ISNUMBER(SEARCH(""Practice"", $C$1:$AK$1)) ) )  / 
  SUM( FILTER(C$77:AK$77, ISNUMBER(SEARCH(""Practice"", $C$1:$AK$1))))*0.1
+
(SUM( FILTER(C16:P16, ISNUMBER(SEARCH(""after RETAKE"", $C$1:$P$1)) ) ) +
SUM( FILTER(P16:AK16, ISNUMBER("&amp;"SEARCH(""after RETAKE"", $P$1:$AK$1)) ) )
)  / 
  SUM( FILTER(C$77:AK$77, ISNUMBER(SEARCH(""BEFORE RETAKE"", $C$1:$AK$1))))*0.6 
+
0.3*AL16"),0.685696969696969)</f>
        <v>0.68569696969696903</v>
      </c>
      <c r="AT16" s="47">
        <v>0.69969696969999995</v>
      </c>
      <c r="AU16" s="48">
        <f t="shared" si="5"/>
        <v>0.69696969696969702</v>
      </c>
      <c r="AV16" s="21">
        <v>10</v>
      </c>
      <c r="AW16" s="20">
        <f t="shared" si="6"/>
        <v>41.333333333333336</v>
      </c>
    </row>
    <row r="17" spans="1:49" ht="15" customHeight="1" x14ac:dyDescent="0.2">
      <c r="A17" s="18" t="s">
        <v>149</v>
      </c>
      <c r="B17" s="18" t="s">
        <v>461</v>
      </c>
      <c r="C17" s="43" t="s">
        <v>8</v>
      </c>
      <c r="D17" s="44" t="s">
        <v>150</v>
      </c>
      <c r="E17" s="44" t="s">
        <v>150</v>
      </c>
      <c r="F17" s="44" t="s">
        <v>150</v>
      </c>
      <c r="G17" s="44" t="s">
        <v>150</v>
      </c>
      <c r="H17" s="44" t="s">
        <v>150</v>
      </c>
      <c r="I17" s="44" t="s">
        <v>150</v>
      </c>
      <c r="J17" s="44" t="s">
        <v>150</v>
      </c>
      <c r="K17" s="44" t="s">
        <v>150</v>
      </c>
      <c r="L17" s="44">
        <v>85</v>
      </c>
      <c r="M17" s="45">
        <f ca="1">IFERROR(__xludf.DUMMYFUNCTION("SUM( FILTER(C17:P17, ISNUMBER(SEARCH(""Practice"", $C$1:$P$1)) ) )  / 
  SUM( FILTER(C$77:P$77, ISNUMBER(SEARCH(""Practice"", $C$1:$P$1))))*0.1
+
SUM( FILTER(C17:P17, ISNUMBER(SEARCH(""BEFORE RETAKE"", $C$1:$P$1)) ) ) 
  / 
  SUM( FILTER(C$77:P$77, ISNUMB"&amp;"ER(SEARCH(""BEFORE RETAKE"", $C$1:$P$1))))*0.6 
+
0.3"),0.81)</f>
        <v>0.81</v>
      </c>
      <c r="N17" s="46">
        <v>92</v>
      </c>
      <c r="O17" s="44">
        <v>92</v>
      </c>
      <c r="P17" s="45">
        <f ca="1">IFERROR(__xludf.DUMMYFUNCTION("SUM( FILTER(C17:P17, ISNUMBER(SEARCH(""Practice"", $C$1:$P$1)) ) )  / 
  SUM( FILTER(C$77:P$77, ISNUMBER(SEARCH(""Practice"", $C$1:$P$1))))*0.1
+
SUM( FILTER(C17:P17, ISNUMBER(SEARCH(""After RETAKE"", $C$1:$P$1)) ) ) 
  / 
  SUM( FILTER(C$77:P$77, ISNUMBE"&amp;"R(SEARCH(""BEFORE RETAKE"", $C$1:$P$1))))*0.6 
+
0.3"),0.852)</f>
        <v>0.85199999999999998</v>
      </c>
      <c r="Q17" s="44">
        <v>1</v>
      </c>
      <c r="R17" s="44">
        <v>1</v>
      </c>
      <c r="S17" s="44">
        <v>5</v>
      </c>
      <c r="T17" s="44">
        <v>44</v>
      </c>
      <c r="U17" s="44">
        <v>93</v>
      </c>
      <c r="V17" s="45">
        <f ca="1">IFERROR(__xludf.DUMMYFUNCTION("SUM( FILTER(C17:X17, ISNUMBER(SEARCH(""Practice"", $C$1:$X$1)) ) )  / 
  SUM( FILTER(C$77:X$77, ISNUMBER(SEARCH(""Practice"", $C$1:$X$1))))*0.1
+
(SUM( FILTER(C17:P17, ISNUMBER(SEARCH(""After RETAKE"", $C$1:$P$1)) ) ) +
SUM( FILTER(P17:X17, ISNUMBER(SEARC"&amp;"H(""Before RETAKE"", $P$1:$X$1)) ) )
)  / 
  SUM( FILTER(C$77:X$77, ISNUMBER(SEARCH(""BEFORE RETAKE"", $C$1:$X$1))))*0.6 
+
0.3"),0.898220338983051)</f>
        <v>0.89822033898305098</v>
      </c>
      <c r="W17" s="46" t="s">
        <v>462</v>
      </c>
      <c r="X17" s="44">
        <v>93</v>
      </c>
      <c r="Y17" s="45">
        <f ca="1">IFERROR(__xludf.DUMMYFUNCTION("SUM( FILTER(C17:X17, ISNUMBER(SEARCH(""Practice"", $C$1:$X$1)) ) )  / 
  SUM( FILTER(C$77:X$77, ISNUMBER(SEARCH(""Practice"", $C$1:$X$1))))*0.1
+
(SUM( FILTER(C17:P17, ISNUMBER(SEARCH(""After RETAKE"", $C$1:$P$1)) ) ) +
SUM( FILTER(Q17:X17, ISNUMBER(SEARC"&amp;"H(""After RETAKE"", $Q$1:$X$1)) ) )
)  / 
  SUM( FILTER(C$77:X$77, ISNUMBER(SEARCH(""BEFORE RETAKE"", $C$1:$X$1))))*0.6 
+
0.3"),0.898220338983051)</f>
        <v>0.89822033898305098</v>
      </c>
      <c r="Z17" s="44">
        <v>5</v>
      </c>
      <c r="AA17" s="44">
        <v>5</v>
      </c>
      <c r="AB17" s="44">
        <v>5</v>
      </c>
      <c r="AC17" s="44">
        <v>5</v>
      </c>
      <c r="AD17" s="44">
        <v>0</v>
      </c>
      <c r="AE17" s="44">
        <v>5</v>
      </c>
      <c r="AF17" s="44">
        <v>47</v>
      </c>
      <c r="AG17" s="44">
        <v>92</v>
      </c>
      <c r="AH17" s="45">
        <f ca="1">IFERROR(__xludf.DUMMYFUNCTION("SUM( FILTER(C17:AJ17, ISNUMBER(SEARCH(""Practice"", $C$1:$AJ$1)) ) )  / 
  SUM( FILTER(C$77:AJ$77, ISNUMBER(SEARCH(""Practice"", $C$1:$AJ$1))))*0.1
+
(SUM( FILTER(C17:X17, ISNUMBER(SEARCH(""After RETAKE"", $C$1:$X$1)) ) ) +
SUM( FILTER(X17:AJ17, ISNUMBER("&amp;"SEARCH(""Before RETAKE"", $X$1:$AJ$1)) ) )
)  / 
  SUM( FILTER(C$77:AJ$77, ISNUMBER(SEARCH(""BEFORE RETAKE"", $C$1:$AJ$1))))*0.6 
+
0.3"),0.916121212121212)</f>
        <v>0.916121212121212</v>
      </c>
      <c r="AI17" s="46">
        <v>85</v>
      </c>
      <c r="AJ17" s="44">
        <v>92</v>
      </c>
      <c r="AK17" s="45">
        <f ca="1">IFERROR(__xludf.DUMMYFUNCTION("SUM( FILTER(C17:AK17, ISNUMBER(SEARCH(""Practice"", $C$1:$AK$1)) ) )  / 
  SUM( FILTER(C$77:AK$77, ISNUMBER(SEARCH(""Practice"", $C$1:$AK$1))))*0.1
+
(SUM( FILTER(C17:P17, ISNUMBER(SEARCH(""After RETAKE"", $C$1:$P$1)) ) ) +
SUM( FILTER(P17:AK17, ISNUMBER("&amp;"SEARCH(""After RETAKE"", $P$1:$AK$1)) ) )
)  / 
  SUM( FILTER(C$77:AK$77, ISNUMBER(SEARCH(""BEFORE RETAKE"", $C$1:$AK$1))))*0.6 
+
0.3"),0.916121212121212)</f>
        <v>0.916121212121212</v>
      </c>
      <c r="AL17" s="45">
        <v>0.85</v>
      </c>
      <c r="AM17" s="21">
        <f t="shared" si="0"/>
        <v>0</v>
      </c>
      <c r="AN17" s="21">
        <f t="shared" si="1"/>
        <v>0</v>
      </c>
      <c r="AO17" s="21">
        <f t="shared" si="2"/>
        <v>1</v>
      </c>
      <c r="AP17" s="20">
        <f t="shared" si="3"/>
        <v>90</v>
      </c>
      <c r="AQ17" s="20">
        <f t="shared" si="4"/>
        <v>92.333333333333329</v>
      </c>
      <c r="AR17" s="47">
        <f ca="1">IFERROR(__xludf.DUMMYFUNCTION("SUM( FILTER(C17:AK17, ISNUMBER(SEARCH(""Practice"", $C$1:$AK$1)) ) )  / 
  SUM( FILTER(C$77:AK$77, ISNUMBER(SEARCH(""Practice"", $C$1:$AK$1))))*0.1
+
(SUM( FILTER(C17:P17, ISNUMBER(SEARCH(""before RETAKE"", $C$1:$P$1)) ) ) +
SUM( FILTER(P17:AK17, ISNUMBER"&amp;"(SEARCH(""before RETAKE"", $P$1:$AK$1)) ) )
)  / 
  SUM( FILTER(C$77:AK$77, ISNUMBER(SEARCH(""BEFORE RETAKE"", $C$1:$AK$1))))*0.6 
+
0.3*AL17"),0.857121212121212)</f>
        <v>0.85712121212121195</v>
      </c>
      <c r="AS17" s="47">
        <f ca="1">IFERROR(__xludf.DUMMYFUNCTION("SUM( FILTER(C17:AK17, ISNUMBER(SEARCH(""Practice"", $C$1:$AK$1)) ) )  / 
  SUM( FILTER(C$77:AK$77, ISNUMBER(SEARCH(""Practice"", $C$1:$AK$1))))*0.1
+
(SUM( FILTER(C17:P17, ISNUMBER(SEARCH(""after RETAKE"", $C$1:$P$1)) ) ) +
SUM( FILTER(P17:AK17, ISNUMBER("&amp;"SEARCH(""after RETAKE"", $P$1:$AK$1)) ) )
)  / 
  SUM( FILTER(C$77:AK$77, ISNUMBER(SEARCH(""BEFORE RETAKE"", $C$1:$AK$1))))*0.6 
+
0.3*AL17"),0.871121212121212)</f>
        <v>0.87112121212121196</v>
      </c>
      <c r="AT17" s="47">
        <v>0.87212121210000004</v>
      </c>
      <c r="AU17" s="48">
        <f t="shared" si="5"/>
        <v>0.62121212121212122</v>
      </c>
      <c r="AV17" s="21">
        <v>1</v>
      </c>
      <c r="AW17" s="20">
        <f t="shared" si="6"/>
        <v>45.5</v>
      </c>
    </row>
    <row r="18" spans="1:49" ht="15" customHeight="1" x14ac:dyDescent="0.2">
      <c r="A18" s="18" t="s">
        <v>152</v>
      </c>
      <c r="B18" s="18" t="s">
        <v>464</v>
      </c>
      <c r="C18" s="43" t="s">
        <v>9</v>
      </c>
      <c r="D18" s="44" t="s">
        <v>150</v>
      </c>
      <c r="E18" s="44" t="s">
        <v>150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44</v>
      </c>
      <c r="L18" s="44">
        <v>60</v>
      </c>
      <c r="M18" s="45">
        <f ca="1">IFERROR(__xludf.DUMMYFUNCTION("SUM( FILTER(C18:P18, ISNUMBER(SEARCH(""Practice"", $C$1:$P$1)) ) )  / 
  SUM( FILTER(C$77:P$77, ISNUMBER(SEARCH(""Practice"", $C$1:$P$1))))*0.1
+
SUM( FILTER(C18:P18, ISNUMBER(SEARCH(""BEFORE RETAKE"", $C$1:$P$1)) ) ) 
  / 
  SUM( FILTER(C$77:P$77, ISNUMB"&amp;"ER(SEARCH(""BEFORE RETAKE"", $C$1:$P$1))))*0.6 
+
0.3"),0.732131147540983)</f>
        <v>0.73213114754098296</v>
      </c>
      <c r="N18" s="46" t="s">
        <v>462</v>
      </c>
      <c r="O18" s="44">
        <v>60</v>
      </c>
      <c r="P18" s="45">
        <f ca="1">IFERROR(__xludf.DUMMYFUNCTION("SUM( FILTER(C18:P18, ISNUMBER(SEARCH(""Practice"", $C$1:$P$1)) ) )  / 
  SUM( FILTER(C$77:P$77, ISNUMBER(SEARCH(""Practice"", $C$1:$P$1))))*0.1
+
SUM( FILTER(C18:P18, ISNUMBER(SEARCH(""After RETAKE"", $C$1:$P$1)) ) ) 
  / 
  SUM( FILTER(C$77:P$77, ISNUMBE"&amp;"R(SEARCH(""BEFORE RETAKE"", $C$1:$P$1))))*0.6 
+
0.3"),0.732131147540983)</f>
        <v>0.73213114754098296</v>
      </c>
      <c r="Q18" s="44">
        <v>0</v>
      </c>
      <c r="R18" s="44">
        <v>0</v>
      </c>
      <c r="S18" s="44">
        <v>2.5</v>
      </c>
      <c r="T18" s="44">
        <v>49.5</v>
      </c>
      <c r="U18" s="44">
        <v>63</v>
      </c>
      <c r="V18" s="45">
        <f ca="1">IFERROR(__xludf.DUMMYFUNCTION("SUM( FILTER(C18:X18, ISNUMBER(SEARCH(""Practice"", $C$1:$X$1)) ) )  / 
  SUM( FILTER(C$77:X$77, ISNUMBER(SEARCH(""Practice"", $C$1:$X$1))))*0.1
+
(SUM( FILTER(C18:P18, ISNUMBER(SEARCH(""After RETAKE"", $C$1:$P$1)) ) ) +
SUM( FILTER(P18:X18, ISNUMBER(SEARC"&amp;"H(""Before RETAKE"", $P$1:$X$1)) ) )
)  / 
  SUM( FILTER(C$77:X$77, ISNUMBER(SEARCH(""BEFORE RETAKE"", $C$1:$X$1))))*0.6 
+
0.3"),0.750355932203389)</f>
        <v>0.75035593220338903</v>
      </c>
      <c r="W18" s="46" t="s">
        <v>462</v>
      </c>
      <c r="X18" s="44">
        <v>63</v>
      </c>
      <c r="Y18" s="45">
        <f ca="1">IFERROR(__xludf.DUMMYFUNCTION("SUM( FILTER(C18:X18, ISNUMBER(SEARCH(""Practice"", $C$1:$X$1)) ) )  / 
  SUM( FILTER(C$77:X$77, ISNUMBER(SEARCH(""Practice"", $C$1:$X$1))))*0.1
+
(SUM( FILTER(C18:P18, ISNUMBER(SEARCH(""After RETAKE"", $C$1:$P$1)) ) ) +
SUM( FILTER(Q18:X18, ISNUMBER(SEARC"&amp;"H(""After RETAKE"", $Q$1:$X$1)) ) )
)  / 
  SUM( FILTER(C$77:X$77, ISNUMBER(SEARCH(""BEFORE RETAKE"", $C$1:$X$1))))*0.6 
+
0.3"),0.750355932203389)</f>
        <v>0.75035593220338903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50</v>
      </c>
      <c r="AG18" s="44">
        <v>62</v>
      </c>
      <c r="AH18" s="45">
        <f ca="1">IFERROR(__xludf.DUMMYFUNCTION("SUM( FILTER(C18:AJ18, ISNUMBER(SEARCH(""Practice"", $C$1:$AJ$1)) ) )  / 
  SUM( FILTER(C$77:AJ$77, ISNUMBER(SEARCH(""Practice"", $C$1:$AJ$1))))*0.1
+
(SUM( FILTER(C18:X18, ISNUMBER(SEARCH(""After RETAKE"", $C$1:$X$1)) ) ) +
SUM( FILTER(X18:AJ18, ISNUMBER("&amp;"SEARCH(""Before RETAKE"", $X$1:$AJ$1)) ) )
)  / 
  SUM( FILTER(C$77:AJ$77, ISNUMBER(SEARCH(""BEFORE RETAKE"", $C$1:$AJ$1))))*0.6 
+
0.3"),0.743737373737373)</f>
        <v>0.74373737373737303</v>
      </c>
      <c r="AI18" s="46" t="s">
        <v>462</v>
      </c>
      <c r="AJ18" s="44">
        <v>62</v>
      </c>
      <c r="AK18" s="45">
        <f ca="1">IFERROR(__xludf.DUMMYFUNCTION("SUM( FILTER(C18:AK18, ISNUMBER(SEARCH(""Practice"", $C$1:$AK$1)) ) )  / 
  SUM( FILTER(C$77:AK$77, ISNUMBER(SEARCH(""Practice"", $C$1:$AK$1))))*0.1
+
(SUM( FILTER(C18:P18, ISNUMBER(SEARCH(""After RETAKE"", $C$1:$P$1)) ) ) +
SUM( FILTER(P18:AK18, ISNUMBER("&amp;"SEARCH(""After RETAKE"", $P$1:$AK$1)) ) )
)  / 
  SUM( FILTER(C$77:AK$77, ISNUMBER(SEARCH(""BEFORE RETAKE"", $C$1:$AK$1))))*0.6 
+
0.3"),0.743737373737373)</f>
        <v>0.74373737373737303</v>
      </c>
      <c r="AL18" s="45">
        <v>0.3</v>
      </c>
      <c r="AM18" s="21">
        <f t="shared" si="0"/>
        <v>5</v>
      </c>
      <c r="AN18" s="21">
        <f t="shared" si="1"/>
        <v>2</v>
      </c>
      <c r="AO18" s="21">
        <f t="shared" si="2"/>
        <v>6</v>
      </c>
      <c r="AP18" s="20">
        <f t="shared" si="3"/>
        <v>61.666666666666664</v>
      </c>
      <c r="AQ18" s="20">
        <f t="shared" si="4"/>
        <v>61.666666666666664</v>
      </c>
      <c r="AR18" s="47">
        <f ca="1">IFERROR(__xludf.DUMMYFUNCTION("SUM( FILTER(C18:AK18, ISNUMBER(SEARCH(""Practice"", $C$1:$AK$1)) ) )  / 
  SUM( FILTER(C$77:AK$77, ISNUMBER(SEARCH(""Practice"", $C$1:$AK$1))))*0.1
+
(SUM( FILTER(C18:P18, ISNUMBER(SEARCH(""before RETAKE"", $C$1:$P$1)) ) ) +
SUM( FILTER(P18:AK18, ISNUMBER"&amp;"(SEARCH(""before RETAKE"", $P$1:$AK$1)) ) )
)  / 
  SUM( FILTER(C$77:AK$77, ISNUMBER(SEARCH(""BEFORE RETAKE"", $C$1:$AK$1))))*0.6 
+
0.3*AL18"),0.533737373737373)</f>
        <v>0.53373737373737296</v>
      </c>
      <c r="AS18" s="47">
        <f ca="1">IFERROR(__xludf.DUMMYFUNCTION("SUM( FILTER(C18:AK18, ISNUMBER(SEARCH(""Practice"", $C$1:$AK$1)) ) )  / 
  SUM( FILTER(C$77:AK$77, ISNUMBER(SEARCH(""Practice"", $C$1:$AK$1))))*0.1
+
(SUM( FILTER(C18:P18, ISNUMBER(SEARCH(""after RETAKE"", $C$1:$P$1)) ) ) +
SUM( FILTER(P18:AK18, ISNUMBER("&amp;"SEARCH(""after RETAKE"", $P$1:$AK$1)) ) )
)  / 
  SUM( FILTER(C$77:AK$77, ISNUMBER(SEARCH(""BEFORE RETAKE"", $C$1:$AK$1))))*0.6 
+
0.3*AL18"),0.533737373737373)</f>
        <v>0.53373737373737296</v>
      </c>
      <c r="AT18" s="47">
        <v>0.53873737369999997</v>
      </c>
      <c r="AU18" s="48">
        <f t="shared" si="5"/>
        <v>0.73737373737373735</v>
      </c>
      <c r="AV18" s="21">
        <v>13</v>
      </c>
      <c r="AW18" s="20">
        <f t="shared" si="6"/>
        <v>47.833333333333336</v>
      </c>
    </row>
    <row r="19" spans="1:49" ht="15" customHeight="1" x14ac:dyDescent="0.2">
      <c r="A19" s="18" t="s">
        <v>154</v>
      </c>
      <c r="B19" s="18" t="s">
        <v>461</v>
      </c>
      <c r="C19" s="43" t="s">
        <v>9</v>
      </c>
      <c r="D19" s="44">
        <v>1</v>
      </c>
      <c r="E19" s="44">
        <v>1</v>
      </c>
      <c r="F19" s="44">
        <v>1</v>
      </c>
      <c r="G19" s="44">
        <v>1</v>
      </c>
      <c r="H19" s="44">
        <v>1</v>
      </c>
      <c r="I19" s="44">
        <v>0</v>
      </c>
      <c r="J19" s="44">
        <v>5</v>
      </c>
      <c r="K19" s="44">
        <v>48</v>
      </c>
      <c r="L19" s="44">
        <v>88</v>
      </c>
      <c r="M19" s="45">
        <f ca="1">IFERROR(__xludf.DUMMYFUNCTION("SUM( FILTER(C19:P19, ISNUMBER(SEARCH(""Practice"", $C$1:$P$1)) ) )  / 
  SUM( FILTER(C$77:P$77, ISNUMBER(SEARCH(""Practice"", $C$1:$P$1))))*0.1
+
SUM( FILTER(C19:P19, ISNUMBER(SEARCH(""BEFORE RETAKE"", $C$1:$P$1)) ) ) 
  / 
  SUM( FILTER(C$77:P$77, ISNUMB"&amp;"ER(SEARCH(""BEFORE RETAKE"", $C$1:$P$1))))*0.6 
+
0.3"),0.923081967213114)</f>
        <v>0.92308196721311397</v>
      </c>
      <c r="N19" s="46">
        <v>95</v>
      </c>
      <c r="O19" s="44">
        <v>88</v>
      </c>
      <c r="P19" s="45">
        <f ca="1">IFERROR(__xludf.DUMMYFUNCTION("SUM( FILTER(C19:P19, ISNUMBER(SEARCH(""Practice"", $C$1:$P$1)) ) )  / 
  SUM( FILTER(C$77:P$77, ISNUMBER(SEARCH(""Practice"", $C$1:$P$1))))*0.1
+
SUM( FILTER(C19:P19, ISNUMBER(SEARCH(""After RETAKE"", $C$1:$P$1)) ) ) 
  / 
  SUM( FILTER(C$77:P$77, ISNUMBE"&amp;"R(SEARCH(""BEFORE RETAKE"", $C$1:$P$1))))*0.6 
+
0.3"),0.923081967213114)</f>
        <v>0.92308196721311397</v>
      </c>
      <c r="Q19" s="44">
        <v>1</v>
      </c>
      <c r="R19" s="44">
        <v>1</v>
      </c>
      <c r="S19" s="44">
        <v>5</v>
      </c>
      <c r="T19" s="44">
        <v>50</v>
      </c>
      <c r="U19" s="44">
        <v>86</v>
      </c>
      <c r="V19" s="45">
        <f ca="1">IFERROR(__xludf.DUMMYFUNCTION("SUM( FILTER(C19:X19, ISNUMBER(SEARCH(""Practice"", $C$1:$X$1)) ) )  / 
  SUM( FILTER(C$77:X$77, ISNUMBER(SEARCH(""Practice"", $C$1:$X$1))))*0.1
+
(SUM( FILTER(C19:P19, ISNUMBER(SEARCH(""After RETAKE"", $C$1:$P$1)) ) ) +
SUM( FILTER(P19:X19, ISNUMBER(SEARC"&amp;"H(""Before RETAKE"", $P$1:$X$1)) ) )
)  / 
  SUM( FILTER(C$77:X$77, ISNUMBER(SEARCH(""BEFORE RETAKE"", $C$1:$X$1))))*0.6 
+
0.3"),0.919457627118644)</f>
        <v>0.91945762711864398</v>
      </c>
      <c r="W19" s="46">
        <v>85</v>
      </c>
      <c r="X19" s="44">
        <v>86</v>
      </c>
      <c r="Y19" s="45">
        <f ca="1">IFERROR(__xludf.DUMMYFUNCTION("SUM( FILTER(C19:X19, ISNUMBER(SEARCH(""Practice"", $C$1:$X$1)) ) )  / 
  SUM( FILTER(C$77:X$77, ISNUMBER(SEARCH(""Practice"", $C$1:$X$1))))*0.1
+
(SUM( FILTER(C19:P19, ISNUMBER(SEARCH(""After RETAKE"", $C$1:$P$1)) ) ) +
SUM( FILTER(Q19:X19, ISNUMBER(SEARC"&amp;"H(""After RETAKE"", $Q$1:$X$1)) ) )
)  / 
  SUM( FILTER(C$77:X$77, ISNUMBER(SEARCH(""BEFORE RETAKE"", $C$1:$X$1))))*0.6 
+
0.3"),0.919457627118644)</f>
        <v>0.91945762711864398</v>
      </c>
      <c r="Z19" s="44">
        <v>5</v>
      </c>
      <c r="AA19" s="44">
        <v>5</v>
      </c>
      <c r="AB19" s="44">
        <v>5</v>
      </c>
      <c r="AC19" s="44">
        <v>5</v>
      </c>
      <c r="AD19" s="44">
        <v>5</v>
      </c>
      <c r="AE19" s="44">
        <v>5</v>
      </c>
      <c r="AF19" s="44">
        <v>50</v>
      </c>
      <c r="AG19" s="44">
        <v>88</v>
      </c>
      <c r="AH19" s="45">
        <f ca="1">IFERROR(__xludf.DUMMYFUNCTION("SUM( FILTER(C19:AJ19, ISNUMBER(SEARCH(""Practice"", $C$1:$AJ$1)) ) )  / 
  SUM( FILTER(C$77:AJ$77, ISNUMBER(SEARCH(""Practice"", $C$1:$AJ$1))))*0.1
+
(SUM( FILTER(C19:X19, ISNUMBER(SEARCH(""After RETAKE"", $C$1:$X$1)) ) ) +
SUM( FILTER(X19:AJ19, ISNUMBER("&amp;"SEARCH(""Before RETAKE"", $X$1:$AJ$1)) ) )
)  / 
  SUM( FILTER(C$77:AJ$77, ISNUMBER(SEARCH(""BEFORE RETAKE"", $C$1:$AJ$1))))*0.6 
+
0.3"),0.922484848484848)</f>
        <v>0.92248484848484802</v>
      </c>
      <c r="AI19" s="46">
        <v>88</v>
      </c>
      <c r="AJ19" s="44">
        <v>88</v>
      </c>
      <c r="AK19" s="45">
        <f ca="1">IFERROR(__xludf.DUMMYFUNCTION("SUM( FILTER(C19:AK19, ISNUMBER(SEARCH(""Practice"", $C$1:$AK$1)) ) )  / 
  SUM( FILTER(C$77:AK$77, ISNUMBER(SEARCH(""Practice"", $C$1:$AK$1))))*0.1
+
(SUM( FILTER(C19:P19, ISNUMBER(SEARCH(""After RETAKE"", $C$1:$P$1)) ) ) +
SUM( FILTER(P19:AK19, ISNUMBER("&amp;"SEARCH(""After RETAKE"", $P$1:$AK$1)) ) )
)  / 
  SUM( FILTER(C$77:AK$77, ISNUMBER(SEARCH(""BEFORE RETAKE"", $C$1:$AK$1))))*0.6 
+
0.3"),0.922484848484848)</f>
        <v>0.92248484848484802</v>
      </c>
      <c r="AL19" s="45">
        <v>0.78</v>
      </c>
      <c r="AM19" s="21">
        <f t="shared" si="0"/>
        <v>1</v>
      </c>
      <c r="AN19" s="21">
        <f t="shared" si="1"/>
        <v>0</v>
      </c>
      <c r="AO19" s="21">
        <f t="shared" si="2"/>
        <v>0</v>
      </c>
      <c r="AP19" s="20">
        <f t="shared" si="3"/>
        <v>87.333333333333329</v>
      </c>
      <c r="AQ19" s="20">
        <f t="shared" si="4"/>
        <v>87.333333333333329</v>
      </c>
      <c r="AR19" s="47">
        <f ca="1">IFERROR(__xludf.DUMMYFUNCTION("SUM( FILTER(C19:AK19, ISNUMBER(SEARCH(""Practice"", $C$1:$AK$1)) ) )  / 
  SUM( FILTER(C$77:AK$77, ISNUMBER(SEARCH(""Practice"", $C$1:$AK$1))))*0.1
+
(SUM( FILTER(C19:P19, ISNUMBER(SEARCH(""before RETAKE"", $C$1:$P$1)) ) ) +
SUM( FILTER(P19:AK19, ISNUMBER"&amp;"(SEARCH(""before RETAKE"", $P$1:$AK$1)) ) )
)  / 
  SUM( FILTER(C$77:AK$77, ISNUMBER(SEARCH(""BEFORE RETAKE"", $C$1:$AK$1))))*0.6 
+
0.3*AL19"),0.856484848484848)</f>
        <v>0.85648484848484796</v>
      </c>
      <c r="AS19" s="47">
        <f ca="1">IFERROR(__xludf.DUMMYFUNCTION("SUM( FILTER(C19:AK19, ISNUMBER(SEARCH(""Practice"", $C$1:$AK$1)) ) )  / 
  SUM( FILTER(C$77:AK$77, ISNUMBER(SEARCH(""Practice"", $C$1:$AK$1))))*0.1
+
(SUM( FILTER(C19:P19, ISNUMBER(SEARCH(""after RETAKE"", $C$1:$P$1)) ) ) +
SUM( FILTER(P19:AK19, ISNUMBER("&amp;"SEARCH(""after RETAKE"", $P$1:$AK$1)) ) )
)  / 
  SUM( FILTER(C$77:AK$77, ISNUMBER(SEARCH(""BEFORE RETAKE"", $C$1:$AK$1))))*0.6 
+
0.3*AL19"),0.856484848484848)</f>
        <v>0.85648484848484796</v>
      </c>
      <c r="AT19" s="47">
        <v>0.86048484849999995</v>
      </c>
      <c r="AU19" s="48">
        <f t="shared" si="5"/>
        <v>0.98484848484848486</v>
      </c>
      <c r="AV19" s="21">
        <v>1</v>
      </c>
      <c r="AW19" s="20">
        <f t="shared" si="6"/>
        <v>49.333333333333336</v>
      </c>
    </row>
    <row r="20" spans="1:49" ht="15" customHeight="1" x14ac:dyDescent="0.2">
      <c r="A20" s="18" t="s">
        <v>156</v>
      </c>
      <c r="B20" s="18" t="s">
        <v>464</v>
      </c>
      <c r="C20" s="43" t="s">
        <v>9</v>
      </c>
      <c r="D20" s="44" t="s">
        <v>462</v>
      </c>
      <c r="E20" s="44" t="s">
        <v>462</v>
      </c>
      <c r="F20" s="44" t="s">
        <v>462</v>
      </c>
      <c r="G20" s="44" t="s">
        <v>462</v>
      </c>
      <c r="H20" s="44" t="s">
        <v>462</v>
      </c>
      <c r="I20" s="44" t="s">
        <v>462</v>
      </c>
      <c r="J20" s="44" t="s">
        <v>462</v>
      </c>
      <c r="K20" s="44" t="s">
        <v>462</v>
      </c>
      <c r="L20" s="44">
        <v>72</v>
      </c>
      <c r="M20" s="45">
        <f ca="1">IFERROR(__xludf.DUMMYFUNCTION("SUM( FILTER(C20:P20, ISNUMBER(SEARCH(""Practice"", $C$1:$P$1)) ) )  / 
  SUM( FILTER(C$77:P$77, ISNUMBER(SEARCH(""Practice"", $C$1:$P$1))))*0.1
+
SUM( FILTER(C20:P20, ISNUMBER(SEARCH(""BEFORE RETAKE"", $C$1:$P$1)) ) ) 
  / 
  SUM( FILTER(C$77:P$77, ISNUMB"&amp;"ER(SEARCH(""BEFORE RETAKE"", $C$1:$P$1))))*0.6 
+
0.3"),0.732)</f>
        <v>0.73199999999999998</v>
      </c>
      <c r="N20" s="46" t="s">
        <v>462</v>
      </c>
      <c r="O20" s="44">
        <v>72</v>
      </c>
      <c r="P20" s="45">
        <f ca="1">IFERROR(__xludf.DUMMYFUNCTION("SUM( FILTER(C20:P20, ISNUMBER(SEARCH(""Practice"", $C$1:$P$1)) ) )  / 
  SUM( FILTER(C$77:P$77, ISNUMBER(SEARCH(""Practice"", $C$1:$P$1))))*0.1
+
SUM( FILTER(C20:P20, ISNUMBER(SEARCH(""After RETAKE"", $C$1:$P$1)) ) ) 
  / 
  SUM( FILTER(C$77:P$77, ISNUMBE"&amp;"R(SEARCH(""BEFORE RETAKE"", $C$1:$P$1))))*0.6 
+
0.3"),0.732)</f>
        <v>0.73199999999999998</v>
      </c>
      <c r="Q20" s="44">
        <v>1</v>
      </c>
      <c r="R20" s="44">
        <v>1</v>
      </c>
      <c r="S20" s="44">
        <v>5</v>
      </c>
      <c r="T20" s="44">
        <v>50</v>
      </c>
      <c r="U20" s="44">
        <v>95</v>
      </c>
      <c r="V20" s="45">
        <f ca="1">IFERROR(__xludf.DUMMYFUNCTION("SUM( FILTER(C20:X20, ISNUMBER(SEARCH(""Practice"", $C$1:$X$1)) ) )  / 
  SUM( FILTER(C$77:X$77, ISNUMBER(SEARCH(""Practice"", $C$1:$X$1))))*0.1
+
(SUM( FILTER(C20:P20, ISNUMBER(SEARCH(""After RETAKE"", $C$1:$P$1)) ) ) +
SUM( FILTER(P20:X20, ISNUMBER(SEARC"&amp;"H(""Before RETAKE"", $P$1:$X$1)) ) )
)  / 
  SUM( FILTER(C$77:X$77, ISNUMBER(SEARCH(""BEFORE RETAKE"", $C$1:$X$1))))*0.6 
+
0.3"),0.849305084745762)</f>
        <v>0.84930508474576205</v>
      </c>
      <c r="W20" s="46">
        <v>88</v>
      </c>
      <c r="X20" s="44">
        <v>95</v>
      </c>
      <c r="Y20" s="45">
        <f ca="1">IFERROR(__xludf.DUMMYFUNCTION("SUM( FILTER(C20:X20, ISNUMBER(SEARCH(""Practice"", $C$1:$X$1)) ) )  / 
  SUM( FILTER(C$77:X$77, ISNUMBER(SEARCH(""Practice"", $C$1:$X$1))))*0.1
+
(SUM( FILTER(C20:P20, ISNUMBER(SEARCH(""After RETAKE"", $C$1:$P$1)) ) ) +
SUM( FILTER(Q20:X20, ISNUMBER(SEARC"&amp;"H(""After RETAKE"", $Q$1:$X$1)) ) )
)  / 
  SUM( FILTER(C$77:X$77, ISNUMBER(SEARCH(""BEFORE RETAKE"", $C$1:$X$1))))*0.6 
+
0.3"),0.849305084745762)</f>
        <v>0.84930508474576205</v>
      </c>
      <c r="Z20" s="44">
        <v>5</v>
      </c>
      <c r="AA20" s="44">
        <v>5</v>
      </c>
      <c r="AB20" s="44">
        <v>5</v>
      </c>
      <c r="AC20" s="44">
        <v>5</v>
      </c>
      <c r="AD20" s="44">
        <v>5</v>
      </c>
      <c r="AE20" s="44">
        <v>5</v>
      </c>
      <c r="AF20" s="44">
        <v>50</v>
      </c>
      <c r="AG20" s="44">
        <v>85</v>
      </c>
      <c r="AH20" s="45">
        <f ca="1">IFERROR(__xludf.DUMMYFUNCTION("SUM( FILTER(C20:AJ20, ISNUMBER(SEARCH(""Practice"", $C$1:$AJ$1)) ) )  / 
  SUM( FILTER(C$77:AJ$77, ISNUMBER(SEARCH(""Practice"", $C$1:$AJ$1))))*0.1
+
(SUM( FILTER(C20:X20, ISNUMBER(SEARCH(""After RETAKE"", $C$1:$X$1)) ) ) +
SUM( FILTER(X20:AJ20, ISNUMBER("&amp;"SEARCH(""Before RETAKE"", $X$1:$AJ$1)) ) )
)  / 
  SUM( FILTER(C$77:AJ$77, ISNUMBER(SEARCH(""BEFORE RETAKE"", $C$1:$AJ$1))))*0.6 
+
0.3"),0.873191919191919)</f>
        <v>0.87319191919191896</v>
      </c>
      <c r="AI20" s="46">
        <v>95</v>
      </c>
      <c r="AJ20" s="44">
        <v>95</v>
      </c>
      <c r="AK20" s="45">
        <f ca="1">IFERROR(__xludf.DUMMYFUNCTION("SUM( FILTER(C20:AK20, ISNUMBER(SEARCH(""Practice"", $C$1:$AK$1)) ) )  / 
  SUM( FILTER(C$77:AK$77, ISNUMBER(SEARCH(""Practice"", $C$1:$AK$1))))*0.1
+
(SUM( FILTER(C20:P20, ISNUMBER(SEARCH(""After RETAKE"", $C$1:$P$1)) ) ) +
SUM( FILTER(P20:AK20, ISNUMBER("&amp;"SEARCH(""After RETAKE"", $P$1:$AK$1)) ) )
)  / 
  SUM( FILTER(C$77:AK$77, ISNUMBER(SEARCH(""BEFORE RETAKE"", $C$1:$AK$1))))*0.6 
+
0.3"),0.893191919191919)</f>
        <v>0.89319191919191898</v>
      </c>
      <c r="AL20" s="45">
        <v>0.72</v>
      </c>
      <c r="AM20" s="21">
        <f t="shared" si="0"/>
        <v>0</v>
      </c>
      <c r="AN20" s="21">
        <f t="shared" si="1"/>
        <v>0</v>
      </c>
      <c r="AO20" s="21">
        <f t="shared" si="2"/>
        <v>0</v>
      </c>
      <c r="AP20" s="20">
        <f t="shared" si="3"/>
        <v>84</v>
      </c>
      <c r="AQ20" s="20">
        <f t="shared" si="4"/>
        <v>87.333333333333329</v>
      </c>
      <c r="AR20" s="47">
        <f ca="1">IFERROR(__xludf.DUMMYFUNCTION("SUM( FILTER(C20:AK20, ISNUMBER(SEARCH(""Practice"", $C$1:$AK$1)) ) )  / 
  SUM( FILTER(C$77:AK$77, ISNUMBER(SEARCH(""Practice"", $C$1:$AK$1))))*0.1
+
(SUM( FILTER(C20:P20, ISNUMBER(SEARCH(""before RETAKE"", $C$1:$P$1)) ) ) +
SUM( FILTER(P20:AK20, ISNUMBER"&amp;"(SEARCH(""before RETAKE"", $P$1:$AK$1)) ) )
)  / 
  SUM( FILTER(C$77:AK$77, ISNUMBER(SEARCH(""BEFORE RETAKE"", $C$1:$AK$1))))*0.6 
+
0.3*AL20"),0.789191919191919)</f>
        <v>0.789191919191919</v>
      </c>
      <c r="AS20" s="47">
        <f ca="1">IFERROR(__xludf.DUMMYFUNCTION("SUM( FILTER(C20:AK20, ISNUMBER(SEARCH(""Practice"", $C$1:$AK$1)) ) )  / 
  SUM( FILTER(C$77:AK$77, ISNUMBER(SEARCH(""Practice"", $C$1:$AK$1))))*0.1
+
(SUM( FILTER(C20:P20, ISNUMBER(SEARCH(""after RETAKE"", $C$1:$P$1)) ) ) +
SUM( FILTER(P20:AK20, ISNUMBER("&amp;"SEARCH(""after RETAKE"", $P$1:$AK$1)) ) )
)  / 
  SUM( FILTER(C$77:AK$77, ISNUMBER(SEARCH(""BEFORE RETAKE"", $C$1:$AK$1))))*0.6 
+
0.3*AL20"),0.809191919191919)</f>
        <v>0.80919191919191902</v>
      </c>
      <c r="AT20" s="47">
        <v>0.85519191920000004</v>
      </c>
      <c r="AU20" s="48">
        <f t="shared" si="5"/>
        <v>0.69191919191919193</v>
      </c>
      <c r="AV20" s="21">
        <v>0</v>
      </c>
      <c r="AW20" s="20">
        <f t="shared" si="6"/>
        <v>50</v>
      </c>
    </row>
    <row r="21" spans="1:49" ht="15" customHeight="1" x14ac:dyDescent="0.2">
      <c r="A21" s="18" t="s">
        <v>158</v>
      </c>
      <c r="B21" s="18" t="s">
        <v>464</v>
      </c>
      <c r="C21" s="43" t="s">
        <v>9</v>
      </c>
      <c r="D21" s="44">
        <v>1</v>
      </c>
      <c r="E21" s="44">
        <v>1</v>
      </c>
      <c r="F21" s="44">
        <v>1</v>
      </c>
      <c r="G21" s="44">
        <v>1</v>
      </c>
      <c r="H21" s="44">
        <v>1</v>
      </c>
      <c r="I21" s="44">
        <v>0</v>
      </c>
      <c r="J21" s="44">
        <v>5</v>
      </c>
      <c r="K21" s="44">
        <v>39</v>
      </c>
      <c r="L21" s="44">
        <v>90</v>
      </c>
      <c r="M21" s="45">
        <f ca="1">IFERROR(__xludf.DUMMYFUNCTION("SUM( FILTER(C21:P21, ISNUMBER(SEARCH(""Practice"", $C$1:$P$1)) ) )  / 
  SUM( FILTER(C$77:P$77, ISNUMBER(SEARCH(""Practice"", $C$1:$P$1))))*0.1
+
SUM( FILTER(C21:P21, ISNUMBER(SEARCH(""BEFORE RETAKE"", $C$1:$P$1)) ) ) 
  / 
  SUM( FILTER(C$77:P$77, ISNUMB"&amp;"ER(SEARCH(""BEFORE RETAKE"", $C$1:$P$1))))*0.6 
+
0.3"),0.920327868852459)</f>
        <v>0.92032786885245899</v>
      </c>
      <c r="N21" s="46" t="s">
        <v>462</v>
      </c>
      <c r="O21" s="44">
        <v>90</v>
      </c>
      <c r="P21" s="45">
        <f ca="1">IFERROR(__xludf.DUMMYFUNCTION("SUM( FILTER(C21:P21, ISNUMBER(SEARCH(""Practice"", $C$1:$P$1)) ) )  / 
  SUM( FILTER(C$77:P$77, ISNUMBER(SEARCH(""Practice"", $C$1:$P$1))))*0.1
+
SUM( FILTER(C21:P21, ISNUMBER(SEARCH(""After RETAKE"", $C$1:$P$1)) ) ) 
  / 
  SUM( FILTER(C$77:P$77, ISNUMBE"&amp;"R(SEARCH(""BEFORE RETAKE"", $C$1:$P$1))))*0.6 
+
0.3"),0.920327868852459)</f>
        <v>0.92032786885245899</v>
      </c>
      <c r="Q21" s="44">
        <v>1</v>
      </c>
      <c r="R21" s="44">
        <v>0</v>
      </c>
      <c r="S21" s="44">
        <v>5</v>
      </c>
      <c r="T21" s="44">
        <v>44</v>
      </c>
      <c r="U21" s="44">
        <v>76</v>
      </c>
      <c r="V21" s="45">
        <f ca="1">IFERROR(__xludf.DUMMYFUNCTION("SUM( FILTER(C21:X21, ISNUMBER(SEARCH(""Practice"", $C$1:$X$1)) ) )  / 
  SUM( FILTER(C$77:X$77, ISNUMBER(SEARCH(""Practice"", $C$1:$X$1))))*0.1
+
(SUM( FILTER(C21:P21, ISNUMBER(SEARCH(""After RETAKE"", $C$1:$P$1)) ) ) +
SUM( FILTER(P21:X21, ISNUMBER(SEARC"&amp;"H(""Before RETAKE"", $P$1:$X$1)) ) )
)  / 
  SUM( FILTER(C$77:X$77, ISNUMBER(SEARCH(""BEFORE RETAKE"", $C$1:$X$1))))*0.6 
+
0.3"),0.881898305084745)</f>
        <v>0.88189830508474498</v>
      </c>
      <c r="W21" s="46" t="s">
        <v>462</v>
      </c>
      <c r="X21" s="44">
        <v>76</v>
      </c>
      <c r="Y21" s="45">
        <f ca="1">IFERROR(__xludf.DUMMYFUNCTION("SUM( FILTER(C21:X21, ISNUMBER(SEARCH(""Practice"", $C$1:$X$1)) ) )  / 
  SUM( FILTER(C$77:X$77, ISNUMBER(SEARCH(""Practice"", $C$1:$X$1))))*0.1
+
(SUM( FILTER(C21:P21, ISNUMBER(SEARCH(""After RETAKE"", $C$1:$P$1)) ) ) +
SUM( FILTER(Q21:X21, ISNUMBER(SEARC"&amp;"H(""After RETAKE"", $Q$1:$X$1)) ) )
)  / 
  SUM( FILTER(C$77:X$77, ISNUMBER(SEARCH(""BEFORE RETAKE"", $C$1:$X$1))))*0.6 
+
0.3"),0.881898305084745)</f>
        <v>0.88189830508474498</v>
      </c>
      <c r="Z21" s="44">
        <v>5</v>
      </c>
      <c r="AA21" s="44">
        <v>5</v>
      </c>
      <c r="AB21" s="44">
        <v>5</v>
      </c>
      <c r="AC21" s="44">
        <v>5</v>
      </c>
      <c r="AD21" s="44">
        <v>5</v>
      </c>
      <c r="AE21" s="44">
        <v>0</v>
      </c>
      <c r="AF21" s="44">
        <v>48</v>
      </c>
      <c r="AG21" s="44">
        <v>82</v>
      </c>
      <c r="AH21" s="45">
        <f ca="1">IFERROR(__xludf.DUMMYFUNCTION("SUM( FILTER(C21:AJ21, ISNUMBER(SEARCH(""Practice"", $C$1:$AJ$1)) ) )  / 
  SUM( FILTER(C$77:AJ$77, ISNUMBER(SEARCH(""Practice"", $C$1:$AJ$1))))*0.1
+
(SUM( FILTER(C21:X21, ISNUMBER(SEARCH(""After RETAKE"", $C$1:$X$1)) ) ) +
SUM( FILTER(X21:AJ21, ISNUMBER("&amp;"SEARCH(""Before RETAKE"", $X$1:$AJ$1)) ) )
)  / 
  SUM( FILTER(C$77:AJ$77, ISNUMBER(SEARCH(""BEFORE RETAKE"", $C$1:$AJ$1))))*0.6 
+
0.3"),0.882868686868686)</f>
        <v>0.88286868686868603</v>
      </c>
      <c r="AI21" s="46" t="s">
        <v>462</v>
      </c>
      <c r="AJ21" s="44">
        <v>82</v>
      </c>
      <c r="AK21" s="45">
        <f ca="1">IFERROR(__xludf.DUMMYFUNCTION("SUM( FILTER(C21:AK21, ISNUMBER(SEARCH(""Practice"", $C$1:$AK$1)) ) )  / 
  SUM( FILTER(C$77:AK$77, ISNUMBER(SEARCH(""Practice"", $C$1:$AK$1))))*0.1
+
(SUM( FILTER(C21:P21, ISNUMBER(SEARCH(""After RETAKE"", $C$1:$P$1)) ) ) +
SUM( FILTER(P21:AK21, ISNUMBER("&amp;"SEARCH(""After RETAKE"", $P$1:$AK$1)) ) )
)  / 
  SUM( FILTER(C$77:AK$77, ISNUMBER(SEARCH(""BEFORE RETAKE"", $C$1:$AK$1))))*0.6 
+
0.3"),0.882868686868686)</f>
        <v>0.88286868686868603</v>
      </c>
      <c r="AL21" s="45">
        <v>0.68</v>
      </c>
      <c r="AM21" s="21">
        <f t="shared" si="0"/>
        <v>1</v>
      </c>
      <c r="AN21" s="21">
        <f t="shared" si="1"/>
        <v>1</v>
      </c>
      <c r="AO21" s="21">
        <f t="shared" si="2"/>
        <v>1</v>
      </c>
      <c r="AP21" s="20">
        <f t="shared" si="3"/>
        <v>82.666666666666671</v>
      </c>
      <c r="AQ21" s="20">
        <f t="shared" si="4"/>
        <v>82.666666666666671</v>
      </c>
      <c r="AR21" s="47">
        <f ca="1">IFERROR(__xludf.DUMMYFUNCTION("SUM( FILTER(C21:AK21, ISNUMBER(SEARCH(""Practice"", $C$1:$AK$1)) ) )  / 
  SUM( FILTER(C$77:AK$77, ISNUMBER(SEARCH(""Practice"", $C$1:$AK$1))))*0.1
+
(SUM( FILTER(C21:P21, ISNUMBER(SEARCH(""before RETAKE"", $C$1:$P$1)) ) ) +
SUM( FILTER(P21:AK21, ISNUMBER"&amp;"(SEARCH(""before RETAKE"", $P$1:$AK$1)) ) )
)  / 
  SUM( FILTER(C$77:AK$77, ISNUMBER(SEARCH(""BEFORE RETAKE"", $C$1:$AK$1))))*0.6 
+
0.3*AL21"),0.786868686868686)</f>
        <v>0.78686868686868605</v>
      </c>
      <c r="AS21" s="47">
        <f ca="1">IFERROR(__xludf.DUMMYFUNCTION("SUM( FILTER(C21:AK21, ISNUMBER(SEARCH(""Practice"", $C$1:$AK$1)) ) )  / 
  SUM( FILTER(C$77:AK$77, ISNUMBER(SEARCH(""Practice"", $C$1:$AK$1))))*0.1
+
(SUM( FILTER(C21:P21, ISNUMBER(SEARCH(""after RETAKE"", $C$1:$P$1)) ) ) +
SUM( FILTER(P21:AK21, ISNUMBER("&amp;"SEARCH(""after RETAKE"", $P$1:$AK$1)) ) )
)  / 
  SUM( FILTER(C$77:AK$77, ISNUMBER(SEARCH(""BEFORE RETAKE"", $C$1:$AK$1))))*0.6 
+
0.3*AL21"),0.786868686868686)</f>
        <v>0.78686868686868605</v>
      </c>
      <c r="AT21" s="47">
        <v>0.80686868690000002</v>
      </c>
      <c r="AU21" s="48">
        <f t="shared" si="5"/>
        <v>0.86868686868686873</v>
      </c>
      <c r="AV21" s="21">
        <v>3</v>
      </c>
      <c r="AW21" s="20">
        <f t="shared" si="6"/>
        <v>43.666666666666664</v>
      </c>
    </row>
    <row r="22" spans="1:49" ht="15" customHeight="1" x14ac:dyDescent="0.2">
      <c r="A22" s="18" t="s">
        <v>160</v>
      </c>
      <c r="B22" s="18" t="s">
        <v>461</v>
      </c>
      <c r="C22" s="43" t="s">
        <v>8</v>
      </c>
      <c r="D22" s="44">
        <v>1</v>
      </c>
      <c r="E22" s="44">
        <v>1</v>
      </c>
      <c r="F22" s="44">
        <v>1</v>
      </c>
      <c r="G22" s="44">
        <v>1</v>
      </c>
      <c r="H22" s="44">
        <v>0</v>
      </c>
      <c r="I22" s="44">
        <v>0</v>
      </c>
      <c r="J22" s="44">
        <v>5</v>
      </c>
      <c r="K22" s="44">
        <v>47</v>
      </c>
      <c r="L22" s="44">
        <v>92</v>
      </c>
      <c r="M22" s="45">
        <f ca="1">IFERROR(__xludf.DUMMYFUNCTION("SUM( FILTER(C22:P22, ISNUMBER(SEARCH(""Practice"", $C$1:$P$1)) ) )  / 
  SUM( FILTER(C$77:P$77, ISNUMBER(SEARCH(""Practice"", $C$1:$P$1))))*0.1
+
SUM( FILTER(C22:P22, ISNUMBER(SEARCH(""BEFORE RETAKE"", $C$1:$P$1)) ) ) 
  / 
  SUM( FILTER(C$77:P$77, ISNUMB"&amp;"ER(SEARCH(""BEFORE RETAKE"", $C$1:$P$1))))*0.6 
+
0.3"),0.943803278688524)</f>
        <v>0.94380327868852398</v>
      </c>
      <c r="N22" s="46" t="s">
        <v>462</v>
      </c>
      <c r="O22" s="44">
        <v>92</v>
      </c>
      <c r="P22" s="45">
        <f ca="1">IFERROR(__xludf.DUMMYFUNCTION("SUM( FILTER(C22:P22, ISNUMBER(SEARCH(""Practice"", $C$1:$P$1)) ) )  / 
  SUM( FILTER(C$77:P$77, ISNUMBER(SEARCH(""Practice"", $C$1:$P$1))))*0.1
+
SUM( FILTER(C22:P22, ISNUMBER(SEARCH(""After RETAKE"", $C$1:$P$1)) ) ) 
  / 
  SUM( FILTER(C$77:P$77, ISNUMBE"&amp;"R(SEARCH(""BEFORE RETAKE"", $C$1:$P$1))))*0.6 
+
0.3"),0.943803278688524)</f>
        <v>0.94380327868852398</v>
      </c>
      <c r="Q22" s="44">
        <v>1</v>
      </c>
      <c r="R22" s="44">
        <v>1</v>
      </c>
      <c r="S22" s="44">
        <v>5</v>
      </c>
      <c r="T22" s="44" t="s">
        <v>150</v>
      </c>
      <c r="U22" s="44">
        <v>85</v>
      </c>
      <c r="V22" s="45">
        <f ca="1">IFERROR(__xludf.DUMMYFUNCTION("SUM( FILTER(C22:X22, ISNUMBER(SEARCH(""Practice"", $C$1:$X$1)) ) )  / 
  SUM( FILTER(C$77:X$77, ISNUMBER(SEARCH(""Practice"", $C$1:$X$1))))*0.1
+
(SUM( FILTER(C22:P22, ISNUMBER(SEARCH(""After RETAKE"", $C$1:$P$1)) ) ) +
SUM( FILTER(P22:X22, ISNUMBER(SEARC"&amp;"H(""Before RETAKE"", $P$1:$X$1)) ) )
)  / 
  SUM( FILTER(C$77:X$77, ISNUMBER(SEARCH(""BEFORE RETAKE"", $C$1:$X$1))))*0.6 
+
0.3"),0.884389830508474)</f>
        <v>0.88438983050847397</v>
      </c>
      <c r="W22" s="46" t="s">
        <v>462</v>
      </c>
      <c r="X22" s="44">
        <v>85</v>
      </c>
      <c r="Y22" s="45">
        <f ca="1">IFERROR(__xludf.DUMMYFUNCTION("SUM( FILTER(C22:X22, ISNUMBER(SEARCH(""Practice"", $C$1:$X$1)) ) )  / 
  SUM( FILTER(C$77:X$77, ISNUMBER(SEARCH(""Practice"", $C$1:$X$1))))*0.1
+
(SUM( FILTER(C22:P22, ISNUMBER(SEARCH(""After RETAKE"", $C$1:$P$1)) ) ) +
SUM( FILTER(Q22:X22, ISNUMBER(SEARC"&amp;"H(""After RETAKE"", $Q$1:$X$1)) ) )
)  / 
  SUM( FILTER(C$77:X$77, ISNUMBER(SEARCH(""BEFORE RETAKE"", $C$1:$X$1))))*0.6 
+
0.3"),0.884389830508474)</f>
        <v>0.88438983050847397</v>
      </c>
      <c r="Z22" s="44">
        <v>5</v>
      </c>
      <c r="AA22" s="44">
        <v>0</v>
      </c>
      <c r="AB22" s="44">
        <v>0</v>
      </c>
      <c r="AC22" s="44">
        <v>5</v>
      </c>
      <c r="AD22" s="44">
        <v>5</v>
      </c>
      <c r="AE22" s="44">
        <v>0</v>
      </c>
      <c r="AF22" s="44">
        <v>50</v>
      </c>
      <c r="AG22" s="44">
        <v>75</v>
      </c>
      <c r="AH22" s="45">
        <f ca="1">IFERROR(__xludf.DUMMYFUNCTION("SUM( FILTER(C22:AJ22, ISNUMBER(SEARCH(""Practice"", $C$1:$AJ$1)) ) )  / 
  SUM( FILTER(C$77:AJ$77, ISNUMBER(SEARCH(""Practice"", $C$1:$AJ$1))))*0.1
+
(SUM( FILTER(C22:X22, ISNUMBER(SEARCH(""After RETAKE"", $C$1:$X$1)) ) ) +
SUM( FILTER(X22:AJ22, ISNUMBER("&amp;"SEARCH(""Before RETAKE"", $X$1:$AJ$1)) ) )
)  / 
  SUM( FILTER(C$77:AJ$77, ISNUMBER(SEARCH(""BEFORE RETAKE"", $C$1:$AJ$1))))*0.6 
+
0.3"),0.868646464646464)</f>
        <v>0.868646464646464</v>
      </c>
      <c r="AI22" s="46">
        <v>78</v>
      </c>
      <c r="AJ22" s="44">
        <v>78</v>
      </c>
      <c r="AK22" s="45">
        <f ca="1">IFERROR(__xludf.DUMMYFUNCTION("SUM( FILTER(C22:AK22, ISNUMBER(SEARCH(""Practice"", $C$1:$AK$1)) ) )  / 
  SUM( FILTER(C$77:AK$77, ISNUMBER(SEARCH(""Practice"", $C$1:$AK$1))))*0.1
+
(SUM( FILTER(C22:P22, ISNUMBER(SEARCH(""After RETAKE"", $C$1:$P$1)) ) ) +
SUM( FILTER(P22:AK22, ISNUMBER("&amp;"SEARCH(""After RETAKE"", $P$1:$AK$1)) ) )
)  / 
  SUM( FILTER(C$77:AK$77, ISNUMBER(SEARCH(""BEFORE RETAKE"", $C$1:$AK$1))))*0.6 
+
0.3"),0.874646464646464)</f>
        <v>0.87464646464646401</v>
      </c>
      <c r="AL22" s="45">
        <v>0.72</v>
      </c>
      <c r="AM22" s="21">
        <f t="shared" si="0"/>
        <v>2</v>
      </c>
      <c r="AN22" s="21">
        <f t="shared" si="1"/>
        <v>0</v>
      </c>
      <c r="AO22" s="21">
        <f t="shared" si="2"/>
        <v>3</v>
      </c>
      <c r="AP22" s="20">
        <f t="shared" si="3"/>
        <v>84</v>
      </c>
      <c r="AQ22" s="20">
        <f t="shared" si="4"/>
        <v>85</v>
      </c>
      <c r="AR22" s="47">
        <f ca="1">IFERROR(__xludf.DUMMYFUNCTION("SUM( FILTER(C22:AK22, ISNUMBER(SEARCH(""Practice"", $C$1:$AK$1)) ) )  / 
  SUM( FILTER(C$77:AK$77, ISNUMBER(SEARCH(""Practice"", $C$1:$AK$1))))*0.1
+
(SUM( FILTER(C22:P22, ISNUMBER(SEARCH(""before RETAKE"", $C$1:$P$1)) ) ) +
SUM( FILTER(P22:AK22, ISNUMBER"&amp;"(SEARCH(""before RETAKE"", $P$1:$AK$1)) ) )
)  / 
  SUM( FILTER(C$77:AK$77, ISNUMBER(SEARCH(""BEFORE RETAKE"", $C$1:$AK$1))))*0.6 
+
0.3*AL22"),0.784646464646464)</f>
        <v>0.78464646464646404</v>
      </c>
      <c r="AS22" s="47">
        <f ca="1">IFERROR(__xludf.DUMMYFUNCTION("SUM( FILTER(C22:AK22, ISNUMBER(SEARCH(""Practice"", $C$1:$AK$1)) ) )  / 
  SUM( FILTER(C$77:AK$77, ISNUMBER(SEARCH(""Practice"", $C$1:$AK$1))))*0.1
+
(SUM( FILTER(C22:P22, ISNUMBER(SEARCH(""after RETAKE"", $C$1:$P$1)) ) ) +
SUM( FILTER(P22:AK22, ISNUMBER("&amp;"SEARCH(""after RETAKE"", $P$1:$AK$1)) ) )
)  / 
  SUM( FILTER(C$77:AK$77, ISNUMBER(SEARCH(""BEFORE RETAKE"", $C$1:$AK$1))))*0.6 
+
0.3*AL22"),0.790646464646464)</f>
        <v>0.79064646464646404</v>
      </c>
      <c r="AT22" s="47">
        <v>0.81164646460000001</v>
      </c>
      <c r="AU22" s="48">
        <f t="shared" si="5"/>
        <v>0.64646464646464652</v>
      </c>
      <c r="AV22" s="21">
        <v>5</v>
      </c>
      <c r="AW22" s="20">
        <f t="shared" si="6"/>
        <v>48.5</v>
      </c>
    </row>
    <row r="23" spans="1:49" ht="15" customHeight="1" x14ac:dyDescent="0.2">
      <c r="A23" s="18" t="s">
        <v>162</v>
      </c>
      <c r="B23" s="18" t="s">
        <v>464</v>
      </c>
      <c r="C23" s="43" t="s">
        <v>9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5</v>
      </c>
      <c r="K23" s="44">
        <v>32</v>
      </c>
      <c r="L23" s="44">
        <v>82</v>
      </c>
      <c r="M23" s="45">
        <f ca="1">IFERROR(__xludf.DUMMYFUNCTION("SUM( FILTER(C23:P23, ISNUMBER(SEARCH(""Practice"", $C$1:$P$1)) ) )  / 
  SUM( FILTER(C$77:P$77, ISNUMBER(SEARCH(""Practice"", $C$1:$P$1))))*0.1
+
SUM( FILTER(C23:P23, ISNUMBER(SEARCH(""BEFORE RETAKE"", $C$1:$P$1)) ) ) 
  / 
  SUM( FILTER(C$77:P$77, ISNUMB"&amp;"ER(SEARCH(""BEFORE RETAKE"", $C$1:$P$1))))*0.6 
+
0.3"),0.852655737704918)</f>
        <v>0.85265573770491798</v>
      </c>
      <c r="N23" s="46" t="s">
        <v>462</v>
      </c>
      <c r="O23" s="44">
        <v>82</v>
      </c>
      <c r="P23" s="45">
        <f ca="1">IFERROR(__xludf.DUMMYFUNCTION("SUM( FILTER(C23:P23, ISNUMBER(SEARCH(""Practice"", $C$1:$P$1)) ) )  / 
  SUM( FILTER(C$77:P$77, ISNUMBER(SEARCH(""Practice"", $C$1:$P$1))))*0.1
+
SUM( FILTER(C23:P23, ISNUMBER(SEARCH(""After RETAKE"", $C$1:$P$1)) ) ) 
  / 
  SUM( FILTER(C$77:P$77, ISNUMBE"&amp;"R(SEARCH(""BEFORE RETAKE"", $C$1:$P$1))))*0.6 
+
0.3"),0.852655737704918)</f>
        <v>0.85265573770491798</v>
      </c>
      <c r="Q23" s="44">
        <v>0</v>
      </c>
      <c r="R23" s="44">
        <v>0</v>
      </c>
      <c r="S23" s="44">
        <v>5</v>
      </c>
      <c r="T23" s="44">
        <v>32</v>
      </c>
      <c r="U23" s="44">
        <v>78</v>
      </c>
      <c r="V23" s="45">
        <f ca="1">IFERROR(__xludf.DUMMYFUNCTION("SUM( FILTER(C23:X23, ISNUMBER(SEARCH(""Practice"", $C$1:$X$1)) ) )  / 
  SUM( FILTER(C$77:X$77, ISNUMBER(SEARCH(""Practice"", $C$1:$X$1))))*0.1
+
(SUM( FILTER(C23:P23, ISNUMBER(SEARCH(""After RETAKE"", $C$1:$P$1)) ) ) +
SUM( FILTER(P23:X23, ISNUMBER(SEARC"&amp;"H(""Before RETAKE"", $P$1:$X$1)) ) )
)  / 
  SUM( FILTER(C$77:X$77, ISNUMBER(SEARCH(""BEFORE RETAKE"", $C$1:$X$1))))*0.6 
+
0.3"),0.842711864406779)</f>
        <v>0.84271186440677903</v>
      </c>
      <c r="W23" s="46" t="s">
        <v>462</v>
      </c>
      <c r="X23" s="44">
        <v>78</v>
      </c>
      <c r="Y23" s="45">
        <f ca="1">IFERROR(__xludf.DUMMYFUNCTION("SUM( FILTER(C23:X23, ISNUMBER(SEARCH(""Practice"", $C$1:$X$1)) ) )  / 
  SUM( FILTER(C$77:X$77, ISNUMBER(SEARCH(""Practice"", $C$1:$X$1))))*0.1
+
(SUM( FILTER(C23:P23, ISNUMBER(SEARCH(""After RETAKE"", $C$1:$P$1)) ) ) +
SUM( FILTER(Q23:X23, ISNUMBER(SEARC"&amp;"H(""After RETAKE"", $Q$1:$X$1)) ) )
)  / 
  SUM( FILTER(C$77:X$77, ISNUMBER(SEARCH(""BEFORE RETAKE"", $C$1:$X$1))))*0.6 
+
0.3"),0.842711864406779)</f>
        <v>0.84271186440677903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20</v>
      </c>
      <c r="AG23" s="44">
        <v>72</v>
      </c>
      <c r="AH23" s="45">
        <f ca="1">IFERROR(__xludf.DUMMYFUNCTION("SUM( FILTER(C23:AJ23, ISNUMBER(SEARCH(""Practice"", $C$1:$AJ$1)) ) )  / 
  SUM( FILTER(C$77:AJ$77, ISNUMBER(SEARCH(""Practice"", $C$1:$AJ$1))))*0.1
+
(SUM( FILTER(C23:X23, ISNUMBER(SEARCH(""After RETAKE"", $C$1:$X$1)) ) ) +
SUM( FILTER(X23:AJ23, ISNUMBER("&amp;"SEARCH(""Before RETAKE"", $X$1:$AJ$1)) ) )
)  / 
  SUM( FILTER(C$77:AJ$77, ISNUMBER(SEARCH(""BEFORE RETAKE"", $C$1:$AJ$1))))*0.6 
+
0.3"),0.811474747474747)</f>
        <v>0.81147474747474702</v>
      </c>
      <c r="AI23" s="46" t="s">
        <v>462</v>
      </c>
      <c r="AJ23" s="44">
        <v>72</v>
      </c>
      <c r="AK23" s="45">
        <f ca="1">IFERROR(__xludf.DUMMYFUNCTION("SUM( FILTER(C23:AK23, ISNUMBER(SEARCH(""Practice"", $C$1:$AK$1)) ) )  / 
  SUM( FILTER(C$77:AK$77, ISNUMBER(SEARCH(""Practice"", $C$1:$AK$1))))*0.1
+
(SUM( FILTER(C23:P23, ISNUMBER(SEARCH(""After RETAKE"", $C$1:$P$1)) ) ) +
SUM( FILTER(P23:AK23, ISNUMBER("&amp;"SEARCH(""After RETAKE"", $P$1:$AK$1)) ) )
)  / 
  SUM( FILTER(C$77:AK$77, ISNUMBER(SEARCH(""BEFORE RETAKE"", $C$1:$AK$1))))*0.6 
+
0.3"),0.811474747474747)</f>
        <v>0.81147474747474702</v>
      </c>
      <c r="AL23" s="45">
        <v>0.65</v>
      </c>
      <c r="AM23" s="21">
        <f t="shared" si="0"/>
        <v>6</v>
      </c>
      <c r="AN23" s="21">
        <f t="shared" si="1"/>
        <v>2</v>
      </c>
      <c r="AO23" s="21">
        <f t="shared" si="2"/>
        <v>6</v>
      </c>
      <c r="AP23" s="20">
        <f t="shared" si="3"/>
        <v>77.333333333333329</v>
      </c>
      <c r="AQ23" s="20">
        <f t="shared" si="4"/>
        <v>77.333333333333329</v>
      </c>
      <c r="AR23" s="47">
        <f ca="1">IFERROR(__xludf.DUMMYFUNCTION("SUM( FILTER(C23:AK23, ISNUMBER(SEARCH(""Practice"", $C$1:$AK$1)) ) )  / 
  SUM( FILTER(C$77:AK$77, ISNUMBER(SEARCH(""Practice"", $C$1:$AK$1))))*0.1
+
(SUM( FILTER(C23:P23, ISNUMBER(SEARCH(""before RETAKE"", $C$1:$P$1)) ) ) +
SUM( FILTER(P23:AK23, ISNUMBER"&amp;"(SEARCH(""before RETAKE"", $P$1:$AK$1)) ) )
)  / 
  SUM( FILTER(C$77:AK$77, ISNUMBER(SEARCH(""BEFORE RETAKE"", $C$1:$AK$1))))*0.6 
+
0.3*AL23"),0.706474747474747)</f>
        <v>0.70647474747474703</v>
      </c>
      <c r="AS23" s="47">
        <f ca="1">IFERROR(__xludf.DUMMYFUNCTION("SUM( FILTER(C23:AK23, ISNUMBER(SEARCH(""Practice"", $C$1:$AK$1)) ) )  / 
  SUM( FILTER(C$77:AK$77, ISNUMBER(SEARCH(""Practice"", $C$1:$AK$1))))*0.1
+
(SUM( FILTER(C23:P23, ISNUMBER(SEARCH(""after RETAKE"", $C$1:$P$1)) ) ) +
SUM( FILTER(P23:AK23, ISNUMBER("&amp;"SEARCH(""after RETAKE"", $P$1:$AK$1)) ) )
)  / 
  SUM( FILTER(C$77:AK$77, ISNUMBER(SEARCH(""BEFORE RETAKE"", $C$1:$AK$1))))*0.6 
+
0.3*AL23"),0.706474747474747)</f>
        <v>0.70647474747474703</v>
      </c>
      <c r="AT23" s="47">
        <v>0.72247474749999996</v>
      </c>
      <c r="AU23" s="48">
        <f t="shared" si="5"/>
        <v>0.47474747474747475</v>
      </c>
      <c r="AV23" s="21">
        <v>14</v>
      </c>
      <c r="AW23" s="20">
        <f t="shared" si="6"/>
        <v>28</v>
      </c>
    </row>
    <row r="24" spans="1:49" ht="15" customHeight="1" x14ac:dyDescent="0.2">
      <c r="A24" s="18" t="s">
        <v>164</v>
      </c>
      <c r="B24" s="18" t="s">
        <v>464</v>
      </c>
      <c r="C24" s="43" t="s">
        <v>9</v>
      </c>
      <c r="D24" s="44" t="s">
        <v>150</v>
      </c>
      <c r="E24" s="44" t="s">
        <v>150</v>
      </c>
      <c r="F24" s="44" t="s">
        <v>150</v>
      </c>
      <c r="G24" s="44" t="s">
        <v>150</v>
      </c>
      <c r="H24" s="44" t="s">
        <v>150</v>
      </c>
      <c r="I24" s="44" t="s">
        <v>150</v>
      </c>
      <c r="J24" s="44" t="s">
        <v>150</v>
      </c>
      <c r="K24" s="44" t="s">
        <v>150</v>
      </c>
      <c r="L24" s="44">
        <v>68</v>
      </c>
      <c r="M24" s="45">
        <f ca="1">IFERROR(__xludf.DUMMYFUNCTION("SUM( FILTER(C24:P24, ISNUMBER(SEARCH(""Practice"", $C$1:$P$1)) ) )  / 
  SUM( FILTER(C$77:P$77, ISNUMBER(SEARCH(""Practice"", $C$1:$P$1))))*0.1
+
SUM( FILTER(C24:P24, ISNUMBER(SEARCH(""BEFORE RETAKE"", $C$1:$P$1)) ) ) 
  / 
  SUM( FILTER(C$77:P$77, ISNUMB"&amp;"ER(SEARCH(""BEFORE RETAKE"", $C$1:$P$1))))*0.6 
+
0.3"),0.708)</f>
        <v>0.70799999999999996</v>
      </c>
      <c r="N24" s="46" t="s">
        <v>462</v>
      </c>
      <c r="O24" s="44">
        <v>68</v>
      </c>
      <c r="P24" s="45">
        <f ca="1">IFERROR(__xludf.DUMMYFUNCTION("SUM( FILTER(C24:P24, ISNUMBER(SEARCH(""Practice"", $C$1:$P$1)) ) )  / 
  SUM( FILTER(C$77:P$77, ISNUMBER(SEARCH(""Practice"", $C$1:$P$1))))*0.1
+
SUM( FILTER(C24:P24, ISNUMBER(SEARCH(""After RETAKE"", $C$1:$P$1)) ) ) 
  / 
  SUM( FILTER(C$77:P$77, ISNUMBE"&amp;"R(SEARCH(""BEFORE RETAKE"", $C$1:$P$1))))*0.6 
+
0.3"),0.708)</f>
        <v>0.70799999999999996</v>
      </c>
      <c r="Q24" s="44">
        <v>1</v>
      </c>
      <c r="R24" s="44">
        <v>0</v>
      </c>
      <c r="S24" s="44">
        <v>5</v>
      </c>
      <c r="T24" s="44">
        <v>43</v>
      </c>
      <c r="U24" s="44">
        <v>72</v>
      </c>
      <c r="V24" s="45">
        <f ca="1">IFERROR(__xludf.DUMMYFUNCTION("SUM( FILTER(C24:X24, ISNUMBER(SEARCH(""Practice"", $C$1:$X$1)) ) )  / 
  SUM( FILTER(C$77:X$77, ISNUMBER(SEARCH(""Practice"", $C$1:$X$1))))*0.1
+
(SUM( FILTER(C24:P24, ISNUMBER(SEARCH(""After RETAKE"", $C$1:$P$1)) ) ) +
SUM( FILTER(P24:X24, ISNUMBER(SEARC"&amp;"H(""Before RETAKE"", $P$1:$X$1)) ) )
)  / 
  SUM( FILTER(C$77:X$77, ISNUMBER(SEARCH(""BEFORE RETAKE"", $C$1:$X$1))))*0.6 
+
0.3"),0.761525423728813)</f>
        <v>0.76152542372881304</v>
      </c>
      <c r="W24" s="46">
        <v>68</v>
      </c>
      <c r="X24" s="44">
        <v>72</v>
      </c>
      <c r="Y24" s="45">
        <f ca="1">IFERROR(__xludf.DUMMYFUNCTION("SUM( FILTER(C24:X24, ISNUMBER(SEARCH(""Practice"", $C$1:$X$1)) ) )  / 
  SUM( FILTER(C$77:X$77, ISNUMBER(SEARCH(""Practice"", $C$1:$X$1))))*0.1
+
(SUM( FILTER(C24:P24, ISNUMBER(SEARCH(""After RETAKE"", $C$1:$P$1)) ) ) +
SUM( FILTER(Q24:X24, ISNUMBER(SEARC"&amp;"H(""After RETAKE"", $Q$1:$X$1)) ) )
)  / 
  SUM( FILTER(C$77:X$77, ISNUMBER(SEARCH(""BEFORE RETAKE"", $C$1:$X$1))))*0.6 
+
0.3"),0.761525423728813)</f>
        <v>0.76152542372881304</v>
      </c>
      <c r="Z24" s="44">
        <v>5</v>
      </c>
      <c r="AA24" s="44">
        <v>5</v>
      </c>
      <c r="AB24" s="44">
        <v>3</v>
      </c>
      <c r="AC24" s="44">
        <v>1</v>
      </c>
      <c r="AD24" s="44">
        <v>0</v>
      </c>
      <c r="AE24" s="44">
        <v>0</v>
      </c>
      <c r="AF24" s="44">
        <v>44</v>
      </c>
      <c r="AG24" s="44">
        <v>78</v>
      </c>
      <c r="AH24" s="45">
        <f ca="1">IFERROR(__xludf.DUMMYFUNCTION("SUM( FILTER(C24:AJ24, ISNUMBER(SEARCH(""Practice"", $C$1:$AJ$1)) ) )  / 
  SUM( FILTER(C$77:AJ$77, ISNUMBER(SEARCH(""Practice"", $C$1:$AJ$1))))*0.1
+
(SUM( FILTER(C24:X24, ISNUMBER(SEARCH(""After RETAKE"", $C$1:$X$1)) ) ) +
SUM( FILTER(X24:AJ24, ISNUMBER("&amp;"SEARCH(""Before RETAKE"", $X$1:$AJ$1)) ) )
)  / 
  SUM( FILTER(C$77:AJ$77, ISNUMBER(SEARCH(""BEFORE RETAKE"", $C$1:$AJ$1))))*0.6 
+
0.3"),0.790040404040404)</f>
        <v>0.79004040404040399</v>
      </c>
      <c r="AI24" s="46" t="s">
        <v>462</v>
      </c>
      <c r="AJ24" s="44">
        <v>78</v>
      </c>
      <c r="AK24" s="45">
        <f ca="1">IFERROR(__xludf.DUMMYFUNCTION("SUM( FILTER(C24:AK24, ISNUMBER(SEARCH(""Practice"", $C$1:$AK$1)) ) )  / 
  SUM( FILTER(C$77:AK$77, ISNUMBER(SEARCH(""Practice"", $C$1:$AK$1))))*0.1
+
(SUM( FILTER(C24:P24, ISNUMBER(SEARCH(""After RETAKE"", $C$1:$P$1)) ) ) +
SUM( FILTER(P24:AK24, ISNUMBER("&amp;"SEARCH(""After RETAKE"", $P$1:$AK$1)) ) )
)  / 
  SUM( FILTER(C$77:AK$77, ISNUMBER(SEARCH(""BEFORE RETAKE"", $C$1:$AK$1))))*0.6 
+
0.3"),0.790040404040404)</f>
        <v>0.79004040404040399</v>
      </c>
      <c r="AL24" s="45">
        <v>0.65</v>
      </c>
      <c r="AM24" s="21">
        <f t="shared" si="0"/>
        <v>0</v>
      </c>
      <c r="AN24" s="21">
        <f t="shared" si="1"/>
        <v>1</v>
      </c>
      <c r="AO24" s="21">
        <f t="shared" si="2"/>
        <v>2</v>
      </c>
      <c r="AP24" s="20">
        <f t="shared" si="3"/>
        <v>72.666666666666671</v>
      </c>
      <c r="AQ24" s="20">
        <f t="shared" si="4"/>
        <v>72.666666666666671</v>
      </c>
      <c r="AR24" s="47">
        <f ca="1">IFERROR(__xludf.DUMMYFUNCTION("SUM( FILTER(C24:AK24, ISNUMBER(SEARCH(""Practice"", $C$1:$AK$1)) ) )  / 
  SUM( FILTER(C$77:AK$77, ISNUMBER(SEARCH(""Practice"", $C$1:$AK$1))))*0.1
+
(SUM( FILTER(C24:P24, ISNUMBER(SEARCH(""before RETAKE"", $C$1:$P$1)) ) ) +
SUM( FILTER(P24:AK24, ISNUMBER"&amp;"(SEARCH(""before RETAKE"", $P$1:$AK$1)) ) )
)  / 
  SUM( FILTER(C$77:AK$77, ISNUMBER(SEARCH(""BEFORE RETAKE"", $C$1:$AK$1))))*0.6 
+
0.3*AL24"),0.685040404040404)</f>
        <v>0.68504040404040401</v>
      </c>
      <c r="AS24" s="47">
        <f ca="1">IFERROR(__xludf.DUMMYFUNCTION("SUM( FILTER(C24:AK24, ISNUMBER(SEARCH(""Practice"", $C$1:$AK$1)) ) )  / 
  SUM( FILTER(C$77:AK$77, ISNUMBER(SEARCH(""Practice"", $C$1:$AK$1))))*0.1
+
(SUM( FILTER(C24:P24, ISNUMBER(SEARCH(""after RETAKE"", $C$1:$P$1)) ) ) +
SUM( FILTER(P24:AK24, ISNUMBER("&amp;"SEARCH(""after RETAKE"", $P$1:$AK$1)) ) )
)  / 
  SUM( FILTER(C$77:AK$77, ISNUMBER(SEARCH(""BEFORE RETAKE"", $C$1:$AK$1))))*0.6 
+
0.3*AL24"),0.685040404040404)</f>
        <v>0.68504040404040401</v>
      </c>
      <c r="AT24" s="47">
        <v>0.699040404</v>
      </c>
      <c r="AU24" s="48">
        <f t="shared" si="5"/>
        <v>0.54040404040404044</v>
      </c>
      <c r="AV24" s="21">
        <v>3</v>
      </c>
      <c r="AW24" s="20">
        <f t="shared" si="6"/>
        <v>43.5</v>
      </c>
    </row>
    <row r="25" spans="1:49" ht="15" customHeight="1" x14ac:dyDescent="0.2">
      <c r="A25" s="18" t="s">
        <v>166</v>
      </c>
      <c r="B25" s="18" t="s">
        <v>464</v>
      </c>
      <c r="C25" s="43" t="s">
        <v>10</v>
      </c>
      <c r="D25" s="44">
        <v>1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5</v>
      </c>
      <c r="K25" s="44">
        <v>48</v>
      </c>
      <c r="L25" s="44">
        <v>60</v>
      </c>
      <c r="M25" s="45">
        <f ca="1">IFERROR(__xludf.DUMMYFUNCTION("SUM( FILTER(C25:P25, ISNUMBER(SEARCH(""Practice"", $C$1:$P$1)) ) )  / 
  SUM( FILTER(C$77:P$77, ISNUMBER(SEARCH(""Practice"", $C$1:$P$1))))*0.1
+
SUM( FILTER(C25:P25, ISNUMBER(SEARCH(""BEFORE RETAKE"", $C$1:$P$1)) ) ) 
  / 
  SUM( FILTER(C$77:P$77, ISNUMB"&amp;"ER(SEARCH(""BEFORE RETAKE"", $C$1:$P$1))))*0.6 
+
0.3"),0.748524590163934)</f>
        <v>0.74852459016393402</v>
      </c>
      <c r="N25" s="46" t="s">
        <v>462</v>
      </c>
      <c r="O25" s="44">
        <v>60</v>
      </c>
      <c r="P25" s="45">
        <f ca="1">IFERROR(__xludf.DUMMYFUNCTION("SUM( FILTER(C25:P25, ISNUMBER(SEARCH(""Practice"", $C$1:$P$1)) ) )  / 
  SUM( FILTER(C$77:P$77, ISNUMBER(SEARCH(""Practice"", $C$1:$P$1))))*0.1
+
SUM( FILTER(C25:P25, ISNUMBER(SEARCH(""After RETAKE"", $C$1:$P$1)) ) ) 
  / 
  SUM( FILTER(C$77:P$77, ISNUMBE"&amp;"R(SEARCH(""BEFORE RETAKE"", $C$1:$P$1))))*0.6 
+
0.3"),0.748524590163934)</f>
        <v>0.74852459016393402</v>
      </c>
      <c r="Q25" s="44">
        <v>1</v>
      </c>
      <c r="R25" s="44">
        <v>1</v>
      </c>
      <c r="S25" s="44">
        <v>5</v>
      </c>
      <c r="T25" s="44">
        <v>50</v>
      </c>
      <c r="U25" s="44">
        <v>65</v>
      </c>
      <c r="V25" s="45">
        <f ca="1">IFERROR(__xludf.DUMMYFUNCTION("SUM( FILTER(C25:X25, ISNUMBER(SEARCH(""Practice"", $C$1:$X$1)) ) )  / 
  SUM( FILTER(C$77:X$77, ISNUMBER(SEARCH(""Practice"", $C$1:$X$1))))*0.1
+
(SUM( FILTER(C25:P25, ISNUMBER(SEARCH(""After RETAKE"", $C$1:$P$1)) ) ) +
SUM( FILTER(P25:X25, ISNUMBER(SEARC"&amp;"H(""Before RETAKE"", $P$1:$X$1)) ) )
)  / 
  SUM( FILTER(C$77:X$77, ISNUMBER(SEARCH(""BEFORE RETAKE"", $C$1:$X$1))))*0.6 
+
0.3"),0.769067796610169)</f>
        <v>0.769067796610169</v>
      </c>
      <c r="W25" s="46">
        <v>65</v>
      </c>
      <c r="X25" s="44">
        <v>65</v>
      </c>
      <c r="Y25" s="45">
        <f ca="1">IFERROR(__xludf.DUMMYFUNCTION("SUM( FILTER(C25:X25, ISNUMBER(SEARCH(""Practice"", $C$1:$X$1)) ) )  / 
  SUM( FILTER(C$77:X$77, ISNUMBER(SEARCH(""Practice"", $C$1:$X$1))))*0.1
+
(SUM( FILTER(C25:P25, ISNUMBER(SEARCH(""After RETAKE"", $C$1:$P$1)) ) ) +
SUM( FILTER(Q25:X25, ISNUMBER(SEARC"&amp;"H(""After RETAKE"", $Q$1:$X$1)) ) )
)  / 
  SUM( FILTER(C$77:X$77, ISNUMBER(SEARCH(""BEFORE RETAKE"", $C$1:$X$1))))*0.6 
+
0.3"),0.769067796610169)</f>
        <v>0.769067796610169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50</v>
      </c>
      <c r="AG25" s="44">
        <v>65</v>
      </c>
      <c r="AH25" s="45">
        <f ca="1">IFERROR(__xludf.DUMMYFUNCTION("SUM( FILTER(C25:AJ25, ISNUMBER(SEARCH(""Practice"", $C$1:$AJ$1)) ) )  / 
  SUM( FILTER(C$77:AJ$77, ISNUMBER(SEARCH(""Practice"", $C$1:$AJ$1))))*0.1
+
(SUM( FILTER(C25:X25, ISNUMBER(SEARCH(""After RETAKE"", $C$1:$X$1)) ) ) +
SUM( FILTER(X25:AJ25, ISNUMBER("&amp;"SEARCH(""Before RETAKE"", $X$1:$AJ$1)) ) )
)  / 
  SUM( FILTER(C$77:AJ$77, ISNUMBER(SEARCH(""BEFORE RETAKE"", $C$1:$AJ$1))))*0.6 
+
0.3"),0.761313131313131)</f>
        <v>0.76131313131313105</v>
      </c>
      <c r="AI25" s="46" t="s">
        <v>462</v>
      </c>
      <c r="AJ25" s="44">
        <v>65</v>
      </c>
      <c r="AK25" s="45">
        <f ca="1">IFERROR(__xludf.DUMMYFUNCTION("SUM( FILTER(C25:AK25, ISNUMBER(SEARCH(""Practice"", $C$1:$AK$1)) ) )  / 
  SUM( FILTER(C$77:AK$77, ISNUMBER(SEARCH(""Practice"", $C$1:$AK$1))))*0.1
+
(SUM( FILTER(C25:P25, ISNUMBER(SEARCH(""After RETAKE"", $C$1:$P$1)) ) ) +
SUM( FILTER(P25:AK25, ISNUMBER("&amp;"SEARCH(""After RETAKE"", $P$1:$AK$1)) ) )
)  / 
  SUM( FILTER(C$77:AK$77, ISNUMBER(SEARCH(""BEFORE RETAKE"", $C$1:$AK$1))))*0.6 
+
0.3"),0.761313131313131)</f>
        <v>0.76131313131313105</v>
      </c>
      <c r="AL25" s="45">
        <v>0.3</v>
      </c>
      <c r="AM25" s="21">
        <f t="shared" si="0"/>
        <v>5</v>
      </c>
      <c r="AN25" s="21">
        <f t="shared" si="1"/>
        <v>0</v>
      </c>
      <c r="AO25" s="21">
        <f t="shared" si="2"/>
        <v>6</v>
      </c>
      <c r="AP25" s="20">
        <f t="shared" si="3"/>
        <v>63.333333333333336</v>
      </c>
      <c r="AQ25" s="20">
        <f t="shared" si="4"/>
        <v>63.333333333333336</v>
      </c>
      <c r="AR25" s="47">
        <f ca="1">IFERROR(__xludf.DUMMYFUNCTION("SUM( FILTER(C25:AK25, ISNUMBER(SEARCH(""Practice"", $C$1:$AK$1)) ) )  / 
  SUM( FILTER(C$77:AK$77, ISNUMBER(SEARCH(""Practice"", $C$1:$AK$1))))*0.1
+
(SUM( FILTER(C25:P25, ISNUMBER(SEARCH(""before RETAKE"", $C$1:$P$1)) ) ) +
SUM( FILTER(P25:AK25, ISNUMBER"&amp;"(SEARCH(""before RETAKE"", $P$1:$AK$1)) ) )
)  / 
  SUM( FILTER(C$77:AK$77, ISNUMBER(SEARCH(""BEFORE RETAKE"", $C$1:$AK$1))))*0.6 
+
0.3*AL25"),0.551313131313131)</f>
        <v>0.55131313131313098</v>
      </c>
      <c r="AS25" s="47">
        <f ca="1">IFERROR(__xludf.DUMMYFUNCTION("SUM( FILTER(C25:AK25, ISNUMBER(SEARCH(""Practice"", $C$1:$AK$1)) ) )  / 
  SUM( FILTER(C$77:AK$77, ISNUMBER(SEARCH(""Practice"", $C$1:$AK$1))))*0.1
+
(SUM( FILTER(C25:P25, ISNUMBER(SEARCH(""after RETAKE"", $C$1:$P$1)) ) ) +
SUM( FILTER(P25:AK25, ISNUMBER("&amp;"SEARCH(""after RETAKE"", $P$1:$AK$1)) ) )
)  / 
  SUM( FILTER(C$77:AK$77, ISNUMBER(SEARCH(""BEFORE RETAKE"", $C$1:$AK$1))))*0.6 
+
0.3*AL25"),0.551313131313131)</f>
        <v>0.55131313131313098</v>
      </c>
      <c r="AT25" s="47">
        <v>0.56131313130000005</v>
      </c>
      <c r="AU25" s="48">
        <f t="shared" si="5"/>
        <v>0.81313131313131315</v>
      </c>
      <c r="AV25" s="21">
        <v>11</v>
      </c>
      <c r="AW25" s="20">
        <f t="shared" si="6"/>
        <v>49.333333333333336</v>
      </c>
    </row>
    <row r="26" spans="1:49" ht="15" customHeight="1" x14ac:dyDescent="0.2">
      <c r="A26" s="18" t="s">
        <v>168</v>
      </c>
      <c r="B26" s="18" t="s">
        <v>464</v>
      </c>
      <c r="C26" s="43" t="s">
        <v>8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5</v>
      </c>
      <c r="K26" s="44">
        <v>0</v>
      </c>
      <c r="L26" s="44">
        <v>30</v>
      </c>
      <c r="M26" s="45">
        <f ca="1">IFERROR(__xludf.DUMMYFUNCTION("SUM( FILTER(C26:P26, ISNUMBER(SEARCH(""Practice"", $C$1:$P$1)) ) )  / 
  SUM( FILTER(C$77:P$77, ISNUMBER(SEARCH(""Practice"", $C$1:$P$1))))*0.1
+
SUM( FILTER(C26:P26, ISNUMBER(SEARCH(""BEFORE RETAKE"", $C$1:$P$1)) ) ) 
  / 
  SUM( FILTER(C$77:P$77, ISNUMB"&amp;"ER(SEARCH(""BEFORE RETAKE"", $C$1:$P$1))))*0.6 
+
0.3"),0.488196721311475)</f>
        <v>0.48819672131147501</v>
      </c>
      <c r="N26" s="46">
        <v>66</v>
      </c>
      <c r="O26" s="46">
        <v>66</v>
      </c>
      <c r="P26" s="45">
        <f ca="1">IFERROR(__xludf.DUMMYFUNCTION("SUM( FILTER(C26:P26, ISNUMBER(SEARCH(""Practice"", $C$1:$P$1)) ) )  / 
  SUM( FILTER(C$77:P$77, ISNUMBER(SEARCH(""Practice"", $C$1:$P$1))))*0.1
+
SUM( FILTER(C26:P26, ISNUMBER(SEARCH(""After RETAKE"", $C$1:$P$1)) ) ) 
  / 
  SUM( FILTER(C$77:P$77, ISNUMBE"&amp;"R(SEARCH(""BEFORE RETAKE"", $C$1:$P$1))))*0.6 
+
0.3"),0.704196721311475)</f>
        <v>0.70419672131147504</v>
      </c>
      <c r="Q26" s="44">
        <v>0</v>
      </c>
      <c r="R26" s="44">
        <v>0</v>
      </c>
      <c r="S26" s="44">
        <v>5</v>
      </c>
      <c r="T26" s="44">
        <v>50</v>
      </c>
      <c r="U26" s="44">
        <v>75</v>
      </c>
      <c r="V26" s="45">
        <f ca="1">IFERROR(__xludf.DUMMYFUNCTION("SUM( FILTER(C26:X26, ISNUMBER(SEARCH(""Practice"", $C$1:$X$1)) ) )  / 
  SUM( FILTER(C$77:X$77, ISNUMBER(SEARCH(""Practice"", $C$1:$X$1))))*0.1
+
(SUM( FILTER(C26:P26, ISNUMBER(SEARCH(""After RETAKE"", $C$1:$P$1)) ) ) +
SUM( FILTER(P26:X26, ISNUMBER(SEARC"&amp;"H(""Before RETAKE"", $P$1:$X$1)) ) )
)  / 
  SUM( FILTER(C$77:X$77, ISNUMBER(SEARCH(""BEFORE RETAKE"", $C$1:$X$1))))*0.6 
+
0.3"),0.773847457627118)</f>
        <v>0.77384745762711804</v>
      </c>
      <c r="W26" s="46" t="s">
        <v>462</v>
      </c>
      <c r="X26" s="44">
        <v>75</v>
      </c>
      <c r="Y26" s="45">
        <f ca="1">IFERROR(__xludf.DUMMYFUNCTION("SUM( FILTER(C26:X26, ISNUMBER(SEARCH(""Practice"", $C$1:$X$1)) ) )  / 
  SUM( FILTER(C$77:X$77, ISNUMBER(SEARCH(""Practice"", $C$1:$X$1))))*0.1
+
(SUM( FILTER(C26:P26, ISNUMBER(SEARCH(""After RETAKE"", $C$1:$P$1)) ) ) +
SUM( FILTER(Q26:X26, ISNUMBER(SEARC"&amp;"H(""After RETAKE"", $Q$1:$X$1)) ) )
)  / 
  SUM( FILTER(C$77:X$77, ISNUMBER(SEARCH(""BEFORE RETAKE"", $C$1:$X$1))))*0.6 
+
0.3"),0.773847457627118)</f>
        <v>0.77384745762711804</v>
      </c>
      <c r="Z26" s="44">
        <v>0</v>
      </c>
      <c r="AA26" s="44">
        <v>0</v>
      </c>
      <c r="AB26" s="44">
        <v>0</v>
      </c>
      <c r="AC26" s="44">
        <v>0</v>
      </c>
      <c r="AD26" s="44">
        <v>5</v>
      </c>
      <c r="AE26" s="44">
        <v>5</v>
      </c>
      <c r="AF26" s="44">
        <v>50</v>
      </c>
      <c r="AG26" s="44">
        <v>68</v>
      </c>
      <c r="AH26" s="45">
        <f ca="1">IFERROR(__xludf.DUMMYFUNCTION("SUM( FILTER(C26:AJ26, ISNUMBER(SEARCH(""Practice"", $C$1:$AJ$1)) ) )  / 
  SUM( FILTER(C$77:AJ$77, ISNUMBER(SEARCH(""Practice"", $C$1:$AJ$1))))*0.1
+
(SUM( FILTER(C26:X26, ISNUMBER(SEARCH(""After RETAKE"", $C$1:$X$1)) ) ) +
SUM( FILTER(X26:AJ26, ISNUMBER("&amp;"SEARCH(""Before RETAKE"", $X$1:$AJ$1)) ) )
)  / 
  SUM( FILTER(C$77:AJ$77, ISNUMBER(SEARCH(""BEFORE RETAKE"", $C$1:$AJ$1))))*0.6 
+
0.3"),0.77860606060606)</f>
        <v>0.77860606060605997</v>
      </c>
      <c r="AI26" s="46" t="s">
        <v>462</v>
      </c>
      <c r="AJ26" s="44">
        <v>68</v>
      </c>
      <c r="AK26" s="45">
        <f ca="1">IFERROR(__xludf.DUMMYFUNCTION("SUM( FILTER(C26:AK26, ISNUMBER(SEARCH(""Practice"", $C$1:$AK$1)) ) )  / 
  SUM( FILTER(C$77:AK$77, ISNUMBER(SEARCH(""Practice"", $C$1:$AK$1))))*0.1
+
(SUM( FILTER(C26:P26, ISNUMBER(SEARCH(""After RETAKE"", $C$1:$P$1)) ) ) +
SUM( FILTER(P26:AK26, ISNUMBER("&amp;"SEARCH(""After RETAKE"", $P$1:$AK$1)) ) )
)  / 
  SUM( FILTER(C$77:AK$77, ISNUMBER(SEARCH(""BEFORE RETAKE"", $C$1:$AK$1))))*0.6 
+
0.3"),0.77860606060606)</f>
        <v>0.77860606060605997</v>
      </c>
      <c r="AL26" s="45">
        <v>0.3</v>
      </c>
      <c r="AM26" s="21">
        <f t="shared" si="0"/>
        <v>7</v>
      </c>
      <c r="AN26" s="21">
        <f t="shared" si="1"/>
        <v>2</v>
      </c>
      <c r="AO26" s="21">
        <f t="shared" si="2"/>
        <v>4</v>
      </c>
      <c r="AP26" s="20">
        <f t="shared" si="3"/>
        <v>57.666666666666664</v>
      </c>
      <c r="AQ26" s="21">
        <f t="shared" si="4"/>
        <v>69.666666666666671</v>
      </c>
      <c r="AR26" s="47">
        <f ca="1">IFERROR(__xludf.DUMMYFUNCTION("SUM( FILTER(C26:AK26, ISNUMBER(SEARCH(""Practice"", $C$1:$AK$1)) ) )  / 
  SUM( FILTER(C$77:AK$77, ISNUMBER(SEARCH(""Practice"", $C$1:$AK$1))))*0.1
+
(SUM( FILTER(C26:P26, ISNUMBER(SEARCH(""before RETAKE"", $C$1:$P$1)) ) ) +
SUM( FILTER(P26:AK26, ISNUMBER"&amp;"(SEARCH(""before RETAKE"", $P$1:$AK$1)) ) )
)  / 
  SUM( FILTER(C$77:AK$77, ISNUMBER(SEARCH(""BEFORE RETAKE"", $C$1:$AK$1))))*0.6 
+
0.3*AL26"),0.49660606060606)</f>
        <v>0.49660606060606</v>
      </c>
      <c r="AS26" s="47">
        <f ca="1">IFERROR(__xludf.DUMMYFUNCTION("SUM( FILTER(C26:AK26, ISNUMBER(SEARCH(""Practice"", $C$1:$AK$1)) ) )  / 
  SUM( FILTER(C$77:AK$77, ISNUMBER(SEARCH(""Practice"", $C$1:$AK$1))))*0.1
+
(SUM( FILTER(C26:P26, ISNUMBER(SEARCH(""after RETAKE"", $C$1:$P$1)) ) ) +
SUM( FILTER(P26:AK26, ISNUMBER("&amp;"SEARCH(""after RETAKE"", $P$1:$AK$1)) ) )
)  / 
  SUM( FILTER(C$77:AK$77, ISNUMBER(SEARCH(""BEFORE RETAKE"", $C$1:$AK$1))))*0.6 
+
0.3*AL26"),0.56860606060606)</f>
        <v>0.56860606060606</v>
      </c>
      <c r="AT26" s="47">
        <v>0.57960606059999997</v>
      </c>
      <c r="AU26" s="48">
        <f t="shared" si="5"/>
        <v>0.60606060606060608</v>
      </c>
      <c r="AV26" s="21">
        <v>13</v>
      </c>
      <c r="AW26" s="20">
        <f t="shared" si="6"/>
        <v>33.333333333333336</v>
      </c>
    </row>
    <row r="27" spans="1:49" ht="15" customHeight="1" x14ac:dyDescent="0.2">
      <c r="A27" s="18" t="s">
        <v>170</v>
      </c>
      <c r="B27" s="18" t="s">
        <v>464</v>
      </c>
      <c r="C27" s="43" t="s">
        <v>10</v>
      </c>
      <c r="D27" s="44">
        <v>1</v>
      </c>
      <c r="E27" s="44">
        <v>1</v>
      </c>
      <c r="F27" s="44">
        <v>0.5</v>
      </c>
      <c r="G27" s="44">
        <v>1</v>
      </c>
      <c r="H27" s="44">
        <v>1</v>
      </c>
      <c r="I27" s="44">
        <v>0</v>
      </c>
      <c r="J27" s="44">
        <v>5</v>
      </c>
      <c r="K27" s="44">
        <v>47</v>
      </c>
      <c r="L27" s="44">
        <v>48</v>
      </c>
      <c r="M27" s="45">
        <f ca="1">IFERROR(__xludf.DUMMYFUNCTION("SUM( FILTER(C27:P27, ISNUMBER(SEARCH(""Practice"", $C$1:$P$1)) ) )  / 
  SUM( FILTER(C$77:P$77, ISNUMBER(SEARCH(""Practice"", $C$1:$P$1))))*0.1
+
SUM( FILTER(C27:P27, ISNUMBER(SEARCH(""BEFORE RETAKE"", $C$1:$P$1)) ) ) 
  / 
  SUM( FILTER(C$77:P$77, ISNUMB"&amp;"ER(SEARCH(""BEFORE RETAKE"", $C$1:$P$1))))*0.6 
+
0.3"),0.680622950819672)</f>
        <v>0.68062295081967195</v>
      </c>
      <c r="N27" s="46">
        <v>66</v>
      </c>
      <c r="O27" s="44">
        <v>66</v>
      </c>
      <c r="P27" s="45">
        <f ca="1">IFERROR(__xludf.DUMMYFUNCTION("SUM( FILTER(C27:P27, ISNUMBER(SEARCH(""Practice"", $C$1:$P$1)) ) )  / 
  SUM( FILTER(C$77:P$77, ISNUMBER(SEARCH(""Practice"", $C$1:$P$1))))*0.1
+
SUM( FILTER(C27:P27, ISNUMBER(SEARCH(""After RETAKE"", $C$1:$P$1)) ) ) 
  / 
  SUM( FILTER(C$77:P$77, ISNUMBE"&amp;"R(SEARCH(""BEFORE RETAKE"", $C$1:$P$1))))*0.6 
+
0.3"),0.788622950819672)</f>
        <v>0.78862295081967204</v>
      </c>
      <c r="Q27" s="44">
        <v>1</v>
      </c>
      <c r="R27" s="44">
        <v>1</v>
      </c>
      <c r="S27" s="44">
        <v>5</v>
      </c>
      <c r="T27" s="44">
        <v>50</v>
      </c>
      <c r="U27" s="44">
        <v>68</v>
      </c>
      <c r="V27" s="45">
        <f ca="1">IFERROR(__xludf.DUMMYFUNCTION("SUM( FILTER(C27:X27, ISNUMBER(SEARCH(""Practice"", $C$1:$X$1)) ) )  / 
  SUM( FILTER(C$77:X$77, ISNUMBER(SEARCH(""Practice"", $C$1:$X$1))))*0.1
+
(SUM( FILTER(C27:P27, ISNUMBER(SEARCH(""After RETAKE"", $C$1:$P$1)) ) ) +
SUM( FILTER(P27:X27, ISNUMBER(SEARC"&amp;"H(""Before RETAKE"", $P$1:$X$1)) ) )
)  / 
  SUM( FILTER(C$77:X$77, ISNUMBER(SEARCH(""BEFORE RETAKE"", $C$1:$X$1))))*0.6 
+
0.3"),0.798186440677966)</f>
        <v>0.79818644067796596</v>
      </c>
      <c r="W27" s="46">
        <v>73</v>
      </c>
      <c r="X27" s="44">
        <v>73</v>
      </c>
      <c r="Y27" s="45">
        <f ca="1">IFERROR(__xludf.DUMMYFUNCTION("SUM( FILTER(C27:X27, ISNUMBER(SEARCH(""Practice"", $C$1:$X$1)) ) )  / 
  SUM( FILTER(C$77:X$77, ISNUMBER(SEARCH(""Practice"", $C$1:$X$1))))*0.1
+
(SUM( FILTER(C27:P27, ISNUMBER(SEARCH(""After RETAKE"", $C$1:$P$1)) ) ) +
SUM( FILTER(Q27:X27, ISNUMBER(SEARC"&amp;"H(""After RETAKE"", $Q$1:$X$1)) ) )
)  / 
  SUM( FILTER(C$77:X$77, ISNUMBER(SEARCH(""BEFORE RETAKE"", $C$1:$X$1))))*0.6 
+
0.3"),0.813186440677966)</f>
        <v>0.81318644067796597</v>
      </c>
      <c r="Z27" s="44">
        <v>3</v>
      </c>
      <c r="AA27" s="44">
        <v>5</v>
      </c>
      <c r="AB27" s="44">
        <v>5</v>
      </c>
      <c r="AC27" s="44">
        <v>5</v>
      </c>
      <c r="AD27" s="44">
        <v>2</v>
      </c>
      <c r="AE27" s="44">
        <v>5</v>
      </c>
      <c r="AF27" s="44">
        <v>50</v>
      </c>
      <c r="AG27" s="44">
        <v>62</v>
      </c>
      <c r="AH27" s="45">
        <f ca="1">IFERROR(__xludf.DUMMYFUNCTION("SUM( FILTER(C27:AJ27, ISNUMBER(SEARCH(""Practice"", $C$1:$AJ$1)) ) )  / 
  SUM( FILTER(C$77:AJ$77, ISNUMBER(SEARCH(""Practice"", $C$1:$AJ$1))))*0.1
+
(SUM( FILTER(C27:X27, ISNUMBER(SEARCH(""After RETAKE"", $C$1:$X$1)) ) ) +
SUM( FILTER(X27:AJ27, ISNUMBER("&amp;"SEARCH(""Before RETAKE"", $X$1:$AJ$1)) ) )
)  / 
  SUM( FILTER(C$77:AJ$77, ISNUMBER(SEARCH(""BEFORE RETAKE"", $C$1:$AJ$1))))*0.6 
+
0.3"),0.79720202020202)</f>
        <v>0.79720202020202002</v>
      </c>
      <c r="AI27" s="46">
        <v>30</v>
      </c>
      <c r="AJ27" s="44">
        <v>62</v>
      </c>
      <c r="AK27" s="45">
        <f ca="1">IFERROR(__xludf.DUMMYFUNCTION("SUM( FILTER(C27:AK27, ISNUMBER(SEARCH(""Practice"", $C$1:$AK$1)) ) )  / 
  SUM( FILTER(C$77:AK$77, ISNUMBER(SEARCH(""Practice"", $C$1:$AK$1))))*0.1
+
(SUM( FILTER(C27:P27, ISNUMBER(SEARCH(""After RETAKE"", $C$1:$P$1)) ) ) +
SUM( FILTER(P27:AK27, ISNUMBER("&amp;"SEARCH(""After RETAKE"", $P$1:$AK$1)) ) )
)  / 
  SUM( FILTER(C$77:AK$77, ISNUMBER(SEARCH(""BEFORE RETAKE"", $C$1:$AK$1))))*0.6 
+
0.3"),0.79720202020202)</f>
        <v>0.79720202020202002</v>
      </c>
      <c r="AL27" s="45">
        <v>0.68</v>
      </c>
      <c r="AM27" s="21">
        <f t="shared" si="0"/>
        <v>1</v>
      </c>
      <c r="AN27" s="21">
        <f t="shared" si="1"/>
        <v>0</v>
      </c>
      <c r="AO27" s="21">
        <f t="shared" si="2"/>
        <v>0</v>
      </c>
      <c r="AP27" s="20">
        <f t="shared" si="3"/>
        <v>59.333333333333336</v>
      </c>
      <c r="AQ27" s="20">
        <f t="shared" si="4"/>
        <v>67</v>
      </c>
      <c r="AR27" s="47">
        <f ca="1">IFERROR(__xludf.DUMMYFUNCTION("SUM( FILTER(C27:AK27, ISNUMBER(SEARCH(""Practice"", $C$1:$AK$1)) ) )  / 
  SUM( FILTER(C$77:AK$77, ISNUMBER(SEARCH(""Practice"", $C$1:$AK$1))))*0.1
+
(SUM( FILTER(C27:P27, ISNUMBER(SEARCH(""before RETAKE"", $C$1:$P$1)) ) ) +
SUM( FILTER(P27:AK27, ISNUMBER"&amp;"(SEARCH(""before RETAKE"", $P$1:$AK$1)) ) )
)  / 
  SUM( FILTER(C$77:AK$77, ISNUMBER(SEARCH(""BEFORE RETAKE"", $C$1:$AK$1))))*0.6 
+
0.3*AL27"),0.65520202020202)</f>
        <v>0.65520202020202001</v>
      </c>
      <c r="AS27" s="47">
        <f ca="1">IFERROR(__xludf.DUMMYFUNCTION("SUM( FILTER(C27:AK27, ISNUMBER(SEARCH(""Practice"", $C$1:$AK$1)) ) )  / 
  SUM( FILTER(C$77:AK$77, ISNUMBER(SEARCH(""Practice"", $C$1:$AK$1))))*0.1
+
(SUM( FILTER(C27:P27, ISNUMBER(SEARCH(""after RETAKE"", $C$1:$P$1)) ) ) +
SUM( FILTER(P27:AK27, ISNUMBER("&amp;"SEARCH(""after RETAKE"", $P$1:$AK$1)) ) )
)  / 
  SUM( FILTER(C$77:AK$77, ISNUMBER(SEARCH(""BEFORE RETAKE"", $C$1:$AK$1))))*0.6 
+
0.3*AL27"),0.70120202020202)</f>
        <v>0.70120202020202005</v>
      </c>
      <c r="AT27" s="47">
        <v>0.71620202020000001</v>
      </c>
      <c r="AU27" s="48">
        <f t="shared" si="5"/>
        <v>0.95202020202020199</v>
      </c>
      <c r="AV27" s="21">
        <v>1</v>
      </c>
      <c r="AW27" s="20">
        <f t="shared" si="6"/>
        <v>49</v>
      </c>
    </row>
    <row r="28" spans="1:49" ht="15" customHeight="1" x14ac:dyDescent="0.2">
      <c r="A28" s="18" t="s">
        <v>172</v>
      </c>
      <c r="B28" s="18" t="s">
        <v>464</v>
      </c>
      <c r="C28" s="43" t="s">
        <v>9</v>
      </c>
      <c r="D28" s="44">
        <v>1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5</v>
      </c>
      <c r="K28" s="44">
        <v>31</v>
      </c>
      <c r="L28" s="44">
        <v>78</v>
      </c>
      <c r="M28" s="45">
        <f ca="1">IFERROR(__xludf.DUMMYFUNCTION("SUM( FILTER(C28:P28, ISNUMBER(SEARCH(""Practice"", $C$1:$P$1)) ) )  / 
  SUM( FILTER(C$77:P$77, ISNUMBER(SEARCH(""Practice"", $C$1:$P$1))))*0.1
+
SUM( FILTER(C28:P28, ISNUMBER(SEARCH(""BEFORE RETAKE"", $C$1:$P$1)) ) ) 
  / 
  SUM( FILTER(C$77:P$77, ISNUMB"&amp;"ER(SEARCH(""BEFORE RETAKE"", $C$1:$P$1))))*0.6 
+
0.3"),0.828655737704918)</f>
        <v>0.82865573770491796</v>
      </c>
      <c r="N28" s="46" t="s">
        <v>462</v>
      </c>
      <c r="O28" s="44">
        <v>78</v>
      </c>
      <c r="P28" s="45">
        <f ca="1">IFERROR(__xludf.DUMMYFUNCTION("SUM( FILTER(C28:P28, ISNUMBER(SEARCH(""Practice"", $C$1:$P$1)) ) )  / 
  SUM( FILTER(C$77:P$77, ISNUMBER(SEARCH(""Practice"", $C$1:$P$1))))*0.1
+
SUM( FILTER(C28:P28, ISNUMBER(SEARCH(""After RETAKE"", $C$1:$P$1)) ) ) 
  / 
  SUM( FILTER(C$77:P$77, ISNUMBE"&amp;"R(SEARCH(""BEFORE RETAKE"", $C$1:$P$1))))*0.6 
+
0.3"),0.828655737704918)</f>
        <v>0.82865573770491796</v>
      </c>
      <c r="Q28" s="44">
        <v>0</v>
      </c>
      <c r="R28" s="44">
        <v>0</v>
      </c>
      <c r="S28" s="44">
        <v>5</v>
      </c>
      <c r="T28" s="44">
        <v>42</v>
      </c>
      <c r="U28" s="44">
        <v>65</v>
      </c>
      <c r="V28" s="45">
        <f ca="1">IFERROR(__xludf.DUMMYFUNCTION("SUM( FILTER(C28:X28, ISNUMBER(SEARCH(""Practice"", $C$1:$X$1)) ) )  / 
  SUM( FILTER(C$77:X$77, ISNUMBER(SEARCH(""Practice"", $C$1:$X$1))))*0.1
+
(SUM( FILTER(C28:P28, ISNUMBER(SEARCH(""After RETAKE"", $C$1:$P$1)) ) ) +
SUM( FILTER(P28:X28, ISNUMBER(SEARC"&amp;"H(""Before RETAKE"", $P$1:$X$1)) ) )
)  / 
  SUM( FILTER(C$77:X$77, ISNUMBER(SEARCH(""BEFORE RETAKE"", $C$1:$X$1))))*0.6 
+
0.3"),0.800186440677966)</f>
        <v>0.80018644067796596</v>
      </c>
      <c r="W28" s="46" t="s">
        <v>462</v>
      </c>
      <c r="X28" s="44">
        <v>65</v>
      </c>
      <c r="Y28" s="45">
        <f ca="1">IFERROR(__xludf.DUMMYFUNCTION("SUM( FILTER(C28:X28, ISNUMBER(SEARCH(""Practice"", $C$1:$X$1)) ) )  / 
  SUM( FILTER(C$77:X$77, ISNUMBER(SEARCH(""Practice"", $C$1:$X$1))))*0.1
+
(SUM( FILTER(C28:P28, ISNUMBER(SEARCH(""After RETAKE"", $C$1:$P$1)) ) ) +
SUM( FILTER(Q28:X28, ISNUMBER(SEARC"&amp;"H(""After RETAKE"", $Q$1:$X$1)) ) )
)  / 
  SUM( FILTER(C$77:X$77, ISNUMBER(SEARCH(""BEFORE RETAKE"", $C$1:$X$1))))*0.6 
+
0.3"),0.800186440677966)</f>
        <v>0.80018644067796596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34</v>
      </c>
      <c r="AG28" s="44">
        <v>68</v>
      </c>
      <c r="AH28" s="45">
        <f ca="1">IFERROR(__xludf.DUMMYFUNCTION("SUM( FILTER(C28:AJ28, ISNUMBER(SEARCH(""Practice"", $C$1:$AJ$1)) ) )  / 
  SUM( FILTER(C$77:AJ$77, ISNUMBER(SEARCH(""Practice"", $C$1:$AJ$1))))*0.1
+
(SUM( FILTER(C28:X28, ISNUMBER(SEARCH(""After RETAKE"", $C$1:$X$1)) ) ) +
SUM( FILTER(X28:AJ28, ISNUMBER("&amp;"SEARCH(""Before RETAKE"", $X$1:$AJ$1)) ) )
)  / 
  SUM( FILTER(C$77:AJ$77, ISNUMBER(SEARCH(""BEFORE RETAKE"", $C$1:$AJ$1))))*0.6 
+
0.3"),0.781595959595959)</f>
        <v>0.78159595959595896</v>
      </c>
      <c r="AI28" s="46" t="s">
        <v>462</v>
      </c>
      <c r="AJ28" s="44">
        <v>68</v>
      </c>
      <c r="AK28" s="45">
        <f ca="1">IFERROR(__xludf.DUMMYFUNCTION("SUM( FILTER(C28:AK28, ISNUMBER(SEARCH(""Practice"", $C$1:$AK$1)) ) )  / 
  SUM( FILTER(C$77:AK$77, ISNUMBER(SEARCH(""Practice"", $C$1:$AK$1))))*0.1
+
(SUM( FILTER(C28:P28, ISNUMBER(SEARCH(""After RETAKE"", $C$1:$P$1)) ) ) +
SUM( FILTER(P28:AK28, ISNUMBER("&amp;"SEARCH(""After RETAKE"", $P$1:$AK$1)) ) )
)  / 
  SUM( FILTER(C$77:AK$77, ISNUMBER(SEARCH(""BEFORE RETAKE"", $C$1:$AK$1))))*0.6 
+
0.3"),0.781595959595959)</f>
        <v>0.78159595959595896</v>
      </c>
      <c r="AL28" s="45">
        <v>0.62</v>
      </c>
      <c r="AM28" s="21">
        <f t="shared" si="0"/>
        <v>5</v>
      </c>
      <c r="AN28" s="21">
        <f t="shared" si="1"/>
        <v>2</v>
      </c>
      <c r="AO28" s="21">
        <f t="shared" si="2"/>
        <v>6</v>
      </c>
      <c r="AP28" s="20">
        <f t="shared" si="3"/>
        <v>70.333333333333329</v>
      </c>
      <c r="AQ28" s="20">
        <f t="shared" si="4"/>
        <v>70.333333333333329</v>
      </c>
      <c r="AR28" s="47">
        <f ca="1">IFERROR(__xludf.DUMMYFUNCTION("SUM( FILTER(C28:AK28, ISNUMBER(SEARCH(""Practice"", $C$1:$AK$1)) ) )  / 
  SUM( FILTER(C$77:AK$77, ISNUMBER(SEARCH(""Practice"", $C$1:$AK$1))))*0.1
+
(SUM( FILTER(C28:P28, ISNUMBER(SEARCH(""before RETAKE"", $C$1:$P$1)) ) ) +
SUM( FILTER(P28:AK28, ISNUMBER"&amp;"(SEARCH(""before RETAKE"", $P$1:$AK$1)) ) )
)  / 
  SUM( FILTER(C$77:AK$77, ISNUMBER(SEARCH(""BEFORE RETAKE"", $C$1:$AK$1))))*0.6 
+
0.3*AL28"),0.667595959595959)</f>
        <v>0.66759595959595897</v>
      </c>
      <c r="AS28" s="47">
        <f ca="1">IFERROR(__xludf.DUMMYFUNCTION("SUM( FILTER(C28:AK28, ISNUMBER(SEARCH(""Practice"", $C$1:$AK$1)) ) )  / 
  SUM( FILTER(C$77:AK$77, ISNUMBER(SEARCH(""Practice"", $C$1:$AK$1))))*0.1
+
(SUM( FILTER(C28:P28, ISNUMBER(SEARCH(""after RETAKE"", $C$1:$P$1)) ) ) +
SUM( FILTER(P28:AK28, ISNUMBER("&amp;"SEARCH(""after RETAKE"", $P$1:$AK$1)) ) )
)  / 
  SUM( FILTER(C$77:AK$77, ISNUMBER(SEARCH(""BEFORE RETAKE"", $C$1:$AK$1))))*0.6 
+
0.3*AL28"),0.667595959595959)</f>
        <v>0.66759595959595897</v>
      </c>
      <c r="AT28" s="47">
        <v>0.68359595959999997</v>
      </c>
      <c r="AU28" s="48">
        <f t="shared" si="5"/>
        <v>0.59595959595959591</v>
      </c>
      <c r="AV28" s="21">
        <v>13</v>
      </c>
      <c r="AW28" s="20">
        <f t="shared" si="6"/>
        <v>35.666666666666664</v>
      </c>
    </row>
    <row r="29" spans="1:49" ht="15" customHeight="1" x14ac:dyDescent="0.2">
      <c r="A29" s="18" t="s">
        <v>174</v>
      </c>
      <c r="B29" s="18" t="s">
        <v>461</v>
      </c>
      <c r="C29" s="43" t="s">
        <v>8</v>
      </c>
      <c r="D29" s="44" t="s">
        <v>150</v>
      </c>
      <c r="E29" s="44" t="s">
        <v>150</v>
      </c>
      <c r="F29" s="44" t="s">
        <v>150</v>
      </c>
      <c r="G29" s="44" t="s">
        <v>150</v>
      </c>
      <c r="H29" s="44" t="s">
        <v>150</v>
      </c>
      <c r="I29" s="44" t="s">
        <v>150</v>
      </c>
      <c r="J29" s="44" t="s">
        <v>150</v>
      </c>
      <c r="K29" s="44">
        <v>48</v>
      </c>
      <c r="L29" s="44">
        <v>96</v>
      </c>
      <c r="M29" s="45">
        <f ca="1">IFERROR(__xludf.DUMMYFUNCTION("SUM( FILTER(C29:P29, ISNUMBER(SEARCH(""Practice"", $C$1:$P$1)) ) )  / 
  SUM( FILTER(C$77:P$77, ISNUMBER(SEARCH(""Practice"", $C$1:$P$1))))*0.1
+
SUM( FILTER(C29:P29, ISNUMBER(SEARCH(""BEFORE RETAKE"", $C$1:$P$1)) ) ) 
  / 
  SUM( FILTER(C$77:P$77, ISNUMB"&amp;"ER(SEARCH(""BEFORE RETAKE"", $C$1:$P$1))))*0.6 
+
0.3"),0.954688524590164)</f>
        <v>0.95468852459016396</v>
      </c>
      <c r="N29" s="46" t="s">
        <v>462</v>
      </c>
      <c r="O29" s="44">
        <v>96</v>
      </c>
      <c r="P29" s="45">
        <f ca="1">IFERROR(__xludf.DUMMYFUNCTION("SUM( FILTER(C29:P29, ISNUMBER(SEARCH(""Practice"", $C$1:$P$1)) ) )  / 
  SUM( FILTER(C$77:P$77, ISNUMBER(SEARCH(""Practice"", $C$1:$P$1))))*0.1
+
SUM( FILTER(C29:P29, ISNUMBER(SEARCH(""After RETAKE"", $C$1:$P$1)) ) ) 
  / 
  SUM( FILTER(C$77:P$77, ISNUMBE"&amp;"R(SEARCH(""BEFORE RETAKE"", $C$1:$P$1))))*0.6 
+
0.3"),0.954688524590164)</f>
        <v>0.95468852459016396</v>
      </c>
      <c r="Q29" s="44">
        <v>1</v>
      </c>
      <c r="R29" s="44">
        <v>1</v>
      </c>
      <c r="S29" s="44">
        <v>5</v>
      </c>
      <c r="T29" s="44">
        <v>50</v>
      </c>
      <c r="U29" s="44">
        <v>92</v>
      </c>
      <c r="V29" s="45">
        <f ca="1">IFERROR(__xludf.DUMMYFUNCTION("SUM( FILTER(C29:X29, ISNUMBER(SEARCH(""Practice"", $C$1:$X$1)) ) )  / 
  SUM( FILTER(C$77:X$77, ISNUMBER(SEARCH(""Practice"", $C$1:$X$1))))*0.1
+
(SUM( FILTER(C29:P29, ISNUMBER(SEARCH(""After RETAKE"", $C$1:$P$1)) ) ) +
SUM( FILTER(P29:X29, ISNUMBER(SEARC"&amp;"H(""Before RETAKE"", $P$1:$X$1)) ) )
)  / 
  SUM( FILTER(C$77:X$77, ISNUMBER(SEARCH(""BEFORE RETAKE"", $C$1:$X$1))))*0.6 
+
0.3"),0.952983050847457)</f>
        <v>0.95298305084745705</v>
      </c>
      <c r="W29" s="46" t="s">
        <v>462</v>
      </c>
      <c r="X29" s="44">
        <v>92</v>
      </c>
      <c r="Y29" s="45">
        <f ca="1">IFERROR(__xludf.DUMMYFUNCTION("SUM( FILTER(C29:X29, ISNUMBER(SEARCH(""Practice"", $C$1:$X$1)) ) )  / 
  SUM( FILTER(C$77:X$77, ISNUMBER(SEARCH(""Practice"", $C$1:$X$1))))*0.1
+
(SUM( FILTER(C29:P29, ISNUMBER(SEARCH(""After RETAKE"", $C$1:$P$1)) ) ) +
SUM( FILTER(Q29:X29, ISNUMBER(SEARC"&amp;"H(""After RETAKE"", $Q$1:$X$1)) ) )
)  / 
  SUM( FILTER(C$77:X$77, ISNUMBER(SEARCH(""BEFORE RETAKE"", $C$1:$X$1))))*0.6 
+
0.3"),0.952983050847457)</f>
        <v>0.95298305084745705</v>
      </c>
      <c r="Z29" s="44">
        <v>5</v>
      </c>
      <c r="AA29" s="44">
        <v>5</v>
      </c>
      <c r="AB29" s="44">
        <v>5</v>
      </c>
      <c r="AC29" s="44">
        <v>5</v>
      </c>
      <c r="AD29" s="44">
        <v>5</v>
      </c>
      <c r="AE29" s="44">
        <v>5</v>
      </c>
      <c r="AF29" s="44">
        <v>50</v>
      </c>
      <c r="AG29" s="44">
        <v>82</v>
      </c>
      <c r="AH29" s="45">
        <f ca="1">IFERROR(__xludf.DUMMYFUNCTION("SUM( FILTER(C29:AJ29, ISNUMBER(SEARCH(""Practice"", $C$1:$AJ$1)) ) )  / 
  SUM( FILTER(C$77:AJ$77, ISNUMBER(SEARCH(""Practice"", $C$1:$AJ$1))))*0.1
+
(SUM( FILTER(C29:X29, ISNUMBER(SEARCH(""After RETAKE"", $C$1:$X$1)) ) ) +
SUM( FILTER(X29:AJ29, ISNUMBER("&amp;"SEARCH(""Before RETAKE"", $X$1:$AJ$1)) ) )
)  / 
  SUM( FILTER(C$77:AJ$77, ISNUMBER(SEARCH(""BEFORE RETAKE"", $C$1:$AJ$1))))*0.6 
+
0.3"),0.933434343434343)</f>
        <v>0.93343434343434295</v>
      </c>
      <c r="AI29" s="46">
        <v>88</v>
      </c>
      <c r="AJ29" s="44">
        <v>88</v>
      </c>
      <c r="AK29" s="45">
        <f ca="1">IFERROR(__xludf.DUMMYFUNCTION("SUM( FILTER(C29:AK29, ISNUMBER(SEARCH(""Practice"", $C$1:$AK$1)) ) )  / 
  SUM( FILTER(C$77:AK$77, ISNUMBER(SEARCH(""Practice"", $C$1:$AK$1))))*0.1
+
(SUM( FILTER(C29:P29, ISNUMBER(SEARCH(""After RETAKE"", $C$1:$P$1)) ) ) +
SUM( FILTER(P29:AK29, ISNUMBER("&amp;"SEARCH(""After RETAKE"", $P$1:$AK$1)) ) )
)  / 
  SUM( FILTER(C$77:AK$77, ISNUMBER(SEARCH(""BEFORE RETAKE"", $C$1:$AK$1))))*0.6 
+
0.3"),0.945434343434343)</f>
        <v>0.94543434343434296</v>
      </c>
      <c r="AL29" s="45">
        <v>0.92</v>
      </c>
      <c r="AM29" s="21">
        <f t="shared" si="0"/>
        <v>0</v>
      </c>
      <c r="AN29" s="21">
        <f t="shared" si="1"/>
        <v>0</v>
      </c>
      <c r="AO29" s="21">
        <f t="shared" si="2"/>
        <v>0</v>
      </c>
      <c r="AP29" s="20">
        <f t="shared" si="3"/>
        <v>90</v>
      </c>
      <c r="AQ29" s="20">
        <f t="shared" si="4"/>
        <v>92</v>
      </c>
      <c r="AR29" s="47">
        <f ca="1">IFERROR(__xludf.DUMMYFUNCTION("SUM( FILTER(C29:AK29, ISNUMBER(SEARCH(""Practice"", $C$1:$AK$1)) ) )  / 
  SUM( FILTER(C$77:AK$77, ISNUMBER(SEARCH(""Practice"", $C$1:$AK$1))))*0.1
+
(SUM( FILTER(C29:P29, ISNUMBER(SEARCH(""before RETAKE"", $C$1:$P$1)) ) ) +
SUM( FILTER(P29:AK29, ISNUMBER"&amp;"(SEARCH(""before RETAKE"", $P$1:$AK$1)) ) )
)  / 
  SUM( FILTER(C$77:AK$77, ISNUMBER(SEARCH(""BEFORE RETAKE"", $C$1:$AK$1))))*0.6 
+
0.3*AL29"),0.909434343434343)</f>
        <v>0.90943434343434304</v>
      </c>
      <c r="AS29" s="47">
        <f ca="1">IFERROR(__xludf.DUMMYFUNCTION("SUM( FILTER(C29:AK29, ISNUMBER(SEARCH(""Practice"", $C$1:$AK$1)) ) )  / 
  SUM( FILTER(C$77:AK$77, ISNUMBER(SEARCH(""Practice"", $C$1:$AK$1))))*0.1
+
(SUM( FILTER(C29:P29, ISNUMBER(SEARCH(""after RETAKE"", $C$1:$P$1)) ) ) +
SUM( FILTER(P29:AK29, ISNUMBER("&amp;"SEARCH(""after RETAKE"", $P$1:$AK$1)) ) )
)  / 
  SUM( FILTER(C$77:AK$77, ISNUMBER(SEARCH(""BEFORE RETAKE"", $C$1:$AK$1))))*0.6 
+
0.3*AL29"),0.921434343434343)</f>
        <v>0.92143434343434305</v>
      </c>
      <c r="AT29" s="47">
        <v>0.93343434339999998</v>
      </c>
      <c r="AU29" s="48">
        <f t="shared" si="5"/>
        <v>0.93434343434343436</v>
      </c>
      <c r="AV29" s="21">
        <v>0</v>
      </c>
      <c r="AW29" s="20">
        <f t="shared" si="6"/>
        <v>49.333333333333336</v>
      </c>
    </row>
    <row r="30" spans="1:49" ht="15" customHeight="1" x14ac:dyDescent="0.2">
      <c r="A30" s="18" t="s">
        <v>176</v>
      </c>
      <c r="B30" s="18" t="s">
        <v>461</v>
      </c>
      <c r="C30" s="43" t="s">
        <v>8</v>
      </c>
      <c r="D30" s="44" t="s">
        <v>150</v>
      </c>
      <c r="E30" s="44" t="s">
        <v>150</v>
      </c>
      <c r="F30" s="44" t="s">
        <v>150</v>
      </c>
      <c r="G30" s="44" t="s">
        <v>150</v>
      </c>
      <c r="H30" s="44" t="s">
        <v>150</v>
      </c>
      <c r="I30" s="44" t="s">
        <v>150</v>
      </c>
      <c r="J30" s="44" t="s">
        <v>150</v>
      </c>
      <c r="K30" s="44"/>
      <c r="L30" s="44">
        <v>88</v>
      </c>
      <c r="M30" s="45">
        <f ca="1">IFERROR(__xludf.DUMMYFUNCTION("SUM( FILTER(C30:P30, ISNUMBER(SEARCH(""Practice"", $C$1:$P$1)) ) )  / 
  SUM( FILTER(C$77:P$77, ISNUMBER(SEARCH(""Practice"", $C$1:$P$1))))*0.1
+
SUM( FILTER(C30:P30, ISNUMBER(SEARCH(""BEFORE RETAKE"", $C$1:$P$1)) ) ) 
  / 
  SUM( FILTER(C$77:P$77, ISNUMB"&amp;"ER(SEARCH(""BEFORE RETAKE"", $C$1:$P$1))))*0.6 
+
0.3"),0.828)</f>
        <v>0.82799999999999996</v>
      </c>
      <c r="N30" s="46">
        <v>88</v>
      </c>
      <c r="O30" s="44">
        <v>88</v>
      </c>
      <c r="P30" s="45">
        <f ca="1">IFERROR(__xludf.DUMMYFUNCTION("SUM( FILTER(C30:P30, ISNUMBER(SEARCH(""Practice"", $C$1:$P$1)) ) )  / 
  SUM( FILTER(C$77:P$77, ISNUMBER(SEARCH(""Practice"", $C$1:$P$1))))*0.1
+
SUM( FILTER(C30:P30, ISNUMBER(SEARCH(""After RETAKE"", $C$1:$P$1)) ) ) 
  / 
  SUM( FILTER(C$77:P$77, ISNUMBE"&amp;"R(SEARCH(""BEFORE RETAKE"", $C$1:$P$1))))*0.6 
+
0.3"),0.828)</f>
        <v>0.82799999999999996</v>
      </c>
      <c r="Q30" s="44">
        <v>1</v>
      </c>
      <c r="R30" s="44">
        <v>1</v>
      </c>
      <c r="S30" s="44">
        <v>5</v>
      </c>
      <c r="T30" s="44">
        <v>49.5</v>
      </c>
      <c r="U30" s="44">
        <v>90</v>
      </c>
      <c r="V30" s="45">
        <f ca="1">IFERROR(__xludf.DUMMYFUNCTION("SUM( FILTER(C30:X30, ISNUMBER(SEARCH(""Practice"", $C$1:$X$1)) ) )  / 
  SUM( FILTER(C$77:X$77, ISNUMBER(SEARCH(""Practice"", $C$1:$X$1))))*0.1
+
(SUM( FILTER(C30:P30, ISNUMBER(SEARCH(""After RETAKE"", $C$1:$P$1)) ) ) +
SUM( FILTER(P30:X30, ISNUMBER(SEARC"&amp;"H(""Before RETAKE"", $P$1:$X$1)) ) )
)  / 
  SUM( FILTER(C$77:X$77, ISNUMBER(SEARCH(""BEFORE RETAKE"", $C$1:$X$1))))*0.6 
+
0.3"),0.881881355932203)</f>
        <v>0.88188135593220296</v>
      </c>
      <c r="W30" s="46">
        <v>92</v>
      </c>
      <c r="X30" s="44">
        <v>92</v>
      </c>
      <c r="Y30" s="45">
        <f ca="1">IFERROR(__xludf.DUMMYFUNCTION("SUM( FILTER(C30:X30, ISNUMBER(SEARCH(""Practice"", $C$1:$X$1)) ) )  / 
  SUM( FILTER(C$77:X$77, ISNUMBER(SEARCH(""Practice"", $C$1:$X$1))))*0.1
+
(SUM( FILTER(C30:P30, ISNUMBER(SEARCH(""After RETAKE"", $C$1:$P$1)) ) ) +
SUM( FILTER(Q30:X30, ISNUMBER(SEARC"&amp;"H(""After RETAKE"", $Q$1:$X$1)) ) )
)  / 
  SUM( FILTER(C$77:X$77, ISNUMBER(SEARCH(""BEFORE RETAKE"", $C$1:$X$1))))*0.6 
+
0.3"),0.887881355932203)</f>
        <v>0.88788135593220296</v>
      </c>
      <c r="Z30" s="44">
        <v>5</v>
      </c>
      <c r="AA30" s="44">
        <v>5</v>
      </c>
      <c r="AB30" s="44">
        <v>5</v>
      </c>
      <c r="AC30" s="44">
        <v>5</v>
      </c>
      <c r="AD30" s="44">
        <v>0</v>
      </c>
      <c r="AE30" s="44">
        <v>0</v>
      </c>
      <c r="AF30" s="44">
        <v>50</v>
      </c>
      <c r="AG30" s="44">
        <v>85</v>
      </c>
      <c r="AH30" s="45">
        <f ca="1">IFERROR(__xludf.DUMMYFUNCTION("SUM( FILTER(C30:AJ30, ISNUMBER(SEARCH(""Practice"", $C$1:$AJ$1)) ) )  / 
  SUM( FILTER(C$77:AJ$77, ISNUMBER(SEARCH(""Practice"", $C$1:$AJ$1))))*0.1
+
(SUM( FILTER(C30:X30, ISNUMBER(SEARCH(""After RETAKE"", $C$1:$X$1)) ) ) +
SUM( FILTER(X30:AJ30, ISNUMBER("&amp;"SEARCH(""Before RETAKE"", $X$1:$AJ$1)) ) )
)  / 
  SUM( FILTER(C$77:AJ$77, ISNUMBER(SEARCH(""BEFORE RETAKE"", $C$1:$AJ$1))))*0.6 
+
0.3"),0.893888888888888)</f>
        <v>0.89388888888888796</v>
      </c>
      <c r="AI30" s="46">
        <v>95</v>
      </c>
      <c r="AJ30" s="44">
        <v>95</v>
      </c>
      <c r="AK30" s="45">
        <f ca="1">IFERROR(__xludf.DUMMYFUNCTION("SUM( FILTER(C30:AK30, ISNUMBER(SEARCH(""Practice"", $C$1:$AK$1)) ) )  / 
  SUM( FILTER(C$77:AK$77, ISNUMBER(SEARCH(""Practice"", $C$1:$AK$1))))*0.1
+
(SUM( FILTER(C30:P30, ISNUMBER(SEARCH(""After RETAKE"", $C$1:$P$1)) ) ) +
SUM( FILTER(P30:AK30, ISNUMBER("&amp;"SEARCH(""After RETAKE"", $P$1:$AK$1)) ) )
)  / 
  SUM( FILTER(C$77:AK$77, ISNUMBER(SEARCH(""BEFORE RETAKE"", $C$1:$AK$1))))*0.6 
+
0.3"),0.913888888888888)</f>
        <v>0.91388888888888797</v>
      </c>
      <c r="AL30" s="45">
        <v>0.85</v>
      </c>
      <c r="AM30" s="21">
        <f t="shared" si="0"/>
        <v>0</v>
      </c>
      <c r="AN30" s="21">
        <f t="shared" si="1"/>
        <v>0</v>
      </c>
      <c r="AO30" s="21">
        <f t="shared" si="2"/>
        <v>2</v>
      </c>
      <c r="AP30" s="20">
        <f t="shared" si="3"/>
        <v>87.666666666666671</v>
      </c>
      <c r="AQ30" s="20">
        <f t="shared" si="4"/>
        <v>91.666666666666671</v>
      </c>
      <c r="AR30" s="47">
        <f ca="1">IFERROR(__xludf.DUMMYFUNCTION("SUM( FILTER(C30:AK30, ISNUMBER(SEARCH(""Practice"", $C$1:$AK$1)) ) )  / 
  SUM( FILTER(C$77:AK$77, ISNUMBER(SEARCH(""Practice"", $C$1:$AK$1))))*0.1
+
(SUM( FILTER(C30:P30, ISNUMBER(SEARCH(""before RETAKE"", $C$1:$P$1)) ) ) +
SUM( FILTER(P30:AK30, ISNUMBER"&amp;"(SEARCH(""before RETAKE"", $P$1:$AK$1)) ) )
)  / 
  SUM( FILTER(C$77:AK$77, ISNUMBER(SEARCH(""BEFORE RETAKE"", $C$1:$AK$1))))*0.6 
+
0.3*AL30"),0.844888888888888)</f>
        <v>0.84488888888888802</v>
      </c>
      <c r="AS30" s="47">
        <f ca="1">IFERROR(__xludf.DUMMYFUNCTION("SUM( FILTER(C30:AK30, ISNUMBER(SEARCH(""Practice"", $C$1:$AK$1)) ) )  / 
  SUM( FILTER(C$77:AK$77, ISNUMBER(SEARCH(""Practice"", $C$1:$AK$1))))*0.1
+
(SUM( FILTER(C30:P30, ISNUMBER(SEARCH(""after RETAKE"", $C$1:$P$1)) ) ) +
SUM( FILTER(P30:AK30, ISNUMBER("&amp;"SEARCH(""after RETAKE"", $P$1:$AK$1)) ) )
)  / 
  SUM( FILTER(C$77:AK$77, ISNUMBER(SEARCH(""BEFORE RETAKE"", $C$1:$AK$1))))*0.6 
+
0.3*AL30"),0.868888888888888)</f>
        <v>0.86888888888888804</v>
      </c>
      <c r="AT30" s="47">
        <v>0.87988888890000005</v>
      </c>
      <c r="AU30" s="48">
        <f t="shared" si="5"/>
        <v>0.63888888888888884</v>
      </c>
      <c r="AV30" s="21">
        <v>2</v>
      </c>
      <c r="AW30" s="20">
        <f t="shared" si="6"/>
        <v>49.75</v>
      </c>
    </row>
    <row r="31" spans="1:49" ht="15" customHeight="1" x14ac:dyDescent="0.2">
      <c r="A31" s="18" t="s">
        <v>178</v>
      </c>
      <c r="B31" s="18" t="s">
        <v>464</v>
      </c>
      <c r="C31" s="43" t="s">
        <v>9</v>
      </c>
      <c r="D31" s="44">
        <v>1</v>
      </c>
      <c r="E31" s="44">
        <v>1</v>
      </c>
      <c r="F31" s="44">
        <v>0</v>
      </c>
      <c r="G31" s="44">
        <v>0</v>
      </c>
      <c r="H31" s="44">
        <v>1</v>
      </c>
      <c r="I31" s="44">
        <v>0</v>
      </c>
      <c r="J31" s="44">
        <v>5</v>
      </c>
      <c r="K31" s="44">
        <v>47</v>
      </c>
      <c r="L31" s="44">
        <v>75</v>
      </c>
      <c r="M31" s="45">
        <f ca="1">IFERROR(__xludf.DUMMYFUNCTION("SUM( FILTER(C31:P31, ISNUMBER(SEARCH(""Practice"", $C$1:$P$1)) ) )  / 
  SUM( FILTER(C$77:P$77, ISNUMBER(SEARCH(""Practice"", $C$1:$P$1))))*0.1
+
SUM( FILTER(C31:P31, ISNUMBER(SEARCH(""BEFORE RETAKE"", $C$1:$P$1)) ) ) 
  / 
  SUM( FILTER(C$77:P$77, ISNUMB"&amp;"ER(SEARCH(""BEFORE RETAKE"", $C$1:$P$1))))*0.6 
+
0.3"),0.840163934426229)</f>
        <v>0.84016393442622905</v>
      </c>
      <c r="N31" s="46" t="s">
        <v>462</v>
      </c>
      <c r="O31" s="44">
        <v>75</v>
      </c>
      <c r="P31" s="45">
        <f ca="1">IFERROR(__xludf.DUMMYFUNCTION("SUM( FILTER(C31:P31, ISNUMBER(SEARCH(""Practice"", $C$1:$P$1)) ) )  / 
  SUM( FILTER(C$77:P$77, ISNUMBER(SEARCH(""Practice"", $C$1:$P$1))))*0.1
+
SUM( FILTER(C31:P31, ISNUMBER(SEARCH(""After RETAKE"", $C$1:$P$1)) ) ) 
  / 
  SUM( FILTER(C$77:P$77, ISNUMBE"&amp;"R(SEARCH(""BEFORE RETAKE"", $C$1:$P$1))))*0.6 
+
0.3"),0.840163934426229)</f>
        <v>0.84016393442622905</v>
      </c>
      <c r="Q31" s="44">
        <v>1</v>
      </c>
      <c r="R31" s="44">
        <v>1</v>
      </c>
      <c r="S31" s="44">
        <v>5</v>
      </c>
      <c r="T31" s="44">
        <v>49.5</v>
      </c>
      <c r="U31" s="44">
        <v>65</v>
      </c>
      <c r="V31" s="45">
        <f ca="1">IFERROR(__xludf.DUMMYFUNCTION("SUM( FILTER(C31:X31, ISNUMBER(SEARCH(""Practice"", $C$1:$X$1)) ) )  / 
  SUM( FILTER(C$77:X$77, ISNUMBER(SEARCH(""Practice"", $C$1:$X$1))))*0.1
+
(SUM( FILTER(C31:P31, ISNUMBER(SEARCH(""After RETAKE"", $C$1:$P$1)) ) ) +
SUM( FILTER(P31:X31, ISNUMBER(SEARC"&amp;"H(""Before RETAKE"", $P$1:$X$1)) ) )
)  / 
  SUM( FILTER(C$77:X$77, ISNUMBER(SEARCH(""BEFORE RETAKE"", $C$1:$X$1))))*0.6 
+
0.3"),0.814491525423728)</f>
        <v>0.81449152542372805</v>
      </c>
      <c r="W31" s="46" t="s">
        <v>462</v>
      </c>
      <c r="X31" s="44">
        <v>65</v>
      </c>
      <c r="Y31" s="45">
        <f ca="1">IFERROR(__xludf.DUMMYFUNCTION("SUM( FILTER(C31:X31, ISNUMBER(SEARCH(""Practice"", $C$1:$X$1)) ) )  / 
  SUM( FILTER(C$77:X$77, ISNUMBER(SEARCH(""Practice"", $C$1:$X$1))))*0.1
+
(SUM( FILTER(C31:P31, ISNUMBER(SEARCH(""After RETAKE"", $C$1:$P$1)) ) ) +
SUM( FILTER(Q31:X31, ISNUMBER(SEARC"&amp;"H(""After RETAKE"", $Q$1:$X$1)) ) )
)  / 
  SUM( FILTER(C$77:X$77, ISNUMBER(SEARCH(""BEFORE RETAKE"", $C$1:$X$1))))*0.6 
+
0.3"),0.814491525423728)</f>
        <v>0.81449152542372805</v>
      </c>
      <c r="Z31" s="44">
        <v>5</v>
      </c>
      <c r="AA31" s="44">
        <v>5</v>
      </c>
      <c r="AB31" s="44">
        <v>5</v>
      </c>
      <c r="AC31" s="44">
        <v>5</v>
      </c>
      <c r="AD31" s="44">
        <v>0</v>
      </c>
      <c r="AE31" s="44">
        <v>0</v>
      </c>
      <c r="AF31" s="44">
        <v>32</v>
      </c>
      <c r="AG31" s="44">
        <v>65</v>
      </c>
      <c r="AH31" s="45">
        <f ca="1">IFERROR(__xludf.DUMMYFUNCTION("SUM( FILTER(C31:AJ31, ISNUMBER(SEARCH(""Practice"", $C$1:$AJ$1)) ) )  / 
  SUM( FILTER(C$77:AJ$77, ISNUMBER(SEARCH(""Practice"", $C$1:$AJ$1))))*0.1
+
(SUM( FILTER(C31:X31, ISNUMBER(SEARCH(""After RETAKE"", $C$1:$X$1)) ) ) +
SUM( FILTER(X31:AJ31, ISNUMBER("&amp;"SEARCH(""Before RETAKE"", $X$1:$AJ$1)) ) )
)  / 
  SUM( FILTER(C$77:AJ$77, ISNUMBER(SEARCH(""BEFORE RETAKE"", $C$1:$AJ$1))))*0.6 
+
0.3"),0.792575757575757)</f>
        <v>0.79257575757575705</v>
      </c>
      <c r="AI31" s="46" t="s">
        <v>462</v>
      </c>
      <c r="AJ31" s="44">
        <v>65</v>
      </c>
      <c r="AK31" s="45">
        <f ca="1">IFERROR(__xludf.DUMMYFUNCTION("SUM( FILTER(C31:AK31, ISNUMBER(SEARCH(""Practice"", $C$1:$AK$1)) ) )  / 
  SUM( FILTER(C$77:AK$77, ISNUMBER(SEARCH(""Practice"", $C$1:$AK$1))))*0.1
+
(SUM( FILTER(C31:P31, ISNUMBER(SEARCH(""After RETAKE"", $C$1:$P$1)) ) ) +
SUM( FILTER(P31:AK31, ISNUMBER("&amp;"SEARCH(""After RETAKE"", $P$1:$AK$1)) ) )
)  / 
  SUM( FILTER(C$77:AK$77, ISNUMBER(SEARCH(""BEFORE RETAKE"", $C$1:$AK$1))))*0.6 
+
0.3"),0.792575757575757)</f>
        <v>0.79257575757575705</v>
      </c>
      <c r="AL31" s="45">
        <v>0.65</v>
      </c>
      <c r="AM31" s="21">
        <f t="shared" si="0"/>
        <v>3</v>
      </c>
      <c r="AN31" s="21">
        <f t="shared" si="1"/>
        <v>0</v>
      </c>
      <c r="AO31" s="21">
        <f t="shared" si="2"/>
        <v>2</v>
      </c>
      <c r="AP31" s="20">
        <f t="shared" si="3"/>
        <v>68.333333333333329</v>
      </c>
      <c r="AQ31" s="20">
        <f t="shared" si="4"/>
        <v>68.333333333333329</v>
      </c>
      <c r="AR31" s="47">
        <f ca="1">IFERROR(__xludf.DUMMYFUNCTION("SUM( FILTER(C31:AK31, ISNUMBER(SEARCH(""Practice"", $C$1:$AK$1)) ) )  / 
  SUM( FILTER(C$77:AK$77, ISNUMBER(SEARCH(""Practice"", $C$1:$AK$1))))*0.1
+
(SUM( FILTER(C31:P31, ISNUMBER(SEARCH(""before RETAKE"", $C$1:$P$1)) ) ) +
SUM( FILTER(P31:AK31, ISNUMBER"&amp;"(SEARCH(""before RETAKE"", $P$1:$AK$1)) ) )
)  / 
  SUM( FILTER(C$77:AK$77, ISNUMBER(SEARCH(""BEFORE RETAKE"", $C$1:$AK$1))))*0.6 
+
0.3*AL31"),0.687575757575757)</f>
        <v>0.68757575757575695</v>
      </c>
      <c r="AS31" s="47">
        <f ca="1">IFERROR(__xludf.DUMMYFUNCTION("SUM( FILTER(C31:AK31, ISNUMBER(SEARCH(""Practice"", $C$1:$AK$1)) ) )  / 
  SUM( FILTER(C$77:AK$77, ISNUMBER(SEARCH(""Practice"", $C$1:$AK$1))))*0.1
+
(SUM( FILTER(C31:P31, ISNUMBER(SEARCH(""after RETAKE"", $C$1:$P$1)) ) ) +
SUM( FILTER(P31:AK31, ISNUMBER("&amp;"SEARCH(""after RETAKE"", $P$1:$AK$1)) ) )
)  / 
  SUM( FILTER(C$77:AK$77, ISNUMBER(SEARCH(""BEFORE RETAKE"", $C$1:$AK$1))))*0.6 
+
0.3*AL31"),0.687575757575757)</f>
        <v>0.68757575757575695</v>
      </c>
      <c r="AT31" s="47">
        <v>0.69757575760000001</v>
      </c>
      <c r="AU31" s="48">
        <f t="shared" si="5"/>
        <v>0.8257575757575758</v>
      </c>
      <c r="AV31" s="21">
        <v>5</v>
      </c>
      <c r="AW31" s="20">
        <f t="shared" si="6"/>
        <v>42.833333333333336</v>
      </c>
    </row>
    <row r="32" spans="1:49" ht="15" customHeight="1" x14ac:dyDescent="0.2">
      <c r="A32" s="18" t="s">
        <v>180</v>
      </c>
      <c r="B32" s="18" t="s">
        <v>461</v>
      </c>
      <c r="C32" s="43" t="s">
        <v>8</v>
      </c>
      <c r="D32" s="44">
        <v>1</v>
      </c>
      <c r="E32" s="44">
        <v>1</v>
      </c>
      <c r="F32" s="44">
        <v>1</v>
      </c>
      <c r="G32" s="44">
        <v>1</v>
      </c>
      <c r="H32" s="44">
        <v>1</v>
      </c>
      <c r="I32" s="44">
        <v>1</v>
      </c>
      <c r="J32" s="44">
        <v>5</v>
      </c>
      <c r="K32" s="44">
        <v>49</v>
      </c>
      <c r="L32" s="44">
        <v>95</v>
      </c>
      <c r="M32" s="45">
        <f ca="1">IFERROR(__xludf.DUMMYFUNCTION("SUM( FILTER(C32:P32, ISNUMBER(SEARCH(""Practice"", $C$1:$P$1)) ) )  / 
  SUM( FILTER(C$77:P$77, ISNUMBER(SEARCH(""Practice"", $C$1:$P$1))))*0.1
+
SUM( FILTER(C32:P32, ISNUMBER(SEARCH(""BEFORE RETAKE"", $C$1:$P$1)) ) ) 
  / 
  SUM( FILTER(C$77:P$77, ISNUMB"&amp;"ER(SEARCH(""BEFORE RETAKE"", $C$1:$P$1))))*0.6 
+
0.3"),0.968360655737704)</f>
        <v>0.96836065573770402</v>
      </c>
      <c r="N32" s="46" t="s">
        <v>462</v>
      </c>
      <c r="O32" s="44">
        <v>95</v>
      </c>
      <c r="P32" s="45">
        <f ca="1">IFERROR(__xludf.DUMMYFUNCTION("SUM( FILTER(C32:P32, ISNUMBER(SEARCH(""Practice"", $C$1:$P$1)) ) )  / 
  SUM( FILTER(C$77:P$77, ISNUMBER(SEARCH(""Practice"", $C$1:$P$1))))*0.1
+
SUM( FILTER(C32:P32, ISNUMBER(SEARCH(""After RETAKE"", $C$1:$P$1)) ) ) 
  / 
  SUM( FILTER(C$77:P$77, ISNUMBE"&amp;"R(SEARCH(""BEFORE RETAKE"", $C$1:$P$1))))*0.6 
+
0.3"),0.968360655737704)</f>
        <v>0.96836065573770402</v>
      </c>
      <c r="Q32" s="44">
        <v>1</v>
      </c>
      <c r="R32" s="44">
        <v>1</v>
      </c>
      <c r="S32" s="44">
        <v>5</v>
      </c>
      <c r="T32" s="44">
        <v>50</v>
      </c>
      <c r="U32" s="44">
        <v>88</v>
      </c>
      <c r="V32" s="45">
        <f ca="1">IFERROR(__xludf.DUMMYFUNCTION("SUM( FILTER(C32:X32, ISNUMBER(SEARCH(""Practice"", $C$1:$X$1)) ) )  / 
  SUM( FILTER(C$77:X$77, ISNUMBER(SEARCH(""Practice"", $C$1:$X$1))))*0.1
+
(SUM( FILTER(C32:P32, ISNUMBER(SEARCH(""After RETAKE"", $C$1:$P$1)) ) ) +
SUM( FILTER(P32:X32, ISNUMBER(SEARC"&amp;"H(""Before RETAKE"", $P$1:$X$1)) ) )
)  / 
  SUM( FILTER(C$77:X$77, ISNUMBER(SEARCH(""BEFORE RETAKE"", $C$1:$X$1))))*0.6 
+
0.3"),0.948152542372881)</f>
        <v>0.94815254237288105</v>
      </c>
      <c r="W32" s="46" t="s">
        <v>462</v>
      </c>
      <c r="X32" s="44">
        <v>88</v>
      </c>
      <c r="Y32" s="45">
        <f ca="1">IFERROR(__xludf.DUMMYFUNCTION("SUM( FILTER(C32:X32, ISNUMBER(SEARCH(""Practice"", $C$1:$X$1)) ) )  / 
  SUM( FILTER(C$77:X$77, ISNUMBER(SEARCH(""Practice"", $C$1:$X$1))))*0.1
+
(SUM( FILTER(C32:P32, ISNUMBER(SEARCH(""After RETAKE"", $C$1:$P$1)) ) ) +
SUM( FILTER(Q32:X32, ISNUMBER(SEARC"&amp;"H(""After RETAKE"", $Q$1:$X$1)) ) )
)  / 
  SUM( FILTER(C$77:X$77, ISNUMBER(SEARCH(""BEFORE RETAKE"", $C$1:$X$1))))*0.6 
+
0.3"),0.948152542372881)</f>
        <v>0.94815254237288105</v>
      </c>
      <c r="Z32" s="44">
        <v>5</v>
      </c>
      <c r="AA32" s="44">
        <v>5</v>
      </c>
      <c r="AB32" s="44">
        <v>5</v>
      </c>
      <c r="AC32" s="44">
        <v>5</v>
      </c>
      <c r="AD32" s="44">
        <v>5</v>
      </c>
      <c r="AE32" s="44">
        <v>5</v>
      </c>
      <c r="AF32" s="44">
        <v>50</v>
      </c>
      <c r="AG32" s="44">
        <v>92</v>
      </c>
      <c r="AH32" s="45">
        <f ca="1">IFERROR(__xludf.DUMMYFUNCTION("SUM( FILTER(C32:AJ32, ISNUMBER(SEARCH(""Practice"", $C$1:$AJ$1)) ) )  / 
  SUM( FILTER(C$77:AJ$77, ISNUMBER(SEARCH(""Practice"", $C$1:$AJ$1))))*0.1
+
(SUM( FILTER(C32:X32, ISNUMBER(SEARCH(""After RETAKE"", $C$1:$X$1)) ) ) +
SUM( FILTER(X32:AJ32, ISNUMBER("&amp;"SEARCH(""Before RETAKE"", $X$1:$AJ$1)) ) )
)  / 
  SUM( FILTER(C$77:AJ$77, ISNUMBER(SEARCH(""BEFORE RETAKE"", $C$1:$AJ$1))))*0.6 
+
0.3"),0.949494949494949)</f>
        <v>0.94949494949494895</v>
      </c>
      <c r="AI32" s="46" t="s">
        <v>462</v>
      </c>
      <c r="AJ32" s="44">
        <v>92</v>
      </c>
      <c r="AK32" s="45">
        <f ca="1">IFERROR(__xludf.DUMMYFUNCTION("SUM( FILTER(C32:AK32, ISNUMBER(SEARCH(""Practice"", $C$1:$AK$1)) ) )  / 
  SUM( FILTER(C$77:AK$77, ISNUMBER(SEARCH(""Practice"", $C$1:$AK$1))))*0.1
+
(SUM( FILTER(C32:P32, ISNUMBER(SEARCH(""After RETAKE"", $C$1:$P$1)) ) ) +
SUM( FILTER(P32:AK32, ISNUMBER("&amp;"SEARCH(""After RETAKE"", $P$1:$AK$1)) ) )
)  / 
  SUM( FILTER(C$77:AK$77, ISNUMBER(SEARCH(""BEFORE RETAKE"", $C$1:$AK$1))))*0.6 
+
0.3"),0.949494949494949)</f>
        <v>0.94949494949494895</v>
      </c>
      <c r="AL32" s="45">
        <v>0.88</v>
      </c>
      <c r="AM32" s="21">
        <f t="shared" si="0"/>
        <v>0</v>
      </c>
      <c r="AN32" s="21">
        <f t="shared" si="1"/>
        <v>0</v>
      </c>
      <c r="AO32" s="21">
        <f t="shared" si="2"/>
        <v>0</v>
      </c>
      <c r="AP32" s="20">
        <f t="shared" si="3"/>
        <v>91.666666666666671</v>
      </c>
      <c r="AQ32" s="20">
        <f t="shared" si="4"/>
        <v>91.666666666666671</v>
      </c>
      <c r="AR32" s="47">
        <f ca="1">IFERROR(__xludf.DUMMYFUNCTION("SUM( FILTER(C32:AK32, ISNUMBER(SEARCH(""Practice"", $C$1:$AK$1)) ) )  / 
  SUM( FILTER(C$77:AK$77, ISNUMBER(SEARCH(""Practice"", $C$1:$AK$1))))*0.1
+
(SUM( FILTER(C32:P32, ISNUMBER(SEARCH(""before RETAKE"", $C$1:$P$1)) ) ) +
SUM( FILTER(P32:AK32, ISNUMBER"&amp;"(SEARCH(""before RETAKE"", $P$1:$AK$1)) ) )
)  / 
  SUM( FILTER(C$77:AK$77, ISNUMBER(SEARCH(""BEFORE RETAKE"", $C$1:$AK$1))))*0.6 
+
0.3*AL32"),0.913494949494949)</f>
        <v>0.91349494949494903</v>
      </c>
      <c r="AS32" s="47">
        <f ca="1">IFERROR(__xludf.DUMMYFUNCTION("SUM( FILTER(C32:AK32, ISNUMBER(SEARCH(""Practice"", $C$1:$AK$1)) ) )  / 
  SUM( FILTER(C$77:AK$77, ISNUMBER(SEARCH(""Practice"", $C$1:$AK$1))))*0.1
+
(SUM( FILTER(C32:P32, ISNUMBER(SEARCH(""after RETAKE"", $C$1:$P$1)) ) ) +
SUM( FILTER(P32:AK32, ISNUMBER("&amp;"SEARCH(""after RETAKE"", $P$1:$AK$1)) ) )
)  / 
  SUM( FILTER(C$77:AK$77, ISNUMBER(SEARCH(""BEFORE RETAKE"", $C$1:$AK$1))))*0.6 
+
0.3*AL32"),0.913494949494949)</f>
        <v>0.91349494949494903</v>
      </c>
      <c r="AT32" s="47">
        <v>0.9244949495</v>
      </c>
      <c r="AU32" s="48">
        <f t="shared" si="5"/>
        <v>0.99494949494949492</v>
      </c>
      <c r="AV32" s="21">
        <v>0</v>
      </c>
      <c r="AW32" s="20">
        <f t="shared" si="6"/>
        <v>49.666666666666664</v>
      </c>
    </row>
    <row r="33" spans="1:49" ht="15" customHeight="1" x14ac:dyDescent="0.2">
      <c r="A33" s="18" t="s">
        <v>182</v>
      </c>
      <c r="B33" s="18" t="s">
        <v>464</v>
      </c>
      <c r="C33" s="43" t="s">
        <v>9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5</v>
      </c>
      <c r="K33" s="44">
        <v>36</v>
      </c>
      <c r="L33" s="44">
        <v>85</v>
      </c>
      <c r="M33" s="45">
        <f ca="1">IFERROR(__xludf.DUMMYFUNCTION("SUM( FILTER(C33:P33, ISNUMBER(SEARCH(""Practice"", $C$1:$P$1)) ) )  / 
  SUM( FILTER(C$77:P$77, ISNUMBER(SEARCH(""Practice"", $C$1:$P$1))))*0.1
+
SUM( FILTER(C33:P33, ISNUMBER(SEARCH(""BEFORE RETAKE"", $C$1:$P$1)) ) ) 
  / 
  SUM( FILTER(C$77:P$77, ISNUMB"&amp;"ER(SEARCH(""BEFORE RETAKE"", $C$1:$P$1))))*0.6 
+
0.3"),0.877213114754098)</f>
        <v>0.87721311475409802</v>
      </c>
      <c r="N33" s="46" t="s">
        <v>462</v>
      </c>
      <c r="O33" s="44">
        <v>85</v>
      </c>
      <c r="P33" s="45">
        <f ca="1">IFERROR(__xludf.DUMMYFUNCTION("SUM( FILTER(C33:P33, ISNUMBER(SEARCH(""Practice"", $C$1:$P$1)) ) )  / 
  SUM( FILTER(C$77:P$77, ISNUMBER(SEARCH(""Practice"", $C$1:$P$1))))*0.1
+
SUM( FILTER(C33:P33, ISNUMBER(SEARCH(""After RETAKE"", $C$1:$P$1)) ) ) 
  / 
  SUM( FILTER(C$77:P$77, ISNUMBE"&amp;"R(SEARCH(""BEFORE RETAKE"", $C$1:$P$1))))*0.6 
+
0.3"),0.877213114754098)</f>
        <v>0.87721311475409802</v>
      </c>
      <c r="Q33" s="44">
        <v>0</v>
      </c>
      <c r="R33" s="44">
        <v>0</v>
      </c>
      <c r="S33" s="44">
        <v>5</v>
      </c>
      <c r="T33" s="44">
        <v>24</v>
      </c>
      <c r="U33" s="44">
        <v>76</v>
      </c>
      <c r="V33" s="45">
        <f ca="1">IFERROR(__xludf.DUMMYFUNCTION("SUM( FILTER(C33:X33, ISNUMBER(SEARCH(""Practice"", $C$1:$X$1)) ) )  / 
  SUM( FILTER(C$77:X$77, ISNUMBER(SEARCH(""Practice"", $C$1:$X$1))))*0.1
+
(SUM( FILTER(C33:P33, ISNUMBER(SEARCH(""After RETAKE"", $C$1:$P$1)) ) ) +
SUM( FILTER(P33:X33, ISNUMBER(SEARC"&amp;"H(""Before RETAKE"", $P$1:$X$1)) ) )
)  / 
  SUM( FILTER(C$77:X$77, ISNUMBER(SEARCH(""BEFORE RETAKE"", $C$1:$X$1))))*0.6 
+
0.3"),0.842322033898305)</f>
        <v>0.84232203389830496</v>
      </c>
      <c r="W33" s="46" t="s">
        <v>462</v>
      </c>
      <c r="X33" s="44">
        <v>76</v>
      </c>
      <c r="Y33" s="45">
        <f ca="1">IFERROR(__xludf.DUMMYFUNCTION("SUM( FILTER(C33:X33, ISNUMBER(SEARCH(""Practice"", $C$1:$X$1)) ) )  / 
  SUM( FILTER(C$77:X$77, ISNUMBER(SEARCH(""Practice"", $C$1:$X$1))))*0.1
+
(SUM( FILTER(C33:P33, ISNUMBER(SEARCH(""After RETAKE"", $C$1:$P$1)) ) ) +
SUM( FILTER(Q33:X33, ISNUMBER(SEARC"&amp;"H(""After RETAKE"", $Q$1:$X$1)) ) )
)  / 
  SUM( FILTER(C$77:X$77, ISNUMBER(SEARCH(""BEFORE RETAKE"", $C$1:$X$1))))*0.6 
+
0.3"),0.842322033898305)</f>
        <v>0.84232203389830496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9</v>
      </c>
      <c r="AG33" s="44">
        <v>68</v>
      </c>
      <c r="AH33" s="45">
        <f ca="1">IFERROR(__xludf.DUMMYFUNCTION("SUM( FILTER(C33:AJ33, ISNUMBER(SEARCH(""Practice"", $C$1:$AJ$1)) ) )  / 
  SUM( FILTER(C$77:AJ$77, ISNUMBER(SEARCH(""Practice"", $C$1:$AJ$1))))*0.1
+
(SUM( FILTER(C33:X33, ISNUMBER(SEARCH(""After RETAKE"", $C$1:$X$1)) ) ) +
SUM( FILTER(X33:AJ33, ISNUMBER("&amp;"SEARCH(""Before RETAKE"", $X$1:$AJ$1)) ) )
)  / 
  SUM( FILTER(C$77:AJ$77, ISNUMBER(SEARCH(""BEFORE RETAKE"", $C$1:$AJ$1))))*0.6 
+
0.3"),0.797898989898989)</f>
        <v>0.797898989898989</v>
      </c>
      <c r="AI33" s="46">
        <v>64</v>
      </c>
      <c r="AJ33" s="44">
        <v>68</v>
      </c>
      <c r="AK33" s="45">
        <f ca="1">IFERROR(__xludf.DUMMYFUNCTION("SUM( FILTER(C33:AK33, ISNUMBER(SEARCH(""Practice"", $C$1:$AK$1)) ) )  / 
  SUM( FILTER(C$77:AK$77, ISNUMBER(SEARCH(""Practice"", $C$1:$AK$1))))*0.1
+
(SUM( FILTER(C33:P33, ISNUMBER(SEARCH(""After RETAKE"", $C$1:$P$1)) ) ) +
SUM( FILTER(P33:AK33, ISNUMBER("&amp;"SEARCH(""After RETAKE"", $P$1:$AK$1)) ) )
)  / 
  SUM( FILTER(C$77:AK$77, ISNUMBER(SEARCH(""BEFORE RETAKE"", $C$1:$AK$1))))*0.6 
+
0.3"),0.797898989898989)</f>
        <v>0.797898989898989</v>
      </c>
      <c r="AL33" s="45">
        <v>0.72</v>
      </c>
      <c r="AM33" s="21">
        <f t="shared" si="0"/>
        <v>6</v>
      </c>
      <c r="AN33" s="21">
        <f t="shared" si="1"/>
        <v>2</v>
      </c>
      <c r="AO33" s="21">
        <f t="shared" si="2"/>
        <v>6</v>
      </c>
      <c r="AP33" s="20">
        <f t="shared" si="3"/>
        <v>76.333333333333329</v>
      </c>
      <c r="AQ33" s="20">
        <f t="shared" si="4"/>
        <v>76.333333333333329</v>
      </c>
      <c r="AR33" s="47">
        <f ca="1">IFERROR(__xludf.DUMMYFUNCTION("SUM( FILTER(C33:AK33, ISNUMBER(SEARCH(""Practice"", $C$1:$AK$1)) ) )  / 
  SUM( FILTER(C$77:AK$77, ISNUMBER(SEARCH(""Practice"", $C$1:$AK$1))))*0.1
+
(SUM( FILTER(C33:P33, ISNUMBER(SEARCH(""before RETAKE"", $C$1:$P$1)) ) ) +
SUM( FILTER(P33:AK33, ISNUMBER"&amp;"(SEARCH(""before RETAKE"", $P$1:$AK$1)) ) )
)  / 
  SUM( FILTER(C$77:AK$77, ISNUMBER(SEARCH(""BEFORE RETAKE"", $C$1:$AK$1))))*0.6 
+
0.3*AL33"),0.713898989898989)</f>
        <v>0.71389898989898903</v>
      </c>
      <c r="AS33" s="47">
        <f ca="1">IFERROR(__xludf.DUMMYFUNCTION("SUM( FILTER(C33:AK33, ISNUMBER(SEARCH(""Practice"", $C$1:$AK$1)) ) )  / 
  SUM( FILTER(C$77:AK$77, ISNUMBER(SEARCH(""Practice"", $C$1:$AK$1))))*0.1
+
(SUM( FILTER(C33:P33, ISNUMBER(SEARCH(""after RETAKE"", $C$1:$P$1)) ) ) +
SUM( FILTER(P33:AK33, ISNUMBER("&amp;"SEARCH(""after RETAKE"", $P$1:$AK$1)) ) )
)  / 
  SUM( FILTER(C$77:AK$77, ISNUMBER(SEARCH(""BEFORE RETAKE"", $C$1:$AK$1))))*0.6 
+
0.3*AL33"),0.713898989898989)</f>
        <v>0.71389898989898903</v>
      </c>
      <c r="AT33" s="47">
        <v>0.73889898990000002</v>
      </c>
      <c r="AU33" s="48">
        <f t="shared" si="5"/>
        <v>0.39898989898989901</v>
      </c>
      <c r="AV33" s="21">
        <v>14</v>
      </c>
      <c r="AW33" s="20">
        <f t="shared" si="6"/>
        <v>23</v>
      </c>
    </row>
    <row r="34" spans="1:49" ht="15" customHeight="1" x14ac:dyDescent="0.2">
      <c r="A34" s="18" t="s">
        <v>184</v>
      </c>
      <c r="B34" s="18" t="s">
        <v>464</v>
      </c>
      <c r="C34" s="43" t="s">
        <v>8</v>
      </c>
      <c r="D34" s="44" t="s">
        <v>150</v>
      </c>
      <c r="E34" s="44" t="s">
        <v>150</v>
      </c>
      <c r="F34" s="44" t="s">
        <v>150</v>
      </c>
      <c r="G34" s="44" t="s">
        <v>150</v>
      </c>
      <c r="H34" s="44" t="s">
        <v>150</v>
      </c>
      <c r="I34" s="44" t="s">
        <v>150</v>
      </c>
      <c r="J34" s="44" t="s">
        <v>150</v>
      </c>
      <c r="K34" s="44" t="s">
        <v>150</v>
      </c>
      <c r="L34" s="44">
        <v>72</v>
      </c>
      <c r="M34" s="45">
        <f ca="1">IFERROR(__xludf.DUMMYFUNCTION("SUM( FILTER(C34:P34, ISNUMBER(SEARCH(""Practice"", $C$1:$P$1)) ) )  / 
  SUM( FILTER(C$77:P$77, ISNUMBER(SEARCH(""Practice"", $C$1:$P$1))))*0.1
+
SUM( FILTER(C34:P34, ISNUMBER(SEARCH(""BEFORE RETAKE"", $C$1:$P$1)) ) ) 
  / 
  SUM( FILTER(C$77:P$77, ISNUMB"&amp;"ER(SEARCH(""BEFORE RETAKE"", $C$1:$P$1))))*0.6 
+
0.3"),0.732)</f>
        <v>0.73199999999999998</v>
      </c>
      <c r="N34" s="46">
        <v>92</v>
      </c>
      <c r="O34" s="44">
        <v>92</v>
      </c>
      <c r="P34" s="45">
        <f ca="1">IFERROR(__xludf.DUMMYFUNCTION("SUM( FILTER(C34:P34, ISNUMBER(SEARCH(""Practice"", $C$1:$P$1)) ) )  / 
  SUM( FILTER(C$77:P$77, ISNUMBER(SEARCH(""Practice"", $C$1:$P$1))))*0.1
+
SUM( FILTER(C34:P34, ISNUMBER(SEARCH(""After RETAKE"", $C$1:$P$1)) ) ) 
  / 
  SUM( FILTER(C$77:P$77, ISNUMBE"&amp;"R(SEARCH(""BEFORE RETAKE"", $C$1:$P$1))))*0.6 
+
0.3"),0.852)</f>
        <v>0.85199999999999998</v>
      </c>
      <c r="Q34" s="44">
        <v>1</v>
      </c>
      <c r="R34" s="44">
        <v>1</v>
      </c>
      <c r="S34" s="44">
        <v>5</v>
      </c>
      <c r="T34" s="44">
        <v>50</v>
      </c>
      <c r="U34" s="44">
        <v>92</v>
      </c>
      <c r="V34" s="45">
        <f ca="1">IFERROR(__xludf.DUMMYFUNCTION("SUM( FILTER(C34:X34, ISNUMBER(SEARCH(""Practice"", $C$1:$X$1)) ) )  / 
  SUM( FILTER(C$77:X$77, ISNUMBER(SEARCH(""Practice"", $C$1:$X$1))))*0.1
+
(SUM( FILTER(C34:P34, ISNUMBER(SEARCH(""After RETAKE"", $C$1:$P$1)) ) ) +
SUM( FILTER(P34:X34, ISNUMBER(SEARC"&amp;"H(""Before RETAKE"", $P$1:$X$1)) ) )
)  / 
  SUM( FILTER(C$77:X$77, ISNUMBER(SEARCH(""BEFORE RETAKE"", $C$1:$X$1))))*0.6 
+
0.3"),0.900305084745762)</f>
        <v>0.90030508474576199</v>
      </c>
      <c r="W34" s="46" t="s">
        <v>462</v>
      </c>
      <c r="X34" s="44">
        <v>92</v>
      </c>
      <c r="Y34" s="45">
        <f ca="1">IFERROR(__xludf.DUMMYFUNCTION("SUM( FILTER(C34:X34, ISNUMBER(SEARCH(""Practice"", $C$1:$X$1)) ) )  / 
  SUM( FILTER(C$77:X$77, ISNUMBER(SEARCH(""Practice"", $C$1:$X$1))))*0.1
+
(SUM( FILTER(C34:P34, ISNUMBER(SEARCH(""After RETAKE"", $C$1:$P$1)) ) ) +
SUM( FILTER(Q34:X34, ISNUMBER(SEARC"&amp;"H(""After RETAKE"", $Q$1:$X$1)) ) )
)  / 
  SUM( FILTER(C$77:X$77, ISNUMBER(SEARCH(""BEFORE RETAKE"", $C$1:$X$1))))*0.6 
+
0.3"),0.900305084745762)</f>
        <v>0.90030508474576199</v>
      </c>
      <c r="Z34" s="44">
        <v>5</v>
      </c>
      <c r="AA34" s="44">
        <v>5</v>
      </c>
      <c r="AB34" s="44">
        <v>5</v>
      </c>
      <c r="AC34" s="44">
        <v>5</v>
      </c>
      <c r="AD34" s="44">
        <v>5</v>
      </c>
      <c r="AE34" s="44">
        <v>5</v>
      </c>
      <c r="AF34" s="44">
        <v>50</v>
      </c>
      <c r="AG34" s="44">
        <v>72</v>
      </c>
      <c r="AH34" s="45">
        <f ca="1">IFERROR(__xludf.DUMMYFUNCTION("SUM( FILTER(C34:AJ34, ISNUMBER(SEARCH(""Practice"", $C$1:$AJ$1)) ) )  / 
  SUM( FILTER(C$77:AJ$77, ISNUMBER(SEARCH(""Practice"", $C$1:$AJ$1))))*0.1
+
(SUM( FILTER(C34:X34, ISNUMBER(SEARCH(""After RETAKE"", $C$1:$X$1)) ) ) +
SUM( FILTER(X34:AJ34, ISNUMBER("&amp;"SEARCH(""Before RETAKE"", $X$1:$AJ$1)) ) )
)  / 
  SUM( FILTER(C$77:AJ$77, ISNUMBER(SEARCH(""BEFORE RETAKE"", $C$1:$AJ$1))))*0.6 
+
0.3"),0.881191919191919)</f>
        <v>0.88119191919191897</v>
      </c>
      <c r="AI34" s="46">
        <v>92</v>
      </c>
      <c r="AJ34" s="44">
        <v>92</v>
      </c>
      <c r="AK34" s="45">
        <f ca="1">IFERROR(__xludf.DUMMYFUNCTION("SUM( FILTER(C34:AK34, ISNUMBER(SEARCH(""Practice"", $C$1:$AK$1)) ) )  / 
  SUM( FILTER(C$77:AK$77, ISNUMBER(SEARCH(""Practice"", $C$1:$AK$1))))*0.1
+
(SUM( FILTER(C34:P34, ISNUMBER(SEARCH(""After RETAKE"", $C$1:$P$1)) ) ) +
SUM( FILTER(P34:AK34, ISNUMBER("&amp;"SEARCH(""After RETAKE"", $P$1:$AK$1)) ) )
)  / 
  SUM( FILTER(C$77:AK$77, ISNUMBER(SEARCH(""BEFORE RETAKE"", $C$1:$AK$1))))*0.6 
+
0.3"),0.921191919191919)</f>
        <v>0.92119191919191901</v>
      </c>
      <c r="AL34" s="45">
        <v>0.95</v>
      </c>
      <c r="AM34" s="21">
        <f t="shared" si="0"/>
        <v>0</v>
      </c>
      <c r="AN34" s="21">
        <f t="shared" si="1"/>
        <v>0</v>
      </c>
      <c r="AO34" s="21">
        <f t="shared" si="2"/>
        <v>0</v>
      </c>
      <c r="AP34" s="20">
        <f t="shared" si="3"/>
        <v>78.666666666666671</v>
      </c>
      <c r="AQ34" s="20">
        <f t="shared" si="4"/>
        <v>92</v>
      </c>
      <c r="AR34" s="47">
        <f ca="1">IFERROR(__xludf.DUMMYFUNCTION("SUM( FILTER(C34:AK34, ISNUMBER(SEARCH(""Practice"", $C$1:$AK$1)) ) )  / 
  SUM( FILTER(C$77:AK$77, ISNUMBER(SEARCH(""Practice"", $C$1:$AK$1))))*0.1
+
(SUM( FILTER(C34:P34, ISNUMBER(SEARCH(""before RETAKE"", $C$1:$P$1)) ) ) +
SUM( FILTER(P34:AK34, ISNUMBER"&amp;"(SEARCH(""before RETAKE"", $P$1:$AK$1)) ) )
)  / 
  SUM( FILTER(C$77:AK$77, ISNUMBER(SEARCH(""BEFORE RETAKE"", $C$1:$AK$1))))*0.6 
+
0.3*AL34"),0.826191919191919)</f>
        <v>0.82619191919191903</v>
      </c>
      <c r="AS34" s="47">
        <f ca="1">IFERROR(__xludf.DUMMYFUNCTION("SUM( FILTER(C34:AK34, ISNUMBER(SEARCH(""Practice"", $C$1:$AK$1)) ) )  / 
  SUM( FILTER(C$77:AK$77, ISNUMBER(SEARCH(""Practice"", $C$1:$AK$1))))*0.1
+
(SUM( FILTER(C34:P34, ISNUMBER(SEARCH(""after RETAKE"", $C$1:$P$1)) ) ) +
SUM( FILTER(P34:AK34, ISNUMBER("&amp;"SEARCH(""after RETAKE"", $P$1:$AK$1)) ) )
)  / 
  SUM( FILTER(C$77:AK$77, ISNUMBER(SEARCH(""BEFORE RETAKE"", $C$1:$AK$1))))*0.6 
+
0.3*AL34"),0.906191919191919)</f>
        <v>0.90619191919191899</v>
      </c>
      <c r="AT34" s="47">
        <v>0.90619191919999997</v>
      </c>
      <c r="AU34" s="48">
        <f t="shared" si="5"/>
        <v>0.69191919191919193</v>
      </c>
      <c r="AV34" s="21">
        <v>0</v>
      </c>
      <c r="AW34" s="20">
        <f t="shared" si="6"/>
        <v>50</v>
      </c>
    </row>
    <row r="35" spans="1:49" ht="15" customHeight="1" x14ac:dyDescent="0.2">
      <c r="A35" s="18" t="s">
        <v>186</v>
      </c>
      <c r="B35" s="18" t="s">
        <v>461</v>
      </c>
      <c r="C35" s="43" t="s">
        <v>9</v>
      </c>
      <c r="D35" s="44" t="s">
        <v>150</v>
      </c>
      <c r="E35" s="44" t="s">
        <v>150</v>
      </c>
      <c r="F35" s="44" t="s">
        <v>150</v>
      </c>
      <c r="G35" s="44" t="s">
        <v>150</v>
      </c>
      <c r="H35" s="44" t="s">
        <v>150</v>
      </c>
      <c r="I35" s="44" t="s">
        <v>150</v>
      </c>
      <c r="J35" s="44" t="s">
        <v>150</v>
      </c>
      <c r="K35" s="44" t="s">
        <v>150</v>
      </c>
      <c r="L35" s="44">
        <v>75</v>
      </c>
      <c r="M35" s="45">
        <f ca="1">IFERROR(__xludf.DUMMYFUNCTION("SUM( FILTER(C35:P35, ISNUMBER(SEARCH(""Practice"", $C$1:$P$1)) ) )  / 
  SUM( FILTER(C$77:P$77, ISNUMBER(SEARCH(""Practice"", $C$1:$P$1))))*0.1
+
SUM( FILTER(C35:P35, ISNUMBER(SEARCH(""BEFORE RETAKE"", $C$1:$P$1)) ) ) 
  / 
  SUM( FILTER(C$77:P$77, ISNUMB"&amp;"ER(SEARCH(""BEFORE RETAKE"", $C$1:$P$1))))*0.6 
+
0.3"),0.75)</f>
        <v>0.75</v>
      </c>
      <c r="N35" s="46" t="s">
        <v>462</v>
      </c>
      <c r="O35" s="44">
        <v>75</v>
      </c>
      <c r="P35" s="45">
        <f ca="1">IFERROR(__xludf.DUMMYFUNCTION("SUM( FILTER(C35:P35, ISNUMBER(SEARCH(""Practice"", $C$1:$P$1)) ) )  / 
  SUM( FILTER(C$77:P$77, ISNUMBER(SEARCH(""Practice"", $C$1:$P$1))))*0.1
+
SUM( FILTER(C35:P35, ISNUMBER(SEARCH(""After RETAKE"", $C$1:$P$1)) ) ) 
  / 
  SUM( FILTER(C$77:P$77, ISNUMBE"&amp;"R(SEARCH(""BEFORE RETAKE"", $C$1:$P$1))))*0.6 
+
0.3"),0.75)</f>
        <v>0.75</v>
      </c>
      <c r="Q35" s="44">
        <v>0</v>
      </c>
      <c r="R35" s="44">
        <v>0</v>
      </c>
      <c r="S35" s="44">
        <v>5</v>
      </c>
      <c r="T35" s="44">
        <v>27</v>
      </c>
      <c r="U35" s="44">
        <v>82</v>
      </c>
      <c r="V35" s="45">
        <f ca="1">IFERROR(__xludf.DUMMYFUNCTION("SUM( FILTER(C35:X35, ISNUMBER(SEARCH(""Practice"", $C$1:$X$1)) ) )  / 
  SUM( FILTER(C$77:X$77, ISNUMBER(SEARCH(""Practice"", $C$1:$X$1))))*0.1
+
(SUM( FILTER(C35:P35, ISNUMBER(SEARCH(""After RETAKE"", $C$1:$P$1)) ) ) +
SUM( FILTER(P35:X35, ISNUMBER(SEARC"&amp;"H(""Before RETAKE"", $P$1:$X$1)) ) )
)  / 
  SUM( FILTER(C$77:X$77, ISNUMBER(SEARCH(""BEFORE RETAKE"", $C$1:$X$1))))*0.6 
+
0.3"),0.798118644067796)</f>
        <v>0.79811864406779598</v>
      </c>
      <c r="W35" s="46" t="s">
        <v>462</v>
      </c>
      <c r="X35" s="44">
        <v>82</v>
      </c>
      <c r="Y35" s="45">
        <f ca="1">IFERROR(__xludf.DUMMYFUNCTION("SUM( FILTER(C35:X35, ISNUMBER(SEARCH(""Practice"", $C$1:$X$1)) ) )  / 
  SUM( FILTER(C$77:X$77, ISNUMBER(SEARCH(""Practice"", $C$1:$X$1))))*0.1
+
(SUM( FILTER(C35:P35, ISNUMBER(SEARCH(""After RETAKE"", $C$1:$P$1)) ) ) +
SUM( FILTER(Q35:X35, ISNUMBER(SEARC"&amp;"H(""After RETAKE"", $Q$1:$X$1)) ) )
)  / 
  SUM( FILTER(C$77:X$77, ISNUMBER(SEARCH(""BEFORE RETAKE"", $C$1:$X$1))))*0.6 
+
0.3"),0.798118644067796)</f>
        <v>0.79811864406779598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25</v>
      </c>
      <c r="AG35" s="44">
        <v>75</v>
      </c>
      <c r="AH35" s="45">
        <f ca="1">IFERROR(__xludf.DUMMYFUNCTION("SUM( FILTER(C35:AJ35, ISNUMBER(SEARCH(""Practice"", $C$1:$AJ$1)) ) )  / 
  SUM( FILTER(C$77:AJ$77, ISNUMBER(SEARCH(""Practice"", $C$1:$AJ$1))))*0.1
+
(SUM( FILTER(C35:X35, ISNUMBER(SEARCH(""After RETAKE"", $C$1:$X$1)) ) ) +
SUM( FILTER(X35:AJ35, ISNUMBER("&amp;"SEARCH(""Before RETAKE"", $X$1:$AJ$1)) ) )
)  / 
  SUM( FILTER(C$77:AJ$77, ISNUMBER(SEARCH(""BEFORE RETAKE"", $C$1:$AJ$1))))*0.6 
+
0.3"),0.792787878787878)</f>
        <v>0.79278787878787804</v>
      </c>
      <c r="AI35" s="46" t="s">
        <v>462</v>
      </c>
      <c r="AJ35" s="44">
        <v>75</v>
      </c>
      <c r="AK35" s="45">
        <f ca="1">IFERROR(__xludf.DUMMYFUNCTION("SUM( FILTER(C35:AK35, ISNUMBER(SEARCH(""Practice"", $C$1:$AK$1)) ) )  / 
  SUM( FILTER(C$77:AK$77, ISNUMBER(SEARCH(""Practice"", $C$1:$AK$1))))*0.1
+
(SUM( FILTER(C35:P35, ISNUMBER(SEARCH(""After RETAKE"", $C$1:$P$1)) ) ) +
SUM( FILTER(P35:AK35, ISNUMBER("&amp;"SEARCH(""After RETAKE"", $P$1:$AK$1)) ) )
)  / 
  SUM( FILTER(C$77:AK$77, ISNUMBER(SEARCH(""BEFORE RETAKE"", $C$1:$AK$1))))*0.6 
+
0.3"),0.792787878787878)</f>
        <v>0.79278787878787804</v>
      </c>
      <c r="AL35" s="45">
        <v>0.65</v>
      </c>
      <c r="AM35" s="21">
        <f t="shared" si="0"/>
        <v>0</v>
      </c>
      <c r="AN35" s="21">
        <f t="shared" si="1"/>
        <v>2</v>
      </c>
      <c r="AO35" s="21">
        <f t="shared" si="2"/>
        <v>6</v>
      </c>
      <c r="AP35" s="20">
        <f t="shared" si="3"/>
        <v>77.333333333333329</v>
      </c>
      <c r="AQ35" s="20">
        <f t="shared" si="4"/>
        <v>77.333333333333329</v>
      </c>
      <c r="AR35" s="47">
        <f ca="1">IFERROR(__xludf.DUMMYFUNCTION("SUM( FILTER(C35:AK35, ISNUMBER(SEARCH(""Practice"", $C$1:$AK$1)) ) )  / 
  SUM( FILTER(C$77:AK$77, ISNUMBER(SEARCH(""Practice"", $C$1:$AK$1))))*0.1
+
(SUM( FILTER(C35:P35, ISNUMBER(SEARCH(""before RETAKE"", $C$1:$P$1)) ) ) +
SUM( FILTER(P35:AK35, ISNUMBER"&amp;"(SEARCH(""before RETAKE"", $P$1:$AK$1)) ) )
)  / 
  SUM( FILTER(C$77:AK$77, ISNUMBER(SEARCH(""BEFORE RETAKE"", $C$1:$AK$1))))*0.6 
+
0.3*AL35"),0.687787878787878)</f>
        <v>0.68778787878787795</v>
      </c>
      <c r="AS35" s="47">
        <f ca="1">IFERROR(__xludf.DUMMYFUNCTION("SUM( FILTER(C35:AK35, ISNUMBER(SEARCH(""Practice"", $C$1:$AK$1)) ) )  / 
  SUM( FILTER(C$77:AK$77, ISNUMBER(SEARCH(""Practice"", $C$1:$AK$1))))*0.1
+
(SUM( FILTER(C35:P35, ISNUMBER(SEARCH(""after RETAKE"", $C$1:$P$1)) ) ) +
SUM( FILTER(P35:AK35, ISNUMBER("&amp;"SEARCH(""after RETAKE"", $P$1:$AK$1)) ) )
)  / 
  SUM( FILTER(C$77:AK$77, ISNUMBER(SEARCH(""BEFORE RETAKE"", $C$1:$AK$1))))*0.6 
+
0.3*AL35"),0.687787878787878)</f>
        <v>0.68778787878787795</v>
      </c>
      <c r="AT35" s="47">
        <v>0.69478787880000004</v>
      </c>
      <c r="AU35" s="48">
        <f t="shared" si="5"/>
        <v>0.2878787878787879</v>
      </c>
      <c r="AV35" s="21">
        <v>8</v>
      </c>
      <c r="AW35" s="20">
        <f t="shared" si="6"/>
        <v>26</v>
      </c>
    </row>
    <row r="36" spans="1:49" ht="15" customHeight="1" x14ac:dyDescent="0.2">
      <c r="A36" s="18" t="s">
        <v>188</v>
      </c>
      <c r="B36" s="18" t="s">
        <v>461</v>
      </c>
      <c r="C36" s="43" t="s">
        <v>9</v>
      </c>
      <c r="D36" s="44">
        <v>1</v>
      </c>
      <c r="E36" s="44">
        <v>1</v>
      </c>
      <c r="F36" s="44">
        <v>1</v>
      </c>
      <c r="G36" s="44">
        <v>1</v>
      </c>
      <c r="H36" s="44">
        <v>1</v>
      </c>
      <c r="I36" s="44">
        <v>0</v>
      </c>
      <c r="J36" s="44">
        <v>5</v>
      </c>
      <c r="K36" s="44">
        <v>48</v>
      </c>
      <c r="L36" s="44">
        <v>73</v>
      </c>
      <c r="M36" s="45">
        <f ca="1">IFERROR(__xludf.DUMMYFUNCTION("SUM( FILTER(C36:P36, ISNUMBER(SEARCH(""Practice"", $C$1:$P$1)) ) )  / 
  SUM( FILTER(C$77:P$77, ISNUMBER(SEARCH(""Practice"", $C$1:$P$1))))*0.1
+
SUM( FILTER(C36:P36, ISNUMBER(SEARCH(""BEFORE RETAKE"", $C$1:$P$1)) ) ) 
  / 
  SUM( FILTER(C$77:P$77, ISNUMB"&amp;"ER(SEARCH(""BEFORE RETAKE"", $C$1:$P$1))))*0.6 
+
0.3"),0.833081967213114)</f>
        <v>0.83308196721311401</v>
      </c>
      <c r="N36" s="46">
        <v>68</v>
      </c>
      <c r="O36" s="44">
        <v>73</v>
      </c>
      <c r="P36" s="45">
        <f ca="1">IFERROR(__xludf.DUMMYFUNCTION("SUM( FILTER(C36:P36, ISNUMBER(SEARCH(""Practice"", $C$1:$P$1)) ) )  / 
  SUM( FILTER(C$77:P$77, ISNUMBER(SEARCH(""Practice"", $C$1:$P$1))))*0.1
+
SUM( FILTER(C36:P36, ISNUMBER(SEARCH(""After RETAKE"", $C$1:$P$1)) ) ) 
  / 
  SUM( FILTER(C$77:P$77, ISNUMBE"&amp;"R(SEARCH(""BEFORE RETAKE"", $C$1:$P$1))))*0.6 
+
0.3"),0.833081967213114)</f>
        <v>0.83308196721311401</v>
      </c>
      <c r="Q36" s="44">
        <v>1</v>
      </c>
      <c r="R36" s="44">
        <v>1</v>
      </c>
      <c r="S36" s="44">
        <v>5</v>
      </c>
      <c r="T36" s="44">
        <v>50</v>
      </c>
      <c r="U36" s="44">
        <v>67</v>
      </c>
      <c r="V36" s="45">
        <f ca="1">IFERROR(__xludf.DUMMYFUNCTION("SUM( FILTER(C36:X36, ISNUMBER(SEARCH(""Practice"", $C$1:$X$1)) ) )  / 
  SUM( FILTER(C$77:X$77, ISNUMBER(SEARCH(""Practice"", $C$1:$X$1))))*0.1
+
(SUM( FILTER(C36:P36, ISNUMBER(SEARCH(""After RETAKE"", $C$1:$P$1)) ) ) +
SUM( FILTER(P36:X36, ISNUMBER(SEARC"&amp;"H(""Before RETAKE"", $P$1:$X$1)) ) )
)  / 
  SUM( FILTER(C$77:X$77, ISNUMBER(SEARCH(""BEFORE RETAKE"", $C$1:$X$1))))*0.6 
+
0.3"),0.817457627118644)</f>
        <v>0.817457627118644</v>
      </c>
      <c r="W36" s="46">
        <v>68</v>
      </c>
      <c r="X36" s="44">
        <v>68</v>
      </c>
      <c r="Y36" s="45">
        <f ca="1">IFERROR(__xludf.DUMMYFUNCTION("SUM( FILTER(C36:X36, ISNUMBER(SEARCH(""Practice"", $C$1:$X$1)) ) )  / 
  SUM( FILTER(C$77:X$77, ISNUMBER(SEARCH(""Practice"", $C$1:$X$1))))*0.1
+
(SUM( FILTER(C36:P36, ISNUMBER(SEARCH(""After RETAKE"", $C$1:$P$1)) ) ) +
SUM( FILTER(Q36:X36, ISNUMBER(SEARC"&amp;"H(""After RETAKE"", $Q$1:$X$1)) ) )
)  / 
  SUM( FILTER(C$77:X$77, ISNUMBER(SEARCH(""BEFORE RETAKE"", $C$1:$X$1))))*0.6 
+
0.3"),0.820457627118644)</f>
        <v>0.82045762711864401</v>
      </c>
      <c r="Z36" s="44">
        <v>5</v>
      </c>
      <c r="AA36" s="44">
        <v>5</v>
      </c>
      <c r="AB36" s="44">
        <v>5</v>
      </c>
      <c r="AC36" s="44">
        <v>5</v>
      </c>
      <c r="AD36" s="44">
        <v>5</v>
      </c>
      <c r="AE36" s="44">
        <v>0</v>
      </c>
      <c r="AF36" s="44">
        <v>50</v>
      </c>
      <c r="AG36" s="44">
        <v>62</v>
      </c>
      <c r="AH36" s="45">
        <f ca="1">IFERROR(__xludf.DUMMYFUNCTION("SUM( FILTER(C36:AJ36, ISNUMBER(SEARCH(""Practice"", $C$1:$AJ$1)) ) )  / 
  SUM( FILTER(C$77:AJ$77, ISNUMBER(SEARCH(""Practice"", $C$1:$AJ$1))))*0.1
+
(SUM( FILTER(C36:X36, ISNUMBER(SEARCH(""After RETAKE"", $C$1:$X$1)) ) ) +
SUM( FILTER(X36:AJ36, ISNUMBER("&amp;"SEARCH(""Before RETAKE"", $X$1:$AJ$1)) ) )
)  / 
  SUM( FILTER(C$77:AJ$77, ISNUMBER(SEARCH(""BEFORE RETAKE"", $C$1:$AJ$1))))*0.6 
+
0.3"),0.801959595959596)</f>
        <v>0.80195959595959598</v>
      </c>
      <c r="AI36" s="46">
        <v>72</v>
      </c>
      <c r="AJ36" s="44">
        <v>72</v>
      </c>
      <c r="AK36" s="45">
        <f ca="1">IFERROR(__xludf.DUMMYFUNCTION("SUM( FILTER(C36:AK36, ISNUMBER(SEARCH(""Practice"", $C$1:$AK$1)) ) )  / 
  SUM( FILTER(C$77:AK$77, ISNUMBER(SEARCH(""Practice"", $C$1:$AK$1))))*0.1
+
(SUM( FILTER(C36:P36, ISNUMBER(SEARCH(""After RETAKE"", $C$1:$P$1)) ) ) +
SUM( FILTER(P36:AK36, ISNUMBER("&amp;"SEARCH(""After RETAKE"", $P$1:$AK$1)) ) )
)  / 
  SUM( FILTER(C$77:AK$77, ISNUMBER(SEARCH(""BEFORE RETAKE"", $C$1:$AK$1))))*0.6 
+
0.3"),0.821959595959596)</f>
        <v>0.821959595959596</v>
      </c>
      <c r="AL36" s="45">
        <v>0.62</v>
      </c>
      <c r="AM36" s="21">
        <f t="shared" si="0"/>
        <v>1</v>
      </c>
      <c r="AN36" s="21">
        <f t="shared" si="1"/>
        <v>0</v>
      </c>
      <c r="AO36" s="21">
        <f t="shared" si="2"/>
        <v>1</v>
      </c>
      <c r="AP36" s="20">
        <f t="shared" si="3"/>
        <v>67.333333333333329</v>
      </c>
      <c r="AQ36" s="20">
        <f t="shared" si="4"/>
        <v>71</v>
      </c>
      <c r="AR36" s="47">
        <f ca="1">IFERROR(__xludf.DUMMYFUNCTION("SUM( FILTER(C36:AK36, ISNUMBER(SEARCH(""Practice"", $C$1:$AK$1)) ) )  / 
  SUM( FILTER(C$77:AK$77, ISNUMBER(SEARCH(""Practice"", $C$1:$AK$1))))*0.1
+
(SUM( FILTER(C36:P36, ISNUMBER(SEARCH(""before RETAKE"", $C$1:$P$1)) ) ) +
SUM( FILTER(P36:AK36, ISNUMBER"&amp;"(SEARCH(""before RETAKE"", $P$1:$AK$1)) ) )
)  / 
  SUM( FILTER(C$77:AK$77, ISNUMBER(SEARCH(""BEFORE RETAKE"", $C$1:$AK$1))))*0.6 
+
0.3*AL36"),0.685959595959595)</f>
        <v>0.68595959595959499</v>
      </c>
      <c r="AS36" s="47">
        <f ca="1">IFERROR(__xludf.DUMMYFUNCTION("SUM( FILTER(C36:AK36, ISNUMBER(SEARCH(""Practice"", $C$1:$AK$1)) ) )  / 
  SUM( FILTER(C$77:AK$77, ISNUMBER(SEARCH(""Practice"", $C$1:$AK$1))))*0.1
+
(SUM( FILTER(C36:P36, ISNUMBER(SEARCH(""after RETAKE"", $C$1:$P$1)) ) ) +
SUM( FILTER(P36:AK36, ISNUMBER("&amp;"SEARCH(""after RETAKE"", $P$1:$AK$1)) ) )
)  / 
  SUM( FILTER(C$77:AK$77, ISNUMBER(SEARCH(""BEFORE RETAKE"", $C$1:$AK$1))))*0.6 
+
0.3*AL36"),0.707959595959595)</f>
        <v>0.70795959595959501</v>
      </c>
      <c r="AT36" s="47">
        <v>0.71695959600000003</v>
      </c>
      <c r="AU36" s="48">
        <f t="shared" si="5"/>
        <v>0.95959595959595956</v>
      </c>
      <c r="AV36" s="21">
        <v>2</v>
      </c>
      <c r="AW36" s="20">
        <f t="shared" si="6"/>
        <v>49.333333333333336</v>
      </c>
    </row>
    <row r="37" spans="1:49" ht="15" customHeight="1" x14ac:dyDescent="0.2">
      <c r="A37" s="18" t="s">
        <v>739</v>
      </c>
      <c r="B37" s="18" t="s">
        <v>464</v>
      </c>
      <c r="C37" s="43" t="s">
        <v>8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5</v>
      </c>
      <c r="K37" s="44">
        <v>44</v>
      </c>
      <c r="L37" s="44">
        <v>88</v>
      </c>
      <c r="M37" s="45">
        <f ca="1">IFERROR(__xludf.DUMMYFUNCTION("SUM( FILTER(C37:P37, ISNUMBER(SEARCH(""Practice"", $C$1:$P$1)) ) )  / 
  SUM( FILTER(C$77:P$77, ISNUMBER(SEARCH(""Practice"", $C$1:$P$1))))*0.1
+
SUM( FILTER(C37:P37, ISNUMBER(SEARCH(""BEFORE RETAKE"", $C$1:$P$1)) ) ) 
  / 
  SUM( FILTER(C$77:P$77, ISNUMB"&amp;"ER(SEARCH(""BEFORE RETAKE"", $C$1:$P$1))))*0.6 
+
0.3"),0.908327868852459)</f>
        <v>0.90832786885245898</v>
      </c>
      <c r="N37" s="46" t="s">
        <v>462</v>
      </c>
      <c r="O37" s="44">
        <v>88</v>
      </c>
      <c r="P37" s="45">
        <f ca="1">IFERROR(__xludf.DUMMYFUNCTION("SUM( FILTER(C37:P37, ISNUMBER(SEARCH(""Practice"", $C$1:$P$1)) ) )  / 
  SUM( FILTER(C$77:P$77, ISNUMBER(SEARCH(""Practice"", $C$1:$P$1))))*0.1
+
SUM( FILTER(C37:P37, ISNUMBER(SEARCH(""After RETAKE"", $C$1:$P$1)) ) ) 
  / 
  SUM( FILTER(C$77:P$77, ISNUMBE"&amp;"R(SEARCH(""BEFORE RETAKE"", $C$1:$P$1))))*0.6 
+
0.3"),0.908327868852459)</f>
        <v>0.90832786885245898</v>
      </c>
      <c r="Q37" s="44">
        <v>0</v>
      </c>
      <c r="R37" s="44">
        <v>1</v>
      </c>
      <c r="S37" s="44">
        <v>5</v>
      </c>
      <c r="T37" s="44">
        <v>50</v>
      </c>
      <c r="U37" s="44">
        <v>93</v>
      </c>
      <c r="V37" s="45">
        <f ca="1">IFERROR(__xludf.DUMMYFUNCTION("SUM( FILTER(C37:X37, ISNUMBER(SEARCH(""Practice"", $C$1:$X$1)) ) )  / 
  SUM( FILTER(C$77:X$77, ISNUMBER(SEARCH(""Practice"", $C$1:$X$1))))*0.1
+
(SUM( FILTER(C37:P37, ISNUMBER(SEARCH(""After RETAKE"", $C$1:$P$1)) ) ) +
SUM( FILTER(P37:X37, ISNUMBER(SEARC"&amp;"H(""Before RETAKE"", $P$1:$X$1)) ) )
)  / 
  SUM( FILTER(C$77:X$77, ISNUMBER(SEARCH(""BEFORE RETAKE"", $C$1:$X$1))))*0.6 
+
0.3"),0.931983050847457)</f>
        <v>0.93198305084745703</v>
      </c>
      <c r="W37" s="46" t="s">
        <v>150</v>
      </c>
      <c r="X37" s="44">
        <v>93</v>
      </c>
      <c r="Y37" s="45">
        <f ca="1">IFERROR(__xludf.DUMMYFUNCTION("SUM( FILTER(C37:X37, ISNUMBER(SEARCH(""Practice"", $C$1:$X$1)) ) )  / 
  SUM( FILTER(C$77:X$77, ISNUMBER(SEARCH(""Practice"", $C$1:$X$1))))*0.1
+
(SUM( FILTER(C37:P37, ISNUMBER(SEARCH(""After RETAKE"", $C$1:$P$1)) ) ) +
SUM( FILTER(Q37:X37, ISNUMBER(SEARC"&amp;"H(""After RETAKE"", $Q$1:$X$1)) ) )
)  / 
  SUM( FILTER(C$77:X$77, ISNUMBER(SEARCH(""BEFORE RETAKE"", $C$1:$X$1))))*0.6 
+
0.3"),0.931983050847457)</f>
        <v>0.93198305084745703</v>
      </c>
      <c r="Z37" s="44">
        <v>5</v>
      </c>
      <c r="AA37" s="44">
        <v>5</v>
      </c>
      <c r="AB37" s="44">
        <v>5</v>
      </c>
      <c r="AC37" s="44">
        <v>0</v>
      </c>
      <c r="AD37" s="44">
        <v>0</v>
      </c>
      <c r="AE37" s="44">
        <v>0</v>
      </c>
      <c r="AF37" s="44">
        <v>50</v>
      </c>
      <c r="AG37" s="44">
        <v>88</v>
      </c>
      <c r="AH37" s="45">
        <f ca="1">IFERROR(__xludf.DUMMYFUNCTION("SUM( FILTER(C37:AJ37, ISNUMBER(SEARCH(""Practice"", $C$1:$AJ$1)) ) )  / 
  SUM( FILTER(C$77:AJ$77, ISNUMBER(SEARCH(""Practice"", $C$1:$AJ$1))))*0.1
+
(SUM( FILTER(C37:X37, ISNUMBER(SEARCH(""After RETAKE"", $C$1:$X$1)) ) ) +
SUM( FILTER(X37:AJ37, ISNUMBER("&amp;"SEARCH(""Before RETAKE"", $X$1:$AJ$1)) ) )
)  / 
  SUM( FILTER(C$77:AJ$77, ISNUMBER(SEARCH(""BEFORE RETAKE"", $C$1:$AJ$1))))*0.6 
+
0.3"),0.923858585858585)</f>
        <v>0.92385858585858505</v>
      </c>
      <c r="AI37" s="46">
        <v>95</v>
      </c>
      <c r="AJ37" s="44">
        <v>95</v>
      </c>
      <c r="AK37" s="45">
        <f ca="1">IFERROR(__xludf.DUMMYFUNCTION("SUM( FILTER(C37:AK37, ISNUMBER(SEARCH(""Practice"", $C$1:$AK$1)) ) )  / 
  SUM( FILTER(C$77:AK$77, ISNUMBER(SEARCH(""Practice"", $C$1:$AK$1))))*0.1
+
(SUM( FILTER(C37:P37, ISNUMBER(SEARCH(""After RETAKE"", $C$1:$P$1)) ) ) +
SUM( FILTER(P37:AK37, ISNUMBER("&amp;"SEARCH(""After RETAKE"", $P$1:$AK$1)) ) )
)  / 
  SUM( FILTER(C$77:AK$77, ISNUMBER(SEARCH(""BEFORE RETAKE"", $C$1:$AK$1))))*0.6 
+
0.3"),0.937858585858586)</f>
        <v>0.93785858585858595</v>
      </c>
      <c r="AL37" s="45">
        <v>0.92</v>
      </c>
      <c r="AM37" s="21">
        <f t="shared" si="0"/>
        <v>6</v>
      </c>
      <c r="AN37" s="21">
        <f t="shared" si="1"/>
        <v>1</v>
      </c>
      <c r="AO37" s="21">
        <f t="shared" si="2"/>
        <v>3</v>
      </c>
      <c r="AP37" s="20">
        <f t="shared" si="3"/>
        <v>89.666666666666671</v>
      </c>
      <c r="AQ37" s="20">
        <f t="shared" si="4"/>
        <v>92</v>
      </c>
      <c r="AR37" s="47">
        <f ca="1">IFERROR(__xludf.DUMMYFUNCTION("SUM( FILTER(C37:AK37, ISNUMBER(SEARCH(""Practice"", $C$1:$AK$1)) ) )  / 
  SUM( FILTER(C$77:AK$77, ISNUMBER(SEARCH(""Practice"", $C$1:$AK$1))))*0.1
+
(SUM( FILTER(C37:P37, ISNUMBER(SEARCH(""before RETAKE"", $C$1:$P$1)) ) ) +
SUM( FILTER(P37:AK37, ISNUMBER"&amp;"(SEARCH(""before RETAKE"", $P$1:$AK$1)) ) )
)  / 
  SUM( FILTER(C$77:AK$77, ISNUMBER(SEARCH(""BEFORE RETAKE"", $C$1:$AK$1))))*0.6 
+
0.3*AL37"),0.899858585858585)</f>
        <v>0.89985858585858503</v>
      </c>
      <c r="AS37" s="47">
        <f ca="1">IFERROR(__xludf.DUMMYFUNCTION("SUM( FILTER(C37:AK37, ISNUMBER(SEARCH(""Practice"", $C$1:$AK$1)) ) )  / 
  SUM( FILTER(C$77:AK$77, ISNUMBER(SEARCH(""Practice"", $C$1:$AK$1))))*0.1
+
(SUM( FILTER(C37:P37, ISNUMBER(SEARCH(""after RETAKE"", $C$1:$P$1)) ) ) +
SUM( FILTER(P37:AK37, ISNUMBER("&amp;"SEARCH(""after RETAKE"", $P$1:$AK$1)) ) )
)  / 
  SUM( FILTER(C$77:AK$77, ISNUMBER(SEARCH(""BEFORE RETAKE"", $C$1:$AK$1))))*0.6 
+
0.3*AL37"),0.913858585858585)</f>
        <v>0.91385858585858504</v>
      </c>
      <c r="AT37" s="47">
        <v>0.92585858590000003</v>
      </c>
      <c r="AU37" s="48">
        <f t="shared" si="5"/>
        <v>0.85858585858585856</v>
      </c>
      <c r="AV37" s="21">
        <v>10</v>
      </c>
      <c r="AW37" s="20">
        <f t="shared" si="6"/>
        <v>48</v>
      </c>
    </row>
    <row r="38" spans="1:49" ht="15" customHeight="1" x14ac:dyDescent="0.2">
      <c r="A38" s="22" t="s">
        <v>215</v>
      </c>
      <c r="B38" s="22" t="s">
        <v>461</v>
      </c>
      <c r="C38" s="49">
        <v>11</v>
      </c>
      <c r="D38" s="49">
        <v>1</v>
      </c>
      <c r="E38" s="49">
        <v>1</v>
      </c>
      <c r="F38" s="49">
        <v>0</v>
      </c>
      <c r="G38" s="49">
        <v>0</v>
      </c>
      <c r="H38" s="49">
        <v>0</v>
      </c>
      <c r="I38" s="49">
        <v>0</v>
      </c>
      <c r="J38" s="49">
        <v>5</v>
      </c>
      <c r="K38" s="49">
        <v>39</v>
      </c>
      <c r="L38" s="49">
        <v>72</v>
      </c>
      <c r="M38" s="45">
        <f ca="1">IFERROR(__xludf.DUMMYFUNCTION("SUM( FILTER(C38:P38, ISNUMBER(SEARCH(""Practice"", $C$1:$P$1)) ) )  / 
  SUM( FILTER(C$77:P$77, ISNUMBER(SEARCH(""Practice"", $C$1:$P$1))))*0.1
+
SUM( FILTER(C38:P38, ISNUMBER(SEARCH(""BEFORE RETAKE"", $C$1:$P$1)) ) ) 
  / 
  SUM( FILTER(C$77:P$77, ISNUMB"&amp;"ER(SEARCH(""BEFORE RETAKE"", $C$1:$P$1))))*0.6 
+
0.3"),0.807409836065573)</f>
        <v>0.80740983606557304</v>
      </c>
      <c r="N38" s="46" t="s">
        <v>462</v>
      </c>
      <c r="O38" s="49">
        <v>72</v>
      </c>
      <c r="P38" s="45">
        <f ca="1">IFERROR(__xludf.DUMMYFUNCTION("SUM( FILTER(C38:P38, ISNUMBER(SEARCH(""Practice"", $C$1:$P$1)) ) )  / 
  SUM( FILTER(C$77:P$77, ISNUMBER(SEARCH(""Practice"", $C$1:$P$1))))*0.1
+
SUM( FILTER(C38:P38, ISNUMBER(SEARCH(""After RETAKE"", $C$1:$P$1)) ) ) 
  / 
  SUM( FILTER(C$77:P$77, ISNUMBE"&amp;"R(SEARCH(""BEFORE RETAKE"", $C$1:$P$1))))*0.6 
+
0.3"),0.807409836065573)</f>
        <v>0.80740983606557304</v>
      </c>
      <c r="Q38" s="49">
        <v>1</v>
      </c>
      <c r="R38" s="49">
        <v>0</v>
      </c>
      <c r="S38" s="49">
        <v>0</v>
      </c>
      <c r="T38" s="49">
        <v>42</v>
      </c>
      <c r="U38" s="49">
        <v>68</v>
      </c>
      <c r="V38" s="45">
        <f ca="1">IFERROR(__xludf.DUMMYFUNCTION("SUM( FILTER(C38:X38, ISNUMBER(SEARCH(""Practice"", $C$1:$X$1)) ) )  / 
  SUM( FILTER(C$77:X$77, ISNUMBER(SEARCH(""Practice"", $C$1:$X$1))))*0.1
+
(SUM( FILTER(C38:P38, ISNUMBER(SEARCH(""After RETAKE"", $C$1:$P$1)) ) ) +
SUM( FILTER(P38:X38, ISNUMBER(SEARC"&amp;"H(""Before RETAKE"", $P$1:$X$1)) ) )
)  / 
  SUM( FILTER(C$77:X$77, ISNUMBER(SEARCH(""BEFORE RETAKE"", $C$1:$X$1))))*0.6 
+
0.3"),0.795423728813559)</f>
        <v>0.79542372881355905</v>
      </c>
      <c r="W38" s="46" t="s">
        <v>462</v>
      </c>
      <c r="X38" s="49">
        <v>68</v>
      </c>
      <c r="Y38" s="45">
        <f ca="1">IFERROR(__xludf.DUMMYFUNCTION("SUM( FILTER(C38:X38, ISNUMBER(SEARCH(""Practice"", $C$1:$X$1)) ) )  / 
  SUM( FILTER(C$77:X$77, ISNUMBER(SEARCH(""Practice"", $C$1:$X$1))))*0.1
+
(SUM( FILTER(C38:P38, ISNUMBER(SEARCH(""After RETAKE"", $C$1:$P$1)) ) ) +
SUM( FILTER(Q38:X38, ISNUMBER(SEARC"&amp;"H(""After RETAKE"", $Q$1:$X$1)) ) )
)  / 
  SUM( FILTER(C$77:X$77, ISNUMBER(SEARCH(""BEFORE RETAKE"", $C$1:$X$1))))*0.6 
+
0.3"),0.795423728813559)</f>
        <v>0.79542372881355905</v>
      </c>
      <c r="Z38" s="49">
        <v>5</v>
      </c>
      <c r="AA38" s="49">
        <v>5</v>
      </c>
      <c r="AB38" s="49">
        <v>5</v>
      </c>
      <c r="AC38" s="49">
        <v>5</v>
      </c>
      <c r="AD38" s="49">
        <v>0</v>
      </c>
      <c r="AE38" s="49">
        <v>0</v>
      </c>
      <c r="AF38" s="49">
        <v>50</v>
      </c>
      <c r="AG38" s="49">
        <v>72</v>
      </c>
      <c r="AH38" s="45">
        <f ca="1">IFERROR(__xludf.DUMMYFUNCTION("SUM( FILTER(C38:AJ38, ISNUMBER(SEARCH(""Practice"", $C$1:$AJ$1)) ) )  / 
  SUM( FILTER(C$77:AJ$77, ISNUMBER(SEARCH(""Practice"", $C$1:$AJ$1))))*0.1
+
(SUM( FILTER(C38:X38, ISNUMBER(SEARCH(""After RETAKE"", $C$1:$X$1)) ) ) +
SUM( FILTER(X38:AJ38, ISNUMBER("&amp;"SEARCH(""Before RETAKE"", $X$1:$AJ$1)) ) )
)  / 
  SUM( FILTER(C$77:AJ$77, ISNUMBER(SEARCH(""BEFORE RETAKE"", $C$1:$AJ$1))))*0.6 
+
0.3"),0.80430303030303)</f>
        <v>0.80430303030302996</v>
      </c>
      <c r="AI38" s="46" t="s">
        <v>462</v>
      </c>
      <c r="AJ38" s="49">
        <v>72</v>
      </c>
      <c r="AK38" s="45">
        <f ca="1">IFERROR(__xludf.DUMMYFUNCTION("SUM( FILTER(C38:AK38, ISNUMBER(SEARCH(""Practice"", $C$1:$AK$1)) ) )  / 
  SUM( FILTER(C$77:AK$77, ISNUMBER(SEARCH(""Practice"", $C$1:$AK$1))))*0.1
+
(SUM( FILTER(C38:P38, ISNUMBER(SEARCH(""After RETAKE"", $C$1:$P$1)) ) ) +
SUM( FILTER(P38:AK38, ISNUMBER("&amp;"SEARCH(""After RETAKE"", $P$1:$AK$1)) ) )
)  / 
  SUM( FILTER(C$77:AK$77, ISNUMBER(SEARCH(""BEFORE RETAKE"", $C$1:$AK$1))))*0.6 
+
0.3"),0.80430303030303)</f>
        <v>0.80430303030302996</v>
      </c>
      <c r="AL38" s="45">
        <v>0.62</v>
      </c>
      <c r="AM38" s="21">
        <f t="shared" si="0"/>
        <v>4</v>
      </c>
      <c r="AN38" s="21">
        <f t="shared" si="1"/>
        <v>2</v>
      </c>
      <c r="AO38" s="21">
        <f t="shared" si="2"/>
        <v>2</v>
      </c>
      <c r="AP38" s="23">
        <f t="shared" si="3"/>
        <v>70.666666666666671</v>
      </c>
      <c r="AQ38" s="23">
        <f t="shared" si="4"/>
        <v>70.666666666666671</v>
      </c>
      <c r="AR38" s="47">
        <f ca="1">IFERROR(__xludf.DUMMYFUNCTION("SUM( FILTER(C38:AK38, ISNUMBER(SEARCH(""Practice"", $C$1:$AK$1)) ) )  / 
  SUM( FILTER(C$77:AK$77, ISNUMBER(SEARCH(""Practice"", $C$1:$AK$1))))*0.1
+
(SUM( FILTER(C38:P38, ISNUMBER(SEARCH(""before RETAKE"", $C$1:$P$1)) ) ) +
SUM( FILTER(P38:AK38, ISNUMBER"&amp;"(SEARCH(""before RETAKE"", $P$1:$AK$1)) ) )
)  / 
  SUM( FILTER(C$77:AK$77, ISNUMBER(SEARCH(""BEFORE RETAKE"", $C$1:$AK$1))))*0.6 
+
0.3*AL38"),0.69030303030303)</f>
        <v>0.69030303030302997</v>
      </c>
      <c r="AS38" s="47">
        <f ca="1">IFERROR(__xludf.DUMMYFUNCTION("SUM( FILTER(C38:AK38, ISNUMBER(SEARCH(""Practice"", $C$1:$AK$1)) ) )  / 
  SUM( FILTER(C$77:AK$77, ISNUMBER(SEARCH(""Practice"", $C$1:$AK$1))))*0.1
+
(SUM( FILTER(C38:P38, ISNUMBER(SEARCH(""after RETAKE"", $C$1:$P$1)) ) ) +
SUM( FILTER(P38:AK38, ISNUMBER("&amp;"SEARCH(""after RETAKE"", $P$1:$AK$1)) ) )
)  / 
  SUM( FILTER(C$77:AK$77, ISNUMBER(SEARCH(""BEFORE RETAKE"", $C$1:$AK$1))))*0.6 
+
0.3*AL38"),0.69030303030303)</f>
        <v>0.69030303030302997</v>
      </c>
      <c r="AT38" s="47">
        <v>0.69830303029999996</v>
      </c>
      <c r="AU38" s="48">
        <f t="shared" si="5"/>
        <v>0.80303030303030298</v>
      </c>
      <c r="AV38" s="21">
        <v>8</v>
      </c>
      <c r="AW38" s="23">
        <f t="shared" si="6"/>
        <v>43.666666666666664</v>
      </c>
    </row>
    <row r="39" spans="1:49" ht="15" customHeight="1" x14ac:dyDescent="0.2">
      <c r="A39" s="22" t="s">
        <v>217</v>
      </c>
      <c r="B39" s="22" t="s">
        <v>461</v>
      </c>
      <c r="C39" s="49">
        <v>11</v>
      </c>
      <c r="D39" s="49">
        <v>1</v>
      </c>
      <c r="E39" s="49">
        <v>1</v>
      </c>
      <c r="F39" s="49">
        <v>0</v>
      </c>
      <c r="G39" s="49">
        <v>0</v>
      </c>
      <c r="H39" s="49">
        <v>0</v>
      </c>
      <c r="I39" s="49">
        <v>1</v>
      </c>
      <c r="J39" s="49">
        <v>5</v>
      </c>
      <c r="K39" s="49">
        <v>50</v>
      </c>
      <c r="L39" s="49">
        <v>78</v>
      </c>
      <c r="M39" s="45">
        <f ca="1">IFERROR(__xludf.DUMMYFUNCTION("SUM( FILTER(C39:P39, ISNUMBER(SEARCH(""Practice"", $C$1:$P$1)) ) )  / 
  SUM( FILTER(C$77:P$77, ISNUMBER(SEARCH(""Practice"", $C$1:$P$1))))*0.1
+
SUM( FILTER(C39:P39, ISNUMBER(SEARCH(""BEFORE RETAKE"", $C$1:$P$1)) ) ) 
  / 
  SUM( FILTER(C$77:P$77, ISNUMB"&amp;"ER(SEARCH(""BEFORE RETAKE"", $C$1:$P$1))))*0.6 
+
0.3"),0.863081967213114)</f>
        <v>0.86308196721311403</v>
      </c>
      <c r="N39" s="46" t="s">
        <v>462</v>
      </c>
      <c r="O39" s="49">
        <v>78</v>
      </c>
      <c r="P39" s="45">
        <f ca="1">IFERROR(__xludf.DUMMYFUNCTION("SUM( FILTER(C39:P39, ISNUMBER(SEARCH(""Practice"", $C$1:$P$1)) ) )  / 
  SUM( FILTER(C$77:P$77, ISNUMBER(SEARCH(""Practice"", $C$1:$P$1))))*0.1
+
SUM( FILTER(C39:P39, ISNUMBER(SEARCH(""After RETAKE"", $C$1:$P$1)) ) ) 
  / 
  SUM( FILTER(C$77:P$77, ISNUMBE"&amp;"R(SEARCH(""BEFORE RETAKE"", $C$1:$P$1))))*0.6 
+
0.3"),0.863081967213114)</f>
        <v>0.86308196721311403</v>
      </c>
      <c r="Q39" s="49">
        <v>0</v>
      </c>
      <c r="R39" s="49">
        <v>0</v>
      </c>
      <c r="S39" s="49">
        <v>5</v>
      </c>
      <c r="T39" s="49">
        <v>42</v>
      </c>
      <c r="U39" s="49">
        <v>85</v>
      </c>
      <c r="V39" s="45">
        <f ca="1">IFERROR(__xludf.DUMMYFUNCTION("SUM( FILTER(C39:X39, ISNUMBER(SEARCH(""Practice"", $C$1:$X$1)) ) )  / 
  SUM( FILTER(C$77:X$77, ISNUMBER(SEARCH(""Practice"", $C$1:$X$1))))*0.1
+
(SUM( FILTER(C39:P39, ISNUMBER(SEARCH(""After RETAKE"", $C$1:$P$1)) ) ) +
SUM( FILTER(P39:X39, ISNUMBER(SEARC"&amp;"H(""Before RETAKE"", $P$1:$X$1)) ) )
)  / 
  SUM( FILTER(C$77:X$77, ISNUMBER(SEARCH(""BEFORE RETAKE"", $C$1:$X$1))))*0.6 
+
0.3"),0.877983050847457)</f>
        <v>0.87798305084745698</v>
      </c>
      <c r="W39" s="46" t="s">
        <v>462</v>
      </c>
      <c r="X39" s="49">
        <v>85</v>
      </c>
      <c r="Y39" s="45">
        <f ca="1">IFERROR(__xludf.DUMMYFUNCTION("SUM( FILTER(C39:X39, ISNUMBER(SEARCH(""Practice"", $C$1:$X$1)) ) )  / 
  SUM( FILTER(C$77:X$77, ISNUMBER(SEARCH(""Practice"", $C$1:$X$1))))*0.1
+
(SUM( FILTER(C39:P39, ISNUMBER(SEARCH(""After RETAKE"", $C$1:$P$1)) ) ) +
SUM( FILTER(Q39:X39, ISNUMBER(SEARC"&amp;"H(""After RETAKE"", $Q$1:$X$1)) ) )
)  / 
  SUM( FILTER(C$77:X$77, ISNUMBER(SEARCH(""BEFORE RETAKE"", $C$1:$X$1))))*0.6 
+
0.3"),0.877983050847457)</f>
        <v>0.87798305084745698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48</v>
      </c>
      <c r="AG39" s="49">
        <v>88</v>
      </c>
      <c r="AH39" s="45">
        <f ca="1">IFERROR(__xludf.DUMMYFUNCTION("SUM( FILTER(C39:AJ39, ISNUMBER(SEARCH(""Practice"", $C$1:$AJ$1)) ) )  / 
  SUM( FILTER(C$77:AJ$77, ISNUMBER(SEARCH(""Practice"", $C$1:$AJ$1))))*0.1
+
(SUM( FILTER(C39:X39, ISNUMBER(SEARCH(""After RETAKE"", $C$1:$X$1)) ) ) +
SUM( FILTER(X39:AJ39, ISNUMBER("&amp;"SEARCH(""Before RETAKE"", $X$1:$AJ$1)) ) )
)  / 
  SUM( FILTER(C$77:AJ$77, ISNUMBER(SEARCH(""BEFORE RETAKE"", $C$1:$AJ$1))))*0.6 
+
0.3"),0.879272727272727)</f>
        <v>0.87927272727272698</v>
      </c>
      <c r="AI39" s="46" t="s">
        <v>462</v>
      </c>
      <c r="AJ39" s="49">
        <v>88</v>
      </c>
      <c r="AK39" s="45">
        <f ca="1">IFERROR(__xludf.DUMMYFUNCTION("SUM( FILTER(C39:AK39, ISNUMBER(SEARCH(""Practice"", $C$1:$AK$1)) ) )  / 
  SUM( FILTER(C$77:AK$77, ISNUMBER(SEARCH(""Practice"", $C$1:$AK$1))))*0.1
+
(SUM( FILTER(C39:P39, ISNUMBER(SEARCH(""After RETAKE"", $C$1:$P$1)) ) ) +
SUM( FILTER(P39:AK39, ISNUMBER("&amp;"SEARCH(""After RETAKE"", $P$1:$AK$1)) ) )
)  / 
  SUM( FILTER(C$77:AK$77, ISNUMBER(SEARCH(""BEFORE RETAKE"", $C$1:$AK$1))))*0.6 
+
0.3"),0.879272727272727)</f>
        <v>0.87927272727272698</v>
      </c>
      <c r="AL39" s="45">
        <v>0.72</v>
      </c>
      <c r="AM39" s="21">
        <f t="shared" si="0"/>
        <v>3</v>
      </c>
      <c r="AN39" s="21">
        <f t="shared" si="1"/>
        <v>2</v>
      </c>
      <c r="AO39" s="21">
        <f t="shared" si="2"/>
        <v>6</v>
      </c>
      <c r="AP39" s="23">
        <f t="shared" si="3"/>
        <v>83.666666666666671</v>
      </c>
      <c r="AQ39" s="23">
        <f t="shared" si="4"/>
        <v>83.666666666666671</v>
      </c>
      <c r="AR39" s="47">
        <f ca="1">IFERROR(__xludf.DUMMYFUNCTION("SUM( FILTER(C39:AK39, ISNUMBER(SEARCH(""Practice"", $C$1:$AK$1)) ) )  / 
  SUM( FILTER(C$77:AK$77, ISNUMBER(SEARCH(""Practice"", $C$1:$AK$1))))*0.1
+
(SUM( FILTER(C39:P39, ISNUMBER(SEARCH(""before RETAKE"", $C$1:$P$1)) ) ) +
SUM( FILTER(P39:AK39, ISNUMBER"&amp;"(SEARCH(""before RETAKE"", $P$1:$AK$1)) ) )
)  / 
  SUM( FILTER(C$77:AK$77, ISNUMBER(SEARCH(""BEFORE RETAKE"", $C$1:$AK$1))))*0.6 
+
0.3*AL39"),0.795272727272727)</f>
        <v>0.79527272727272702</v>
      </c>
      <c r="AS39" s="47">
        <f ca="1">IFERROR(__xludf.DUMMYFUNCTION("SUM( FILTER(C39:AK39, ISNUMBER(SEARCH(""Practice"", $C$1:$AK$1)) ) )  / 
  SUM( FILTER(C$77:AK$77, ISNUMBER(SEARCH(""Practice"", $C$1:$AK$1))))*0.1
+
(SUM( FILTER(C39:P39, ISNUMBER(SEARCH(""after RETAKE"", $C$1:$P$1)) ) ) +
SUM( FILTER(P39:AK39, ISNUMBER("&amp;"SEARCH(""after RETAKE"", $P$1:$AK$1)) ) )
)  / 
  SUM( FILTER(C$77:AK$77, ISNUMBER(SEARCH(""BEFORE RETAKE"", $C$1:$AK$1))))*0.6 
+
0.3*AL39"),0.795272727272727)</f>
        <v>0.79527272727272702</v>
      </c>
      <c r="AT39" s="47">
        <v>0.8122727273</v>
      </c>
      <c r="AU39" s="48">
        <f t="shared" si="5"/>
        <v>0.77272727272727271</v>
      </c>
      <c r="AV39" s="21">
        <v>11</v>
      </c>
      <c r="AW39" s="23">
        <f t="shared" si="6"/>
        <v>46.666666666666664</v>
      </c>
    </row>
    <row r="40" spans="1:49" ht="15" customHeight="1" x14ac:dyDescent="0.2">
      <c r="A40" s="22" t="s">
        <v>219</v>
      </c>
      <c r="B40" s="22" t="s">
        <v>464</v>
      </c>
      <c r="C40" s="49">
        <v>11</v>
      </c>
      <c r="D40" s="49">
        <v>0</v>
      </c>
      <c r="E40" s="49">
        <v>0</v>
      </c>
      <c r="F40" s="49">
        <v>0</v>
      </c>
      <c r="G40" s="49">
        <v>0</v>
      </c>
      <c r="H40" s="49">
        <v>0</v>
      </c>
      <c r="I40" s="49">
        <v>0</v>
      </c>
      <c r="J40" s="49">
        <v>5</v>
      </c>
      <c r="K40" s="49">
        <v>50</v>
      </c>
      <c r="L40" s="49">
        <v>82</v>
      </c>
      <c r="M40" s="45">
        <f ca="1">IFERROR(__xludf.DUMMYFUNCTION("SUM( FILTER(C40:P40, ISNUMBER(SEARCH(""Practice"", $C$1:$P$1)) ) )  / 
  SUM( FILTER(C$77:P$77, ISNUMBER(SEARCH(""Practice"", $C$1:$P$1))))*0.1
+
SUM( FILTER(C40:P40, ISNUMBER(SEARCH(""BEFORE RETAKE"", $C$1:$P$1)) ) ) 
  / 
  SUM( FILTER(C$77:P$77, ISNUMB"&amp;"ER(SEARCH(""BEFORE RETAKE"", $C$1:$P$1))))*0.6 
+
0.3"),0.882163934426229)</f>
        <v>0.88216393442622898</v>
      </c>
      <c r="N40" s="46" t="s">
        <v>462</v>
      </c>
      <c r="O40" s="49">
        <v>82</v>
      </c>
      <c r="P40" s="45">
        <f ca="1">IFERROR(__xludf.DUMMYFUNCTION("SUM( FILTER(C40:P40, ISNUMBER(SEARCH(""Practice"", $C$1:$P$1)) ) )  / 
  SUM( FILTER(C$77:P$77, ISNUMBER(SEARCH(""Practice"", $C$1:$P$1))))*0.1
+
SUM( FILTER(C40:P40, ISNUMBER(SEARCH(""After RETAKE"", $C$1:$P$1)) ) ) 
  / 
  SUM( FILTER(C$77:P$77, ISNUMBE"&amp;"R(SEARCH(""BEFORE RETAKE"", $C$1:$P$1))))*0.6 
+
0.3"),0.882163934426229)</f>
        <v>0.88216393442622898</v>
      </c>
      <c r="Q40" s="49">
        <v>0</v>
      </c>
      <c r="R40" s="49">
        <v>0</v>
      </c>
      <c r="S40" s="49">
        <v>5</v>
      </c>
      <c r="T40" s="49">
        <v>48.5</v>
      </c>
      <c r="U40" s="49">
        <v>62</v>
      </c>
      <c r="V40" s="45">
        <f ca="1">IFERROR(__xludf.DUMMYFUNCTION("SUM( FILTER(C40:X40, ISNUMBER(SEARCH(""Practice"", $C$1:$X$1)) ) )  / 
  SUM( FILTER(C$77:X$77, ISNUMBER(SEARCH(""Practice"", $C$1:$X$1))))*0.1
+
(SUM( FILTER(C40:P40, ISNUMBER(SEARCH(""After RETAKE"", $C$1:$P$1)) ) ) +
SUM( FILTER(P40:X40, ISNUMBER(SEARC"&amp;"H(""Before RETAKE"", $P$1:$X$1)) ) )
)  / 
  SUM( FILTER(C$77:X$77, ISNUMBER(SEARCH(""BEFORE RETAKE"", $C$1:$X$1))))*0.6 
+
0.3"),0.823949152542372)</f>
        <v>0.823949152542372</v>
      </c>
      <c r="W40" s="46" t="s">
        <v>462</v>
      </c>
      <c r="X40" s="49">
        <v>62</v>
      </c>
      <c r="Y40" s="45">
        <f ca="1">IFERROR(__xludf.DUMMYFUNCTION("SUM( FILTER(C40:X40, ISNUMBER(SEARCH(""Practice"", $C$1:$X$1)) ) )  / 
  SUM( FILTER(C$77:X$77, ISNUMBER(SEARCH(""Practice"", $C$1:$X$1))))*0.1
+
(SUM( FILTER(C40:P40, ISNUMBER(SEARCH(""After RETAKE"", $C$1:$P$1)) ) ) +
SUM( FILTER(Q40:X40, ISNUMBER(SEARC"&amp;"H(""After RETAKE"", $Q$1:$X$1)) ) )
)  / 
  SUM( FILTER(C$77:X$77, ISNUMBER(SEARCH(""BEFORE RETAKE"", $C$1:$X$1))))*0.6 
+
0.3"),0.823949152542372)</f>
        <v>0.823949152542372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43</v>
      </c>
      <c r="AG40" s="49">
        <v>62</v>
      </c>
      <c r="AH40" s="45">
        <f ca="1">IFERROR(__xludf.DUMMYFUNCTION("SUM( FILTER(C40:AJ40, ISNUMBER(SEARCH(""Practice"", $C$1:$AJ$1)) ) )  / 
  SUM( FILTER(C$77:AJ$77, ISNUMBER(SEARCH(""Practice"", $C$1:$AJ$1))))*0.1
+
(SUM( FILTER(C40:X40, ISNUMBER(SEARCH(""After RETAKE"", $C$1:$X$1)) ) ) +
SUM( FILTER(X40:AJ40, ISNUMBER("&amp;"SEARCH(""Before RETAKE"", $X$1:$AJ$1)) ) )
)  / 
  SUM( FILTER(C$77:AJ$77, ISNUMBER(SEARCH(""BEFORE RETAKE"", $C$1:$AJ$1))))*0.6 
+
0.3"),0.788515151515151)</f>
        <v>0.78851515151515095</v>
      </c>
      <c r="AI40" s="49">
        <v>65</v>
      </c>
      <c r="AJ40" s="49">
        <v>65</v>
      </c>
      <c r="AK40" s="45">
        <f ca="1">IFERROR(__xludf.DUMMYFUNCTION("SUM( FILTER(C40:AK40, ISNUMBER(SEARCH(""Practice"", $C$1:$AK$1)) ) )  / 
  SUM( FILTER(C$77:AK$77, ISNUMBER(SEARCH(""Practice"", $C$1:$AK$1))))*0.1
+
(SUM( FILTER(C40:P40, ISNUMBER(SEARCH(""After RETAKE"", $C$1:$P$1)) ) ) +
SUM( FILTER(P40:AK40, ISNUMBER("&amp;"SEARCH(""After RETAKE"", $P$1:$AK$1)) ) )
)  / 
  SUM( FILTER(C$77:AK$77, ISNUMBER(SEARCH(""BEFORE RETAKE"", $C$1:$AK$1))))*0.6 
+
0.3"),0.794515151515151)</f>
        <v>0.79451515151515095</v>
      </c>
      <c r="AL40" s="45">
        <v>0.65</v>
      </c>
      <c r="AM40" s="21">
        <f t="shared" si="0"/>
        <v>6</v>
      </c>
      <c r="AN40" s="21">
        <f t="shared" si="1"/>
        <v>2</v>
      </c>
      <c r="AO40" s="21">
        <f t="shared" si="2"/>
        <v>6</v>
      </c>
      <c r="AP40" s="23">
        <f t="shared" si="3"/>
        <v>68.666666666666671</v>
      </c>
      <c r="AQ40" s="23">
        <f t="shared" si="4"/>
        <v>69.666666666666671</v>
      </c>
      <c r="AR40" s="47">
        <f ca="1">IFERROR(__xludf.DUMMYFUNCTION("SUM( FILTER(C40:AK40, ISNUMBER(SEARCH(""Practice"", $C$1:$AK$1)) ) )  / 
  SUM( FILTER(C$77:AK$77, ISNUMBER(SEARCH(""Practice"", $C$1:$AK$1))))*0.1
+
(SUM( FILTER(C40:P40, ISNUMBER(SEARCH(""before RETAKE"", $C$1:$P$1)) ) ) +
SUM( FILTER(P40:AK40, ISNUMBER"&amp;"(SEARCH(""before RETAKE"", $P$1:$AK$1)) ) )
)  / 
  SUM( FILTER(C$77:AK$77, ISNUMBER(SEARCH(""BEFORE RETAKE"", $C$1:$AK$1))))*0.6 
+
0.3*AL40"),0.683515151515151)</f>
        <v>0.68351515151515096</v>
      </c>
      <c r="AS40" s="47">
        <f ca="1">IFERROR(__xludf.DUMMYFUNCTION("SUM( FILTER(C40:AK40, ISNUMBER(SEARCH(""Practice"", $C$1:$AK$1)) ) )  / 
  SUM( FILTER(C$77:AK$77, ISNUMBER(SEARCH(""Practice"", $C$1:$AK$1))))*0.1
+
(SUM( FILTER(C40:P40, ISNUMBER(SEARCH(""after RETAKE"", $C$1:$P$1)) ) ) +
SUM( FILTER(P40:AK40, ISNUMBER("&amp;"SEARCH(""after RETAKE"", $P$1:$AK$1)) ) )
)  / 
  SUM( FILTER(C$77:AK$77, ISNUMBER(SEARCH(""BEFORE RETAKE"", $C$1:$AK$1))))*0.6 
+
0.3*AL40"),0.689515151515151)</f>
        <v>0.68951515151515097</v>
      </c>
      <c r="AT40" s="47">
        <v>0.7125151515</v>
      </c>
      <c r="AU40" s="48">
        <f t="shared" si="5"/>
        <v>0.76515151515151514</v>
      </c>
      <c r="AV40" s="21">
        <v>14</v>
      </c>
      <c r="AW40" s="23">
        <f t="shared" si="6"/>
        <v>47.166666666666664</v>
      </c>
    </row>
    <row r="41" spans="1:49" ht="15" customHeight="1" x14ac:dyDescent="0.2">
      <c r="A41" s="22" t="s">
        <v>221</v>
      </c>
      <c r="B41" s="22" t="s">
        <v>464</v>
      </c>
      <c r="C41" s="49">
        <v>11</v>
      </c>
      <c r="D41" s="49">
        <v>1</v>
      </c>
      <c r="E41" s="49">
        <v>1</v>
      </c>
      <c r="F41" s="49">
        <v>1</v>
      </c>
      <c r="G41" s="49">
        <v>0</v>
      </c>
      <c r="H41" s="49">
        <v>0</v>
      </c>
      <c r="I41" s="49">
        <v>1</v>
      </c>
      <c r="J41" s="49">
        <v>5</v>
      </c>
      <c r="K41" s="49">
        <v>50</v>
      </c>
      <c r="L41" s="49">
        <v>72</v>
      </c>
      <c r="M41" s="45">
        <f ca="1">IFERROR(__xludf.DUMMYFUNCTION("SUM( FILTER(C41:P41, ISNUMBER(SEARCH(""Practice"", $C$1:$P$1)) ) )  / 
  SUM( FILTER(C$77:P$77, ISNUMBER(SEARCH(""Practice"", $C$1:$P$1))))*0.1
+
SUM( FILTER(C41:P41, ISNUMBER(SEARCH(""BEFORE RETAKE"", $C$1:$P$1)) ) ) 
  / 
  SUM( FILTER(C$77:P$77, ISNUMB"&amp;"ER(SEARCH(""BEFORE RETAKE"", $C$1:$P$1))))*0.6 
+
0.3"),0.828721311475409)</f>
        <v>0.82872131147540895</v>
      </c>
      <c r="N41" s="46" t="s">
        <v>462</v>
      </c>
      <c r="O41" s="49">
        <v>72</v>
      </c>
      <c r="P41" s="45">
        <f ca="1">IFERROR(__xludf.DUMMYFUNCTION("SUM( FILTER(C41:P41, ISNUMBER(SEARCH(""Practice"", $C$1:$P$1)) ) )  / 
  SUM( FILTER(C$77:P$77, ISNUMBER(SEARCH(""Practice"", $C$1:$P$1))))*0.1
+
SUM( FILTER(C41:P41, ISNUMBER(SEARCH(""After RETAKE"", $C$1:$P$1)) ) ) 
  / 
  SUM( FILTER(C$77:P$77, ISNUMBE"&amp;"R(SEARCH(""BEFORE RETAKE"", $C$1:$P$1))))*0.6 
+
0.3"),0.828721311475409)</f>
        <v>0.82872131147540895</v>
      </c>
      <c r="Q41" s="49">
        <v>1</v>
      </c>
      <c r="R41" s="49">
        <v>1</v>
      </c>
      <c r="S41" s="49">
        <v>5</v>
      </c>
      <c r="T41" s="49">
        <v>46</v>
      </c>
      <c r="U41" s="49">
        <v>85</v>
      </c>
      <c r="V41" s="45">
        <f ca="1">IFERROR(__xludf.DUMMYFUNCTION("SUM( FILTER(C41:X41, ISNUMBER(SEARCH(""Practice"", $C$1:$X$1)) ) )  / 
  SUM( FILTER(C$77:X$77, ISNUMBER(SEARCH(""Practice"", $C$1:$X$1))))*0.1
+
(SUM( FILTER(C41:P41, ISNUMBER(SEARCH(""After RETAKE"", $C$1:$P$1)) ) ) +
SUM( FILTER(P41:X41, ISNUMBER(SEARC"&amp;"H(""Before RETAKE"", $P$1:$X$1)) ) )
)  / 
  SUM( FILTER(C$77:X$77, ISNUMBER(SEARCH(""BEFORE RETAKE"", $C$1:$X$1))))*0.6 
+
0.3"),0.865915254237288)</f>
        <v>0.86591525423728799</v>
      </c>
      <c r="W41" s="46" t="s">
        <v>462</v>
      </c>
      <c r="X41" s="49">
        <v>85</v>
      </c>
      <c r="Y41" s="45">
        <f ca="1">IFERROR(__xludf.DUMMYFUNCTION("SUM( FILTER(C41:X41, ISNUMBER(SEARCH(""Practice"", $C$1:$X$1)) ) )  / 
  SUM( FILTER(C$77:X$77, ISNUMBER(SEARCH(""Practice"", $C$1:$X$1))))*0.1
+
(SUM( FILTER(C41:P41, ISNUMBER(SEARCH(""After RETAKE"", $C$1:$P$1)) ) ) +
SUM( FILTER(Q41:X41, ISNUMBER(SEARC"&amp;"H(""After RETAKE"", $Q$1:$X$1)) ) )
)  / 
  SUM( FILTER(C$77:X$77, ISNUMBER(SEARCH(""BEFORE RETAKE"", $C$1:$X$1))))*0.6 
+
0.3"),0.865915254237288)</f>
        <v>0.86591525423728799</v>
      </c>
      <c r="Z41" s="49">
        <v>5</v>
      </c>
      <c r="AA41" s="49">
        <v>5</v>
      </c>
      <c r="AB41" s="49">
        <v>5</v>
      </c>
      <c r="AC41" s="49">
        <v>5</v>
      </c>
      <c r="AD41" s="49">
        <v>0</v>
      </c>
      <c r="AE41" s="49">
        <v>5</v>
      </c>
      <c r="AF41" s="49">
        <v>50</v>
      </c>
      <c r="AG41" s="49">
        <v>68</v>
      </c>
      <c r="AH41" s="45">
        <f ca="1">IFERROR(__xludf.DUMMYFUNCTION("SUM( FILTER(C41:AJ41, ISNUMBER(SEARCH(""Practice"", $C$1:$AJ$1)) ) )  / 
  SUM( FILTER(C$77:AJ$77, ISNUMBER(SEARCH(""Practice"", $C$1:$AJ$1))))*0.1
+
(SUM( FILTER(C41:X41, ISNUMBER(SEARCH(""After RETAKE"", $C$1:$X$1)) ) ) +
SUM( FILTER(X41:AJ41, ISNUMBER("&amp;"SEARCH(""Before RETAKE"", $X$1:$AJ$1)) ) )
)  / 
  SUM( FILTER(C$77:AJ$77, ISNUMBER(SEARCH(""BEFORE RETAKE"", $C$1:$AJ$1))))*0.6 
+
0.3"),0.844444444444444)</f>
        <v>0.844444444444444</v>
      </c>
      <c r="AI41" s="46" t="s">
        <v>462</v>
      </c>
      <c r="AJ41" s="49">
        <v>68</v>
      </c>
      <c r="AK41" s="45">
        <f ca="1">IFERROR(__xludf.DUMMYFUNCTION("SUM( FILTER(C41:AK41, ISNUMBER(SEARCH(""Practice"", $C$1:$AK$1)) ) )  / 
  SUM( FILTER(C$77:AK$77, ISNUMBER(SEARCH(""Practice"", $C$1:$AK$1))))*0.1
+
(SUM( FILTER(C41:P41, ISNUMBER(SEARCH(""After RETAKE"", $C$1:$P$1)) ) ) +
SUM( FILTER(P41:AK41, ISNUMBER("&amp;"SEARCH(""After RETAKE"", $P$1:$AK$1)) ) )
)  / 
  SUM( FILTER(C$77:AK$77, ISNUMBER(SEARCH(""BEFORE RETAKE"", $C$1:$AK$1))))*0.6 
+
0.3"),0.844444444444444)</f>
        <v>0.844444444444444</v>
      </c>
      <c r="AL41" s="48">
        <v>0.75</v>
      </c>
      <c r="AM41" s="21">
        <f t="shared" si="0"/>
        <v>2</v>
      </c>
      <c r="AN41" s="21">
        <f t="shared" si="1"/>
        <v>0</v>
      </c>
      <c r="AO41" s="21">
        <f t="shared" si="2"/>
        <v>1</v>
      </c>
      <c r="AP41" s="23">
        <f t="shared" si="3"/>
        <v>75</v>
      </c>
      <c r="AQ41" s="23">
        <f t="shared" si="4"/>
        <v>75</v>
      </c>
      <c r="AR41" s="47">
        <f ca="1">IFERROR(__xludf.DUMMYFUNCTION("SUM( FILTER(C41:AK41, ISNUMBER(SEARCH(""Practice"", $C$1:$AK$1)) ) )  / 
  SUM( FILTER(C$77:AK$77, ISNUMBER(SEARCH(""Practice"", $C$1:$AK$1))))*0.1
+
(SUM( FILTER(C41:P41, ISNUMBER(SEARCH(""before RETAKE"", $C$1:$P$1)) ) ) +
SUM( FILTER(P41:AK41, ISNUMBER"&amp;"(SEARCH(""before RETAKE"", $P$1:$AK$1)) ) )
)  / 
  SUM( FILTER(C$77:AK$77, ISNUMBER(SEARCH(""BEFORE RETAKE"", $C$1:$AK$1))))*0.6 
+
0.3*AL41"),0.769444444444444)</f>
        <v>0.76944444444444404</v>
      </c>
      <c r="AS41" s="47">
        <f ca="1">IFERROR(__xludf.DUMMYFUNCTION("SUM( FILTER(C41:AK41, ISNUMBER(SEARCH(""Practice"", $C$1:$AK$1)) ) )  / 
  SUM( FILTER(C$77:AK$77, ISNUMBER(SEARCH(""Practice"", $C$1:$AK$1))))*0.1
+
(SUM( FILTER(C41:P41, ISNUMBER(SEARCH(""after RETAKE"", $C$1:$P$1)) ) ) +
SUM( FILTER(P41:AK41, ISNUMBER("&amp;"SEARCH(""after RETAKE"", $P$1:$AK$1)) ) )
)  / 
  SUM( FILTER(C$77:AK$77, ISNUMBER(SEARCH(""BEFORE RETAKE"", $C$1:$AK$1))))*0.6 
+
0.3*AL41"),0.769444444444444)</f>
        <v>0.76944444444444404</v>
      </c>
      <c r="AT41" s="47">
        <v>0.79044444439999995</v>
      </c>
      <c r="AU41" s="48">
        <f t="shared" si="5"/>
        <v>0.94444444444444442</v>
      </c>
      <c r="AV41" s="21">
        <v>3</v>
      </c>
      <c r="AW41" s="23">
        <f t="shared" si="6"/>
        <v>48.666666666666664</v>
      </c>
    </row>
    <row r="42" spans="1:49" ht="15" customHeight="1" x14ac:dyDescent="0.2">
      <c r="A42" s="22" t="s">
        <v>223</v>
      </c>
      <c r="B42" s="22" t="s">
        <v>464</v>
      </c>
      <c r="C42" s="49">
        <v>10</v>
      </c>
      <c r="D42" s="49">
        <v>1</v>
      </c>
      <c r="E42" s="49">
        <v>1</v>
      </c>
      <c r="F42" s="49">
        <v>1</v>
      </c>
      <c r="G42" s="49">
        <v>1</v>
      </c>
      <c r="H42" s="49">
        <v>0</v>
      </c>
      <c r="I42" s="49">
        <v>1</v>
      </c>
      <c r="J42" s="49">
        <v>5</v>
      </c>
      <c r="K42" s="49">
        <v>48</v>
      </c>
      <c r="L42" s="49">
        <v>93</v>
      </c>
      <c r="M42" s="45">
        <f ca="1">IFERROR(__xludf.DUMMYFUNCTION("SUM( FILTER(C42:P42, ISNUMBER(SEARCH(""Practice"", $C$1:$P$1)) ) )  / 
  SUM( FILTER(C$77:P$77, ISNUMBER(SEARCH(""Practice"", $C$1:$P$1))))*0.1
+
SUM( FILTER(C42:P42, ISNUMBER(SEARCH(""BEFORE RETAKE"", $C$1:$P$1)) ) ) 
  / 
  SUM( FILTER(C$77:P$77, ISNUMB"&amp;"ER(SEARCH(""BEFORE RETAKE"", $C$1:$P$1))))*0.6 
+
0.3"),0.953081967213114)</f>
        <v>0.953081967213114</v>
      </c>
      <c r="N42" s="46" t="s">
        <v>462</v>
      </c>
      <c r="O42" s="49">
        <v>93</v>
      </c>
      <c r="P42" s="45">
        <f ca="1">IFERROR(__xludf.DUMMYFUNCTION("SUM( FILTER(C42:P42, ISNUMBER(SEARCH(""Practice"", $C$1:$P$1)) ) )  / 
  SUM( FILTER(C$77:P$77, ISNUMBER(SEARCH(""Practice"", $C$1:$P$1))))*0.1
+
SUM( FILTER(C42:P42, ISNUMBER(SEARCH(""After RETAKE"", $C$1:$P$1)) ) ) 
  / 
  SUM( FILTER(C$77:P$77, ISNUMBE"&amp;"R(SEARCH(""BEFORE RETAKE"", $C$1:$P$1))))*0.6 
+
0.3"),0.953081967213114)</f>
        <v>0.953081967213114</v>
      </c>
      <c r="Q42" s="49">
        <v>1</v>
      </c>
      <c r="R42" s="49">
        <v>0</v>
      </c>
      <c r="S42" s="49">
        <v>5</v>
      </c>
      <c r="T42" s="49">
        <v>49</v>
      </c>
      <c r="U42" s="49">
        <v>95</v>
      </c>
      <c r="V42" s="45">
        <f ca="1">IFERROR(__xludf.DUMMYFUNCTION("SUM( FILTER(C42:X42, ISNUMBER(SEARCH(""Practice"", $C$1:$X$1)) ) )  / 
  SUM( FILTER(C$77:X$77, ISNUMBER(SEARCH(""Practice"", $C$1:$X$1))))*0.1
+
(SUM( FILTER(C42:P42, ISNUMBER(SEARCH(""After RETAKE"", $C$1:$P$1)) ) ) +
SUM( FILTER(P42:X42, ISNUMBER(SEARC"&amp;"H(""Before RETAKE"", $P$1:$X$1)) ) )
)  / 
  SUM( FILTER(C$77:X$77, ISNUMBER(SEARCH(""BEFORE RETAKE"", $C$1:$X$1))))*0.6 
+
0.3"),0.959762711864406)</f>
        <v>0.95976271186440598</v>
      </c>
      <c r="W42" s="46" t="s">
        <v>462</v>
      </c>
      <c r="X42" s="49">
        <v>95</v>
      </c>
      <c r="Y42" s="45">
        <f ca="1">IFERROR(__xludf.DUMMYFUNCTION("SUM( FILTER(C42:X42, ISNUMBER(SEARCH(""Practice"", $C$1:$X$1)) ) )  / 
  SUM( FILTER(C$77:X$77, ISNUMBER(SEARCH(""Practice"", $C$1:$X$1))))*0.1
+
(SUM( FILTER(C42:P42, ISNUMBER(SEARCH(""After RETAKE"", $C$1:$P$1)) ) ) +
SUM( FILTER(Q42:X42, ISNUMBER(SEARC"&amp;"H(""After RETAKE"", $Q$1:$X$1)) ) )
)  / 
  SUM( FILTER(C$77:X$77, ISNUMBER(SEARCH(""BEFORE RETAKE"", $C$1:$X$1))))*0.6 
+
0.3"),0.959762711864406)</f>
        <v>0.95976271186440598</v>
      </c>
      <c r="Z42" s="49">
        <v>0</v>
      </c>
      <c r="AA42" s="49">
        <v>5</v>
      </c>
      <c r="AB42" s="49">
        <v>5</v>
      </c>
      <c r="AC42" s="49">
        <v>5</v>
      </c>
      <c r="AD42" s="49">
        <v>0</v>
      </c>
      <c r="AE42" s="49">
        <v>0</v>
      </c>
      <c r="AF42" s="49">
        <v>50</v>
      </c>
      <c r="AG42" s="49">
        <v>92</v>
      </c>
      <c r="AH42" s="45">
        <f ca="1">IFERROR(__xludf.DUMMYFUNCTION("SUM( FILTER(C42:AJ42, ISNUMBER(SEARCH(""Practice"", $C$1:$AJ$1)) ) )  / 
  SUM( FILTER(C$77:AJ$77, ISNUMBER(SEARCH(""Practice"", $C$1:$AJ$1))))*0.1
+
(SUM( FILTER(C42:X42, ISNUMBER(SEARCH(""After RETAKE"", $C$1:$X$1)) ) ) +
SUM( FILTER(X42:AJ42, ISNUMBER("&amp;"SEARCH(""Before RETAKE"", $X$1:$AJ$1)) ) )
)  / 
  SUM( FILTER(C$77:AJ$77, ISNUMBER(SEARCH(""BEFORE RETAKE"", $C$1:$AJ$1))))*0.6 
+
0.3"),0.949898989898989)</f>
        <v>0.94989898989898902</v>
      </c>
      <c r="AI42" s="46" t="s">
        <v>462</v>
      </c>
      <c r="AJ42" s="49">
        <v>92</v>
      </c>
      <c r="AK42" s="45">
        <f ca="1">IFERROR(__xludf.DUMMYFUNCTION("SUM( FILTER(C42:AK42, ISNUMBER(SEARCH(""Practice"", $C$1:$AK$1)) ) )  / 
  SUM( FILTER(C$77:AK$77, ISNUMBER(SEARCH(""Practice"", $C$1:$AK$1))))*0.1
+
(SUM( FILTER(C42:P42, ISNUMBER(SEARCH(""After RETAKE"", $C$1:$P$1)) ) ) +
SUM( FILTER(P42:AK42, ISNUMBER("&amp;"SEARCH(""After RETAKE"", $P$1:$AK$1)) ) )
)  / 
  SUM( FILTER(C$77:AK$77, ISNUMBER(SEARCH(""BEFORE RETAKE"", $C$1:$AK$1))))*0.6 
+
0.3"),0.949898989898989)</f>
        <v>0.94989898989898902</v>
      </c>
      <c r="AL42" s="45">
        <v>0.88</v>
      </c>
      <c r="AM42" s="21">
        <f t="shared" si="0"/>
        <v>1</v>
      </c>
      <c r="AN42" s="21">
        <f t="shared" si="1"/>
        <v>1</v>
      </c>
      <c r="AO42" s="21">
        <f t="shared" si="2"/>
        <v>3</v>
      </c>
      <c r="AP42" s="23">
        <f t="shared" si="3"/>
        <v>93.333333333333329</v>
      </c>
      <c r="AQ42" s="23">
        <f t="shared" si="4"/>
        <v>93.333333333333329</v>
      </c>
      <c r="AR42" s="47">
        <f ca="1">IFERROR(__xludf.DUMMYFUNCTION("SUM( FILTER(C42:AK42, ISNUMBER(SEARCH(""Practice"", $C$1:$AK$1)) ) )  / 
  SUM( FILTER(C$77:AK$77, ISNUMBER(SEARCH(""Practice"", $C$1:$AK$1))))*0.1
+
(SUM( FILTER(C42:P42, ISNUMBER(SEARCH(""before RETAKE"", $C$1:$P$1)) ) ) +
SUM( FILTER(P42:AK42, ISNUMBER"&amp;"(SEARCH(""before RETAKE"", $P$1:$AK$1)) ) )
)  / 
  SUM( FILTER(C$77:AK$77, ISNUMBER(SEARCH(""BEFORE RETAKE"", $C$1:$AK$1))))*0.6 
+
0.3*AL42"),0.913898989898989)</f>
        <v>0.91389898989898899</v>
      </c>
      <c r="AS42" s="47">
        <f ca="1">IFERROR(__xludf.DUMMYFUNCTION("SUM( FILTER(C42:AK42, ISNUMBER(SEARCH(""Practice"", $C$1:$AK$1)) ) )  / 
  SUM( FILTER(C$77:AK$77, ISNUMBER(SEARCH(""Practice"", $C$1:$AK$1))))*0.1
+
(SUM( FILTER(C42:P42, ISNUMBER(SEARCH(""after RETAKE"", $C$1:$P$1)) ) ) +
SUM( FILTER(P42:AK42, ISNUMBER("&amp;"SEARCH(""after RETAKE"", $P$1:$AK$1)) ) )
)  / 
  SUM( FILTER(C$77:AK$77, ISNUMBER(SEARCH(""BEFORE RETAKE"", $C$1:$AK$1))))*0.6 
+
0.3*AL42"),0.913898989898989)</f>
        <v>0.91389898989898899</v>
      </c>
      <c r="AT42" s="47">
        <v>0.91789898989999996</v>
      </c>
      <c r="AU42" s="48">
        <f t="shared" si="5"/>
        <v>0.89898989898989901</v>
      </c>
      <c r="AV42" s="21">
        <v>5</v>
      </c>
      <c r="AW42" s="23">
        <f t="shared" si="6"/>
        <v>49</v>
      </c>
    </row>
    <row r="43" spans="1:49" ht="15" customHeight="1" x14ac:dyDescent="0.2">
      <c r="A43" s="22" t="s">
        <v>225</v>
      </c>
      <c r="B43" s="22" t="s">
        <v>464</v>
      </c>
      <c r="C43" s="49">
        <v>11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5</v>
      </c>
      <c r="K43" s="49">
        <v>47</v>
      </c>
      <c r="L43" s="49">
        <v>76</v>
      </c>
      <c r="M43" s="45">
        <f ca="1">IFERROR(__xludf.DUMMYFUNCTION("SUM( FILTER(C43:P43, ISNUMBER(SEARCH(""Practice"", $C$1:$P$1)) ) )  / 
  SUM( FILTER(C$77:P$77, ISNUMBER(SEARCH(""Practice"", $C$1:$P$1))))*0.1
+
SUM( FILTER(C43:P43, ISNUMBER(SEARCH(""BEFORE RETAKE"", $C$1:$P$1)) ) ) 
  / 
  SUM( FILTER(C$77:P$77, ISNUMB"&amp;"ER(SEARCH(""BEFORE RETAKE"", $C$1:$P$1))))*0.6 
+
0.3"),0.841245901639344)</f>
        <v>0.84124590163934398</v>
      </c>
      <c r="N43" s="46" t="s">
        <v>462</v>
      </c>
      <c r="O43" s="49">
        <v>76</v>
      </c>
      <c r="P43" s="45">
        <f ca="1">IFERROR(__xludf.DUMMYFUNCTION("SUM( FILTER(C43:P43, ISNUMBER(SEARCH(""Practice"", $C$1:$P$1)) ) )  / 
  SUM( FILTER(C$77:P$77, ISNUMBER(SEARCH(""Practice"", $C$1:$P$1))))*0.1
+
SUM( FILTER(C43:P43, ISNUMBER(SEARCH(""After RETAKE"", $C$1:$P$1)) ) ) 
  / 
  SUM( FILTER(C$77:P$77, ISNUMBE"&amp;"R(SEARCH(""BEFORE RETAKE"", $C$1:$P$1))))*0.6 
+
0.3"),0.841245901639344)</f>
        <v>0.84124590163934398</v>
      </c>
      <c r="Q43" s="49">
        <v>0</v>
      </c>
      <c r="R43" s="49">
        <v>0</v>
      </c>
      <c r="S43" s="49">
        <v>5</v>
      </c>
      <c r="T43" s="49">
        <v>50</v>
      </c>
      <c r="U43" s="49">
        <v>67</v>
      </c>
      <c r="V43" s="45">
        <f ca="1">IFERROR(__xludf.DUMMYFUNCTION("SUM( FILTER(C43:X43, ISNUMBER(SEARCH(""Practice"", $C$1:$X$1)) ) )  / 
  SUM( FILTER(C$77:X$77, ISNUMBER(SEARCH(""Practice"", $C$1:$X$1))))*0.1
+
(SUM( FILTER(C43:P43, ISNUMBER(SEARCH(""After RETAKE"", $C$1:$P$1)) ) ) +
SUM( FILTER(P43:X43, ISNUMBER(SEARC"&amp;"H(""Before RETAKE"", $P$1:$X$1)) ) )
)  / 
  SUM( FILTER(C$77:X$77, ISNUMBER(SEARCH(""BEFORE RETAKE"", $C$1:$X$1))))*0.6 
+
0.3"),0.819677966101694)</f>
        <v>0.81967796610169397</v>
      </c>
      <c r="W43" s="46" t="s">
        <v>462</v>
      </c>
      <c r="X43" s="49">
        <v>67</v>
      </c>
      <c r="Y43" s="45">
        <f ca="1">IFERROR(__xludf.DUMMYFUNCTION("SUM( FILTER(C43:X43, ISNUMBER(SEARCH(""Practice"", $C$1:$X$1)) ) )  / 
  SUM( FILTER(C$77:X$77, ISNUMBER(SEARCH(""Practice"", $C$1:$X$1))))*0.1
+
(SUM( FILTER(C43:P43, ISNUMBER(SEARCH(""After RETAKE"", $C$1:$P$1)) ) ) +
SUM( FILTER(Q43:X43, ISNUMBER(SEARC"&amp;"H(""After RETAKE"", $Q$1:$X$1)) ) )
)  / 
  SUM( FILTER(C$77:X$77, ISNUMBER(SEARCH(""BEFORE RETAKE"", $C$1:$X$1))))*0.6 
+
0.3"),0.819677966101694)</f>
        <v>0.81967796610169397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47</v>
      </c>
      <c r="AG43" s="49">
        <v>68</v>
      </c>
      <c r="AH43" s="45">
        <f ca="1">IFERROR(__xludf.DUMMYFUNCTION("SUM( FILTER(C43:AJ43, ISNUMBER(SEARCH(""Practice"", $C$1:$AJ$1)) ) )  / 
  SUM( FILTER(C$77:AJ$77, ISNUMBER(SEARCH(""Practice"", $C$1:$AJ$1))))*0.1
+
(SUM( FILTER(C43:X43, ISNUMBER(SEARCH(""After RETAKE"", $C$1:$X$1)) ) ) +
SUM( FILTER(X43:AJ43, ISNUMBER("&amp;"SEARCH(""Before RETAKE"", $X$1:$AJ$1)) ) )
)  / 
  SUM( FILTER(C$77:AJ$77, ISNUMBER(SEARCH(""BEFORE RETAKE"", $C$1:$AJ$1))))*0.6 
+
0.3"),0.799777777777777)</f>
        <v>0.79977777777777703</v>
      </c>
      <c r="AI43" s="46" t="s">
        <v>462</v>
      </c>
      <c r="AJ43" s="49">
        <v>68</v>
      </c>
      <c r="AK43" s="45">
        <f ca="1">IFERROR(__xludf.DUMMYFUNCTION("SUM( FILTER(C43:AK43, ISNUMBER(SEARCH(""Practice"", $C$1:$AK$1)) ) )  / 
  SUM( FILTER(C$77:AK$77, ISNUMBER(SEARCH(""Practice"", $C$1:$AK$1))))*0.1
+
(SUM( FILTER(C43:P43, ISNUMBER(SEARCH(""After RETAKE"", $C$1:$P$1)) ) ) +
SUM( FILTER(P43:AK43, ISNUMBER("&amp;"SEARCH(""After RETAKE"", $P$1:$AK$1)) ) )
)  / 
  SUM( FILTER(C$77:AK$77, ISNUMBER(SEARCH(""BEFORE RETAKE"", $C$1:$AK$1))))*0.6 
+
0.3"),0.799777777777777)</f>
        <v>0.79977777777777703</v>
      </c>
      <c r="AL43" s="45">
        <v>0.65</v>
      </c>
      <c r="AM43" s="21">
        <f t="shared" si="0"/>
        <v>6</v>
      </c>
      <c r="AN43" s="21">
        <f t="shared" si="1"/>
        <v>2</v>
      </c>
      <c r="AO43" s="21">
        <f t="shared" si="2"/>
        <v>6</v>
      </c>
      <c r="AP43" s="23">
        <f t="shared" si="3"/>
        <v>70.333333333333329</v>
      </c>
      <c r="AQ43" s="23">
        <f t="shared" si="4"/>
        <v>70.333333333333329</v>
      </c>
      <c r="AR43" s="47">
        <f ca="1">IFERROR(__xludf.DUMMYFUNCTION("SUM( FILTER(C43:AK43, ISNUMBER(SEARCH(""Practice"", $C$1:$AK$1)) ) )  / 
  SUM( FILTER(C$77:AK$77, ISNUMBER(SEARCH(""Practice"", $C$1:$AK$1))))*0.1
+
(SUM( FILTER(C43:P43, ISNUMBER(SEARCH(""before RETAKE"", $C$1:$P$1)) ) ) +
SUM( FILTER(P43:AK43, ISNUMBER"&amp;"(SEARCH(""before RETAKE"", $P$1:$AK$1)) ) )
)  / 
  SUM( FILTER(C$77:AK$77, ISNUMBER(SEARCH(""BEFORE RETAKE"", $C$1:$AK$1))))*0.6 
+
0.3*AL43"),0.694777777777777)</f>
        <v>0.69477777777777705</v>
      </c>
      <c r="AS43" s="47">
        <f ca="1">IFERROR(__xludf.DUMMYFUNCTION("SUM( FILTER(C43:AK43, ISNUMBER(SEARCH(""Practice"", $C$1:$AK$1)) ) )  / 
  SUM( FILTER(C$77:AK$77, ISNUMBER(SEARCH(""Practice"", $C$1:$AK$1))))*0.1
+
(SUM( FILTER(C43:P43, ISNUMBER(SEARCH(""after RETAKE"", $C$1:$P$1)) ) ) +
SUM( FILTER(P43:AK43, ISNUMBER("&amp;"SEARCH(""after RETAKE"", $P$1:$AK$1)) ) )
)  / 
  SUM( FILTER(C$77:AK$77, ISNUMBER(SEARCH(""BEFORE RETAKE"", $C$1:$AK$1))))*0.6 
+
0.3*AL43"),0.694777777777777)</f>
        <v>0.69477777777777705</v>
      </c>
      <c r="AT43" s="47">
        <v>0.70477777779999995</v>
      </c>
      <c r="AU43" s="48">
        <f t="shared" si="5"/>
        <v>0.77777777777777779</v>
      </c>
      <c r="AV43" s="21">
        <v>14</v>
      </c>
      <c r="AW43" s="23">
        <f t="shared" si="6"/>
        <v>48</v>
      </c>
    </row>
    <row r="44" spans="1:49" ht="15" customHeight="1" x14ac:dyDescent="0.2">
      <c r="A44" s="22" t="s">
        <v>227</v>
      </c>
      <c r="B44" s="22" t="s">
        <v>464</v>
      </c>
      <c r="C44" s="49">
        <v>11</v>
      </c>
      <c r="D44" s="49">
        <v>1</v>
      </c>
      <c r="E44" s="49">
        <v>1</v>
      </c>
      <c r="F44" s="49">
        <v>1</v>
      </c>
      <c r="G44" s="49">
        <v>0.5</v>
      </c>
      <c r="H44" s="49">
        <v>1</v>
      </c>
      <c r="I44" s="49">
        <v>1</v>
      </c>
      <c r="J44" s="49">
        <v>5</v>
      </c>
      <c r="K44" s="49">
        <v>50</v>
      </c>
      <c r="L44" s="49">
        <v>99</v>
      </c>
      <c r="M44" s="45">
        <f ca="1">IFERROR(__xludf.DUMMYFUNCTION("SUM( FILTER(C44:P44, ISNUMBER(SEARCH(""Practice"", $C$1:$P$1)) ) )  / 
  SUM( FILTER(C$77:P$77, ISNUMBER(SEARCH(""Practice"", $C$1:$P$1))))*0.1
+
SUM( FILTER(C44:P44, ISNUMBER(SEARCH(""BEFORE RETAKE"", $C$1:$P$1)) ) ) 
  / 
  SUM( FILTER(C$77:P$77, ISNUMB"&amp;"ER(SEARCH(""BEFORE RETAKE"", $C$1:$P$1))))*0.6 
+
0.3"),0.993180327868852)</f>
        <v>0.99318032786885202</v>
      </c>
      <c r="N44" s="46" t="s">
        <v>462</v>
      </c>
      <c r="O44" s="49">
        <v>99</v>
      </c>
      <c r="P44" s="45">
        <f ca="1">IFERROR(__xludf.DUMMYFUNCTION("SUM( FILTER(C44:P44, ISNUMBER(SEARCH(""Practice"", $C$1:$P$1)) ) )  / 
  SUM( FILTER(C$77:P$77, ISNUMBER(SEARCH(""Practice"", $C$1:$P$1))))*0.1
+
SUM( FILTER(C44:P44, ISNUMBER(SEARCH(""After RETAKE"", $C$1:$P$1)) ) ) 
  / 
  SUM( FILTER(C$77:P$77, ISNUMBE"&amp;"R(SEARCH(""BEFORE RETAKE"", $C$1:$P$1))))*0.6 
+
0.3"),0.993180327868852)</f>
        <v>0.99318032786885202</v>
      </c>
      <c r="Q44" s="49">
        <v>1</v>
      </c>
      <c r="R44" s="49">
        <v>1</v>
      </c>
      <c r="S44" s="49">
        <v>5</v>
      </c>
      <c r="T44" s="49">
        <v>43.5</v>
      </c>
      <c r="U44" s="49">
        <v>75</v>
      </c>
      <c r="V44" s="45">
        <f ca="1">IFERROR(__xludf.DUMMYFUNCTION("SUM( FILTER(C44:X44, ISNUMBER(SEARCH(""Practice"", $C$1:$X$1)) ) )  / 
  SUM( FILTER(C$77:X$77, ISNUMBER(SEARCH(""Practice"", $C$1:$X$1))))*0.1
+
(SUM( FILTER(C44:P44, ISNUMBER(SEARCH(""After RETAKE"", $C$1:$P$1)) ) ) +
SUM( FILTER(P44:X44, ISNUMBER(SEARC"&amp;"H(""Before RETAKE"", $P$1:$X$1)) ) )
)  / 
  SUM( FILTER(C$77:X$77, ISNUMBER(SEARCH(""BEFORE RETAKE"", $C$1:$X$1))))*0.6 
+
0.3"),0.916067796610169)</f>
        <v>0.91606779661016902</v>
      </c>
      <c r="W44" s="49">
        <v>78</v>
      </c>
      <c r="X44" s="49">
        <v>78</v>
      </c>
      <c r="Y44" s="45">
        <f ca="1">IFERROR(__xludf.DUMMYFUNCTION("SUM( FILTER(C44:X44, ISNUMBER(SEARCH(""Practice"", $C$1:$X$1)) ) )  / 
  SUM( FILTER(C$77:X$77, ISNUMBER(SEARCH(""Practice"", $C$1:$X$1))))*0.1
+
(SUM( FILTER(C44:P44, ISNUMBER(SEARCH(""After RETAKE"", $C$1:$P$1)) ) ) +
SUM( FILTER(Q44:X44, ISNUMBER(SEARC"&amp;"H(""After RETAKE"", $Q$1:$X$1)) ) )
)  / 
  SUM( FILTER(C$77:X$77, ISNUMBER(SEARCH(""BEFORE RETAKE"", $C$1:$X$1))))*0.6 
+
0.3"),0.925067796610169)</f>
        <v>0.92506779661016902</v>
      </c>
      <c r="Z44" s="49">
        <v>5</v>
      </c>
      <c r="AA44" s="49">
        <v>5</v>
      </c>
      <c r="AB44" s="49">
        <v>5</v>
      </c>
      <c r="AC44" s="49">
        <v>5</v>
      </c>
      <c r="AD44" s="49">
        <v>5</v>
      </c>
      <c r="AE44" s="49">
        <v>5</v>
      </c>
      <c r="AF44" s="49">
        <v>50</v>
      </c>
      <c r="AG44" s="49">
        <v>75</v>
      </c>
      <c r="AH44" s="45">
        <f ca="1">IFERROR(__xludf.DUMMYFUNCTION("SUM( FILTER(C44:AJ44, ISNUMBER(SEARCH(""Practice"", $C$1:$AJ$1)) ) )  / 
  SUM( FILTER(C$77:AJ$77, ISNUMBER(SEARCH(""Practice"", $C$1:$AJ$1))))*0.1
+
(SUM( FILTER(C44:X44, ISNUMBER(SEARCH(""After RETAKE"", $C$1:$X$1)) ) ) +
SUM( FILTER(X44:AJ44, ISNUMBER("&amp;"SEARCH(""Before RETAKE"", $X$1:$AJ$1)) ) )
)  / 
  SUM( FILTER(C$77:AJ$77, ISNUMBER(SEARCH(""BEFORE RETAKE"", $C$1:$AJ$1))))*0.6 
+
0.3"),0.900464646464646)</f>
        <v>0.90046464646464597</v>
      </c>
      <c r="AI44" s="49">
        <v>85</v>
      </c>
      <c r="AJ44" s="49">
        <v>85</v>
      </c>
      <c r="AK44" s="45">
        <f ca="1">IFERROR(__xludf.DUMMYFUNCTION("SUM( FILTER(C44:AK44, ISNUMBER(SEARCH(""Practice"", $C$1:$AK$1)) ) )  / 
  SUM( FILTER(C$77:AK$77, ISNUMBER(SEARCH(""Practice"", $C$1:$AK$1))))*0.1
+
(SUM( FILTER(C44:P44, ISNUMBER(SEARCH(""After RETAKE"", $C$1:$P$1)) ) ) +
SUM( FILTER(P44:AK44, ISNUMBER("&amp;"SEARCH(""After RETAKE"", $P$1:$AK$1)) ) )
)  / 
  SUM( FILTER(C$77:AK$77, ISNUMBER(SEARCH(""BEFORE RETAKE"", $C$1:$AK$1))))*0.6 
+
0.3"),0.920464646464646)</f>
        <v>0.92046464646464599</v>
      </c>
      <c r="AL44" s="45">
        <v>0.82</v>
      </c>
      <c r="AM44" s="21">
        <f t="shared" si="0"/>
        <v>0</v>
      </c>
      <c r="AN44" s="21">
        <f t="shared" si="1"/>
        <v>0</v>
      </c>
      <c r="AO44" s="21">
        <f t="shared" si="2"/>
        <v>0</v>
      </c>
      <c r="AP44" s="23">
        <f t="shared" si="3"/>
        <v>83</v>
      </c>
      <c r="AQ44" s="23">
        <f t="shared" si="4"/>
        <v>87.333333333333329</v>
      </c>
      <c r="AR44" s="47">
        <f ca="1">IFERROR(__xludf.DUMMYFUNCTION("SUM( FILTER(C44:AK44, ISNUMBER(SEARCH(""Practice"", $C$1:$AK$1)) ) )  / 
  SUM( FILTER(C$77:AK$77, ISNUMBER(SEARCH(""Practice"", $C$1:$AK$1))))*0.1
+
(SUM( FILTER(C44:P44, ISNUMBER(SEARCH(""before RETAKE"", $C$1:$P$1)) ) ) +
SUM( FILTER(P44:AK44, ISNUMBER"&amp;"(SEARCH(""before RETAKE"", $P$1:$AK$1)) ) )
)  / 
  SUM( FILTER(C$77:AK$77, ISNUMBER(SEARCH(""BEFORE RETAKE"", $C$1:$AK$1))))*0.6 
+
0.3*AL44"),0.840464646464646)</f>
        <v>0.84046464646464603</v>
      </c>
      <c r="AS44" s="47">
        <f ca="1">IFERROR(__xludf.DUMMYFUNCTION("SUM( FILTER(C44:AK44, ISNUMBER(SEARCH(""Practice"", $C$1:$AK$1)) ) )  / 
  SUM( FILTER(C$77:AK$77, ISNUMBER(SEARCH(""Practice"", $C$1:$AK$1))))*0.1
+
(SUM( FILTER(C44:P44, ISNUMBER(SEARCH(""after RETAKE"", $C$1:$P$1)) ) ) +
SUM( FILTER(P44:AK44, ISNUMBER("&amp;"SEARCH(""after RETAKE"", $P$1:$AK$1)) ) )
)  / 
  SUM( FILTER(C$77:AK$77, ISNUMBER(SEARCH(""BEFORE RETAKE"", $C$1:$AK$1))))*0.6 
+
0.3*AL44"),0.866464646464646)</f>
        <v>0.86646464646464605</v>
      </c>
      <c r="AT44" s="47">
        <v>0.89446464650000002</v>
      </c>
      <c r="AU44" s="48">
        <f t="shared" si="5"/>
        <v>0.96464646464646464</v>
      </c>
      <c r="AV44" s="21">
        <v>0</v>
      </c>
      <c r="AW44" s="23">
        <f t="shared" si="6"/>
        <v>47.833333333333336</v>
      </c>
    </row>
    <row r="45" spans="1:49" ht="12.75" x14ac:dyDescent="0.2">
      <c r="A45" s="22" t="s">
        <v>229</v>
      </c>
      <c r="B45" s="22" t="s">
        <v>461</v>
      </c>
      <c r="C45" s="49">
        <v>11</v>
      </c>
      <c r="D45" s="49">
        <v>0</v>
      </c>
      <c r="E45" s="49">
        <v>0</v>
      </c>
      <c r="F45" s="49">
        <v>0</v>
      </c>
      <c r="G45" s="49">
        <v>1</v>
      </c>
      <c r="H45" s="49">
        <v>0</v>
      </c>
      <c r="I45" s="49">
        <v>1</v>
      </c>
      <c r="J45" s="49">
        <v>5</v>
      </c>
      <c r="K45" s="49">
        <v>44</v>
      </c>
      <c r="L45" s="49">
        <v>83</v>
      </c>
      <c r="M45" s="45">
        <f ca="1">IFERROR(__xludf.DUMMYFUNCTION("SUM( FILTER(C45:P45, ISNUMBER(SEARCH(""Practice"", $C$1:$P$1)) ) )  / 
  SUM( FILTER(C$77:P$77, ISNUMBER(SEARCH(""Practice"", $C$1:$P$1))))*0.1
+
SUM( FILTER(C45:P45, ISNUMBER(SEARCH(""BEFORE RETAKE"", $C$1:$P$1)) ) ) 
  / 
  SUM( FILTER(C$77:P$77, ISNUMB"&amp;"ER(SEARCH(""BEFORE RETAKE"", $C$1:$P$1))))*0.6 
+
0.3"),0.881606557377049)</f>
        <v>0.88160655737704896</v>
      </c>
      <c r="N45" s="46" t="s">
        <v>462</v>
      </c>
      <c r="O45" s="49">
        <v>83</v>
      </c>
      <c r="P45" s="45">
        <f ca="1">IFERROR(__xludf.DUMMYFUNCTION("SUM( FILTER(C45:P45, ISNUMBER(SEARCH(""Practice"", $C$1:$P$1)) ) )  / 
  SUM( FILTER(C$77:P$77, ISNUMBER(SEARCH(""Practice"", $C$1:$P$1))))*0.1
+
SUM( FILTER(C45:P45, ISNUMBER(SEARCH(""After RETAKE"", $C$1:$P$1)) ) ) 
  / 
  SUM( FILTER(C$77:P$77, ISNUMBE"&amp;"R(SEARCH(""BEFORE RETAKE"", $C$1:$P$1))))*0.6 
+
0.3"),0.881606557377049)</f>
        <v>0.88160655737704896</v>
      </c>
      <c r="Q45" s="49">
        <v>1</v>
      </c>
      <c r="R45" s="49">
        <v>1</v>
      </c>
      <c r="S45" s="49">
        <v>5</v>
      </c>
      <c r="T45" s="49">
        <v>39</v>
      </c>
      <c r="U45" s="49">
        <v>80</v>
      </c>
      <c r="V45" s="45">
        <f ca="1">IFERROR(__xludf.DUMMYFUNCTION("SUM( FILTER(C45:X45, ISNUMBER(SEARCH(""Practice"", $C$1:$X$1)) ) )  / 
  SUM( FILTER(C$77:X$77, ISNUMBER(SEARCH(""Practice"", $C$1:$X$1))))*0.1
+
(SUM( FILTER(C45:P45, ISNUMBER(SEARCH(""After RETAKE"", $C$1:$P$1)) ) ) +
SUM( FILTER(P45:X45, ISNUMBER(SEARC"&amp;"H(""Before RETAKE"", $P$1:$X$1)) ) )
)  / 
  SUM( FILTER(C$77:X$77, ISNUMBER(SEARCH(""BEFORE RETAKE"", $C$1:$X$1))))*0.6 
+
0.3"),0.871203389830508)</f>
        <v>0.87120338983050805</v>
      </c>
      <c r="W45" s="49">
        <v>76</v>
      </c>
      <c r="X45" s="49">
        <v>80</v>
      </c>
      <c r="Y45" s="45">
        <f ca="1">IFERROR(__xludf.DUMMYFUNCTION("SUM( FILTER(C45:X45, ISNUMBER(SEARCH(""Practice"", $C$1:$X$1)) ) )  / 
  SUM( FILTER(C$77:X$77, ISNUMBER(SEARCH(""Practice"", $C$1:$X$1))))*0.1
+
(SUM( FILTER(C45:P45, ISNUMBER(SEARCH(""After RETAKE"", $C$1:$P$1)) ) ) +
SUM( FILTER(Q45:X45, ISNUMBER(SEARC"&amp;"H(""After RETAKE"", $Q$1:$X$1)) ) )
)  / 
  SUM( FILTER(C$77:X$77, ISNUMBER(SEARCH(""BEFORE RETAKE"", $C$1:$X$1))))*0.6 
+
0.3"),0.871203389830508)</f>
        <v>0.87120338983050805</v>
      </c>
      <c r="Z45" s="49">
        <v>5</v>
      </c>
      <c r="AA45" s="49">
        <v>5</v>
      </c>
      <c r="AB45" s="49">
        <v>5</v>
      </c>
      <c r="AC45" s="49">
        <v>5</v>
      </c>
      <c r="AD45" s="49">
        <v>0</v>
      </c>
      <c r="AE45" s="49">
        <v>0</v>
      </c>
      <c r="AF45" s="49">
        <v>50</v>
      </c>
      <c r="AG45" s="49">
        <v>75</v>
      </c>
      <c r="AH45" s="45">
        <f ca="1">IFERROR(__xludf.DUMMYFUNCTION("SUM( FILTER(C45:AJ45, ISNUMBER(SEARCH(""Practice"", $C$1:$AJ$1)) ) )  / 
  SUM( FILTER(C$77:AJ$77, ISNUMBER(SEARCH(""Practice"", $C$1:$AJ$1))))*0.1
+
(SUM( FILTER(C45:X45, ISNUMBER(SEARCH(""After RETAKE"", $C$1:$X$1)) ) ) +
SUM( FILTER(X45:AJ45, ISNUMBER("&amp;"SEARCH(""Before RETAKE"", $X$1:$AJ$1)) ) )
)  / 
  SUM( FILTER(C$77:AJ$77, ISNUMBER(SEARCH(""BEFORE RETAKE"", $C$1:$AJ$1))))*0.6 
+
0.3"),0.860343434343434)</f>
        <v>0.86034343434343397</v>
      </c>
      <c r="AI45" s="49">
        <v>82</v>
      </c>
      <c r="AJ45" s="49">
        <v>82</v>
      </c>
      <c r="AK45" s="45">
        <f ca="1">IFERROR(__xludf.DUMMYFUNCTION("SUM( FILTER(C45:AK45, ISNUMBER(SEARCH(""Practice"", $C$1:$AK$1)) ) )  / 
  SUM( FILTER(C$77:AK$77, ISNUMBER(SEARCH(""Practice"", $C$1:$AK$1))))*0.1
+
(SUM( FILTER(C45:P45, ISNUMBER(SEARCH(""After RETAKE"", $C$1:$P$1)) ) ) +
SUM( FILTER(P45:AK45, ISNUMBER("&amp;"SEARCH(""After RETAKE"", $P$1:$AK$1)) ) )
)  / 
  SUM( FILTER(C$77:AK$77, ISNUMBER(SEARCH(""BEFORE RETAKE"", $C$1:$AK$1))))*0.6 
+
0.3"),0.874343434343434)</f>
        <v>0.87434343434343398</v>
      </c>
      <c r="AL45" s="45">
        <v>0.85</v>
      </c>
      <c r="AM45" s="21">
        <f t="shared" si="0"/>
        <v>4</v>
      </c>
      <c r="AN45" s="21">
        <f t="shared" si="1"/>
        <v>0</v>
      </c>
      <c r="AO45" s="21">
        <f t="shared" si="2"/>
        <v>2</v>
      </c>
      <c r="AP45" s="23">
        <f t="shared" si="3"/>
        <v>79.333333333333329</v>
      </c>
      <c r="AQ45" s="23">
        <f t="shared" si="4"/>
        <v>81.666666666666671</v>
      </c>
      <c r="AR45" s="47">
        <f ca="1">IFERROR(__xludf.DUMMYFUNCTION("SUM( FILTER(C45:AK45, ISNUMBER(SEARCH(""Practice"", $C$1:$AK$1)) ) )  / 
  SUM( FILTER(C$77:AK$77, ISNUMBER(SEARCH(""Practice"", $C$1:$AK$1))))*0.1
+
(SUM( FILTER(C45:P45, ISNUMBER(SEARCH(""before RETAKE"", $C$1:$P$1)) ) ) +
SUM( FILTER(P45:AK45, ISNUMBER"&amp;"(SEARCH(""before RETAKE"", $P$1:$AK$1)) ) )
)  / 
  SUM( FILTER(C$77:AK$77, ISNUMBER(SEARCH(""BEFORE RETAKE"", $C$1:$AK$1))))*0.6 
+
0.3*AL45"),0.815343434343434)</f>
        <v>0.81534343434343404</v>
      </c>
      <c r="AS45" s="47">
        <f ca="1">IFERROR(__xludf.DUMMYFUNCTION("SUM( FILTER(C45:AK45, ISNUMBER(SEARCH(""Practice"", $C$1:$AK$1)) ) )  / 
  SUM( FILTER(C$77:AK$77, ISNUMBER(SEARCH(""Practice"", $C$1:$AK$1))))*0.1
+
(SUM( FILTER(C45:P45, ISNUMBER(SEARCH(""after RETAKE"", $C$1:$P$1)) ) ) +
SUM( FILTER(P45:AK45, ISNUMBER("&amp;"SEARCH(""after RETAKE"", $P$1:$AK$1)) ) )
)  / 
  SUM( FILTER(C$77:AK$77, ISNUMBER(SEARCH(""BEFORE RETAKE"", $C$1:$AK$1))))*0.6 
+
0.3*AL45"),0.829343434343434)</f>
        <v>0.82934343434343405</v>
      </c>
      <c r="AT45" s="47">
        <v>0.83434343430000002</v>
      </c>
      <c r="AU45" s="48">
        <f t="shared" si="5"/>
        <v>0.84343434343434343</v>
      </c>
      <c r="AV45" s="21">
        <v>6</v>
      </c>
      <c r="AW45" s="23">
        <f t="shared" si="6"/>
        <v>44.333333333333336</v>
      </c>
    </row>
    <row r="46" spans="1:49" ht="12.75" x14ac:dyDescent="0.2">
      <c r="A46" s="22" t="s">
        <v>231</v>
      </c>
      <c r="B46" s="22" t="s">
        <v>464</v>
      </c>
      <c r="C46" s="49">
        <v>11</v>
      </c>
      <c r="D46" s="49">
        <v>1</v>
      </c>
      <c r="E46" s="49">
        <v>1</v>
      </c>
      <c r="F46" s="49">
        <v>1</v>
      </c>
      <c r="G46" s="49">
        <v>0</v>
      </c>
      <c r="H46" s="49">
        <v>0</v>
      </c>
      <c r="I46" s="49">
        <v>1</v>
      </c>
      <c r="J46" s="49">
        <v>5</v>
      </c>
      <c r="K46" s="49">
        <v>50</v>
      </c>
      <c r="L46" s="49">
        <v>63</v>
      </c>
      <c r="M46" s="45">
        <f ca="1">IFERROR(__xludf.DUMMYFUNCTION("SUM( FILTER(C46:P46, ISNUMBER(SEARCH(""Practice"", $C$1:$P$1)) ) )  / 
  SUM( FILTER(C$77:P$77, ISNUMBER(SEARCH(""Practice"", $C$1:$P$1))))*0.1
+
SUM( FILTER(C46:P46, ISNUMBER(SEARCH(""BEFORE RETAKE"", $C$1:$P$1)) ) ) 
  / 
  SUM( FILTER(C$77:P$77, ISNUMB"&amp;"ER(SEARCH(""BEFORE RETAKE"", $C$1:$P$1))))*0.6 
+
0.3"),0.774721311475409)</f>
        <v>0.77472131147540901</v>
      </c>
      <c r="N46" s="46" t="s">
        <v>462</v>
      </c>
      <c r="O46" s="49">
        <v>63</v>
      </c>
      <c r="P46" s="45">
        <f ca="1">IFERROR(__xludf.DUMMYFUNCTION("SUM( FILTER(C46:P46, ISNUMBER(SEARCH(""Practice"", $C$1:$P$1)) ) )  / 
  SUM( FILTER(C$77:P$77, ISNUMBER(SEARCH(""Practice"", $C$1:$P$1))))*0.1
+
SUM( FILTER(C46:P46, ISNUMBER(SEARCH(""After RETAKE"", $C$1:$P$1)) ) ) 
  / 
  SUM( FILTER(C$77:P$77, ISNUMBE"&amp;"R(SEARCH(""BEFORE RETAKE"", $C$1:$P$1))))*0.6 
+
0.3"),0.774721311475409)</f>
        <v>0.77472131147540901</v>
      </c>
      <c r="Q46" s="49">
        <v>1</v>
      </c>
      <c r="R46" s="49">
        <v>0</v>
      </c>
      <c r="S46" s="49">
        <v>5</v>
      </c>
      <c r="T46" s="49">
        <v>48.5</v>
      </c>
      <c r="U46" s="49">
        <v>0</v>
      </c>
      <c r="V46" s="45">
        <f ca="1">IFERROR(__xludf.DUMMYFUNCTION("SUM( FILTER(C46:X46, ISNUMBER(SEARCH(""Practice"", $C$1:$X$1)) ) )  / 
  SUM( FILTER(C$77:X$77, ISNUMBER(SEARCH(""Practice"", $C$1:$X$1))))*0.1
+
(SUM( FILTER(C46:P46, ISNUMBER(SEARCH(""After RETAKE"", $C$1:$P$1)) ) ) +
SUM( FILTER(P46:X46, ISNUMBER(SEARC"&amp;"H(""Before RETAKE"", $P$1:$X$1)) ) )
)  / 
  SUM( FILTER(C$77:X$77, ISNUMBER(SEARCH(""BEFORE RETAKE"", $C$1:$X$1))))*0.6 
+
0.3"),0.585186440677966)</f>
        <v>0.58518644067796599</v>
      </c>
      <c r="W46" s="46" t="s">
        <v>462</v>
      </c>
      <c r="X46" s="49">
        <v>0</v>
      </c>
      <c r="Y46" s="45">
        <f ca="1">IFERROR(__xludf.DUMMYFUNCTION("SUM( FILTER(C46:X46, ISNUMBER(SEARCH(""Practice"", $C$1:$X$1)) ) )  / 
  SUM( FILTER(C$77:X$77, ISNUMBER(SEARCH(""Practice"", $C$1:$X$1))))*0.1
+
(SUM( FILTER(C46:P46, ISNUMBER(SEARCH(""After RETAKE"", $C$1:$P$1)) ) ) +
SUM( FILTER(Q46:X46, ISNUMBER(SEARC"&amp;"H(""After RETAKE"", $Q$1:$X$1)) ) )
)  / 
  SUM( FILTER(C$77:X$77, ISNUMBER(SEARCH(""BEFORE RETAKE"", $C$1:$X$1))))*0.6 
+
0.3"),0.585186440677966)</f>
        <v>0.58518644067796599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45</v>
      </c>
      <c r="AG46" s="49">
        <v>62</v>
      </c>
      <c r="AH46" s="45">
        <f ca="1">IFERROR(__xludf.DUMMYFUNCTION("SUM( FILTER(C46:AJ46, ISNUMBER(SEARCH(""Practice"", $C$1:$AJ$1)) ) )  / 
  SUM( FILTER(C$77:AJ$77, ISNUMBER(SEARCH(""Practice"", $C$1:$AJ$1))))*0.1
+
(SUM( FILTER(C46:X46, ISNUMBER(SEARCH(""After RETAKE"", $C$1:$X$1)) ) ) +
SUM( FILTER(X46:AJ46, ISNUMBER("&amp;"SEARCH(""Before RETAKE"", $X$1:$AJ$1)) ) )
)  / 
  SUM( FILTER(C$77:AJ$77, ISNUMBER(SEARCH(""BEFORE RETAKE"", $C$1:$AJ$1))))*0.6 
+
0.3"),0.630050505050505)</f>
        <v>0.63005050505050497</v>
      </c>
      <c r="AI46" s="46" t="s">
        <v>462</v>
      </c>
      <c r="AJ46" s="49">
        <v>62</v>
      </c>
      <c r="AK46" s="45">
        <f ca="1">IFERROR(__xludf.DUMMYFUNCTION("SUM( FILTER(C46:AK46, ISNUMBER(SEARCH(""Practice"", $C$1:$AK$1)) ) )  / 
  SUM( FILTER(C$77:AK$77, ISNUMBER(SEARCH(""Practice"", $C$1:$AK$1))))*0.1
+
(SUM( FILTER(C46:P46, ISNUMBER(SEARCH(""After RETAKE"", $C$1:$P$1)) ) ) +
SUM( FILTER(P46:AK46, ISNUMBER("&amp;"SEARCH(""After RETAKE"", $P$1:$AK$1)) ) )
)  / 
  SUM( FILTER(C$77:AK$77, ISNUMBER(SEARCH(""BEFORE RETAKE"", $C$1:$AK$1))))*0.6 
+
0.3"),0.630050505050505)</f>
        <v>0.63005050505050497</v>
      </c>
      <c r="AL46" s="45">
        <v>0.62</v>
      </c>
      <c r="AM46" s="21">
        <f t="shared" si="0"/>
        <v>2</v>
      </c>
      <c r="AN46" s="21">
        <f t="shared" si="1"/>
        <v>1</v>
      </c>
      <c r="AO46" s="21">
        <f t="shared" si="2"/>
        <v>6</v>
      </c>
      <c r="AP46" s="23">
        <f t="shared" si="3"/>
        <v>41.666666666666664</v>
      </c>
      <c r="AQ46" s="23">
        <f t="shared" si="4"/>
        <v>41.666666666666664</v>
      </c>
      <c r="AR46" s="47">
        <f ca="1">IFERROR(__xludf.DUMMYFUNCTION("SUM( FILTER(C46:AK46, ISNUMBER(SEARCH(""Practice"", $C$1:$AK$1)) ) )  / 
  SUM( FILTER(C$77:AK$77, ISNUMBER(SEARCH(""Practice"", $C$1:$AK$1))))*0.1
+
(SUM( FILTER(C46:P46, ISNUMBER(SEARCH(""before RETAKE"", $C$1:$P$1)) ) ) +
SUM( FILTER(P46:AK46, ISNUMBER"&amp;"(SEARCH(""before RETAKE"", $P$1:$AK$1)) ) )
)  / 
  SUM( FILTER(C$77:AK$77, ISNUMBER(SEARCH(""BEFORE RETAKE"", $C$1:$AK$1))))*0.6 
+
0.3*AL46"),0.516050505050505)</f>
        <v>0.51605050505050498</v>
      </c>
      <c r="AS46" s="47">
        <f ca="1">IFERROR(__xludf.DUMMYFUNCTION("SUM( FILTER(C46:AK46, ISNUMBER(SEARCH(""Practice"", $C$1:$AK$1)) ) )  / 
  SUM( FILTER(C$77:AK$77, ISNUMBER(SEARCH(""Practice"", $C$1:$AK$1))))*0.1
+
(SUM( FILTER(C46:P46, ISNUMBER(SEARCH(""after RETAKE"", $C$1:$P$1)) ) ) +
SUM( FILTER(P46:AK46, ISNUMBER("&amp;"SEARCH(""after RETAKE"", $P$1:$AK$1)) ) )
)  / 
  SUM( FILTER(C$77:AK$77, ISNUMBER(SEARCH(""BEFORE RETAKE"", $C$1:$AK$1))))*0.6 
+
0.3*AL46"),0.516050505050505)</f>
        <v>0.51605050505050498</v>
      </c>
      <c r="AT46" s="47">
        <v>0.64105050509999995</v>
      </c>
      <c r="AU46" s="48">
        <f t="shared" si="5"/>
        <v>0.8005050505050505</v>
      </c>
      <c r="AV46" s="21">
        <v>9</v>
      </c>
      <c r="AW46" s="23">
        <f t="shared" si="6"/>
        <v>47.833333333333336</v>
      </c>
    </row>
    <row r="47" spans="1:49" ht="12.75" x14ac:dyDescent="0.2">
      <c r="A47" s="22" t="s">
        <v>233</v>
      </c>
      <c r="B47" s="22" t="s">
        <v>464</v>
      </c>
      <c r="C47" s="49">
        <v>11</v>
      </c>
      <c r="D47" s="49">
        <v>1</v>
      </c>
      <c r="E47" s="49">
        <v>1</v>
      </c>
      <c r="F47" s="49">
        <v>1</v>
      </c>
      <c r="G47" s="49">
        <v>0</v>
      </c>
      <c r="H47" s="49">
        <v>0</v>
      </c>
      <c r="I47" s="49">
        <v>1</v>
      </c>
      <c r="J47" s="49">
        <v>5</v>
      </c>
      <c r="K47" s="49">
        <v>48</v>
      </c>
      <c r="L47" s="49">
        <v>78</v>
      </c>
      <c r="M47" s="45">
        <f ca="1">IFERROR(__xludf.DUMMYFUNCTION("SUM( FILTER(C47:P47, ISNUMBER(SEARCH(""Practice"", $C$1:$P$1)) ) )  / 
  SUM( FILTER(C$77:P$77, ISNUMBER(SEARCH(""Practice"", $C$1:$P$1))))*0.1
+
SUM( FILTER(C47:P47, ISNUMBER(SEARCH(""BEFORE RETAKE"", $C$1:$P$1)) ) ) 
  / 
  SUM( FILTER(C$77:P$77, ISNUMB"&amp;"ER(SEARCH(""BEFORE RETAKE"", $C$1:$P$1))))*0.6 
+
0.3"),0.861442622950819)</f>
        <v>0.86144262295081897</v>
      </c>
      <c r="N47" s="46" t="s">
        <v>462</v>
      </c>
      <c r="O47" s="49">
        <v>78</v>
      </c>
      <c r="P47" s="45">
        <f ca="1">IFERROR(__xludf.DUMMYFUNCTION("SUM( FILTER(C47:P47, ISNUMBER(SEARCH(""Practice"", $C$1:$P$1)) ) )  / 
  SUM( FILTER(C$77:P$77, ISNUMBER(SEARCH(""Practice"", $C$1:$P$1))))*0.1
+
SUM( FILTER(C47:P47, ISNUMBER(SEARCH(""After RETAKE"", $C$1:$P$1)) ) ) 
  / 
  SUM( FILTER(C$77:P$77, ISNUMBE"&amp;"R(SEARCH(""BEFORE RETAKE"", $C$1:$P$1))))*0.6 
+
0.3"),0.861442622950819)</f>
        <v>0.86144262295081897</v>
      </c>
      <c r="Q47" s="49">
        <v>1</v>
      </c>
      <c r="R47" s="49">
        <v>1</v>
      </c>
      <c r="S47" s="49">
        <v>5</v>
      </c>
      <c r="T47" s="49">
        <v>49.5</v>
      </c>
      <c r="U47" s="49">
        <v>68</v>
      </c>
      <c r="V47" s="45">
        <f ca="1">IFERROR(__xludf.DUMMYFUNCTION("SUM( FILTER(C47:X47, ISNUMBER(SEARCH(""Practice"", $C$1:$X$1)) ) )  / 
  SUM( FILTER(C$77:X$77, ISNUMBER(SEARCH(""Practice"", $C$1:$X$1))))*0.1
+
(SUM( FILTER(C47:P47, ISNUMBER(SEARCH(""After RETAKE"", $C$1:$P$1)) ) ) +
SUM( FILTER(P47:X47, ISNUMBER(SEARC"&amp;"H(""Before RETAKE"", $P$1:$X$1)) ) )
)  / 
  SUM( FILTER(C$77:X$77, ISNUMBER(SEARCH(""BEFORE RETAKE"", $C$1:$X$1))))*0.6 
+
0.3"),0.834186440677966)</f>
        <v>0.83418644067796599</v>
      </c>
      <c r="W47" s="49">
        <v>75</v>
      </c>
      <c r="X47" s="49">
        <v>75</v>
      </c>
      <c r="Y47" s="45">
        <f ca="1">IFERROR(__xludf.DUMMYFUNCTION("SUM( FILTER(C47:X47, ISNUMBER(SEARCH(""Practice"", $C$1:$X$1)) ) )  / 
  SUM( FILTER(C$77:X$77, ISNUMBER(SEARCH(""Practice"", $C$1:$X$1))))*0.1
+
(SUM( FILTER(C47:P47, ISNUMBER(SEARCH(""After RETAKE"", $C$1:$P$1)) ) ) +
SUM( FILTER(Q47:X47, ISNUMBER(SEARC"&amp;"H(""After RETAKE"", $Q$1:$X$1)) ) )
)  / 
  SUM( FILTER(C$77:X$77, ISNUMBER(SEARCH(""BEFORE RETAKE"", $C$1:$X$1))))*0.6 
+
0.3"),0.855186440677966)</f>
        <v>0.85518644067796601</v>
      </c>
      <c r="Z47" s="49">
        <v>5</v>
      </c>
      <c r="AA47" s="49">
        <v>0</v>
      </c>
      <c r="AB47" s="49">
        <v>5</v>
      </c>
      <c r="AC47" s="49">
        <v>5</v>
      </c>
      <c r="AD47" s="49">
        <v>0</v>
      </c>
      <c r="AE47" s="49">
        <v>0</v>
      </c>
      <c r="AF47" s="49">
        <v>50</v>
      </c>
      <c r="AG47" s="49">
        <v>78</v>
      </c>
      <c r="AH47" s="45">
        <f ca="1">IFERROR(__xludf.DUMMYFUNCTION("SUM( FILTER(C47:AJ47, ISNUMBER(SEARCH(""Practice"", $C$1:$AJ$1)) ) )  / 
  SUM( FILTER(C$77:AJ$77, ISNUMBER(SEARCH(""Practice"", $C$1:$AJ$1))))*0.1
+
(SUM( FILTER(C47:X47, ISNUMBER(SEARCH(""After RETAKE"", $C$1:$X$1)) ) ) +
SUM( FILTER(X47:AJ47, ISNUMBER("&amp;"SEARCH(""Before RETAKE"", $X$1:$AJ$1)) ) )
)  / 
  SUM( FILTER(C$77:AJ$77, ISNUMBER(SEARCH(""BEFORE RETAKE"", $C$1:$AJ$1))))*0.6 
+
0.3"),0.852151515151515)</f>
        <v>0.85215151515151499</v>
      </c>
      <c r="AI47" s="46" t="s">
        <v>462</v>
      </c>
      <c r="AJ47" s="49">
        <v>78</v>
      </c>
      <c r="AK47" s="45">
        <f ca="1">IFERROR(__xludf.DUMMYFUNCTION("SUM( FILTER(C47:AK47, ISNUMBER(SEARCH(""Practice"", $C$1:$AK$1)) ) )  / 
  SUM( FILTER(C$77:AK$77, ISNUMBER(SEARCH(""Practice"", $C$1:$AK$1))))*0.1
+
(SUM( FILTER(C47:P47, ISNUMBER(SEARCH(""After RETAKE"", $C$1:$P$1)) ) ) +
SUM( FILTER(P47:AK47, ISNUMBER("&amp;"SEARCH(""After RETAKE"", $P$1:$AK$1)) ) )
)  / 
  SUM( FILTER(C$77:AK$77, ISNUMBER(SEARCH(""BEFORE RETAKE"", $C$1:$AK$1))))*0.6 
+
0.3"),0.852151515151515)</f>
        <v>0.85215151515151499</v>
      </c>
      <c r="AL47" s="45">
        <v>0.65</v>
      </c>
      <c r="AM47" s="21">
        <f t="shared" si="0"/>
        <v>2</v>
      </c>
      <c r="AN47" s="21">
        <f t="shared" si="1"/>
        <v>0</v>
      </c>
      <c r="AO47" s="21">
        <f t="shared" si="2"/>
        <v>3</v>
      </c>
      <c r="AP47" s="23">
        <f t="shared" si="3"/>
        <v>74.666666666666671</v>
      </c>
      <c r="AQ47" s="23">
        <f t="shared" si="4"/>
        <v>77</v>
      </c>
      <c r="AR47" s="47">
        <f ca="1">IFERROR(__xludf.DUMMYFUNCTION("SUM( FILTER(C47:AK47, ISNUMBER(SEARCH(""Practice"", $C$1:$AK$1)) ) )  / 
  SUM( FILTER(C$77:AK$77, ISNUMBER(SEARCH(""Practice"", $C$1:$AK$1))))*0.1
+
(SUM( FILTER(C47:P47, ISNUMBER(SEARCH(""before RETAKE"", $C$1:$P$1)) ) ) +
SUM( FILTER(P47:AK47, ISNUMBER"&amp;"(SEARCH(""before RETAKE"", $P$1:$AK$1)) ) )
)  / 
  SUM( FILTER(C$77:AK$77, ISNUMBER(SEARCH(""BEFORE RETAKE"", $C$1:$AK$1))))*0.6 
+
0.3*AL47"),0.733151515151515)</f>
        <v>0.733151515151515</v>
      </c>
      <c r="AS47" s="47">
        <f ca="1">IFERROR(__xludf.DUMMYFUNCTION("SUM( FILTER(C47:AK47, ISNUMBER(SEARCH(""Practice"", $C$1:$AK$1)) ) )  / 
  SUM( FILTER(C$77:AK$77, ISNUMBER(SEARCH(""Practice"", $C$1:$AK$1))))*0.1
+
(SUM( FILTER(C47:P47, ISNUMBER(SEARCH(""after RETAKE"", $C$1:$P$1)) ) ) +
SUM( FILTER(P47:AK47, ISNUMBER("&amp;"SEARCH(""after RETAKE"", $P$1:$AK$1)) ) )
)  / 
  SUM( FILTER(C$77:AK$77, ISNUMBER(SEARCH(""BEFORE RETAKE"", $C$1:$AK$1))))*0.6 
+
0.3*AL47"),0.747151515151515)</f>
        <v>0.74715151515151501</v>
      </c>
      <c r="AT47" s="47">
        <v>0.75315151520000001</v>
      </c>
      <c r="AU47" s="48">
        <f t="shared" si="5"/>
        <v>0.90151515151515149</v>
      </c>
      <c r="AV47" s="21">
        <v>5</v>
      </c>
      <c r="AW47" s="23">
        <f t="shared" si="6"/>
        <v>49.166666666666664</v>
      </c>
    </row>
    <row r="48" spans="1:49" ht="12.75" x14ac:dyDescent="0.2">
      <c r="A48" s="22" t="s">
        <v>235</v>
      </c>
      <c r="B48" s="22" t="s">
        <v>464</v>
      </c>
      <c r="C48" s="49">
        <v>11</v>
      </c>
      <c r="D48" s="49">
        <v>0</v>
      </c>
      <c r="E48" s="49">
        <v>1</v>
      </c>
      <c r="F48" s="49">
        <v>1</v>
      </c>
      <c r="G48" s="49">
        <v>1</v>
      </c>
      <c r="H48" s="49">
        <v>1</v>
      </c>
      <c r="I48" s="49">
        <v>1</v>
      </c>
      <c r="J48" s="49">
        <v>5</v>
      </c>
      <c r="K48" s="49">
        <v>42</v>
      </c>
      <c r="L48" s="49">
        <v>93</v>
      </c>
      <c r="M48" s="45">
        <f ca="1">IFERROR(__xludf.DUMMYFUNCTION("SUM( FILTER(C48:P48, ISNUMBER(SEARCH(""Practice"", $C$1:$P$1)) ) )  / 
  SUM( FILTER(C$77:P$77, ISNUMBER(SEARCH(""Practice"", $C$1:$P$1))))*0.1
+
SUM( FILTER(C48:P48, ISNUMBER(SEARCH(""BEFORE RETAKE"", $C$1:$P$1)) ) ) 
  / 
  SUM( FILTER(C$77:P$77, ISNUMB"&amp;"ER(SEARCH(""BEFORE RETAKE"", $C$1:$P$1))))*0.6 
+
0.3"),0.943245901639344)</f>
        <v>0.94324590163934396</v>
      </c>
      <c r="N48" s="46" t="s">
        <v>462</v>
      </c>
      <c r="O48" s="49">
        <v>93</v>
      </c>
      <c r="P48" s="45">
        <f ca="1">IFERROR(__xludf.DUMMYFUNCTION("SUM( FILTER(C48:P48, ISNUMBER(SEARCH(""Practice"", $C$1:$P$1)) ) )  / 
  SUM( FILTER(C$77:P$77, ISNUMBER(SEARCH(""Practice"", $C$1:$P$1))))*0.1
+
SUM( FILTER(C48:P48, ISNUMBER(SEARCH(""After RETAKE"", $C$1:$P$1)) ) ) 
  / 
  SUM( FILTER(C$77:P$77, ISNUMBE"&amp;"R(SEARCH(""BEFORE RETAKE"", $C$1:$P$1))))*0.6 
+
0.3"),0.943245901639344)</f>
        <v>0.94324590163934396</v>
      </c>
      <c r="Q48" s="49">
        <v>1</v>
      </c>
      <c r="R48" s="49">
        <v>1</v>
      </c>
      <c r="S48" s="49">
        <v>5</v>
      </c>
      <c r="T48" s="49">
        <v>41</v>
      </c>
      <c r="U48" s="49">
        <v>86</v>
      </c>
      <c r="V48" s="45">
        <f ca="1">IFERROR(__xludf.DUMMYFUNCTION("SUM( FILTER(C48:X48, ISNUMBER(SEARCH(""Practice"", $C$1:$X$1)) ) )  / 
  SUM( FILTER(C$77:X$77, ISNUMBER(SEARCH(""Practice"", $C$1:$X$1))))*0.1
+
(SUM( FILTER(C48:P48, ISNUMBER(SEARCH(""After RETAKE"", $C$1:$P$1)) ) ) +
SUM( FILTER(P48:X48, ISNUMBER(SEARC"&amp;"H(""Before RETAKE"", $P$1:$X$1)) ) )
)  / 
  SUM( FILTER(C$77:X$77, ISNUMBER(SEARCH(""BEFORE RETAKE"", $C$1:$X$1))))*0.6 
+
0.3"),0.921745762711864)</f>
        <v>0.92174576271186404</v>
      </c>
      <c r="W48" s="46" t="s">
        <v>462</v>
      </c>
      <c r="X48" s="49">
        <v>86</v>
      </c>
      <c r="Y48" s="45">
        <f ca="1">IFERROR(__xludf.DUMMYFUNCTION("SUM( FILTER(C48:X48, ISNUMBER(SEARCH(""Practice"", $C$1:$X$1)) ) )  / 
  SUM( FILTER(C$77:X$77, ISNUMBER(SEARCH(""Practice"", $C$1:$X$1))))*0.1
+
(SUM( FILTER(C48:P48, ISNUMBER(SEARCH(""After RETAKE"", $C$1:$P$1)) ) ) +
SUM( FILTER(Q48:X48, ISNUMBER(SEARC"&amp;"H(""After RETAKE"", $Q$1:$X$1)) ) )
)  / 
  SUM( FILTER(C$77:X$77, ISNUMBER(SEARCH(""BEFORE RETAKE"", $C$1:$X$1))))*0.6 
+
0.3"),0.921745762711864)</f>
        <v>0.92174576271186404</v>
      </c>
      <c r="Z48" s="49">
        <v>0</v>
      </c>
      <c r="AA48" s="49">
        <v>0</v>
      </c>
      <c r="AB48" s="49">
        <v>0</v>
      </c>
      <c r="AC48" s="49">
        <v>0</v>
      </c>
      <c r="AD48" s="49">
        <v>0</v>
      </c>
      <c r="AE48" s="49">
        <v>0</v>
      </c>
      <c r="AF48" s="49">
        <v>46</v>
      </c>
      <c r="AG48" s="49">
        <v>82</v>
      </c>
      <c r="AH48" s="45">
        <f ca="1">IFERROR(__xludf.DUMMYFUNCTION("SUM( FILTER(C48:AJ48, ISNUMBER(SEARCH(""Practice"", $C$1:$AJ$1)) ) )  / 
  SUM( FILTER(C$77:AJ$77, ISNUMBER(SEARCH(""Practice"", $C$1:$AJ$1))))*0.1
+
(SUM( FILTER(C48:X48, ISNUMBER(SEARCH(""After RETAKE"", $C$1:$X$1)) ) ) +
SUM( FILTER(X48:AJ48, ISNUMBER("&amp;"SEARCH(""Before RETAKE"", $X$1:$AJ$1)) ) )
)  / 
  SUM( FILTER(C$77:AJ$77, ISNUMBER(SEARCH(""BEFORE RETAKE"", $C$1:$AJ$1))))*0.6 
+
0.3"),0.895737373737373)</f>
        <v>0.89573737373737305</v>
      </c>
      <c r="AI48" s="46" t="s">
        <v>462</v>
      </c>
      <c r="AJ48" s="49">
        <v>82</v>
      </c>
      <c r="AK48" s="45">
        <f ca="1">IFERROR(__xludf.DUMMYFUNCTION("SUM( FILTER(C48:AK48, ISNUMBER(SEARCH(""Practice"", $C$1:$AK$1)) ) )  / 
  SUM( FILTER(C$77:AK$77, ISNUMBER(SEARCH(""Practice"", $C$1:$AK$1))))*0.1
+
(SUM( FILTER(C48:P48, ISNUMBER(SEARCH(""After RETAKE"", $C$1:$P$1)) ) ) +
SUM( FILTER(P48:AK48, ISNUMBER("&amp;"SEARCH(""After RETAKE"", $P$1:$AK$1)) ) )
)  / 
  SUM( FILTER(C$77:AK$77, ISNUMBER(SEARCH(""BEFORE RETAKE"", $C$1:$AK$1))))*0.6 
+
0.3"),0.895737373737373)</f>
        <v>0.89573737373737305</v>
      </c>
      <c r="AL48" s="45">
        <v>0.82</v>
      </c>
      <c r="AM48" s="21">
        <f t="shared" si="0"/>
        <v>1</v>
      </c>
      <c r="AN48" s="21">
        <f t="shared" si="1"/>
        <v>0</v>
      </c>
      <c r="AO48" s="21">
        <f t="shared" si="2"/>
        <v>6</v>
      </c>
      <c r="AP48" s="23">
        <f t="shared" si="3"/>
        <v>87</v>
      </c>
      <c r="AQ48" s="23">
        <f t="shared" si="4"/>
        <v>87</v>
      </c>
      <c r="AR48" s="47">
        <f ca="1">IFERROR(__xludf.DUMMYFUNCTION("SUM( FILTER(C48:AK48, ISNUMBER(SEARCH(""Practice"", $C$1:$AK$1)) ) )  / 
  SUM( FILTER(C$77:AK$77, ISNUMBER(SEARCH(""Practice"", $C$1:$AK$1))))*0.1
+
(SUM( FILTER(C48:P48, ISNUMBER(SEARCH(""before RETAKE"", $C$1:$P$1)) ) ) +
SUM( FILTER(P48:AK48, ISNUMBER"&amp;"(SEARCH(""before RETAKE"", $P$1:$AK$1)) ) )
)  / 
  SUM( FILTER(C$77:AK$77, ISNUMBER(SEARCH(""BEFORE RETAKE"", $C$1:$AK$1))))*0.6 
+
0.3*AL48"),0.841737373737373)</f>
        <v>0.84173737373737301</v>
      </c>
      <c r="AS48" s="47">
        <f ca="1">IFERROR(__xludf.DUMMYFUNCTION("SUM( FILTER(C48:AK48, ISNUMBER(SEARCH(""Practice"", $C$1:$AK$1)) ) )  / 
  SUM( FILTER(C$77:AK$77, ISNUMBER(SEARCH(""Practice"", $C$1:$AK$1))))*0.1
+
(SUM( FILTER(C48:P48, ISNUMBER(SEARCH(""after RETAKE"", $C$1:$P$1)) ) ) +
SUM( FILTER(P48:AK48, ISNUMBER("&amp;"SEARCH(""after RETAKE"", $P$1:$AK$1)) ) )
)  / 
  SUM( FILTER(C$77:AK$77, ISNUMBER(SEARCH(""BEFORE RETAKE"", $C$1:$AK$1))))*0.6 
+
0.3*AL48"),0.841737373737373)</f>
        <v>0.84173737373737301</v>
      </c>
      <c r="AT48" s="47">
        <v>0.85673737370000003</v>
      </c>
      <c r="AU48" s="48">
        <f t="shared" si="5"/>
        <v>0.73737373737373735</v>
      </c>
      <c r="AV48" s="21">
        <v>7</v>
      </c>
      <c r="AW48" s="23">
        <f t="shared" si="6"/>
        <v>43</v>
      </c>
    </row>
    <row r="49" spans="1:49" ht="12.75" x14ac:dyDescent="0.2">
      <c r="A49" s="22" t="s">
        <v>237</v>
      </c>
      <c r="B49" s="22" t="s">
        <v>464</v>
      </c>
      <c r="C49" s="49">
        <v>10</v>
      </c>
      <c r="D49" s="49">
        <v>1</v>
      </c>
      <c r="E49" s="49">
        <v>1</v>
      </c>
      <c r="F49" s="49">
        <v>1</v>
      </c>
      <c r="G49" s="49">
        <v>1</v>
      </c>
      <c r="H49" s="49">
        <v>1</v>
      </c>
      <c r="I49" s="49">
        <v>1</v>
      </c>
      <c r="J49" s="49">
        <v>5</v>
      </c>
      <c r="K49" s="49">
        <v>48</v>
      </c>
      <c r="L49" s="49">
        <v>100</v>
      </c>
      <c r="M49" s="45">
        <f ca="1">IFERROR(__xludf.DUMMYFUNCTION("SUM( FILTER(C49:P49, ISNUMBER(SEARCH(""Practice"", $C$1:$P$1)) ) )  / 
  SUM( FILTER(C$77:P$77, ISNUMBER(SEARCH(""Practice"", $C$1:$P$1))))*0.1
+
SUM( FILTER(C49:P49, ISNUMBER(SEARCH(""BEFORE RETAKE"", $C$1:$P$1)) ) ) 
  / 
  SUM( FILTER(C$77:P$77, ISNUMB"&amp;"ER(SEARCH(""BEFORE RETAKE"", $C$1:$P$1))))*0.6 
+
0.3"),0.996721311475409)</f>
        <v>0.99672131147540899</v>
      </c>
      <c r="N49" s="46" t="s">
        <v>462</v>
      </c>
      <c r="O49" s="49">
        <v>100</v>
      </c>
      <c r="P49" s="45">
        <f ca="1">IFERROR(__xludf.DUMMYFUNCTION("SUM( FILTER(C49:P49, ISNUMBER(SEARCH(""Practice"", $C$1:$P$1)) ) )  / 
  SUM( FILTER(C$77:P$77, ISNUMBER(SEARCH(""Practice"", $C$1:$P$1))))*0.1
+
SUM( FILTER(C49:P49, ISNUMBER(SEARCH(""After RETAKE"", $C$1:$P$1)) ) ) 
  / 
  SUM( FILTER(C$77:P$77, ISNUMBE"&amp;"R(SEARCH(""BEFORE RETAKE"", $C$1:$P$1))))*0.6 
+
0.3"),0.996721311475409)</f>
        <v>0.99672131147540899</v>
      </c>
      <c r="Q49" s="49">
        <v>1</v>
      </c>
      <c r="R49" s="49">
        <v>1</v>
      </c>
      <c r="S49" s="49">
        <v>5</v>
      </c>
      <c r="T49" s="49">
        <v>50</v>
      </c>
      <c r="U49" s="49">
        <v>86</v>
      </c>
      <c r="V49" s="45">
        <f ca="1">IFERROR(__xludf.DUMMYFUNCTION("SUM( FILTER(C49:X49, ISNUMBER(SEARCH(""Practice"", $C$1:$X$1)) ) )  / 
  SUM( FILTER(C$77:X$77, ISNUMBER(SEARCH(""Practice"", $C$1:$X$1))))*0.1
+
(SUM( FILTER(C49:P49, ISNUMBER(SEARCH(""After RETAKE"", $C$1:$P$1)) ) ) +
SUM( FILTER(P49:X49, ISNUMBER(SEARC"&amp;"H(""Before RETAKE"", $P$1:$X$1)) ) )
)  / 
  SUM( FILTER(C$77:X$77, ISNUMBER(SEARCH(""BEFORE RETAKE"", $C$1:$X$1))))*0.6 
+
0.3"),0.956305084745762)</f>
        <v>0.95630508474576204</v>
      </c>
      <c r="W49" s="46" t="s">
        <v>462</v>
      </c>
      <c r="X49" s="49">
        <v>86</v>
      </c>
      <c r="Y49" s="45">
        <f ca="1">IFERROR(__xludf.DUMMYFUNCTION("SUM( FILTER(C49:X49, ISNUMBER(SEARCH(""Practice"", $C$1:$X$1)) ) )  / 
  SUM( FILTER(C$77:X$77, ISNUMBER(SEARCH(""Practice"", $C$1:$X$1))))*0.1
+
(SUM( FILTER(C49:P49, ISNUMBER(SEARCH(""After RETAKE"", $C$1:$P$1)) ) ) +
SUM( FILTER(Q49:X49, ISNUMBER(SEARC"&amp;"H(""After RETAKE"", $Q$1:$X$1)) ) )
)  / 
  SUM( FILTER(C$77:X$77, ISNUMBER(SEARCH(""BEFORE RETAKE"", $C$1:$X$1))))*0.6 
+
0.3"),0.956305084745762)</f>
        <v>0.95630508474576204</v>
      </c>
      <c r="Z49" s="49">
        <v>5</v>
      </c>
      <c r="AA49" s="49">
        <v>5</v>
      </c>
      <c r="AB49" s="49">
        <v>5</v>
      </c>
      <c r="AC49" s="49">
        <v>5</v>
      </c>
      <c r="AD49" s="49">
        <v>5</v>
      </c>
      <c r="AE49" s="49">
        <v>5</v>
      </c>
      <c r="AF49" s="49">
        <v>50</v>
      </c>
      <c r="AG49" s="49">
        <v>92</v>
      </c>
      <c r="AH49" s="45">
        <f ca="1">IFERROR(__xludf.DUMMYFUNCTION("SUM( FILTER(C49:AJ49, ISNUMBER(SEARCH(""Practice"", $C$1:$AJ$1)) ) )  / 
  SUM( FILTER(C$77:AJ$77, ISNUMBER(SEARCH(""Practice"", $C$1:$AJ$1))))*0.1
+
(SUM( FILTER(C49:X49, ISNUMBER(SEARCH(""After RETAKE"", $C$1:$X$1)) ) ) +
SUM( FILTER(X49:AJ49, ISNUMBER("&amp;"SEARCH(""Before RETAKE"", $X$1:$AJ$1)) ) )
)  / 
  SUM( FILTER(C$77:AJ$77, ISNUMBER(SEARCH(""BEFORE RETAKE"", $C$1:$AJ$1))))*0.6 
+
0.3"),0.954989898989898)</f>
        <v>0.95498989898989795</v>
      </c>
      <c r="AI49" s="46" t="s">
        <v>462</v>
      </c>
      <c r="AJ49" s="49">
        <v>92</v>
      </c>
      <c r="AK49" s="45">
        <f ca="1">IFERROR(__xludf.DUMMYFUNCTION("SUM( FILTER(C49:AK49, ISNUMBER(SEARCH(""Practice"", $C$1:$AK$1)) ) )  / 
  SUM( FILTER(C$77:AK$77, ISNUMBER(SEARCH(""Practice"", $C$1:$AK$1))))*0.1
+
(SUM( FILTER(C49:P49, ISNUMBER(SEARCH(""After RETAKE"", $C$1:$P$1)) ) ) +
SUM( FILTER(P49:AK49, ISNUMBER("&amp;"SEARCH(""After RETAKE"", $P$1:$AK$1)) ) )
)  / 
  SUM( FILTER(C$77:AK$77, ISNUMBER(SEARCH(""BEFORE RETAKE"", $C$1:$AK$1))))*0.6 
+
0.3"),0.954989898989898)</f>
        <v>0.95498989898989795</v>
      </c>
      <c r="AL49" s="45">
        <v>0.88</v>
      </c>
      <c r="AM49" s="21">
        <f t="shared" si="0"/>
        <v>0</v>
      </c>
      <c r="AN49" s="21">
        <f t="shared" si="1"/>
        <v>0</v>
      </c>
      <c r="AO49" s="21">
        <f t="shared" si="2"/>
        <v>0</v>
      </c>
      <c r="AP49" s="23">
        <f t="shared" si="3"/>
        <v>92.666666666666671</v>
      </c>
      <c r="AQ49" s="23">
        <f t="shared" si="4"/>
        <v>92.666666666666671</v>
      </c>
      <c r="AR49" s="47">
        <f ca="1">IFERROR(__xludf.DUMMYFUNCTION("SUM( FILTER(C49:AK49, ISNUMBER(SEARCH(""Practice"", $C$1:$AK$1)) ) )  / 
  SUM( FILTER(C$77:AK$77, ISNUMBER(SEARCH(""Practice"", $C$1:$AK$1))))*0.1
+
(SUM( FILTER(C49:P49, ISNUMBER(SEARCH(""before RETAKE"", $C$1:$P$1)) ) ) +
SUM( FILTER(P49:AK49, ISNUMBER"&amp;"(SEARCH(""before RETAKE"", $P$1:$AK$1)) ) )
)  / 
  SUM( FILTER(C$77:AK$77, ISNUMBER(SEARCH(""BEFORE RETAKE"", $C$1:$AK$1))))*0.6 
+
0.3*AL49"),0.918989898989898)</f>
        <v>0.91898989898989802</v>
      </c>
      <c r="AS49" s="47">
        <f ca="1">IFERROR(__xludf.DUMMYFUNCTION("SUM( FILTER(C49:AK49, ISNUMBER(SEARCH(""Practice"", $C$1:$AK$1)) ) )  / 
  SUM( FILTER(C$77:AK$77, ISNUMBER(SEARCH(""Practice"", $C$1:$AK$1))))*0.1
+
(SUM( FILTER(C49:P49, ISNUMBER(SEARCH(""after RETAKE"", $C$1:$P$1)) ) ) +
SUM( FILTER(P49:AK49, ISNUMBER("&amp;"SEARCH(""after RETAKE"", $P$1:$AK$1)) ) )
)  / 
  SUM( FILTER(C$77:AK$77, ISNUMBER(SEARCH(""BEFORE RETAKE"", $C$1:$AK$1))))*0.6 
+
0.3*AL49"),0.918989898989898)</f>
        <v>0.91898989898989802</v>
      </c>
      <c r="AT49" s="47">
        <v>0.93898989899999996</v>
      </c>
      <c r="AU49" s="48">
        <f t="shared" si="5"/>
        <v>0.98989898989898994</v>
      </c>
      <c r="AV49" s="21">
        <v>0</v>
      </c>
      <c r="AW49" s="23">
        <f t="shared" si="6"/>
        <v>49.333333333333336</v>
      </c>
    </row>
    <row r="50" spans="1:49" ht="12.75" x14ac:dyDescent="0.2">
      <c r="A50" s="22" t="s">
        <v>239</v>
      </c>
      <c r="B50" s="22" t="s">
        <v>464</v>
      </c>
      <c r="C50" s="49">
        <v>11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5</v>
      </c>
      <c r="K50" s="49">
        <v>28</v>
      </c>
      <c r="L50" s="49">
        <v>90</v>
      </c>
      <c r="M50" s="45">
        <f ca="1">IFERROR(__xludf.DUMMYFUNCTION("SUM( FILTER(C50:P50, ISNUMBER(SEARCH(""Practice"", $C$1:$P$1)) ) )  / 
  SUM( FILTER(C$77:P$77, ISNUMBER(SEARCH(""Practice"", $C$1:$P$1))))*0.1
+
SUM( FILTER(C50:P50, ISNUMBER(SEARCH(""BEFORE RETAKE"", $C$1:$P$1)) ) ) 
  / 
  SUM( FILTER(C$77:P$77, ISNUMB"&amp;"ER(SEARCH(""BEFORE RETAKE"", $C$1:$P$1))))*0.6 
+
0.3"),0.894098360655737)</f>
        <v>0.894098360655737</v>
      </c>
      <c r="N50" s="46" t="s">
        <v>462</v>
      </c>
      <c r="O50" s="49">
        <v>90</v>
      </c>
      <c r="P50" s="45">
        <f ca="1">IFERROR(__xludf.DUMMYFUNCTION("SUM( FILTER(C50:P50, ISNUMBER(SEARCH(""Practice"", $C$1:$P$1)) ) )  / 
  SUM( FILTER(C$77:P$77, ISNUMBER(SEARCH(""Practice"", $C$1:$P$1))))*0.1
+
SUM( FILTER(C50:P50, ISNUMBER(SEARCH(""After RETAKE"", $C$1:$P$1)) ) ) 
  / 
  SUM( FILTER(C$77:P$77, ISNUMBE"&amp;"R(SEARCH(""BEFORE RETAKE"", $C$1:$P$1))))*0.6 
+
0.3"),0.894098360655737)</f>
        <v>0.894098360655737</v>
      </c>
      <c r="Q50" s="49">
        <v>0</v>
      </c>
      <c r="R50" s="49">
        <v>0</v>
      </c>
      <c r="S50" s="49">
        <v>5</v>
      </c>
      <c r="T50" s="49">
        <v>39</v>
      </c>
      <c r="U50" s="49">
        <v>85</v>
      </c>
      <c r="V50" s="45">
        <f ca="1">IFERROR(__xludf.DUMMYFUNCTION("SUM( FILTER(C50:X50, ISNUMBER(SEARCH(""Practice"", $C$1:$X$1)) ) )  / 
  SUM( FILTER(C$77:X$77, ISNUMBER(SEARCH(""Practice"", $C$1:$X$1))))*0.1
+
(SUM( FILTER(C50:P50, ISNUMBER(SEARCH(""After RETAKE"", $C$1:$P$1)) ) ) +
SUM( FILTER(P50:X50, ISNUMBER(SEARC"&amp;"H(""Before RETAKE"", $P$1:$X$1)) ) )
)  / 
  SUM( FILTER(C$77:X$77, ISNUMBER(SEARCH(""BEFORE RETAKE"", $C$1:$X$1))))*0.6 
+
0.3"),0.890254237288135)</f>
        <v>0.89025423728813502</v>
      </c>
      <c r="W50" s="46" t="s">
        <v>462</v>
      </c>
      <c r="X50" s="49">
        <v>85</v>
      </c>
      <c r="Y50" s="45">
        <f ca="1">IFERROR(__xludf.DUMMYFUNCTION("SUM( FILTER(C50:X50, ISNUMBER(SEARCH(""Practice"", $C$1:$X$1)) ) )  / 
  SUM( FILTER(C$77:X$77, ISNUMBER(SEARCH(""Practice"", $C$1:$X$1))))*0.1
+
(SUM( FILTER(C50:P50, ISNUMBER(SEARCH(""After RETAKE"", $C$1:$P$1)) ) ) +
SUM( FILTER(Q50:X50, ISNUMBER(SEARC"&amp;"H(""After RETAKE"", $Q$1:$X$1)) ) )
)  / 
  SUM( FILTER(C$77:X$77, ISNUMBER(SEARCH(""BEFORE RETAKE"", $C$1:$X$1))))*0.6 
+
0.3"),0.890254237288135)</f>
        <v>0.89025423728813502</v>
      </c>
      <c r="Z50" s="49">
        <v>0</v>
      </c>
      <c r="AA50" s="49">
        <v>0</v>
      </c>
      <c r="AB50" s="49">
        <v>0</v>
      </c>
      <c r="AC50" s="49">
        <v>0</v>
      </c>
      <c r="AD50" s="49">
        <v>0</v>
      </c>
      <c r="AE50" s="49">
        <v>0</v>
      </c>
      <c r="AF50" s="49">
        <v>43</v>
      </c>
      <c r="AG50" s="49">
        <v>72</v>
      </c>
      <c r="AH50" s="45">
        <f ca="1">IFERROR(__xludf.DUMMYFUNCTION("SUM( FILTER(C50:AJ50, ISNUMBER(SEARCH(""Practice"", $C$1:$AJ$1)) ) )  / 
  SUM( FILTER(C$77:AJ$77, ISNUMBER(SEARCH(""Practice"", $C$1:$AJ$1))))*0.1
+
(SUM( FILTER(C50:X50, ISNUMBER(SEARCH(""After RETAKE"", $C$1:$X$1)) ) ) +
SUM( FILTER(X50:AJ50, ISNUMBER("&amp;"SEARCH(""Before RETAKE"", $X$1:$AJ$1)) ) )
)  / 
  SUM( FILTER(C$77:AJ$77, ISNUMBER(SEARCH(""BEFORE RETAKE"", $C$1:$AJ$1))))*0.6 
+
0.3"),0.85460606060606)</f>
        <v>0.85460606060606004</v>
      </c>
      <c r="AI50" s="46" t="s">
        <v>462</v>
      </c>
      <c r="AJ50" s="49">
        <v>72</v>
      </c>
      <c r="AK50" s="45">
        <f ca="1">IFERROR(__xludf.DUMMYFUNCTION("SUM( FILTER(C50:AK50, ISNUMBER(SEARCH(""Practice"", $C$1:$AK$1)) ) )  / 
  SUM( FILTER(C$77:AK$77, ISNUMBER(SEARCH(""Practice"", $C$1:$AK$1))))*0.1
+
(SUM( FILTER(C50:P50, ISNUMBER(SEARCH(""After RETAKE"", $C$1:$P$1)) ) ) +
SUM( FILTER(P50:AK50, ISNUMBER("&amp;"SEARCH(""After RETAKE"", $P$1:$AK$1)) ) )
)  / 
  SUM( FILTER(C$77:AK$77, ISNUMBER(SEARCH(""BEFORE RETAKE"", $C$1:$AK$1))))*0.6 
+
0.3"),0.85460606060606)</f>
        <v>0.85460606060606004</v>
      </c>
      <c r="AL50" s="45">
        <v>0.72</v>
      </c>
      <c r="AM50" s="21">
        <f t="shared" si="0"/>
        <v>6</v>
      </c>
      <c r="AN50" s="21">
        <f t="shared" si="1"/>
        <v>2</v>
      </c>
      <c r="AO50" s="21">
        <f t="shared" si="2"/>
        <v>6</v>
      </c>
      <c r="AP50" s="23">
        <f t="shared" si="3"/>
        <v>82.333333333333329</v>
      </c>
      <c r="AQ50" s="23">
        <f t="shared" si="4"/>
        <v>82.333333333333329</v>
      </c>
      <c r="AR50" s="47">
        <f ca="1">IFERROR(__xludf.DUMMYFUNCTION("SUM( FILTER(C50:AK50, ISNUMBER(SEARCH(""Practice"", $C$1:$AK$1)) ) )  / 
  SUM( FILTER(C$77:AK$77, ISNUMBER(SEARCH(""Practice"", $C$1:$AK$1))))*0.1
+
(SUM( FILTER(C50:P50, ISNUMBER(SEARCH(""before RETAKE"", $C$1:$P$1)) ) ) +
SUM( FILTER(P50:AK50, ISNUMBER"&amp;"(SEARCH(""before RETAKE"", $P$1:$AK$1)) ) )
)  / 
  SUM( FILTER(C$77:AK$77, ISNUMBER(SEARCH(""BEFORE RETAKE"", $C$1:$AK$1))))*0.6 
+
0.3*AL50"),0.77060606060606)</f>
        <v>0.77060606060605996</v>
      </c>
      <c r="AS50" s="47">
        <f ca="1">IFERROR(__xludf.DUMMYFUNCTION("SUM( FILTER(C50:AK50, ISNUMBER(SEARCH(""Practice"", $C$1:$AK$1)) ) )  / 
  SUM( FILTER(C$77:AK$77, ISNUMBER(SEARCH(""Practice"", $C$1:$AK$1))))*0.1
+
(SUM( FILTER(C50:P50, ISNUMBER(SEARCH(""after RETAKE"", $C$1:$P$1)) ) ) +
SUM( FILTER(P50:AK50, ISNUMBER("&amp;"SEARCH(""after RETAKE"", $P$1:$AK$1)) ) )
)  / 
  SUM( FILTER(C$77:AK$77, ISNUMBER(SEARCH(""BEFORE RETAKE"", $C$1:$AK$1))))*0.6 
+
0.3*AL50"),0.77060606060606)</f>
        <v>0.77060606060605996</v>
      </c>
      <c r="AT50" s="47">
        <v>0.80160606059999995</v>
      </c>
      <c r="AU50" s="48">
        <f t="shared" si="5"/>
        <v>0.60606060606060608</v>
      </c>
      <c r="AV50" s="21">
        <v>14</v>
      </c>
      <c r="AW50" s="23">
        <f t="shared" si="6"/>
        <v>36.666666666666664</v>
      </c>
    </row>
    <row r="51" spans="1:49" ht="12.75" x14ac:dyDescent="0.2">
      <c r="A51" s="22" t="s">
        <v>241</v>
      </c>
      <c r="B51" s="22" t="s">
        <v>461</v>
      </c>
      <c r="C51" s="49">
        <v>11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5</v>
      </c>
      <c r="K51" s="49">
        <v>40</v>
      </c>
      <c r="L51" s="49">
        <v>60</v>
      </c>
      <c r="M51" s="45">
        <f ca="1">IFERROR(__xludf.DUMMYFUNCTION("SUM( FILTER(C51:P51, ISNUMBER(SEARCH(""Practice"", $C$1:$P$1)) ) )  / 
  SUM( FILTER(C$77:P$77, ISNUMBER(SEARCH(""Practice"", $C$1:$P$1))))*0.1
+
SUM( FILTER(C51:P51, ISNUMBER(SEARCH(""BEFORE RETAKE"", $C$1:$P$1)) ) ) 
  / 
  SUM( FILTER(C$77:P$77, ISNUMB"&amp;"ER(SEARCH(""BEFORE RETAKE"", $C$1:$P$1))))*0.6 
+
0.3"),0.733770491803278)</f>
        <v>0.73377049180327802</v>
      </c>
      <c r="N51" s="46" t="s">
        <v>462</v>
      </c>
      <c r="O51" s="49">
        <v>60</v>
      </c>
      <c r="P51" s="45">
        <f ca="1">IFERROR(__xludf.DUMMYFUNCTION("SUM( FILTER(C51:P51, ISNUMBER(SEARCH(""Practice"", $C$1:$P$1)) ) )  / 
  SUM( FILTER(C$77:P$77, ISNUMBER(SEARCH(""Practice"", $C$1:$P$1))))*0.1
+
SUM( FILTER(C51:P51, ISNUMBER(SEARCH(""After RETAKE"", $C$1:$P$1)) ) ) 
  / 
  SUM( FILTER(C$77:P$77, ISNUMBE"&amp;"R(SEARCH(""BEFORE RETAKE"", $C$1:$P$1))))*0.6 
+
0.3"),0.733770491803278)</f>
        <v>0.73377049180327802</v>
      </c>
      <c r="Q51" s="49">
        <v>0</v>
      </c>
      <c r="R51" s="49">
        <v>0</v>
      </c>
      <c r="S51" s="49">
        <v>0</v>
      </c>
      <c r="T51" s="49">
        <v>39</v>
      </c>
      <c r="U51" s="49">
        <v>63</v>
      </c>
      <c r="V51" s="45">
        <f ca="1">IFERROR(__xludf.DUMMYFUNCTION("SUM( FILTER(C51:X51, ISNUMBER(SEARCH(""Practice"", $C$1:$X$1)) ) )  / 
  SUM( FILTER(C$77:X$77, ISNUMBER(SEARCH(""Practice"", $C$1:$X$1))))*0.1
+
(SUM( FILTER(C51:P51, ISNUMBER(SEARCH(""After RETAKE"", $C$1:$P$1)) ) ) +
SUM( FILTER(P51:X51, ISNUMBER(SEARC"&amp;"H(""Before RETAKE"", $P$1:$X$1)) ) )
)  / 
  SUM( FILTER(C$77:X$77, ISNUMBER(SEARCH(""BEFORE RETAKE"", $C$1:$X$1))))*0.6 
+
0.3"),0.740186440677966)</f>
        <v>0.74018644067796602</v>
      </c>
      <c r="W51" s="46" t="s">
        <v>462</v>
      </c>
      <c r="X51" s="49">
        <v>63</v>
      </c>
      <c r="Y51" s="45">
        <f ca="1">IFERROR(__xludf.DUMMYFUNCTION("SUM( FILTER(C51:X51, ISNUMBER(SEARCH(""Practice"", $C$1:$X$1)) ) )  / 
  SUM( FILTER(C$77:X$77, ISNUMBER(SEARCH(""Practice"", $C$1:$X$1))))*0.1
+
(SUM( FILTER(C51:P51, ISNUMBER(SEARCH(""After RETAKE"", $C$1:$P$1)) ) ) +
SUM( FILTER(Q51:X51, ISNUMBER(SEARC"&amp;"H(""After RETAKE"", $Q$1:$X$1)) ) )
)  / 
  SUM( FILTER(C$77:X$77, ISNUMBER(SEARCH(""BEFORE RETAKE"", $C$1:$X$1))))*0.6 
+
0.3"),0.740186440677966)</f>
        <v>0.74018644067796602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44</v>
      </c>
      <c r="AG51" s="49">
        <v>30</v>
      </c>
      <c r="AH51" s="45">
        <f ca="1">IFERROR(__xludf.DUMMYFUNCTION("SUM( FILTER(C51:AJ51, ISNUMBER(SEARCH(""Practice"", $C$1:$AJ$1)) ) )  / 
  SUM( FILTER(C$77:AJ$77, ISNUMBER(SEARCH(""Practice"", $C$1:$AJ$1))))*0.1
+
(SUM( FILTER(C51:X51, ISNUMBER(SEARCH(""After RETAKE"", $C$1:$X$1)) ) ) +
SUM( FILTER(X51:AJ51, ISNUMBER("&amp;"SEARCH(""Before RETAKE"", $X$1:$AJ$1)) ) )
)  / 
  SUM( FILTER(C$77:AJ$77, ISNUMBER(SEARCH(""BEFORE RETAKE"", $C$1:$AJ$1))))*0.6 
+
0.3"),0.670646464646464)</f>
        <v>0.67064646464646405</v>
      </c>
      <c r="AI51" s="46" t="s">
        <v>462</v>
      </c>
      <c r="AJ51" s="49">
        <v>30</v>
      </c>
      <c r="AK51" s="45">
        <f ca="1">IFERROR(__xludf.DUMMYFUNCTION("SUM( FILTER(C51:AK51, ISNUMBER(SEARCH(""Practice"", $C$1:$AK$1)) ) )  / 
  SUM( FILTER(C$77:AK$77, ISNUMBER(SEARCH(""Practice"", $C$1:$AK$1))))*0.1
+
(SUM( FILTER(C51:P51, ISNUMBER(SEARCH(""After RETAKE"", $C$1:$P$1)) ) ) +
SUM( FILTER(P51:AK51, ISNUMBER("&amp;"SEARCH(""After RETAKE"", $P$1:$AK$1)) ) )
)  / 
  SUM( FILTER(C$77:AK$77, ISNUMBER(SEARCH(""BEFORE RETAKE"", $C$1:$AK$1))))*0.6 
+
0.3"),0.670646464646464)</f>
        <v>0.67064646464646405</v>
      </c>
      <c r="AL51" s="45">
        <v>0.3</v>
      </c>
      <c r="AM51" s="21">
        <f t="shared" si="0"/>
        <v>6</v>
      </c>
      <c r="AN51" s="21">
        <f t="shared" si="1"/>
        <v>3</v>
      </c>
      <c r="AO51" s="21">
        <f t="shared" si="2"/>
        <v>6</v>
      </c>
      <c r="AP51" s="23">
        <f t="shared" si="3"/>
        <v>51</v>
      </c>
      <c r="AQ51" s="23">
        <f t="shared" si="4"/>
        <v>51</v>
      </c>
      <c r="AR51" s="47">
        <f ca="1">IFERROR(__xludf.DUMMYFUNCTION("SUM( FILTER(C51:AK51, ISNUMBER(SEARCH(""Practice"", $C$1:$AK$1)) ) )  / 
  SUM( FILTER(C$77:AK$77, ISNUMBER(SEARCH(""Practice"", $C$1:$AK$1))))*0.1
+
(SUM( FILTER(C51:P51, ISNUMBER(SEARCH(""before RETAKE"", $C$1:$P$1)) ) ) +
SUM( FILTER(P51:AK51, ISNUMBER"&amp;"(SEARCH(""before RETAKE"", $P$1:$AK$1)) ) )
)  / 
  SUM( FILTER(C$77:AK$77, ISNUMBER(SEARCH(""BEFORE RETAKE"", $C$1:$AK$1))))*0.6 
+
0.3*AL51"),0.460646464646464)</f>
        <v>0.46064646464646403</v>
      </c>
      <c r="AS51" s="47">
        <f ca="1">IFERROR(__xludf.DUMMYFUNCTION("SUM( FILTER(C51:AK51, ISNUMBER(SEARCH(""Practice"", $C$1:$AK$1)) ) )  / 
  SUM( FILTER(C$77:AK$77, ISNUMBER(SEARCH(""Practice"", $C$1:$AK$1))))*0.1
+
(SUM( FILTER(C51:P51, ISNUMBER(SEARCH(""after RETAKE"", $C$1:$P$1)) ) ) +
SUM( FILTER(P51:AK51, ISNUMBER("&amp;"SEARCH(""after RETAKE"", $P$1:$AK$1)) ) )
)  / 
  SUM( FILTER(C$77:AK$77, ISNUMBER(SEARCH(""BEFORE RETAKE"", $C$1:$AK$1))))*0.6 
+
0.3*AL51"),0.460646464646464)</f>
        <v>0.46064646464646403</v>
      </c>
      <c r="AT51" s="47">
        <v>0.52364646459999997</v>
      </c>
      <c r="AU51" s="48">
        <f t="shared" si="5"/>
        <v>0.64646464646464652</v>
      </c>
      <c r="AV51" s="21">
        <v>15</v>
      </c>
      <c r="AW51" s="23">
        <f t="shared" si="6"/>
        <v>41</v>
      </c>
    </row>
    <row r="52" spans="1:49" ht="12.75" x14ac:dyDescent="0.2">
      <c r="A52" s="22" t="s">
        <v>243</v>
      </c>
      <c r="B52" s="22" t="s">
        <v>461</v>
      </c>
      <c r="C52" s="49">
        <v>11</v>
      </c>
      <c r="D52" s="49">
        <v>1</v>
      </c>
      <c r="E52" s="49">
        <v>1</v>
      </c>
      <c r="F52" s="49">
        <v>1</v>
      </c>
      <c r="G52" s="49">
        <v>0</v>
      </c>
      <c r="H52" s="49">
        <v>0</v>
      </c>
      <c r="I52" s="49">
        <v>0</v>
      </c>
      <c r="J52" s="49">
        <v>5</v>
      </c>
      <c r="K52" s="49">
        <v>49</v>
      </c>
      <c r="L52" s="49">
        <v>76</v>
      </c>
      <c r="M52" s="45">
        <f ca="1">IFERROR(__xludf.DUMMYFUNCTION("SUM( FILTER(C52:P52, ISNUMBER(SEARCH(""Practice"", $C$1:$P$1)) ) )  / 
  SUM( FILTER(C$77:P$77, ISNUMBER(SEARCH(""Practice"", $C$1:$P$1))))*0.1
+
SUM( FILTER(C52:P52, ISNUMBER(SEARCH(""BEFORE RETAKE"", $C$1:$P$1)) ) ) 
  / 
  SUM( FILTER(C$77:P$77, ISNUMB"&amp;"ER(SEARCH(""BEFORE RETAKE"", $C$1:$P$1))))*0.6 
+
0.3"),0.849442622950819)</f>
        <v>0.84944262295081896</v>
      </c>
      <c r="N52" s="46" t="s">
        <v>462</v>
      </c>
      <c r="O52" s="49">
        <v>76</v>
      </c>
      <c r="P52" s="45">
        <f ca="1">IFERROR(__xludf.DUMMYFUNCTION("SUM( FILTER(C52:P52, ISNUMBER(SEARCH(""Practice"", $C$1:$P$1)) ) )  / 
  SUM( FILTER(C$77:P$77, ISNUMBER(SEARCH(""Practice"", $C$1:$P$1))))*0.1
+
SUM( FILTER(C52:P52, ISNUMBER(SEARCH(""After RETAKE"", $C$1:$P$1)) ) ) 
  / 
  SUM( FILTER(C$77:P$77, ISNUMBE"&amp;"R(SEARCH(""BEFORE RETAKE"", $C$1:$P$1))))*0.6 
+
0.3"),0.849442622950819)</f>
        <v>0.84944262295081896</v>
      </c>
      <c r="Q52" s="49">
        <v>0</v>
      </c>
      <c r="R52" s="49">
        <v>1</v>
      </c>
      <c r="S52" s="49">
        <v>5</v>
      </c>
      <c r="T52" s="49">
        <v>40</v>
      </c>
      <c r="U52" s="49">
        <v>70</v>
      </c>
      <c r="V52" s="45">
        <f ca="1">IFERROR(__xludf.DUMMYFUNCTION("SUM( FILTER(C52:X52, ISNUMBER(SEARCH(""Practice"", $C$1:$X$1)) ) )  / 
  SUM( FILTER(C$77:X$77, ISNUMBER(SEARCH(""Practice"", $C$1:$X$1))))*0.1
+
(SUM( FILTER(C52:P52, ISNUMBER(SEARCH(""After RETAKE"", $C$1:$P$1)) ) ) +
SUM( FILTER(P52:X52, ISNUMBER(SEARC"&amp;"H(""Before RETAKE"", $P$1:$X$1)) ) )
)  / 
  SUM( FILTER(C$77:X$77, ISNUMBER(SEARCH(""BEFORE RETAKE"", $C$1:$X$1))))*0.6 
+
0.3"),0.82528813559322)</f>
        <v>0.82528813559322001</v>
      </c>
      <c r="W52" s="49">
        <v>82</v>
      </c>
      <c r="X52" s="49">
        <v>82</v>
      </c>
      <c r="Y52" s="45">
        <f ca="1">IFERROR(__xludf.DUMMYFUNCTION("SUM( FILTER(C52:X52, ISNUMBER(SEARCH(""Practice"", $C$1:$X$1)) ) )  / 
  SUM( FILTER(C$77:X$77, ISNUMBER(SEARCH(""Practice"", $C$1:$X$1))))*0.1
+
(SUM( FILTER(C52:P52, ISNUMBER(SEARCH(""After RETAKE"", $C$1:$P$1)) ) ) +
SUM( FILTER(Q52:X52, ISNUMBER(SEARC"&amp;"H(""After RETAKE"", $Q$1:$X$1)) ) )
)  / 
  SUM( FILTER(C$77:X$77, ISNUMBER(SEARCH(""BEFORE RETAKE"", $C$1:$X$1))))*0.6 
+
0.3"),0.86128813559322)</f>
        <v>0.86128813559322004</v>
      </c>
      <c r="Z52" s="49">
        <v>5</v>
      </c>
      <c r="AA52" s="49">
        <v>5</v>
      </c>
      <c r="AB52" s="49">
        <v>5</v>
      </c>
      <c r="AC52" s="49">
        <v>5</v>
      </c>
      <c r="AD52" s="49">
        <v>5</v>
      </c>
      <c r="AE52" s="49">
        <v>5</v>
      </c>
      <c r="AF52" s="49">
        <v>47</v>
      </c>
      <c r="AG52" s="49">
        <v>75</v>
      </c>
      <c r="AH52" s="45">
        <f ca="1">IFERROR(__xludf.DUMMYFUNCTION("SUM( FILTER(C52:AJ52, ISNUMBER(SEARCH(""Practice"", $C$1:$AJ$1)) ) )  / 
  SUM( FILTER(C$77:AJ$77, ISNUMBER(SEARCH(""Practice"", $C$1:$AJ$1))))*0.1
+
(SUM( FILTER(C52:X52, ISNUMBER(SEARCH(""After RETAKE"", $C$1:$X$1)) ) ) +
SUM( FILTER(X52:AJ52, ISNUMBER("&amp;"SEARCH(""Before RETAKE"", $X$1:$AJ$1)) ) )
)  / 
  SUM( FILTER(C$77:AJ$77, ISNUMBER(SEARCH(""BEFORE RETAKE"", $C$1:$AJ$1))))*0.6 
+
0.3"),0.85690909090909)</f>
        <v>0.85690909090908995</v>
      </c>
      <c r="AI52" s="49">
        <v>82</v>
      </c>
      <c r="AJ52" s="49">
        <v>82</v>
      </c>
      <c r="AK52" s="45">
        <f ca="1">IFERROR(__xludf.DUMMYFUNCTION("SUM( FILTER(C52:AK52, ISNUMBER(SEARCH(""Practice"", $C$1:$AK$1)) ) )  / 
  SUM( FILTER(C$77:AK$77, ISNUMBER(SEARCH(""Practice"", $C$1:$AK$1))))*0.1
+
(SUM( FILTER(C52:P52, ISNUMBER(SEARCH(""After RETAKE"", $C$1:$P$1)) ) ) +
SUM( FILTER(P52:AK52, ISNUMBER("&amp;"SEARCH(""After RETAKE"", $P$1:$AK$1)) ) )
)  / 
  SUM( FILTER(C$77:AK$77, ISNUMBER(SEARCH(""BEFORE RETAKE"", $C$1:$AK$1))))*0.6 
+
0.3"),0.87090909090909)</f>
        <v>0.87090909090908997</v>
      </c>
      <c r="AL52" s="45">
        <v>0.72</v>
      </c>
      <c r="AM52" s="21">
        <f t="shared" si="0"/>
        <v>3</v>
      </c>
      <c r="AN52" s="21">
        <f t="shared" si="1"/>
        <v>1</v>
      </c>
      <c r="AO52" s="21">
        <f t="shared" si="2"/>
        <v>0</v>
      </c>
      <c r="AP52" s="23">
        <f t="shared" si="3"/>
        <v>73.666666666666671</v>
      </c>
      <c r="AQ52" s="23">
        <f t="shared" si="4"/>
        <v>80</v>
      </c>
      <c r="AR52" s="47">
        <f ca="1">IFERROR(__xludf.DUMMYFUNCTION("SUM( FILTER(C52:AK52, ISNUMBER(SEARCH(""Practice"", $C$1:$AK$1)) ) )  / 
  SUM( FILTER(C$77:AK$77, ISNUMBER(SEARCH(""Practice"", $C$1:$AK$1))))*0.1
+
(SUM( FILTER(C52:P52, ISNUMBER(SEARCH(""before RETAKE"", $C$1:$P$1)) ) ) +
SUM( FILTER(P52:AK52, ISNUMBER"&amp;"(SEARCH(""before RETAKE"", $P$1:$AK$1)) ) )
)  / 
  SUM( FILTER(C$77:AK$77, ISNUMBER(SEARCH(""BEFORE RETAKE"", $C$1:$AK$1))))*0.6 
+
0.3*AL52"),0.74890909090909)</f>
        <v>0.74890909090908997</v>
      </c>
      <c r="AS52" s="47">
        <f ca="1">IFERROR(__xludf.DUMMYFUNCTION("SUM( FILTER(C52:AK52, ISNUMBER(SEARCH(""Practice"", $C$1:$AK$1)) ) )  / 
  SUM( FILTER(C$77:AK$77, ISNUMBER(SEARCH(""Practice"", $C$1:$AK$1))))*0.1
+
(SUM( FILTER(C52:P52, ISNUMBER(SEARCH(""after RETAKE"", $C$1:$P$1)) ) ) +
SUM( FILTER(P52:AK52, ISNUMBER("&amp;"SEARCH(""after RETAKE"", $P$1:$AK$1)) ) )
)  / 
  SUM( FILTER(C$77:AK$77, ISNUMBER(SEARCH(""BEFORE RETAKE"", $C$1:$AK$1))))*0.6 
+
0.3*AL52"),0.78690909090909)</f>
        <v>0.78690909090909</v>
      </c>
      <c r="AT52" s="47">
        <v>0.79890909089999995</v>
      </c>
      <c r="AU52" s="48">
        <f t="shared" si="5"/>
        <v>0.90909090909090906</v>
      </c>
      <c r="AV52" s="21">
        <v>4</v>
      </c>
      <c r="AW52" s="23">
        <f t="shared" si="6"/>
        <v>45.333333333333336</v>
      </c>
    </row>
    <row r="53" spans="1:49" ht="12.75" x14ac:dyDescent="0.2">
      <c r="A53" s="22" t="s">
        <v>244</v>
      </c>
      <c r="B53" s="22" t="s">
        <v>461</v>
      </c>
      <c r="C53" s="49">
        <v>11</v>
      </c>
      <c r="D53" s="49">
        <v>1</v>
      </c>
      <c r="E53" s="49">
        <v>1</v>
      </c>
      <c r="F53" s="49">
        <v>1</v>
      </c>
      <c r="G53" s="49">
        <v>1</v>
      </c>
      <c r="H53" s="49">
        <v>1</v>
      </c>
      <c r="I53" s="49">
        <v>1</v>
      </c>
      <c r="J53" s="49">
        <v>5</v>
      </c>
      <c r="K53" s="49">
        <v>47</v>
      </c>
      <c r="L53" s="49">
        <v>85</v>
      </c>
      <c r="M53" s="45">
        <f ca="1">IFERROR(__xludf.DUMMYFUNCTION("SUM( FILTER(C53:P53, ISNUMBER(SEARCH(""Practice"", $C$1:$P$1)) ) )  / 
  SUM( FILTER(C$77:P$77, ISNUMBER(SEARCH(""Practice"", $C$1:$P$1))))*0.1
+
SUM( FILTER(C53:P53, ISNUMBER(SEARCH(""BEFORE RETAKE"", $C$1:$P$1)) ) ) 
  / 
  SUM( FILTER(C$77:P$77, ISNUMB"&amp;"ER(SEARCH(""BEFORE RETAKE"", $C$1:$P$1))))*0.6 
+
0.3"),0.905081967213114)</f>
        <v>0.90508196721311396</v>
      </c>
      <c r="N53" s="46" t="s">
        <v>462</v>
      </c>
      <c r="O53" s="49">
        <v>85</v>
      </c>
      <c r="P53" s="45">
        <f ca="1">IFERROR(__xludf.DUMMYFUNCTION("SUM( FILTER(C53:P53, ISNUMBER(SEARCH(""Practice"", $C$1:$P$1)) ) )  / 
  SUM( FILTER(C$77:P$77, ISNUMBER(SEARCH(""Practice"", $C$1:$P$1))))*0.1
+
SUM( FILTER(C53:P53, ISNUMBER(SEARCH(""After RETAKE"", $C$1:$P$1)) ) ) 
  / 
  SUM( FILTER(C$77:P$77, ISNUMBE"&amp;"R(SEARCH(""BEFORE RETAKE"", $C$1:$P$1))))*0.6 
+
0.3"),0.905081967213114)</f>
        <v>0.90508196721311396</v>
      </c>
      <c r="Q53" s="49">
        <v>1</v>
      </c>
      <c r="R53" s="49">
        <v>1</v>
      </c>
      <c r="S53" s="49">
        <v>5</v>
      </c>
      <c r="T53" s="49">
        <v>50</v>
      </c>
      <c r="U53" s="49">
        <v>80</v>
      </c>
      <c r="V53" s="45">
        <f ca="1">IFERROR(__xludf.DUMMYFUNCTION("SUM( FILTER(C53:X53, ISNUMBER(SEARCH(""Practice"", $C$1:$X$1)) ) )  / 
  SUM( FILTER(C$77:X$77, ISNUMBER(SEARCH(""Practice"", $C$1:$X$1))))*0.1
+
(SUM( FILTER(C53:P53, ISNUMBER(SEARCH(""After RETAKE"", $C$1:$P$1)) ) ) +
SUM( FILTER(P53:X53, ISNUMBER(SEARC"&amp;"H(""Before RETAKE"", $P$1:$X$1)) ) )
)  / 
  SUM( FILTER(C$77:X$77, ISNUMBER(SEARCH(""BEFORE RETAKE"", $C$1:$X$1))))*0.6 
+
0.3"),0.892457627118644)</f>
        <v>0.89245762711864396</v>
      </c>
      <c r="W53" s="46" t="s">
        <v>462</v>
      </c>
      <c r="X53" s="49">
        <v>80</v>
      </c>
      <c r="Y53" s="45">
        <f ca="1">IFERROR(__xludf.DUMMYFUNCTION("SUM( FILTER(C53:X53, ISNUMBER(SEARCH(""Practice"", $C$1:$X$1)) ) )  / 
  SUM( FILTER(C$77:X$77, ISNUMBER(SEARCH(""Practice"", $C$1:$X$1))))*0.1
+
(SUM( FILTER(C53:P53, ISNUMBER(SEARCH(""After RETAKE"", $C$1:$P$1)) ) ) +
SUM( FILTER(Q53:X53, ISNUMBER(SEARC"&amp;"H(""After RETAKE"", $Q$1:$X$1)) ) )
)  / 
  SUM( FILTER(C$77:X$77, ISNUMBER(SEARCH(""BEFORE RETAKE"", $C$1:$X$1))))*0.6 
+
0.3"),0.892457627118644)</f>
        <v>0.89245762711864396</v>
      </c>
      <c r="Z53" s="49">
        <v>5</v>
      </c>
      <c r="AA53" s="49">
        <v>5</v>
      </c>
      <c r="AB53" s="49">
        <v>5</v>
      </c>
      <c r="AC53" s="49">
        <v>5</v>
      </c>
      <c r="AD53" s="49">
        <v>5</v>
      </c>
      <c r="AE53" s="49">
        <v>5</v>
      </c>
      <c r="AF53" s="49">
        <v>50</v>
      </c>
      <c r="AG53" s="49">
        <v>85</v>
      </c>
      <c r="AH53" s="45">
        <f ca="1">IFERROR(__xludf.DUMMYFUNCTION("SUM( FILTER(C53:AJ53, ISNUMBER(SEARCH(""Practice"", $C$1:$AJ$1)) ) )  / 
  SUM( FILTER(C$77:AJ$77, ISNUMBER(SEARCH(""Practice"", $C$1:$AJ$1))))*0.1
+
(SUM( FILTER(C53:X53, ISNUMBER(SEARCH(""After RETAKE"", $C$1:$X$1)) ) ) +
SUM( FILTER(X53:AJ53, ISNUMBER("&amp;"SEARCH(""Before RETAKE"", $X$1:$AJ$1)) ) )
)  / 
  SUM( FILTER(C$77:AJ$77, ISNUMBER(SEARCH(""BEFORE RETAKE"", $C$1:$AJ$1))))*0.6 
+
0.3"),0.898484848484848)</f>
        <v>0.898484848484848</v>
      </c>
      <c r="AI53" s="46" t="s">
        <v>462</v>
      </c>
      <c r="AJ53" s="49">
        <v>85</v>
      </c>
      <c r="AK53" s="45">
        <f ca="1">IFERROR(__xludf.DUMMYFUNCTION("SUM( FILTER(C53:AK53, ISNUMBER(SEARCH(""Practice"", $C$1:$AK$1)) ) )  / 
  SUM( FILTER(C$77:AK$77, ISNUMBER(SEARCH(""Practice"", $C$1:$AK$1))))*0.1
+
(SUM( FILTER(C53:P53, ISNUMBER(SEARCH(""After RETAKE"", $C$1:$P$1)) ) ) +
SUM( FILTER(P53:AK53, ISNUMBER("&amp;"SEARCH(""After RETAKE"", $P$1:$AK$1)) ) )
)  / 
  SUM( FILTER(C$77:AK$77, ISNUMBER(SEARCH(""BEFORE RETAKE"", $C$1:$AK$1))))*0.6 
+
0.3"),0.898484848484848)</f>
        <v>0.898484848484848</v>
      </c>
      <c r="AL53" s="45">
        <v>0.82</v>
      </c>
      <c r="AM53" s="21">
        <f t="shared" si="0"/>
        <v>0</v>
      </c>
      <c r="AN53" s="21">
        <f t="shared" si="1"/>
        <v>0</v>
      </c>
      <c r="AO53" s="21">
        <f t="shared" si="2"/>
        <v>0</v>
      </c>
      <c r="AP53" s="23">
        <f t="shared" si="3"/>
        <v>83.333333333333329</v>
      </c>
      <c r="AQ53" s="23">
        <f t="shared" si="4"/>
        <v>83.333333333333329</v>
      </c>
      <c r="AR53" s="47">
        <f ca="1">IFERROR(__xludf.DUMMYFUNCTION("SUM( FILTER(C53:AK53, ISNUMBER(SEARCH(""Practice"", $C$1:$AK$1)) ) )  / 
  SUM( FILTER(C$77:AK$77, ISNUMBER(SEARCH(""Practice"", $C$1:$AK$1))))*0.1
+
(SUM( FILTER(C53:P53, ISNUMBER(SEARCH(""before RETAKE"", $C$1:$P$1)) ) ) +
SUM( FILTER(P53:AK53, ISNUMBER"&amp;"(SEARCH(""before RETAKE"", $P$1:$AK$1)) ) )
)  / 
  SUM( FILTER(C$77:AK$77, ISNUMBER(SEARCH(""BEFORE RETAKE"", $C$1:$AK$1))))*0.6 
+
0.3*AL53"),0.844484848484848)</f>
        <v>0.84448484848484795</v>
      </c>
      <c r="AS53" s="47">
        <f ca="1">IFERROR(__xludf.DUMMYFUNCTION("SUM( FILTER(C53:AK53, ISNUMBER(SEARCH(""Practice"", $C$1:$AK$1)) ) )  / 
  SUM( FILTER(C$77:AK$77, ISNUMBER(SEARCH(""Practice"", $C$1:$AK$1))))*0.1
+
(SUM( FILTER(C53:P53, ISNUMBER(SEARCH(""after RETAKE"", $C$1:$P$1)) ) ) +
SUM( FILTER(P53:AK53, ISNUMBER("&amp;"SEARCH(""after RETAKE"", $P$1:$AK$1)) ) )
)  / 
  SUM( FILTER(C$77:AK$77, ISNUMBER(SEARCH(""BEFORE RETAKE"", $C$1:$AK$1))))*0.6 
+
0.3*AL53"),0.844484848484848)</f>
        <v>0.84448484848484795</v>
      </c>
      <c r="AT53" s="47">
        <v>0.85448484849999995</v>
      </c>
      <c r="AU53" s="48">
        <f t="shared" si="5"/>
        <v>0.98484848484848486</v>
      </c>
      <c r="AV53" s="21">
        <v>0</v>
      </c>
      <c r="AW53" s="23">
        <f t="shared" si="6"/>
        <v>49</v>
      </c>
    </row>
    <row r="54" spans="1:49" ht="12.75" x14ac:dyDescent="0.2">
      <c r="A54" s="22" t="s">
        <v>246</v>
      </c>
      <c r="B54" s="22" t="s">
        <v>461</v>
      </c>
      <c r="C54" s="49">
        <v>11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1</v>
      </c>
      <c r="J54" s="49">
        <v>5</v>
      </c>
      <c r="K54" s="49">
        <v>49</v>
      </c>
      <c r="L54" s="49">
        <v>68</v>
      </c>
      <c r="M54" s="45">
        <f ca="1">IFERROR(__xludf.DUMMYFUNCTION("SUM( FILTER(C54:P54, ISNUMBER(SEARCH(""Practice"", $C$1:$P$1)) ) )  / 
  SUM( FILTER(C$77:P$77, ISNUMBER(SEARCH(""Practice"", $C$1:$P$1))))*0.1
+
SUM( FILTER(C54:P54, ISNUMBER(SEARCH(""BEFORE RETAKE"", $C$1:$P$1)) ) ) 
  / 
  SUM( FILTER(C$77:P$77, ISNUMB"&amp;"ER(SEARCH(""BEFORE RETAKE"", $C$1:$P$1))))*0.6 
+
0.3"),0.798163934426229)</f>
        <v>0.79816393442622902</v>
      </c>
      <c r="N54" s="46" t="s">
        <v>462</v>
      </c>
      <c r="O54" s="49">
        <v>68</v>
      </c>
      <c r="P54" s="45">
        <f ca="1">IFERROR(__xludf.DUMMYFUNCTION("SUM( FILTER(C54:P54, ISNUMBER(SEARCH(""Practice"", $C$1:$P$1)) ) )  / 
  SUM( FILTER(C$77:P$77, ISNUMBER(SEARCH(""Practice"", $C$1:$P$1))))*0.1
+
SUM( FILTER(C54:P54, ISNUMBER(SEARCH(""After RETAKE"", $C$1:$P$1)) ) ) 
  / 
  SUM( FILTER(C$77:P$77, ISNUMBE"&amp;"R(SEARCH(""BEFORE RETAKE"", $C$1:$P$1))))*0.6 
+
0.3"),0.798163934426229)</f>
        <v>0.79816393442622902</v>
      </c>
      <c r="Q54" s="49">
        <v>0</v>
      </c>
      <c r="R54" s="49">
        <v>0</v>
      </c>
      <c r="S54" s="49">
        <v>5</v>
      </c>
      <c r="T54" s="49">
        <v>41</v>
      </c>
      <c r="U54" s="49">
        <v>66</v>
      </c>
      <c r="V54" s="45">
        <f ca="1">IFERROR(__xludf.DUMMYFUNCTION("SUM( FILTER(C54:X54, ISNUMBER(SEARCH(""Practice"", $C$1:$X$1)) ) )  / 
  SUM( FILTER(C$77:X$77, ISNUMBER(SEARCH(""Practice"", $C$1:$X$1))))*0.1
+
(SUM( FILTER(C54:P54, ISNUMBER(SEARCH(""After RETAKE"", $C$1:$P$1)) ) ) +
SUM( FILTER(P54:X54, ISNUMBER(SEARC"&amp;"H(""Before RETAKE"", $P$1:$X$1)) ) )
)  / 
  SUM( FILTER(C$77:X$77, ISNUMBER(SEARCH(""BEFORE RETAKE"", $C$1:$X$1))))*0.6 
+
0.3"),0.787593220338983)</f>
        <v>0.78759322033898305</v>
      </c>
      <c r="W54" s="46" t="s">
        <v>462</v>
      </c>
      <c r="X54" s="49">
        <v>66</v>
      </c>
      <c r="Y54" s="45">
        <f ca="1">IFERROR(__xludf.DUMMYFUNCTION("SUM( FILTER(C54:X54, ISNUMBER(SEARCH(""Practice"", $C$1:$X$1)) ) )  / 
  SUM( FILTER(C$77:X$77, ISNUMBER(SEARCH(""Practice"", $C$1:$X$1))))*0.1
+
(SUM( FILTER(C54:P54, ISNUMBER(SEARCH(""After RETAKE"", $C$1:$P$1)) ) ) +
SUM( FILTER(Q54:X54, ISNUMBER(SEARC"&amp;"H(""After RETAKE"", $Q$1:$X$1)) ) )
)  / 
  SUM( FILTER(C$77:X$77, ISNUMBER(SEARCH(""BEFORE RETAKE"", $C$1:$X$1))))*0.6 
+
0.3"),0.787593220338983)</f>
        <v>0.78759322033898305</v>
      </c>
      <c r="Z54" s="49">
        <v>0</v>
      </c>
      <c r="AA54" s="49">
        <v>0</v>
      </c>
      <c r="AB54" s="49">
        <v>0</v>
      </c>
      <c r="AC54" s="49">
        <v>0</v>
      </c>
      <c r="AD54" s="49">
        <v>0</v>
      </c>
      <c r="AE54" s="49">
        <v>0</v>
      </c>
      <c r="AF54" s="49">
        <v>11</v>
      </c>
      <c r="AG54" s="49">
        <v>65</v>
      </c>
      <c r="AH54" s="45">
        <f ca="1">IFERROR(__xludf.DUMMYFUNCTION("SUM( FILTER(C54:AJ54, ISNUMBER(SEARCH(""Practice"", $C$1:$AJ$1)) ) )  / 
  SUM( FILTER(C$77:AJ$77, ISNUMBER(SEARCH(""Practice"", $C$1:$AJ$1))))*0.1
+
(SUM( FILTER(C54:X54, ISNUMBER(SEARCH(""After RETAKE"", $C$1:$X$1)) ) ) +
SUM( FILTER(X54:AJ54, ISNUMBER("&amp;"SEARCH(""Before RETAKE"", $X$1:$AJ$1)) ) )
)  / 
  SUM( FILTER(C$77:AJ$77, ISNUMBER(SEARCH(""BEFORE RETAKE"", $C$1:$AJ$1))))*0.6 
+
0.3"),0.754565656565656)</f>
        <v>0.754565656565656</v>
      </c>
      <c r="AI54" s="49">
        <v>62</v>
      </c>
      <c r="AJ54" s="49">
        <v>65</v>
      </c>
      <c r="AK54" s="45">
        <f ca="1">IFERROR(__xludf.DUMMYFUNCTION("SUM( FILTER(C54:AK54, ISNUMBER(SEARCH(""Practice"", $C$1:$AK$1)) ) )  / 
  SUM( FILTER(C$77:AK$77, ISNUMBER(SEARCH(""Practice"", $C$1:$AK$1))))*0.1
+
(SUM( FILTER(C54:P54, ISNUMBER(SEARCH(""After RETAKE"", $C$1:$P$1)) ) ) +
SUM( FILTER(P54:AK54, ISNUMBER("&amp;"SEARCH(""After RETAKE"", $P$1:$AK$1)) ) )
)  / 
  SUM( FILTER(C$77:AK$77, ISNUMBER(SEARCH(""BEFORE RETAKE"", $C$1:$AK$1))))*0.6 
+
0.3"),0.754565656565656)</f>
        <v>0.754565656565656</v>
      </c>
      <c r="AL54" s="45">
        <v>0.65</v>
      </c>
      <c r="AM54" s="21">
        <f t="shared" si="0"/>
        <v>5</v>
      </c>
      <c r="AN54" s="21">
        <f t="shared" si="1"/>
        <v>2</v>
      </c>
      <c r="AO54" s="21">
        <f t="shared" si="2"/>
        <v>6</v>
      </c>
      <c r="AP54" s="23">
        <f t="shared" si="3"/>
        <v>66.333333333333329</v>
      </c>
      <c r="AQ54" s="23">
        <f t="shared" si="4"/>
        <v>66.333333333333329</v>
      </c>
      <c r="AR54" s="47">
        <f ca="1">IFERROR(__xludf.DUMMYFUNCTION("SUM( FILTER(C54:AK54, ISNUMBER(SEARCH(""Practice"", $C$1:$AK$1)) ) )  / 
  SUM( FILTER(C$77:AK$77, ISNUMBER(SEARCH(""Practice"", $C$1:$AK$1))))*0.1
+
(SUM( FILTER(C54:P54, ISNUMBER(SEARCH(""before RETAKE"", $C$1:$P$1)) ) ) +
SUM( FILTER(P54:AK54, ISNUMBER"&amp;"(SEARCH(""before RETAKE"", $P$1:$AK$1)) ) )
)  / 
  SUM( FILTER(C$77:AK$77, ISNUMBER(SEARCH(""BEFORE RETAKE"", $C$1:$AK$1))))*0.6 
+
0.3*AL54"),0.649565656565656)</f>
        <v>0.64956565656565601</v>
      </c>
      <c r="AS54" s="47">
        <f ca="1">IFERROR(__xludf.DUMMYFUNCTION("SUM( FILTER(C54:AK54, ISNUMBER(SEARCH(""Practice"", $C$1:$AK$1)) ) )  / 
  SUM( FILTER(C$77:AK$77, ISNUMBER(SEARCH(""Practice"", $C$1:$AK$1))))*0.1
+
(SUM( FILTER(C54:P54, ISNUMBER(SEARCH(""after RETAKE"", $C$1:$P$1)) ) ) +
SUM( FILTER(P54:AK54, ISNUMBER("&amp;"SEARCH(""after RETAKE"", $P$1:$AK$1)) ) )
)  / 
  SUM( FILTER(C$77:AK$77, ISNUMBER(SEARCH(""BEFORE RETAKE"", $C$1:$AK$1))))*0.6 
+
0.3*AL54"),0.649565656565656)</f>
        <v>0.64956565656565601</v>
      </c>
      <c r="AT54" s="47">
        <v>0.65356565659999999</v>
      </c>
      <c r="AU54" s="48">
        <f t="shared" si="5"/>
        <v>0.56565656565656564</v>
      </c>
      <c r="AV54" s="21">
        <v>13</v>
      </c>
      <c r="AW54" s="23">
        <f t="shared" si="6"/>
        <v>33.666666666666664</v>
      </c>
    </row>
    <row r="55" spans="1:49" ht="12.75" x14ac:dyDescent="0.2">
      <c r="A55" s="22" t="s">
        <v>248</v>
      </c>
      <c r="B55" s="22" t="s">
        <v>464</v>
      </c>
      <c r="C55" s="49">
        <v>11</v>
      </c>
      <c r="D55" s="49">
        <v>1</v>
      </c>
      <c r="E55" s="49">
        <v>1</v>
      </c>
      <c r="F55" s="49">
        <v>1</v>
      </c>
      <c r="G55" s="49">
        <v>1</v>
      </c>
      <c r="H55" s="49">
        <v>0</v>
      </c>
      <c r="I55" s="49">
        <v>1</v>
      </c>
      <c r="J55" s="49"/>
      <c r="K55" s="49">
        <v>50</v>
      </c>
      <c r="L55" s="49">
        <v>92</v>
      </c>
      <c r="M55" s="45">
        <f ca="1">IFERROR(__xludf.DUMMYFUNCTION("SUM( FILTER(C55:P55, ISNUMBER(SEARCH(""Practice"", $C$1:$P$1)) ) )  / 
  SUM( FILTER(C$77:P$77, ISNUMBER(SEARCH(""Practice"", $C$1:$P$1))))*0.1
+
SUM( FILTER(C55:P55, ISNUMBER(SEARCH(""BEFORE RETAKE"", $C$1:$P$1)) ) ) 
  / 
  SUM( FILTER(C$77:P$77, ISNUMB"&amp;"ER(SEARCH(""BEFORE RETAKE"", $C$1:$P$1))))*0.6 
+
0.3"),0.942163934426229)</f>
        <v>0.94216393442622903</v>
      </c>
      <c r="N55" s="46" t="s">
        <v>462</v>
      </c>
      <c r="O55" s="49">
        <v>92</v>
      </c>
      <c r="P55" s="45">
        <f ca="1">IFERROR(__xludf.DUMMYFUNCTION("SUM( FILTER(C55:P55, ISNUMBER(SEARCH(""Practice"", $C$1:$P$1)) ) )  / 
  SUM( FILTER(C$77:P$77, ISNUMBER(SEARCH(""Practice"", $C$1:$P$1))))*0.1
+
SUM( FILTER(C55:P55, ISNUMBER(SEARCH(""After RETAKE"", $C$1:$P$1)) ) ) 
  / 
  SUM( FILTER(C$77:P$77, ISNUMBE"&amp;"R(SEARCH(""BEFORE RETAKE"", $C$1:$P$1))))*0.6 
+
0.3"),0.942163934426229)</f>
        <v>0.94216393442622903</v>
      </c>
      <c r="Q55" s="49">
        <v>1</v>
      </c>
      <c r="R55" s="49">
        <v>1</v>
      </c>
      <c r="S55" s="49">
        <v>5</v>
      </c>
      <c r="T55" s="49">
        <v>39</v>
      </c>
      <c r="U55" s="49">
        <v>82</v>
      </c>
      <c r="V55" s="45">
        <f ca="1">IFERROR(__xludf.DUMMYFUNCTION("SUM( FILTER(C55:X55, ISNUMBER(SEARCH(""Practice"", $C$1:$X$1)) ) )  / 
  SUM( FILTER(C$77:X$77, ISNUMBER(SEARCH(""Practice"", $C$1:$X$1))))*0.1
+
(SUM( FILTER(C55:P55, ISNUMBER(SEARCH(""After RETAKE"", $C$1:$P$1)) ) ) +
SUM( FILTER(P55:X55, ISNUMBER(SEARC"&amp;"H(""Before RETAKE"", $P$1:$X$1)) ) )
)  / 
  SUM( FILTER(C$77:X$77, ISNUMBER(SEARCH(""BEFORE RETAKE"", $C$1:$X$1))))*0.6 
+
0.3"),0.907593220338983)</f>
        <v>0.90759322033898304</v>
      </c>
      <c r="W55" s="46" t="s">
        <v>462</v>
      </c>
      <c r="X55" s="49">
        <v>82</v>
      </c>
      <c r="Y55" s="45">
        <f ca="1">IFERROR(__xludf.DUMMYFUNCTION("SUM( FILTER(C55:X55, ISNUMBER(SEARCH(""Practice"", $C$1:$X$1)) ) )  / 
  SUM( FILTER(C$77:X$77, ISNUMBER(SEARCH(""Practice"", $C$1:$X$1))))*0.1
+
(SUM( FILTER(C55:P55, ISNUMBER(SEARCH(""After RETAKE"", $C$1:$P$1)) ) ) +
SUM( FILTER(Q55:X55, ISNUMBER(SEARC"&amp;"H(""After RETAKE"", $Q$1:$X$1)) ) )
)  / 
  SUM( FILTER(C$77:X$77, ISNUMBER(SEARCH(""BEFORE RETAKE"", $C$1:$X$1))))*0.6 
+
0.3"),0.907593220338983)</f>
        <v>0.90759322033898304</v>
      </c>
      <c r="Z55" s="49">
        <v>0</v>
      </c>
      <c r="AA55" s="49">
        <v>3.5</v>
      </c>
      <c r="AB55" s="49">
        <v>5</v>
      </c>
      <c r="AC55" s="49">
        <v>5</v>
      </c>
      <c r="AD55" s="49">
        <v>5</v>
      </c>
      <c r="AE55" s="49">
        <v>5</v>
      </c>
      <c r="AF55" s="49">
        <v>50</v>
      </c>
      <c r="AG55" s="49">
        <v>78</v>
      </c>
      <c r="AH55" s="45">
        <f ca="1">IFERROR(__xludf.DUMMYFUNCTION("SUM( FILTER(C55:AJ55, ISNUMBER(SEARCH(""Practice"", $C$1:$AJ$1)) ) )  / 
  SUM( FILTER(C$77:AJ$77, ISNUMBER(SEARCH(""Practice"", $C$1:$AJ$1))))*0.1
+
(SUM( FILTER(C55:X55, ISNUMBER(SEARCH(""After RETAKE"", $C$1:$X$1)) ) ) +
SUM( FILTER(X55:AJ55, ISNUMBER("&amp;"SEARCH(""Before RETAKE"", $X$1:$AJ$1)) ) )
)  / 
  SUM( FILTER(C$77:AJ$77, ISNUMBER(SEARCH(""BEFORE RETAKE"", $C$1:$AJ$1))))*0.6 
+
0.3"),0.892131313131313)</f>
        <v>0.892131313131313</v>
      </c>
      <c r="AI55" s="49">
        <v>85</v>
      </c>
      <c r="AJ55" s="49">
        <v>85</v>
      </c>
      <c r="AK55" s="45">
        <f ca="1">IFERROR(__xludf.DUMMYFUNCTION("SUM( FILTER(C55:AK55, ISNUMBER(SEARCH(""Practice"", $C$1:$AK$1)) ) )  / 
  SUM( FILTER(C$77:AK$77, ISNUMBER(SEARCH(""Practice"", $C$1:$AK$1))))*0.1
+
(SUM( FILTER(C55:P55, ISNUMBER(SEARCH(""After RETAKE"", $C$1:$P$1)) ) ) +
SUM( FILTER(P55:AK55, ISNUMBER("&amp;"SEARCH(""After RETAKE"", $P$1:$AK$1)) ) )
)  / 
  SUM( FILTER(C$77:AK$77, ISNUMBER(SEARCH(""BEFORE RETAKE"", $C$1:$AK$1))))*0.6 
+
0.3"),0.906131313131313)</f>
        <v>0.90613131313131301</v>
      </c>
      <c r="AL55" s="45">
        <v>0.85</v>
      </c>
      <c r="AM55" s="21">
        <f t="shared" si="0"/>
        <v>1</v>
      </c>
      <c r="AN55" s="21">
        <f t="shared" si="1"/>
        <v>0</v>
      </c>
      <c r="AO55" s="21">
        <f t="shared" si="2"/>
        <v>1</v>
      </c>
      <c r="AP55" s="23">
        <f t="shared" si="3"/>
        <v>84</v>
      </c>
      <c r="AQ55" s="23">
        <f t="shared" si="4"/>
        <v>86.333333333333329</v>
      </c>
      <c r="AR55" s="47">
        <f ca="1">IFERROR(__xludf.DUMMYFUNCTION("SUM( FILTER(C55:AK55, ISNUMBER(SEARCH(""Practice"", $C$1:$AK$1)) ) )  / 
  SUM( FILTER(C$77:AK$77, ISNUMBER(SEARCH(""Practice"", $C$1:$AK$1))))*0.1
+
(SUM( FILTER(C55:P55, ISNUMBER(SEARCH(""before RETAKE"", $C$1:$P$1)) ) ) +
SUM( FILTER(P55:AK55, ISNUMBER"&amp;"(SEARCH(""before RETAKE"", $P$1:$AK$1)) ) )
)  / 
  SUM( FILTER(C$77:AK$77, ISNUMBER(SEARCH(""BEFORE RETAKE"", $C$1:$AK$1))))*0.6 
+
0.3*AL55"),0.847131313131313)</f>
        <v>0.84713131313131296</v>
      </c>
      <c r="AS55" s="47">
        <f ca="1">IFERROR(__xludf.DUMMYFUNCTION("SUM( FILTER(C55:AK55, ISNUMBER(SEARCH(""Practice"", $C$1:$AK$1)) ) )  / 
  SUM( FILTER(C$77:AK$77, ISNUMBER(SEARCH(""Practice"", $C$1:$AK$1))))*0.1
+
(SUM( FILTER(C55:P55, ISNUMBER(SEARCH(""after RETAKE"", $C$1:$P$1)) ) ) +
SUM( FILTER(P55:AK55, ISNUMBER("&amp;"SEARCH(""after RETAKE"", $P$1:$AK$1)) ) )
)  / 
  SUM( FILTER(C$77:AK$77, ISNUMBER(SEARCH(""BEFORE RETAKE"", $C$1:$AK$1))))*0.6 
+
0.3*AL55"),0.861131313131313)</f>
        <v>0.86113131313131297</v>
      </c>
      <c r="AT55" s="47">
        <v>0.87413131310000003</v>
      </c>
      <c r="AU55" s="48">
        <f t="shared" si="5"/>
        <v>0.88131313131313127</v>
      </c>
      <c r="AV55" s="21">
        <v>2</v>
      </c>
      <c r="AW55" s="23">
        <f t="shared" si="6"/>
        <v>46.333333333333336</v>
      </c>
    </row>
    <row r="56" spans="1:49" ht="12.75" x14ac:dyDescent="0.2">
      <c r="A56" s="22" t="s">
        <v>250</v>
      </c>
      <c r="B56" s="22" t="s">
        <v>461</v>
      </c>
      <c r="C56" s="49">
        <v>12</v>
      </c>
      <c r="D56" s="49">
        <v>0</v>
      </c>
      <c r="E56" s="49">
        <v>0</v>
      </c>
      <c r="F56" s="49">
        <v>0</v>
      </c>
      <c r="G56" s="49">
        <v>0</v>
      </c>
      <c r="H56" s="49">
        <v>0</v>
      </c>
      <c r="I56" s="49">
        <v>0</v>
      </c>
      <c r="J56" s="49">
        <v>5</v>
      </c>
      <c r="K56" s="49">
        <v>40</v>
      </c>
      <c r="L56" s="49">
        <v>60</v>
      </c>
      <c r="M56" s="45">
        <f ca="1">IFERROR(__xludf.DUMMYFUNCTION("SUM( FILTER(C56:P56, ISNUMBER(SEARCH(""Practice"", $C$1:$P$1)) ) )  / 
  SUM( FILTER(C$77:P$77, ISNUMBER(SEARCH(""Practice"", $C$1:$P$1))))*0.1
+
SUM( FILTER(C56:P56, ISNUMBER(SEARCH(""BEFORE RETAKE"", $C$1:$P$1)) ) ) 
  / 
  SUM( FILTER(C$77:P$77, ISNUMB"&amp;"ER(SEARCH(""BEFORE RETAKE"", $C$1:$P$1))))*0.6 
+
0.3"),0.733770491803278)</f>
        <v>0.73377049180327802</v>
      </c>
      <c r="N56" s="46" t="s">
        <v>462</v>
      </c>
      <c r="O56" s="49">
        <v>60</v>
      </c>
      <c r="P56" s="45">
        <f ca="1">IFERROR(__xludf.DUMMYFUNCTION("SUM( FILTER(C56:P56, ISNUMBER(SEARCH(""Practice"", $C$1:$P$1)) ) )  / 
  SUM( FILTER(C$77:P$77, ISNUMBER(SEARCH(""Practice"", $C$1:$P$1))))*0.1
+
SUM( FILTER(C56:P56, ISNUMBER(SEARCH(""After RETAKE"", $C$1:$P$1)) ) ) 
  / 
  SUM( FILTER(C$77:P$77, ISNUMBE"&amp;"R(SEARCH(""BEFORE RETAKE"", $C$1:$P$1))))*0.6 
+
0.3"),0.733770491803278)</f>
        <v>0.73377049180327802</v>
      </c>
      <c r="Q56" s="49">
        <v>0</v>
      </c>
      <c r="R56" s="49">
        <v>0</v>
      </c>
      <c r="S56" s="49">
        <v>4</v>
      </c>
      <c r="T56" s="49">
        <v>35.5</v>
      </c>
      <c r="U56" s="49">
        <v>62</v>
      </c>
      <c r="V56" s="45">
        <f ca="1">IFERROR(__xludf.DUMMYFUNCTION("SUM( FILTER(C56:X56, ISNUMBER(SEARCH(""Practice"", $C$1:$X$1)) ) )  / 
  SUM( FILTER(C$77:X$77, ISNUMBER(SEARCH(""Practice"", $C$1:$X$1))))*0.1
+
(SUM( FILTER(C56:P56, ISNUMBER(SEARCH(""After RETAKE"", $C$1:$P$1)) ) ) +
SUM( FILTER(P56:X56, ISNUMBER(SEARC"&amp;"H(""Before RETAKE"", $P$1:$X$1)) ) )
)  / 
  SUM( FILTER(C$77:X$77, ISNUMBER(SEARCH(""BEFORE RETAKE"", $C$1:$X$1))))*0.6 
+
0.3"),0.737610169491525)</f>
        <v>0.73761016949152503</v>
      </c>
      <c r="W56" s="46" t="s">
        <v>462</v>
      </c>
      <c r="X56" s="49">
        <v>62</v>
      </c>
      <c r="Y56" s="45">
        <f ca="1">IFERROR(__xludf.DUMMYFUNCTION("SUM( FILTER(C56:X56, ISNUMBER(SEARCH(""Practice"", $C$1:$X$1)) ) )  / 
  SUM( FILTER(C$77:X$77, ISNUMBER(SEARCH(""Practice"", $C$1:$X$1))))*0.1
+
(SUM( FILTER(C56:P56, ISNUMBER(SEARCH(""After RETAKE"", $C$1:$P$1)) ) ) +
SUM( FILTER(Q56:X56, ISNUMBER(SEARC"&amp;"H(""After RETAKE"", $Q$1:$X$1)) ) )
)  / 
  SUM( FILTER(C$77:X$77, ISNUMBER(SEARCH(""BEFORE RETAKE"", $C$1:$X$1))))*0.6 
+
0.3"),0.737610169491525)</f>
        <v>0.73761016949152503</v>
      </c>
      <c r="Z56" s="49">
        <v>0</v>
      </c>
      <c r="AA56" s="49">
        <v>0</v>
      </c>
      <c r="AB56" s="49">
        <v>0</v>
      </c>
      <c r="AC56" s="49">
        <v>0</v>
      </c>
      <c r="AD56" s="49">
        <v>0</v>
      </c>
      <c r="AE56" s="49">
        <v>0</v>
      </c>
      <c r="AF56" s="49">
        <v>11</v>
      </c>
      <c r="AG56" s="49">
        <v>30</v>
      </c>
      <c r="AH56" s="45">
        <f ca="1">IFERROR(__xludf.DUMMYFUNCTION("SUM( FILTER(C56:AJ56, ISNUMBER(SEARCH(""Practice"", $C$1:$AJ$1)) ) )  / 
  SUM( FILTER(C$77:AJ$77, ISNUMBER(SEARCH(""Practice"", $C$1:$AJ$1))))*0.1
+
(SUM( FILTER(C56:X56, ISNUMBER(SEARCH(""After RETAKE"", $C$1:$X$1)) ) ) +
SUM( FILTER(X56:AJ56, ISNUMBER("&amp;"SEARCH(""Before RETAKE"", $X$1:$AJ$1)) ) )
)  / 
  SUM( FILTER(C$77:AJ$77, ISNUMBER(SEARCH(""BEFORE RETAKE"", $C$1:$AJ$1))))*0.6 
+
0.3"),0.652232323232323)</f>
        <v>0.65223232323232305</v>
      </c>
      <c r="AI56" s="46" t="s">
        <v>462</v>
      </c>
      <c r="AJ56" s="49">
        <v>30</v>
      </c>
      <c r="AK56" s="45">
        <f ca="1">IFERROR(__xludf.DUMMYFUNCTION("SUM( FILTER(C56:AK56, ISNUMBER(SEARCH(""Practice"", $C$1:$AK$1)) ) )  / 
  SUM( FILTER(C$77:AK$77, ISNUMBER(SEARCH(""Practice"", $C$1:$AK$1))))*0.1
+
(SUM( FILTER(C56:P56, ISNUMBER(SEARCH(""After RETAKE"", $C$1:$P$1)) ) ) +
SUM( FILTER(P56:AK56, ISNUMBER("&amp;"SEARCH(""After RETAKE"", $P$1:$AK$1)) ) )
)  / 
  SUM( FILTER(C$77:AK$77, ISNUMBER(SEARCH(""BEFORE RETAKE"", $C$1:$AK$1))))*0.6 
+
0.3"),0.652232323232323)</f>
        <v>0.65223232323232305</v>
      </c>
      <c r="AL56" s="45">
        <v>0.3</v>
      </c>
      <c r="AM56" s="21">
        <f t="shared" si="0"/>
        <v>6</v>
      </c>
      <c r="AN56" s="21">
        <f t="shared" si="1"/>
        <v>2</v>
      </c>
      <c r="AO56" s="21">
        <f t="shared" si="2"/>
        <v>6</v>
      </c>
      <c r="AP56" s="23">
        <f t="shared" si="3"/>
        <v>50.666666666666664</v>
      </c>
      <c r="AQ56" s="23">
        <f t="shared" si="4"/>
        <v>50.666666666666664</v>
      </c>
      <c r="AR56" s="47">
        <f ca="1">IFERROR(__xludf.DUMMYFUNCTION("SUM( FILTER(C56:AK56, ISNUMBER(SEARCH(""Practice"", $C$1:$AK$1)) ) )  / 
  SUM( FILTER(C$77:AK$77, ISNUMBER(SEARCH(""Practice"", $C$1:$AK$1))))*0.1
+
(SUM( FILTER(C56:P56, ISNUMBER(SEARCH(""before RETAKE"", $C$1:$P$1)) ) ) +
SUM( FILTER(P56:AK56, ISNUMBER"&amp;"(SEARCH(""before RETAKE"", $P$1:$AK$1)) ) )
)  / 
  SUM( FILTER(C$77:AK$77, ISNUMBER(SEARCH(""BEFORE RETAKE"", $C$1:$AK$1))))*0.6 
+
0.3*AL56"),0.442232323232323)</f>
        <v>0.44223232323232298</v>
      </c>
      <c r="AS56" s="47">
        <f ca="1">IFERROR(__xludf.DUMMYFUNCTION("SUM( FILTER(C56:AK56, ISNUMBER(SEARCH(""Practice"", $C$1:$AK$1)) ) )  / 
  SUM( FILTER(C$77:AK$77, ISNUMBER(SEARCH(""Practice"", $C$1:$AK$1))))*0.1
+
(SUM( FILTER(C56:P56, ISNUMBER(SEARCH(""after RETAKE"", $C$1:$P$1)) ) ) +
SUM( FILTER(P56:AK56, ISNUMBER("&amp;"SEARCH(""after RETAKE"", $P$1:$AK$1)) ) )
)  / 
  SUM( FILTER(C$77:AK$77, ISNUMBER(SEARCH(""BEFORE RETAKE"", $C$1:$AK$1))))*0.6 
+
0.3*AL56"),0.442232323232323)</f>
        <v>0.44223232323232298</v>
      </c>
      <c r="AT56" s="47">
        <v>0.5042323232</v>
      </c>
      <c r="AU56" s="48">
        <f t="shared" si="5"/>
        <v>0.48232323232323232</v>
      </c>
      <c r="AV56" s="21">
        <v>14</v>
      </c>
      <c r="AW56" s="23">
        <f t="shared" si="6"/>
        <v>28.833333333333332</v>
      </c>
    </row>
    <row r="57" spans="1:49" ht="12.75" x14ac:dyDescent="0.2">
      <c r="A57" s="22" t="s">
        <v>252</v>
      </c>
      <c r="B57" s="22" t="s">
        <v>464</v>
      </c>
      <c r="C57" s="49">
        <v>11</v>
      </c>
      <c r="D57" s="49">
        <v>1</v>
      </c>
      <c r="E57" s="49">
        <v>1</v>
      </c>
      <c r="F57" s="49">
        <v>0.75</v>
      </c>
      <c r="G57" s="49">
        <v>0</v>
      </c>
      <c r="H57" s="49">
        <v>0</v>
      </c>
      <c r="I57" s="49">
        <v>1</v>
      </c>
      <c r="J57" s="49">
        <v>5</v>
      </c>
      <c r="K57" s="49">
        <v>47</v>
      </c>
      <c r="L57" s="49">
        <v>75</v>
      </c>
      <c r="M57" s="45">
        <f ca="1">IFERROR(__xludf.DUMMYFUNCTION("SUM( FILTER(C57:P57, ISNUMBER(SEARCH(""Practice"", $C$1:$P$1)) ) )  / 
  SUM( FILTER(C$77:P$77, ISNUMBER(SEARCH(""Practice"", $C$1:$P$1))))*0.1
+
SUM( FILTER(C57:P57, ISNUMBER(SEARCH(""BEFORE RETAKE"", $C$1:$P$1)) ) ) 
  / 
  SUM( FILTER(C$77:P$77, ISNUMB"&amp;"ER(SEARCH(""BEFORE RETAKE"", $C$1:$P$1))))*0.6 
+
0.3"),0.84139344262295)</f>
        <v>0.84139344262295002</v>
      </c>
      <c r="N57" s="46" t="s">
        <v>462</v>
      </c>
      <c r="O57" s="49">
        <v>75</v>
      </c>
      <c r="P57" s="45">
        <f ca="1">IFERROR(__xludf.DUMMYFUNCTION("SUM( FILTER(C57:P57, ISNUMBER(SEARCH(""Practice"", $C$1:$P$1)) ) )  / 
  SUM( FILTER(C$77:P$77, ISNUMBER(SEARCH(""Practice"", $C$1:$P$1))))*0.1
+
SUM( FILTER(C57:P57, ISNUMBER(SEARCH(""After RETAKE"", $C$1:$P$1)) ) ) 
  / 
  SUM( FILTER(C$77:P$77, ISNUMBE"&amp;"R(SEARCH(""BEFORE RETAKE"", $C$1:$P$1))))*0.6 
+
0.3"),0.84139344262295)</f>
        <v>0.84139344262295002</v>
      </c>
      <c r="Q57" s="49">
        <v>1</v>
      </c>
      <c r="R57" s="49">
        <v>0.5</v>
      </c>
      <c r="S57" s="49">
        <v>5</v>
      </c>
      <c r="T57" s="49">
        <v>43</v>
      </c>
      <c r="U57" s="49">
        <v>80</v>
      </c>
      <c r="V57" s="45">
        <f ca="1">IFERROR(__xludf.DUMMYFUNCTION("SUM( FILTER(C57:X57, ISNUMBER(SEARCH(""Practice"", $C$1:$X$1)) ) )  / 
  SUM( FILTER(C$77:X$77, ISNUMBER(SEARCH(""Practice"", $C$1:$X$1))))*0.1
+
(SUM( FILTER(C57:P57, ISNUMBER(SEARCH(""After RETAKE"", $C$1:$P$1)) ) ) +
SUM( FILTER(P57:X57, ISNUMBER(SEARC"&amp;"H(""Before RETAKE"", $P$1:$X$1)) ) )
)  / 
  SUM( FILTER(C$77:X$77, ISNUMBER(SEARCH(""BEFORE RETAKE"", $C$1:$X$1))))*0.6 
+
0.3"),0.854194915254237)</f>
        <v>0.85419491525423696</v>
      </c>
      <c r="W57" s="46" t="s">
        <v>462</v>
      </c>
      <c r="X57" s="49">
        <v>80</v>
      </c>
      <c r="Y57" s="45">
        <f ca="1">IFERROR(__xludf.DUMMYFUNCTION("SUM( FILTER(C57:X57, ISNUMBER(SEARCH(""Practice"", $C$1:$X$1)) ) )  / 
  SUM( FILTER(C$77:X$77, ISNUMBER(SEARCH(""Practice"", $C$1:$X$1))))*0.1
+
(SUM( FILTER(C57:P57, ISNUMBER(SEARCH(""After RETAKE"", $C$1:$P$1)) ) ) +
SUM( FILTER(Q57:X57, ISNUMBER(SEARC"&amp;"H(""After RETAKE"", $Q$1:$X$1)) ) )
)  / 
  SUM( FILTER(C$77:X$77, ISNUMBER(SEARCH(""BEFORE RETAKE"", $C$1:$X$1))))*0.6 
+
0.3"),0.854194915254237)</f>
        <v>0.85419491525423696</v>
      </c>
      <c r="Z57" s="49">
        <v>5</v>
      </c>
      <c r="AA57" s="49">
        <v>5</v>
      </c>
      <c r="AB57" s="49">
        <v>5</v>
      </c>
      <c r="AC57" s="49">
        <v>5</v>
      </c>
      <c r="AD57" s="49">
        <v>5</v>
      </c>
      <c r="AE57" s="49">
        <v>5</v>
      </c>
      <c r="AF57" s="49">
        <v>50</v>
      </c>
      <c r="AG57" s="49">
        <v>78</v>
      </c>
      <c r="AH57" s="45">
        <f ca="1">IFERROR(__xludf.DUMMYFUNCTION("SUM( FILTER(C57:AJ57, ISNUMBER(SEARCH(""Practice"", $C$1:$AJ$1)) ) )  / 
  SUM( FILTER(C$77:AJ$77, ISNUMBER(SEARCH(""Practice"", $C$1:$AJ$1))))*0.1
+
(SUM( FILTER(C57:X57, ISNUMBER(SEARCH(""After RETAKE"", $C$1:$X$1)) ) ) +
SUM( FILTER(X57:AJ57, ISNUMBER("&amp;"SEARCH(""Before RETAKE"", $X$1:$AJ$1)) ) )
)  / 
  SUM( FILTER(C$77:AJ$77, ISNUMBER(SEARCH(""BEFORE RETAKE"", $C$1:$AJ$1))))*0.6 
+
0.3"),0.859560606060606)</f>
        <v>0.85956060606060603</v>
      </c>
      <c r="AI57" s="46" t="s">
        <v>462</v>
      </c>
      <c r="AJ57" s="49">
        <v>78</v>
      </c>
      <c r="AK57" s="45">
        <f ca="1">IFERROR(__xludf.DUMMYFUNCTION("SUM( FILTER(C57:AK57, ISNUMBER(SEARCH(""Practice"", $C$1:$AK$1)) ) )  / 
  SUM( FILTER(C$77:AK$77, ISNUMBER(SEARCH(""Practice"", $C$1:$AK$1))))*0.1
+
(SUM( FILTER(C57:P57, ISNUMBER(SEARCH(""After RETAKE"", $C$1:$P$1)) ) ) +
SUM( FILTER(P57:AK57, ISNUMBER("&amp;"SEARCH(""After RETAKE"", $P$1:$AK$1)) ) )
)  / 
  SUM( FILTER(C$77:AK$77, ISNUMBER(SEARCH(""BEFORE RETAKE"", $C$1:$AK$1))))*0.6 
+
0.3"),0.859560606060606)</f>
        <v>0.85956060606060603</v>
      </c>
      <c r="AL57" s="45">
        <v>0.72</v>
      </c>
      <c r="AM57" s="21">
        <f t="shared" si="0"/>
        <v>2</v>
      </c>
      <c r="AN57" s="21">
        <f t="shared" si="1"/>
        <v>0</v>
      </c>
      <c r="AO57" s="21">
        <f t="shared" si="2"/>
        <v>0</v>
      </c>
      <c r="AP57" s="23">
        <f t="shared" si="3"/>
        <v>77.666666666666671</v>
      </c>
      <c r="AQ57" s="23">
        <f t="shared" si="4"/>
        <v>77.666666666666671</v>
      </c>
      <c r="AR57" s="47">
        <f ca="1">IFERROR(__xludf.DUMMYFUNCTION("SUM( FILTER(C57:AK57, ISNUMBER(SEARCH(""Practice"", $C$1:$AK$1)) ) )  / 
  SUM( FILTER(C$77:AK$77, ISNUMBER(SEARCH(""Practice"", $C$1:$AK$1))))*0.1
+
(SUM( FILTER(C57:P57, ISNUMBER(SEARCH(""before RETAKE"", $C$1:$P$1)) ) ) +
SUM( FILTER(P57:AK57, ISNUMBER"&amp;"(SEARCH(""before RETAKE"", $P$1:$AK$1)) ) )
)  / 
  SUM( FILTER(C$77:AK$77, ISNUMBER(SEARCH(""BEFORE RETAKE"", $C$1:$AK$1))))*0.6 
+
0.3*AL57"),0.775560606060606)</f>
        <v>0.77556060606060595</v>
      </c>
      <c r="AS57" s="47">
        <f ca="1">IFERROR(__xludf.DUMMYFUNCTION("SUM( FILTER(C57:AK57, ISNUMBER(SEARCH(""Practice"", $C$1:$AK$1)) ) )  / 
  SUM( FILTER(C$77:AK$77, ISNUMBER(SEARCH(""Practice"", $C$1:$AK$1))))*0.1
+
(SUM( FILTER(C57:P57, ISNUMBER(SEARCH(""after RETAKE"", $C$1:$P$1)) ) ) +
SUM( FILTER(P57:AK57, ISNUMBER("&amp;"SEARCH(""after RETAKE"", $P$1:$AK$1)) ) )
)  / 
  SUM( FILTER(C$77:AK$77, ISNUMBER(SEARCH(""BEFORE RETAKE"", $C$1:$AK$1))))*0.6 
+
0.3*AL57"),0.775560606060606)</f>
        <v>0.77556060606060595</v>
      </c>
      <c r="AT57" s="47">
        <v>0.7835606061</v>
      </c>
      <c r="AU57" s="48">
        <f t="shared" si="5"/>
        <v>0.93560606060606055</v>
      </c>
      <c r="AV57" s="21">
        <v>2</v>
      </c>
      <c r="AW57" s="23">
        <f t="shared" si="6"/>
        <v>46.666666666666664</v>
      </c>
    </row>
    <row r="58" spans="1:49" ht="12.75" x14ac:dyDescent="0.2">
      <c r="A58" s="22" t="s">
        <v>254</v>
      </c>
      <c r="B58" s="22" t="s">
        <v>464</v>
      </c>
      <c r="C58" s="49">
        <v>10</v>
      </c>
      <c r="D58" s="49">
        <v>1</v>
      </c>
      <c r="E58" s="49">
        <v>1</v>
      </c>
      <c r="F58" s="49">
        <v>1</v>
      </c>
      <c r="G58" s="49">
        <v>1</v>
      </c>
      <c r="H58" s="49">
        <v>0</v>
      </c>
      <c r="I58" s="49">
        <v>1</v>
      </c>
      <c r="J58" s="49">
        <v>5</v>
      </c>
      <c r="K58" s="49">
        <v>50</v>
      </c>
      <c r="L58" s="49">
        <v>68</v>
      </c>
      <c r="M58" s="45">
        <f ca="1">IFERROR(__xludf.DUMMYFUNCTION("SUM( FILTER(C58:P58, ISNUMBER(SEARCH(""Practice"", $C$1:$P$1)) ) )  / 
  SUM( FILTER(C$77:P$77, ISNUMBER(SEARCH(""Practice"", $C$1:$P$1))))*0.1
+
SUM( FILTER(C58:P58, ISNUMBER(SEARCH(""BEFORE RETAKE"", $C$1:$P$1)) ) ) 
  / 
  SUM( FILTER(C$77:P$77, ISNUMB"&amp;"ER(SEARCH(""BEFORE RETAKE"", $C$1:$P$1))))*0.6 
+
0.3"),0.806360655737705)</f>
        <v>0.80636065573770499</v>
      </c>
      <c r="N58" s="46">
        <v>72</v>
      </c>
      <c r="O58" s="49">
        <v>68</v>
      </c>
      <c r="P58" s="45">
        <f ca="1">IFERROR(__xludf.DUMMYFUNCTION("SUM( FILTER(C58:P58, ISNUMBER(SEARCH(""Practice"", $C$1:$P$1)) ) )  / 
  SUM( FILTER(C$77:P$77, ISNUMBER(SEARCH(""Practice"", $C$1:$P$1))))*0.1
+
SUM( FILTER(C58:P58, ISNUMBER(SEARCH(""After RETAKE"", $C$1:$P$1)) ) ) 
  / 
  SUM( FILTER(C$77:P$77, ISNUMBE"&amp;"R(SEARCH(""BEFORE RETAKE"", $C$1:$P$1))))*0.6 
+
0.3"),0.806360655737705)</f>
        <v>0.80636065573770499</v>
      </c>
      <c r="Q58" s="49">
        <v>1</v>
      </c>
      <c r="R58" s="49">
        <v>1</v>
      </c>
      <c r="S58" s="49">
        <v>5</v>
      </c>
      <c r="T58" s="49">
        <v>48.5</v>
      </c>
      <c r="U58" s="49">
        <v>67</v>
      </c>
      <c r="V58" s="45">
        <f ca="1">IFERROR(__xludf.DUMMYFUNCTION("SUM( FILTER(C58:X58, ISNUMBER(SEARCH(""Practice"", $C$1:$X$1)) ) )  / 
  SUM( FILTER(C$77:X$77, ISNUMBER(SEARCH(""Practice"", $C$1:$X$1))))*0.1
+
(SUM( FILTER(C58:P58, ISNUMBER(SEARCH(""After RETAKE"", $C$1:$P$1)) ) ) +
SUM( FILTER(P58:X58, ISNUMBER(SEARC"&amp;"H(""Before RETAKE"", $P$1:$X$1)) ) )
)  / 
  SUM( FILTER(C$77:X$77, ISNUMBER(SEARCH(""BEFORE RETAKE"", $C$1:$X$1))))*0.6 
+
0.3"),0.802881355932203)</f>
        <v>0.802881355932203</v>
      </c>
      <c r="W58" s="49">
        <v>72</v>
      </c>
      <c r="X58" s="49">
        <v>72</v>
      </c>
      <c r="Y58" s="45">
        <f ca="1">IFERROR(__xludf.DUMMYFUNCTION("SUM( FILTER(C58:X58, ISNUMBER(SEARCH(""Practice"", $C$1:$X$1)) ) )  / 
  SUM( FILTER(C$77:X$77, ISNUMBER(SEARCH(""Practice"", $C$1:$X$1))))*0.1
+
(SUM( FILTER(C58:P58, ISNUMBER(SEARCH(""After RETAKE"", $C$1:$P$1)) ) ) +
SUM( FILTER(Q58:X58, ISNUMBER(SEARC"&amp;"H(""After RETAKE"", $Q$1:$X$1)) ) )
)  / 
  SUM( FILTER(C$77:X$77, ISNUMBER(SEARCH(""BEFORE RETAKE"", $C$1:$X$1))))*0.6 
+
0.3"),0.817881355932203)</f>
        <v>0.81788135593220301</v>
      </c>
      <c r="Z58" s="49">
        <v>5</v>
      </c>
      <c r="AA58" s="49">
        <v>5</v>
      </c>
      <c r="AB58" s="49">
        <v>5</v>
      </c>
      <c r="AC58" s="49">
        <v>5</v>
      </c>
      <c r="AD58" s="49">
        <v>5</v>
      </c>
      <c r="AE58" s="49">
        <v>0</v>
      </c>
      <c r="AF58" s="49">
        <v>11</v>
      </c>
      <c r="AG58" s="49">
        <v>62</v>
      </c>
      <c r="AH58" s="45">
        <f ca="1">IFERROR(__xludf.DUMMYFUNCTION("SUM( FILTER(C58:AJ58, ISNUMBER(SEARCH(""Practice"", $C$1:$AJ$1)) ) )  / 
  SUM( FILTER(C$77:AJ$77, ISNUMBER(SEARCH(""Practice"", $C$1:$AJ$1))))*0.1
+
(SUM( FILTER(C58:X58, ISNUMBER(SEARCH(""After RETAKE"", $C$1:$X$1)) ) ) +
SUM( FILTER(X58:AJ58, ISNUMBER("&amp;"SEARCH(""Before RETAKE"", $X$1:$AJ$1)) ) )
)  / 
  SUM( FILTER(C$77:AJ$77, ISNUMBER(SEARCH(""BEFORE RETAKE"", $C$1:$AJ$1))))*0.6 
+
0.3"),0.780515151515151)</f>
        <v>0.78051515151515105</v>
      </c>
      <c r="AI58" s="49">
        <v>30</v>
      </c>
      <c r="AJ58" s="49">
        <v>62</v>
      </c>
      <c r="AK58" s="45">
        <f ca="1">IFERROR(__xludf.DUMMYFUNCTION("SUM( FILTER(C58:AK58, ISNUMBER(SEARCH(""Practice"", $C$1:$AK$1)) ) )  / 
  SUM( FILTER(C$77:AK$77, ISNUMBER(SEARCH(""Practice"", $C$1:$AK$1))))*0.1
+
(SUM( FILTER(C58:P58, ISNUMBER(SEARCH(""After RETAKE"", $C$1:$P$1)) ) ) +
SUM( FILTER(P58:AK58, ISNUMBER("&amp;"SEARCH(""After RETAKE"", $P$1:$AK$1)) ) )
)  / 
  SUM( FILTER(C$77:AK$77, ISNUMBER(SEARCH(""BEFORE RETAKE"", $C$1:$AK$1))))*0.6 
+
0.3"),0.780515151515151)</f>
        <v>0.78051515151515105</v>
      </c>
      <c r="AL58" s="45">
        <v>0.72</v>
      </c>
      <c r="AM58" s="21">
        <f t="shared" si="0"/>
        <v>1</v>
      </c>
      <c r="AN58" s="21">
        <f t="shared" si="1"/>
        <v>0</v>
      </c>
      <c r="AO58" s="21">
        <f t="shared" si="2"/>
        <v>1</v>
      </c>
      <c r="AP58" s="23">
        <f t="shared" si="3"/>
        <v>65.666666666666671</v>
      </c>
      <c r="AQ58" s="23">
        <f t="shared" si="4"/>
        <v>67.333333333333329</v>
      </c>
      <c r="AR58" s="47">
        <f ca="1">IFERROR(__xludf.DUMMYFUNCTION("SUM( FILTER(C58:AK58, ISNUMBER(SEARCH(""Practice"", $C$1:$AK$1)) ) )  / 
  SUM( FILTER(C$77:AK$77, ISNUMBER(SEARCH(""Practice"", $C$1:$AK$1))))*0.1
+
(SUM( FILTER(C58:P58, ISNUMBER(SEARCH(""before RETAKE"", $C$1:$P$1)) ) ) +
SUM( FILTER(P58:AK58, ISNUMBER"&amp;"(SEARCH(""before RETAKE"", $P$1:$AK$1)) ) )
)  / 
  SUM( FILTER(C$77:AK$77, ISNUMBER(SEARCH(""BEFORE RETAKE"", $C$1:$AK$1))))*0.6 
+
0.3*AL58"),0.686515151515151)</f>
        <v>0.68651515151515097</v>
      </c>
      <c r="AS58" s="47">
        <f ca="1">IFERROR(__xludf.DUMMYFUNCTION("SUM( FILTER(C58:AK58, ISNUMBER(SEARCH(""Practice"", $C$1:$AK$1)) ) )  / 
  SUM( FILTER(C$77:AK$77, ISNUMBER(SEARCH(""Practice"", $C$1:$AK$1))))*0.1
+
(SUM( FILTER(C58:P58, ISNUMBER(SEARCH(""after RETAKE"", $C$1:$P$1)) ) ) +
SUM( FILTER(P58:AK58, ISNUMBER("&amp;"SEARCH(""after RETAKE"", $P$1:$AK$1)) ) )
)  / 
  SUM( FILTER(C$77:AK$77, ISNUMBER(SEARCH(""BEFORE RETAKE"", $C$1:$AK$1))))*0.6 
+
0.3*AL58"),0.696515151515151)</f>
        <v>0.69651515151515098</v>
      </c>
      <c r="AT58" s="47">
        <v>0.7125151515</v>
      </c>
      <c r="AU58" s="48">
        <f t="shared" si="5"/>
        <v>0.76515151515151514</v>
      </c>
      <c r="AV58" s="21">
        <v>2</v>
      </c>
      <c r="AW58" s="23">
        <f t="shared" si="6"/>
        <v>36.5</v>
      </c>
    </row>
    <row r="59" spans="1:49" ht="12.75" x14ac:dyDescent="0.2">
      <c r="A59" s="22" t="s">
        <v>256</v>
      </c>
      <c r="B59" s="22" t="s">
        <v>464</v>
      </c>
      <c r="C59" s="49">
        <v>11</v>
      </c>
      <c r="D59" s="49">
        <v>1</v>
      </c>
      <c r="E59" s="49">
        <v>1</v>
      </c>
      <c r="F59" s="49">
        <v>1</v>
      </c>
      <c r="G59" s="49">
        <v>0</v>
      </c>
      <c r="H59" s="49">
        <v>0</v>
      </c>
      <c r="I59" s="49">
        <v>1</v>
      </c>
      <c r="J59" s="49">
        <v>5</v>
      </c>
      <c r="K59" s="49">
        <v>48</v>
      </c>
      <c r="L59" s="49">
        <v>66</v>
      </c>
      <c r="M59" s="45">
        <f ca="1">IFERROR(__xludf.DUMMYFUNCTION("SUM( FILTER(C59:P59, ISNUMBER(SEARCH(""Practice"", $C$1:$P$1)) ) )  / 
  SUM( FILTER(C$77:P$77, ISNUMBER(SEARCH(""Practice"", $C$1:$P$1))))*0.1
+
SUM( FILTER(C59:P59, ISNUMBER(SEARCH(""BEFORE RETAKE"", $C$1:$P$1)) ) ) 
  / 
  SUM( FILTER(C$77:P$77, ISNUMB"&amp;"ER(SEARCH(""BEFORE RETAKE"", $C$1:$P$1))))*0.6 
+
0.3"),0.789442622950819)</f>
        <v>0.78944262295081902</v>
      </c>
      <c r="N59" s="46">
        <v>75</v>
      </c>
      <c r="O59" s="49">
        <v>66</v>
      </c>
      <c r="P59" s="45">
        <f ca="1">IFERROR(__xludf.DUMMYFUNCTION("SUM( FILTER(C59:P59, ISNUMBER(SEARCH(""Practice"", $C$1:$P$1)) ) )  / 
  SUM( FILTER(C$77:P$77, ISNUMBER(SEARCH(""Practice"", $C$1:$P$1))))*0.1
+
SUM( FILTER(C59:P59, ISNUMBER(SEARCH(""After RETAKE"", $C$1:$P$1)) ) ) 
  / 
  SUM( FILTER(C$77:P$77, ISNUMBE"&amp;"R(SEARCH(""BEFORE RETAKE"", $C$1:$P$1))))*0.6 
+
0.3"),0.789442622950819)</f>
        <v>0.78944262295081902</v>
      </c>
      <c r="Q59" s="49">
        <v>0</v>
      </c>
      <c r="R59" s="49">
        <v>1</v>
      </c>
      <c r="S59" s="49">
        <v>5</v>
      </c>
      <c r="T59" s="49">
        <v>40</v>
      </c>
      <c r="U59" s="49">
        <v>73</v>
      </c>
      <c r="V59" s="45">
        <f ca="1">IFERROR(__xludf.DUMMYFUNCTION("SUM( FILTER(C59:X59, ISNUMBER(SEARCH(""Practice"", $C$1:$X$1)) ) )  / 
  SUM( FILTER(C$77:X$77, ISNUMBER(SEARCH(""Practice"", $C$1:$X$1))))*0.1
+
(SUM( FILTER(C59:P59, ISNUMBER(SEARCH(""After RETAKE"", $C$1:$P$1)) ) ) +
SUM( FILTER(P59:X59, ISNUMBER(SEARC"&amp;"H(""Before RETAKE"", $P$1:$X$1)) ) )
)  / 
  SUM( FILTER(C$77:X$77, ISNUMBER(SEARCH(""BEFORE RETAKE"", $C$1:$X$1))))*0.6 
+
0.3"),0.80428813559322)</f>
        <v>0.80428813559321999</v>
      </c>
      <c r="W59" s="46" t="s">
        <v>462</v>
      </c>
      <c r="X59" s="49">
        <v>73</v>
      </c>
      <c r="Y59" s="45">
        <f ca="1">IFERROR(__xludf.DUMMYFUNCTION("SUM( FILTER(C59:X59, ISNUMBER(SEARCH(""Practice"", $C$1:$X$1)) ) )  / 
  SUM( FILTER(C$77:X$77, ISNUMBER(SEARCH(""Practice"", $C$1:$X$1))))*0.1
+
(SUM( FILTER(C59:P59, ISNUMBER(SEARCH(""After RETAKE"", $C$1:$P$1)) ) ) +
SUM( FILTER(Q59:X59, ISNUMBER(SEARC"&amp;"H(""After RETAKE"", $Q$1:$X$1)) ) )
)  / 
  SUM( FILTER(C$77:X$77, ISNUMBER(SEARCH(""BEFORE RETAKE"", $C$1:$X$1))))*0.6 
+
0.3"),0.80428813559322)</f>
        <v>0.80428813559321999</v>
      </c>
      <c r="Z59" s="49">
        <v>5</v>
      </c>
      <c r="AA59" s="49">
        <v>5</v>
      </c>
      <c r="AB59" s="49">
        <v>5</v>
      </c>
      <c r="AC59" s="49">
        <v>5</v>
      </c>
      <c r="AD59" s="49">
        <v>0</v>
      </c>
      <c r="AE59" s="49">
        <v>5</v>
      </c>
      <c r="AF59" s="49">
        <v>44</v>
      </c>
      <c r="AG59" s="49">
        <v>72</v>
      </c>
      <c r="AH59" s="45">
        <f ca="1">IFERROR(__xludf.DUMMYFUNCTION("SUM( FILTER(C59:AJ59, ISNUMBER(SEARCH(""Practice"", $C$1:$AJ$1)) ) )  / 
  SUM( FILTER(C$77:AJ$77, ISNUMBER(SEARCH(""Practice"", $C$1:$AJ$1))))*0.1
+
(SUM( FILTER(C59:X59, ISNUMBER(SEARCH(""After RETAKE"", $C$1:$X$1)) ) ) +
SUM( FILTER(X59:AJ59, ISNUMBER("&amp;"SEARCH(""Before RETAKE"", $X$1:$AJ$1)) ) )
)  / 
  SUM( FILTER(C$77:AJ$77, ISNUMBER(SEARCH(""BEFORE RETAKE"", $C$1:$AJ$1))))*0.6 
+
0.3"),0.808868686868687)</f>
        <v>0.80886868686868696</v>
      </c>
      <c r="AI59" s="49">
        <v>78</v>
      </c>
      <c r="AJ59" s="49">
        <v>72</v>
      </c>
      <c r="AK59" s="45">
        <f ca="1">IFERROR(__xludf.DUMMYFUNCTION("SUM( FILTER(C59:AK59, ISNUMBER(SEARCH(""Practice"", $C$1:$AK$1)) ) )  / 
  SUM( FILTER(C$77:AK$77, ISNUMBER(SEARCH(""Practice"", $C$1:$AK$1))))*0.1
+
(SUM( FILTER(C59:P59, ISNUMBER(SEARCH(""After RETAKE"", $C$1:$P$1)) ) ) +
SUM( FILTER(P59:AK59, ISNUMBER("&amp;"SEARCH(""After RETAKE"", $P$1:$AK$1)) ) )
)  / 
  SUM( FILTER(C$77:AK$77, ISNUMBER(SEARCH(""BEFORE RETAKE"", $C$1:$AK$1))))*0.6 
+
0.3"),0.808868686868687)</f>
        <v>0.80886868686868696</v>
      </c>
      <c r="AL59" s="45">
        <v>0.72</v>
      </c>
      <c r="AM59" s="21">
        <f t="shared" si="0"/>
        <v>2</v>
      </c>
      <c r="AN59" s="21">
        <f t="shared" si="1"/>
        <v>1</v>
      </c>
      <c r="AO59" s="21">
        <f t="shared" si="2"/>
        <v>1</v>
      </c>
      <c r="AP59" s="23">
        <f t="shared" si="3"/>
        <v>70.333333333333329</v>
      </c>
      <c r="AQ59" s="23">
        <f t="shared" si="4"/>
        <v>70.333333333333329</v>
      </c>
      <c r="AR59" s="47">
        <f ca="1">IFERROR(__xludf.DUMMYFUNCTION("SUM( FILTER(C59:AK59, ISNUMBER(SEARCH(""Practice"", $C$1:$AK$1)) ) )  / 
  SUM( FILTER(C$77:AK$77, ISNUMBER(SEARCH(""Practice"", $C$1:$AK$1))))*0.1
+
(SUM( FILTER(C59:P59, ISNUMBER(SEARCH(""before RETAKE"", $C$1:$P$1)) ) ) +
SUM( FILTER(P59:AK59, ISNUMBER"&amp;"(SEARCH(""before RETAKE"", $P$1:$AK$1)) ) )
)  / 
  SUM( FILTER(C$77:AK$77, ISNUMBER(SEARCH(""BEFORE RETAKE"", $C$1:$AK$1))))*0.6 
+
0.3*AL59"),0.724868686868686)</f>
        <v>0.724868686868686</v>
      </c>
      <c r="AS59" s="47">
        <f ca="1">IFERROR(__xludf.DUMMYFUNCTION("SUM( FILTER(C59:AK59, ISNUMBER(SEARCH(""Practice"", $C$1:$AK$1)) ) )  / 
  SUM( FILTER(C$77:AK$77, ISNUMBER(SEARCH(""Practice"", $C$1:$AK$1))))*0.1
+
(SUM( FILTER(C59:P59, ISNUMBER(SEARCH(""after RETAKE"", $C$1:$P$1)) ) ) +
SUM( FILTER(P59:AK59, ISNUMBER("&amp;"SEARCH(""after RETAKE"", $P$1:$AK$1)) ) )
)  / 
  SUM( FILTER(C$77:AK$77, ISNUMBER(SEARCH(""BEFORE RETAKE"", $C$1:$AK$1))))*0.6 
+
0.3*AL59"),0.724868686868686)</f>
        <v>0.724868686868686</v>
      </c>
      <c r="AT59" s="47">
        <v>0.73786868689999996</v>
      </c>
      <c r="AU59" s="48">
        <f t="shared" si="5"/>
        <v>0.86868686868686873</v>
      </c>
      <c r="AV59" s="21">
        <v>4</v>
      </c>
      <c r="AW59" s="23">
        <f t="shared" si="6"/>
        <v>44</v>
      </c>
    </row>
    <row r="60" spans="1:49" ht="12.75" x14ac:dyDescent="0.2">
      <c r="A60" s="22" t="s">
        <v>258</v>
      </c>
      <c r="B60" s="22" t="s">
        <v>461</v>
      </c>
      <c r="C60" s="49">
        <v>11</v>
      </c>
      <c r="D60" s="49">
        <v>1</v>
      </c>
      <c r="E60" s="49">
        <v>1</v>
      </c>
      <c r="F60" s="49">
        <v>1</v>
      </c>
      <c r="G60" s="49">
        <v>0</v>
      </c>
      <c r="H60" s="49">
        <v>0</v>
      </c>
      <c r="I60" s="49">
        <v>1</v>
      </c>
      <c r="J60" s="49">
        <v>5</v>
      </c>
      <c r="K60" s="49">
        <v>50</v>
      </c>
      <c r="L60" s="49">
        <v>75</v>
      </c>
      <c r="M60" s="45">
        <f ca="1">IFERROR(__xludf.DUMMYFUNCTION("SUM( FILTER(C60:P60, ISNUMBER(SEARCH(""Practice"", $C$1:$P$1)) ) )  / 
  SUM( FILTER(C$77:P$77, ISNUMBER(SEARCH(""Practice"", $C$1:$P$1))))*0.1
+
SUM( FILTER(C60:P60, ISNUMBER(SEARCH(""BEFORE RETAKE"", $C$1:$P$1)) ) ) 
  / 
  SUM( FILTER(C$77:P$77, ISNUMB"&amp;"ER(SEARCH(""BEFORE RETAKE"", $C$1:$P$1))))*0.6 
+
0.3"),0.846721311475409)</f>
        <v>0.84672131147540897</v>
      </c>
      <c r="N60" s="46">
        <v>83</v>
      </c>
      <c r="O60" s="49">
        <v>75</v>
      </c>
      <c r="P60" s="45">
        <f ca="1">IFERROR(__xludf.DUMMYFUNCTION("SUM( FILTER(C60:P60, ISNUMBER(SEARCH(""Practice"", $C$1:$P$1)) ) )  / 
  SUM( FILTER(C$77:P$77, ISNUMBER(SEARCH(""Practice"", $C$1:$P$1))))*0.1
+
SUM( FILTER(C60:P60, ISNUMBER(SEARCH(""After RETAKE"", $C$1:$P$1)) ) ) 
  / 
  SUM( FILTER(C$77:P$77, ISNUMBE"&amp;"R(SEARCH(""BEFORE RETAKE"", $C$1:$P$1))))*0.6 
+
0.3"),0.846721311475409)</f>
        <v>0.84672131147540897</v>
      </c>
      <c r="Q60" s="49">
        <v>1</v>
      </c>
      <c r="R60" s="49">
        <v>0</v>
      </c>
      <c r="S60" s="49">
        <v>5</v>
      </c>
      <c r="T60" s="49">
        <v>39</v>
      </c>
      <c r="U60" s="49">
        <v>75</v>
      </c>
      <c r="V60" s="45">
        <f ca="1">IFERROR(__xludf.DUMMYFUNCTION("SUM( FILTER(C60:X60, ISNUMBER(SEARCH(""Practice"", $C$1:$X$1)) ) )  / 
  SUM( FILTER(C$77:X$77, ISNUMBER(SEARCH(""Practice"", $C$1:$X$1))))*0.1
+
(SUM( FILTER(C60:P60, ISNUMBER(SEARCH(""After RETAKE"", $C$1:$P$1)) ) ) +
SUM( FILTER(P60:X60, ISNUMBER(SEARC"&amp;"H(""Before RETAKE"", $P$1:$X$1)) ) )
)  / 
  SUM( FILTER(C$77:X$77, ISNUMBER(SEARCH(""BEFORE RETAKE"", $C$1:$X$1))))*0.6 
+
0.3"),0.838135593220338)</f>
        <v>0.83813559322033804</v>
      </c>
      <c r="W60" s="49">
        <v>80</v>
      </c>
      <c r="X60" s="49">
        <v>80</v>
      </c>
      <c r="Y60" s="45">
        <f ca="1">IFERROR(__xludf.DUMMYFUNCTION("SUM( FILTER(C60:X60, ISNUMBER(SEARCH(""Practice"", $C$1:$X$1)) ) )  / 
  SUM( FILTER(C$77:X$77, ISNUMBER(SEARCH(""Practice"", $C$1:$X$1))))*0.1
+
(SUM( FILTER(C60:P60, ISNUMBER(SEARCH(""After RETAKE"", $C$1:$P$1)) ) ) +
SUM( FILTER(Q60:X60, ISNUMBER(SEARC"&amp;"H(""After RETAKE"", $Q$1:$X$1)) ) )
)  / 
  SUM( FILTER(C$77:X$77, ISNUMBER(SEARCH(""BEFORE RETAKE"", $C$1:$X$1))))*0.6 
+
0.3"),0.853135593220339)</f>
        <v>0.85313559322033905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50</v>
      </c>
      <c r="AG60" s="49">
        <v>65</v>
      </c>
      <c r="AH60" s="45">
        <f ca="1">IFERROR(__xludf.DUMMYFUNCTION("SUM( FILTER(C60:AJ60, ISNUMBER(SEARCH(""Practice"", $C$1:$AJ$1)) ) )  / 
  SUM( FILTER(C$77:AJ$77, ISNUMBER(SEARCH(""Practice"", $C$1:$AJ$1))))*0.1
+
(SUM( FILTER(C60:X60, ISNUMBER(SEARCH(""After RETAKE"", $C$1:$X$1)) ) ) +
SUM( FILTER(X60:AJ60, ISNUMBER("&amp;"SEARCH(""Before RETAKE"", $X$1:$AJ$1)) ) )
)  / 
  SUM( FILTER(C$77:AJ$77, ISNUMBER(SEARCH(""BEFORE RETAKE"", $C$1:$AJ$1))))*0.6 
+
0.3"),0.817777777777777)</f>
        <v>0.81777777777777705</v>
      </c>
      <c r="AI60" s="49">
        <v>68</v>
      </c>
      <c r="AJ60" s="49">
        <v>68</v>
      </c>
      <c r="AK60" s="45">
        <f ca="1">IFERROR(__xludf.DUMMYFUNCTION("SUM( FILTER(C60:AK60, ISNUMBER(SEARCH(""Practice"", $C$1:$AK$1)) ) )  / 
  SUM( FILTER(C$77:AK$77, ISNUMBER(SEARCH(""Practice"", $C$1:$AK$1))))*0.1
+
(SUM( FILTER(C60:P60, ISNUMBER(SEARCH(""After RETAKE"", $C$1:$P$1)) ) ) +
SUM( FILTER(P60:AK60, ISNUMBER("&amp;"SEARCH(""After RETAKE"", $P$1:$AK$1)) ) )
)  / 
  SUM( FILTER(C$77:AK$77, ISNUMBER(SEARCH(""BEFORE RETAKE"", $C$1:$AK$1))))*0.6 
+
0.3"),0.823777777777777)</f>
        <v>0.82377777777777705</v>
      </c>
      <c r="AL60" s="45">
        <v>0.75</v>
      </c>
      <c r="AM60" s="21">
        <f t="shared" si="0"/>
        <v>2</v>
      </c>
      <c r="AN60" s="21">
        <f t="shared" si="1"/>
        <v>1</v>
      </c>
      <c r="AO60" s="21">
        <f t="shared" si="2"/>
        <v>6</v>
      </c>
      <c r="AP60" s="23">
        <f t="shared" si="3"/>
        <v>71.666666666666671</v>
      </c>
      <c r="AQ60" s="23">
        <f t="shared" si="4"/>
        <v>74.333333333333329</v>
      </c>
      <c r="AR60" s="47">
        <f ca="1">IFERROR(__xludf.DUMMYFUNCTION("SUM( FILTER(C60:AK60, ISNUMBER(SEARCH(""Practice"", $C$1:$AK$1)) ) )  / 
  SUM( FILTER(C$77:AK$77, ISNUMBER(SEARCH(""Practice"", $C$1:$AK$1))))*0.1
+
(SUM( FILTER(C60:P60, ISNUMBER(SEARCH(""before RETAKE"", $C$1:$P$1)) ) ) +
SUM( FILTER(P60:AK60, ISNUMBER"&amp;"(SEARCH(""before RETAKE"", $P$1:$AK$1)) ) )
)  / 
  SUM( FILTER(C$77:AK$77, ISNUMBER(SEARCH(""BEFORE RETAKE"", $C$1:$AK$1))))*0.6 
+
0.3*AL60"),0.732777777777777)</f>
        <v>0.73277777777777697</v>
      </c>
      <c r="AS60" s="47">
        <f ca="1">IFERROR(__xludf.DUMMYFUNCTION("SUM( FILTER(C60:AK60, ISNUMBER(SEARCH(""Practice"", $C$1:$AK$1)) ) )  / 
  SUM( FILTER(C$77:AK$77, ISNUMBER(SEARCH(""Practice"", $C$1:$AK$1))))*0.1
+
(SUM( FILTER(C60:P60, ISNUMBER(SEARCH(""after RETAKE"", $C$1:$P$1)) ) ) +
SUM( FILTER(P60:AK60, ISNUMBER("&amp;"SEARCH(""after RETAKE"", $P$1:$AK$1)) ) )
)  / 
  SUM( FILTER(C$77:AK$77, ISNUMBER(SEARCH(""BEFORE RETAKE"", $C$1:$AK$1))))*0.6 
+
0.3*AL60"),0.748777777777777)</f>
        <v>0.74877777777777699</v>
      </c>
      <c r="AT60" s="47">
        <v>0.76777777780000001</v>
      </c>
      <c r="AU60" s="48">
        <f t="shared" si="5"/>
        <v>0.77777777777777779</v>
      </c>
      <c r="AV60" s="21">
        <v>9</v>
      </c>
      <c r="AW60" s="23">
        <f t="shared" si="6"/>
        <v>46.333333333333336</v>
      </c>
    </row>
    <row r="61" spans="1:49" ht="12.75" x14ac:dyDescent="0.2">
      <c r="A61" s="22" t="s">
        <v>260</v>
      </c>
      <c r="B61" s="22" t="s">
        <v>461</v>
      </c>
      <c r="C61" s="49">
        <v>10</v>
      </c>
      <c r="D61" s="49">
        <v>1</v>
      </c>
      <c r="E61" s="49">
        <v>1</v>
      </c>
      <c r="F61" s="49">
        <v>1</v>
      </c>
      <c r="G61" s="49">
        <v>0</v>
      </c>
      <c r="H61" s="49">
        <v>0</v>
      </c>
      <c r="I61" s="49">
        <v>0</v>
      </c>
      <c r="J61" s="49">
        <v>5</v>
      </c>
      <c r="K61" s="49">
        <v>50</v>
      </c>
      <c r="L61" s="49">
        <v>86</v>
      </c>
      <c r="M61" s="45">
        <f ca="1">IFERROR(__xludf.DUMMYFUNCTION("SUM( FILTER(C61:P61, ISNUMBER(SEARCH(""Practice"", $C$1:$P$1)) ) )  / 
  SUM( FILTER(C$77:P$77, ISNUMBER(SEARCH(""Practice"", $C$1:$P$1))))*0.1
+
SUM( FILTER(C61:P61, ISNUMBER(SEARCH(""BEFORE RETAKE"", $C$1:$P$1)) ) ) 
  / 
  SUM( FILTER(C$77:P$77, ISNUMB"&amp;"ER(SEARCH(""BEFORE RETAKE"", $C$1:$P$1))))*0.6 
+
0.3"),0.911081967213114)</f>
        <v>0.91108196721311396</v>
      </c>
      <c r="N61" s="46" t="s">
        <v>462</v>
      </c>
      <c r="O61" s="49">
        <v>86</v>
      </c>
      <c r="P61" s="45">
        <f ca="1">IFERROR(__xludf.DUMMYFUNCTION("SUM( FILTER(C61:P61, ISNUMBER(SEARCH(""Practice"", $C$1:$P$1)) ) )  / 
  SUM( FILTER(C$77:P$77, ISNUMBER(SEARCH(""Practice"", $C$1:$P$1))))*0.1
+
SUM( FILTER(C61:P61, ISNUMBER(SEARCH(""After RETAKE"", $C$1:$P$1)) ) ) 
  / 
  SUM( FILTER(C$77:P$77, ISNUMBE"&amp;"R(SEARCH(""BEFORE RETAKE"", $C$1:$P$1))))*0.6 
+
0.3"),0.911081967213114)</f>
        <v>0.91108196721311396</v>
      </c>
      <c r="Q61" s="49">
        <v>0</v>
      </c>
      <c r="R61" s="49">
        <v>0</v>
      </c>
      <c r="S61" s="49">
        <v>0</v>
      </c>
      <c r="T61" s="49">
        <v>34</v>
      </c>
      <c r="U61" s="49">
        <v>85</v>
      </c>
      <c r="V61" s="45">
        <f ca="1">IFERROR(__xludf.DUMMYFUNCTION("SUM( FILTER(C61:X61, ISNUMBER(SEARCH(""Practice"", $C$1:$X$1)) ) )  / 
  SUM( FILTER(C$77:X$77, ISNUMBER(SEARCH(""Practice"", $C$1:$X$1))))*0.1
+
(SUM( FILTER(C61:P61, ISNUMBER(SEARCH(""After RETAKE"", $C$1:$P$1)) ) ) +
SUM( FILTER(P61:X61, ISNUMBER(SEARC"&amp;"H(""Before RETAKE"", $P$1:$X$1)) ) )
)  / 
  SUM( FILTER(C$77:X$77, ISNUMBER(SEARCH(""BEFORE RETAKE"", $C$1:$X$1))))*0.6 
+
0.3"),0.890966101694915)</f>
        <v>0.89096610169491497</v>
      </c>
      <c r="W61" s="46" t="s">
        <v>462</v>
      </c>
      <c r="X61" s="49">
        <v>85</v>
      </c>
      <c r="Y61" s="45">
        <f ca="1">IFERROR(__xludf.DUMMYFUNCTION("SUM( FILTER(C61:X61, ISNUMBER(SEARCH(""Practice"", $C$1:$X$1)) ) )  / 
  SUM( FILTER(C$77:X$77, ISNUMBER(SEARCH(""Practice"", $C$1:$X$1))))*0.1
+
(SUM( FILTER(C61:P61, ISNUMBER(SEARCH(""After RETAKE"", $C$1:$P$1)) ) ) +
SUM( FILTER(Q61:X61, ISNUMBER(SEARC"&amp;"H(""After RETAKE"", $Q$1:$X$1)) ) )
)  / 
  SUM( FILTER(C$77:X$77, ISNUMBER(SEARCH(""BEFORE RETAKE"", $C$1:$X$1))))*0.6 
+
0.3"),0.890966101694915)</f>
        <v>0.89096610169491497</v>
      </c>
      <c r="Z61" s="49">
        <v>5</v>
      </c>
      <c r="AA61" s="49">
        <v>5</v>
      </c>
      <c r="AB61" s="49">
        <v>5</v>
      </c>
      <c r="AC61" s="49">
        <v>5</v>
      </c>
      <c r="AD61" s="49">
        <v>5</v>
      </c>
      <c r="AE61" s="49">
        <v>5</v>
      </c>
      <c r="AF61" s="49">
        <v>45</v>
      </c>
      <c r="AG61" s="49">
        <v>85</v>
      </c>
      <c r="AH61" s="45">
        <f ca="1">IFERROR(__xludf.DUMMYFUNCTION("SUM( FILTER(C61:AJ61, ISNUMBER(SEARCH(""Practice"", $C$1:$AJ$1)) ) )  / 
  SUM( FILTER(C$77:AJ$77, ISNUMBER(SEARCH(""Practice"", $C$1:$AJ$1))))*0.1
+
(SUM( FILTER(C61:X61, ISNUMBER(SEARCH(""After RETAKE"", $C$1:$X$1)) ) ) +
SUM( FILTER(X61:AJ61, ISNUMBER("&amp;"SEARCH(""Before RETAKE"", $X$1:$AJ$1)) ) )
)  / 
  SUM( FILTER(C$77:AJ$77, ISNUMBER(SEARCH(""BEFORE RETAKE"", $C$1:$AJ$1))))*0.6 
+
0.3"),0.896343434343434)</f>
        <v>0.896343434343434</v>
      </c>
      <c r="AI61" s="46" t="s">
        <v>462</v>
      </c>
      <c r="AJ61" s="49">
        <v>85</v>
      </c>
      <c r="AK61" s="45">
        <f ca="1">IFERROR(__xludf.DUMMYFUNCTION("SUM( FILTER(C61:AK61, ISNUMBER(SEARCH(""Practice"", $C$1:$AK$1)) ) )  / 
  SUM( FILTER(C$77:AK$77, ISNUMBER(SEARCH(""Practice"", $C$1:$AK$1))))*0.1
+
(SUM( FILTER(C61:P61, ISNUMBER(SEARCH(""After RETAKE"", $C$1:$P$1)) ) ) +
SUM( FILTER(P61:AK61, ISNUMBER("&amp;"SEARCH(""After RETAKE"", $P$1:$AK$1)) ) )
)  / 
  SUM( FILTER(C$77:AK$77, ISNUMBER(SEARCH(""BEFORE RETAKE"", $C$1:$AK$1))))*0.6 
+
0.3"),0.896343434343434)</f>
        <v>0.896343434343434</v>
      </c>
      <c r="AL61" s="45">
        <v>0.88</v>
      </c>
      <c r="AM61" s="21">
        <f t="shared" si="0"/>
        <v>3</v>
      </c>
      <c r="AN61" s="21">
        <f t="shared" si="1"/>
        <v>3</v>
      </c>
      <c r="AO61" s="21">
        <f t="shared" si="2"/>
        <v>0</v>
      </c>
      <c r="AP61" s="23">
        <f t="shared" si="3"/>
        <v>85.333333333333329</v>
      </c>
      <c r="AQ61" s="23">
        <f t="shared" si="4"/>
        <v>85.333333333333329</v>
      </c>
      <c r="AR61" s="47">
        <f ca="1">IFERROR(__xludf.DUMMYFUNCTION("SUM( FILTER(C61:AK61, ISNUMBER(SEARCH(""Practice"", $C$1:$AK$1)) ) )  / 
  SUM( FILTER(C$77:AK$77, ISNUMBER(SEARCH(""Practice"", $C$1:$AK$1))))*0.1
+
(SUM( FILTER(C61:P61, ISNUMBER(SEARCH(""before RETAKE"", $C$1:$P$1)) ) ) +
SUM( FILTER(P61:AK61, ISNUMBER"&amp;"(SEARCH(""before RETAKE"", $P$1:$AK$1)) ) )
)  / 
  SUM( FILTER(C$77:AK$77, ISNUMBER(SEARCH(""BEFORE RETAKE"", $C$1:$AK$1))))*0.6 
+
0.3*AL61"),0.860343434343434)</f>
        <v>0.86034343434343397</v>
      </c>
      <c r="AS61" s="47">
        <f ca="1">IFERROR(__xludf.DUMMYFUNCTION("SUM( FILTER(C61:AK61, ISNUMBER(SEARCH(""Practice"", $C$1:$AK$1)) ) )  / 
  SUM( FILTER(C$77:AK$77, ISNUMBER(SEARCH(""Practice"", $C$1:$AK$1))))*0.1
+
(SUM( FILTER(C61:P61, ISNUMBER(SEARCH(""after RETAKE"", $C$1:$P$1)) ) ) +
SUM( FILTER(P61:AK61, ISNUMBER("&amp;"SEARCH(""after RETAKE"", $P$1:$AK$1)) ) )
)  / 
  SUM( FILTER(C$77:AK$77, ISNUMBER(SEARCH(""BEFORE RETAKE"", $C$1:$AK$1))))*0.6 
+
0.3*AL61"),0.860343434343434)</f>
        <v>0.86034343434343397</v>
      </c>
      <c r="AT61" s="47">
        <v>0.86134343430000004</v>
      </c>
      <c r="AU61" s="48">
        <f t="shared" si="5"/>
        <v>0.84343434343434343</v>
      </c>
      <c r="AV61" s="21">
        <v>6</v>
      </c>
      <c r="AW61" s="23">
        <f t="shared" si="6"/>
        <v>43</v>
      </c>
    </row>
    <row r="62" spans="1:49" ht="12.75" x14ac:dyDescent="0.2">
      <c r="A62" s="22" t="s">
        <v>262</v>
      </c>
      <c r="B62" s="22" t="s">
        <v>464</v>
      </c>
      <c r="C62" s="49">
        <v>11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5</v>
      </c>
      <c r="K62" s="49">
        <v>43</v>
      </c>
      <c r="L62" s="49">
        <v>60</v>
      </c>
      <c r="M62" s="45">
        <f ca="1">IFERROR(__xludf.DUMMYFUNCTION("SUM( FILTER(C62:P62, ISNUMBER(SEARCH(""Practice"", $C$1:$P$1)) ) )  / 
  SUM( FILTER(C$77:P$77, ISNUMBER(SEARCH(""Practice"", $C$1:$P$1))))*0.1
+
SUM( FILTER(C62:P62, ISNUMBER(SEARCH(""BEFORE RETAKE"", $C$1:$P$1)) ) ) 
  / 
  SUM( FILTER(C$77:P$77, ISNUMB"&amp;"ER(SEARCH(""BEFORE RETAKE"", $C$1:$P$1))))*0.6 
+
0.3"),0.738688524590164)</f>
        <v>0.73868852459016399</v>
      </c>
      <c r="N62" s="46" t="s">
        <v>462</v>
      </c>
      <c r="O62" s="49">
        <v>60</v>
      </c>
      <c r="P62" s="45">
        <f ca="1">IFERROR(__xludf.DUMMYFUNCTION("SUM( FILTER(C62:P62, ISNUMBER(SEARCH(""Practice"", $C$1:$P$1)) ) )  / 
  SUM( FILTER(C$77:P$77, ISNUMBER(SEARCH(""Practice"", $C$1:$P$1))))*0.1
+
SUM( FILTER(C62:P62, ISNUMBER(SEARCH(""After RETAKE"", $C$1:$P$1)) ) ) 
  / 
  SUM( FILTER(C$77:P$77, ISNUMBE"&amp;"R(SEARCH(""BEFORE RETAKE"", $C$1:$P$1))))*0.6 
+
0.3"),0.738688524590164)</f>
        <v>0.73868852459016399</v>
      </c>
      <c r="Q62" s="49">
        <v>0</v>
      </c>
      <c r="R62" s="49">
        <v>0</v>
      </c>
      <c r="S62" s="49">
        <v>2</v>
      </c>
      <c r="T62" s="49">
        <v>28.5</v>
      </c>
      <c r="U62" s="49">
        <v>65</v>
      </c>
      <c r="V62" s="45">
        <f ca="1">IFERROR(__xludf.DUMMYFUNCTION("SUM( FILTER(C62:X62, ISNUMBER(SEARCH(""Practice"", $C$1:$X$1)) ) )  / 
  SUM( FILTER(C$77:X$77, ISNUMBER(SEARCH(""Practice"", $C$1:$X$1))))*0.1
+
(SUM( FILTER(C62:P62, ISNUMBER(SEARCH(""After RETAKE"", $C$1:$P$1)) ) ) +
SUM( FILTER(P62:X62, ISNUMBER(SEARC"&amp;"H(""Before RETAKE"", $P$1:$X$1)) ) )
)  / 
  SUM( FILTER(C$77:X$77, ISNUMBER(SEARCH(""BEFORE RETAKE"", $C$1:$X$1))))*0.6 
+
0.3"),0.741525423728813)</f>
        <v>0.74152542372881303</v>
      </c>
      <c r="W62" s="46" t="s">
        <v>462</v>
      </c>
      <c r="X62" s="49">
        <v>65</v>
      </c>
      <c r="Y62" s="45">
        <f ca="1">IFERROR(__xludf.DUMMYFUNCTION("SUM( FILTER(C62:X62, ISNUMBER(SEARCH(""Practice"", $C$1:$X$1)) ) )  / 
  SUM( FILTER(C$77:X$77, ISNUMBER(SEARCH(""Practice"", $C$1:$X$1))))*0.1
+
(SUM( FILTER(C62:P62, ISNUMBER(SEARCH(""After RETAKE"", $C$1:$P$1)) ) ) +
SUM( FILTER(Q62:X62, ISNUMBER(SEARC"&amp;"H(""After RETAKE"", $Q$1:$X$1)) ) )
)  / 
  SUM( FILTER(C$77:X$77, ISNUMBER(SEARCH(""BEFORE RETAKE"", $C$1:$X$1))))*0.6 
+
0.3"),0.741525423728813)</f>
        <v>0.74152542372881303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10</v>
      </c>
      <c r="AG62" s="49">
        <v>30</v>
      </c>
      <c r="AH62" s="45">
        <f ca="1">IFERROR(__xludf.DUMMYFUNCTION("SUM( FILTER(C62:AJ62, ISNUMBER(SEARCH(""Practice"", $C$1:$AJ$1)) ) )  / 
  SUM( FILTER(C$77:AJ$77, ISNUMBER(SEARCH(""Practice"", $C$1:$AJ$1))))*0.1
+
(SUM( FILTER(C62:X62, ISNUMBER(SEARCH(""After RETAKE"", $C$1:$X$1)) ) ) +
SUM( FILTER(X62:AJ62, ISNUMBER("&amp;"SEARCH(""Before RETAKE"", $X$1:$AJ$1)) ) )
)  / 
  SUM( FILTER(C$77:AJ$77, ISNUMBER(SEARCH(""BEFORE RETAKE"", $C$1:$AJ$1))))*0.6 
+
0.3"),0.654696969696969)</f>
        <v>0.654696969696969</v>
      </c>
      <c r="AI62" s="46" t="s">
        <v>462</v>
      </c>
      <c r="AJ62" s="49">
        <v>30</v>
      </c>
      <c r="AK62" s="45">
        <f ca="1">IFERROR(__xludf.DUMMYFUNCTION("SUM( FILTER(C62:AK62, ISNUMBER(SEARCH(""Practice"", $C$1:$AK$1)) ) )  / 
  SUM( FILTER(C$77:AK$77, ISNUMBER(SEARCH(""Practice"", $C$1:$AK$1))))*0.1
+
(SUM( FILTER(C62:P62, ISNUMBER(SEARCH(""After RETAKE"", $C$1:$P$1)) ) ) +
SUM( FILTER(P62:AK62, ISNUMBER("&amp;"SEARCH(""After RETAKE"", $P$1:$AK$1)) ) )
)  / 
  SUM( FILTER(C$77:AK$77, ISNUMBER(SEARCH(""BEFORE RETAKE"", $C$1:$AK$1))))*0.6 
+
0.3"),0.654696969696969)</f>
        <v>0.654696969696969</v>
      </c>
      <c r="AL62" s="45">
        <v>0.62</v>
      </c>
      <c r="AM62" s="21">
        <f t="shared" si="0"/>
        <v>6</v>
      </c>
      <c r="AN62" s="21">
        <f t="shared" si="1"/>
        <v>2</v>
      </c>
      <c r="AO62" s="21">
        <f t="shared" si="2"/>
        <v>6</v>
      </c>
      <c r="AP62" s="23">
        <f t="shared" si="3"/>
        <v>51.666666666666664</v>
      </c>
      <c r="AQ62" s="23">
        <f t="shared" si="4"/>
        <v>51.666666666666664</v>
      </c>
      <c r="AR62" s="47">
        <f ca="1">IFERROR(__xludf.DUMMYFUNCTION("SUM( FILTER(C62:AK62, ISNUMBER(SEARCH(""Practice"", $C$1:$AK$1)) ) )  / 
  SUM( FILTER(C$77:AK$77, ISNUMBER(SEARCH(""Practice"", $C$1:$AK$1))))*0.1
+
(SUM( FILTER(C62:P62, ISNUMBER(SEARCH(""before RETAKE"", $C$1:$P$1)) ) ) +
SUM( FILTER(P62:AK62, ISNUMBER"&amp;"(SEARCH(""before RETAKE"", $P$1:$AK$1)) ) )
)  / 
  SUM( FILTER(C$77:AK$77, ISNUMBER(SEARCH(""BEFORE RETAKE"", $C$1:$AK$1))))*0.6 
+
0.3*AL62"),0.540696969696969)</f>
        <v>0.54069696969696901</v>
      </c>
      <c r="AS62" s="47">
        <f ca="1">IFERROR(__xludf.DUMMYFUNCTION("SUM( FILTER(C62:AK62, ISNUMBER(SEARCH(""Practice"", $C$1:$AK$1)) ) )  / 
  SUM( FILTER(C$77:AK$77, ISNUMBER(SEARCH(""Practice"", $C$1:$AK$1))))*0.1
+
(SUM( FILTER(C62:P62, ISNUMBER(SEARCH(""after RETAKE"", $C$1:$P$1)) ) ) +
SUM( FILTER(P62:AK62, ISNUMBER("&amp;"SEARCH(""after RETAKE"", $P$1:$AK$1)) ) )
)  / 
  SUM( FILTER(C$77:AK$77, ISNUMBER(SEARCH(""BEFORE RETAKE"", $C$1:$AK$1))))*0.6 
+
0.3*AL62"),0.540696969696969)</f>
        <v>0.54069696969696901</v>
      </c>
      <c r="AT62" s="47">
        <v>0.60569696969999998</v>
      </c>
      <c r="AU62" s="48">
        <f t="shared" si="5"/>
        <v>0.44696969696969696</v>
      </c>
      <c r="AV62" s="21">
        <v>14</v>
      </c>
      <c r="AW62" s="23">
        <f t="shared" si="6"/>
        <v>27.166666666666668</v>
      </c>
    </row>
    <row r="63" spans="1:49" ht="12.75" x14ac:dyDescent="0.2">
      <c r="A63" s="22" t="s">
        <v>264</v>
      </c>
      <c r="B63" s="22" t="s">
        <v>461</v>
      </c>
      <c r="C63" s="49">
        <v>10</v>
      </c>
      <c r="D63" s="49">
        <v>1</v>
      </c>
      <c r="E63" s="49">
        <v>1</v>
      </c>
      <c r="F63" s="49">
        <v>1</v>
      </c>
      <c r="G63" s="49">
        <v>0</v>
      </c>
      <c r="H63" s="49">
        <v>0</v>
      </c>
      <c r="I63" s="49">
        <v>0</v>
      </c>
      <c r="J63" s="49">
        <v>5</v>
      </c>
      <c r="K63" s="49">
        <v>50</v>
      </c>
      <c r="L63" s="49">
        <v>88</v>
      </c>
      <c r="M63" s="45">
        <f ca="1">IFERROR(__xludf.DUMMYFUNCTION("SUM( FILTER(C63:P63, ISNUMBER(SEARCH(""Practice"", $C$1:$P$1)) ) )  / 
  SUM( FILTER(C$77:P$77, ISNUMBER(SEARCH(""Practice"", $C$1:$P$1))))*0.1
+
SUM( FILTER(C63:P63, ISNUMBER(SEARCH(""BEFORE RETAKE"", $C$1:$P$1)) ) ) 
  / 
  SUM( FILTER(C$77:P$77, ISNUMB"&amp;"ER(SEARCH(""BEFORE RETAKE"", $C$1:$P$1))))*0.6 
+
0.3"),0.923081967213114)</f>
        <v>0.92308196721311397</v>
      </c>
      <c r="N63" s="46" t="s">
        <v>462</v>
      </c>
      <c r="O63" s="49">
        <v>88</v>
      </c>
      <c r="P63" s="45">
        <f ca="1">IFERROR(__xludf.DUMMYFUNCTION("SUM( FILTER(C63:P63, ISNUMBER(SEARCH(""Practice"", $C$1:$P$1)) ) )  / 
  SUM( FILTER(C$77:P$77, ISNUMBER(SEARCH(""Practice"", $C$1:$P$1))))*0.1
+
SUM( FILTER(C63:P63, ISNUMBER(SEARCH(""After RETAKE"", $C$1:$P$1)) ) ) 
  / 
  SUM( FILTER(C$77:P$77, ISNUMBE"&amp;"R(SEARCH(""BEFORE RETAKE"", $C$1:$P$1))))*0.6 
+
0.3"),0.923081967213114)</f>
        <v>0.92308196721311397</v>
      </c>
      <c r="Q63" s="49">
        <v>0</v>
      </c>
      <c r="R63" s="49">
        <v>0</v>
      </c>
      <c r="S63" s="49">
        <v>5</v>
      </c>
      <c r="T63" s="49">
        <v>50</v>
      </c>
      <c r="U63" s="49">
        <v>92</v>
      </c>
      <c r="V63" s="45">
        <f ca="1">IFERROR(__xludf.DUMMYFUNCTION("SUM( FILTER(C63:X63, ISNUMBER(SEARCH(""Practice"", $C$1:$X$1)) ) )  / 
  SUM( FILTER(C$77:X$77, ISNUMBER(SEARCH(""Practice"", $C$1:$X$1))))*0.1
+
(SUM( FILTER(C63:P63, ISNUMBER(SEARCH(""After RETAKE"", $C$1:$P$1)) ) ) +
SUM( FILTER(P63:X63, ISNUMBER(SEARC"&amp;"H(""Before RETAKE"", $P$1:$X$1)) ) )
)  / 
  SUM( FILTER(C$77:X$77, ISNUMBER(SEARCH(""BEFORE RETAKE"", $C$1:$X$1))))*0.6 
+
0.3"),0.935762711864406)</f>
        <v>0.93576271186440596</v>
      </c>
      <c r="W63" s="46" t="s">
        <v>462</v>
      </c>
      <c r="X63" s="49">
        <v>92</v>
      </c>
      <c r="Y63" s="45">
        <f ca="1">IFERROR(__xludf.DUMMYFUNCTION("SUM( FILTER(C63:X63, ISNUMBER(SEARCH(""Practice"", $C$1:$X$1)) ) )  / 
  SUM( FILTER(C$77:X$77, ISNUMBER(SEARCH(""Practice"", $C$1:$X$1))))*0.1
+
(SUM( FILTER(C63:P63, ISNUMBER(SEARCH(""After RETAKE"", $C$1:$P$1)) ) ) +
SUM( FILTER(Q63:X63, ISNUMBER(SEARC"&amp;"H(""After RETAKE"", $Q$1:$X$1)) ) )
)  / 
  SUM( FILTER(C$77:X$77, ISNUMBER(SEARCH(""BEFORE RETAKE"", $C$1:$X$1))))*0.6 
+
0.3"),0.935762711864406)</f>
        <v>0.93576271186440596</v>
      </c>
      <c r="Z63" s="49">
        <v>5</v>
      </c>
      <c r="AA63" s="49">
        <v>5</v>
      </c>
      <c r="AB63" s="49">
        <v>5</v>
      </c>
      <c r="AC63" s="49">
        <v>5</v>
      </c>
      <c r="AD63" s="49">
        <v>5</v>
      </c>
      <c r="AE63" s="49">
        <v>0</v>
      </c>
      <c r="AF63" s="49">
        <v>50</v>
      </c>
      <c r="AG63" s="49">
        <v>82</v>
      </c>
      <c r="AH63" s="45">
        <f ca="1">IFERROR(__xludf.DUMMYFUNCTION("SUM( FILTER(C63:AJ63, ISNUMBER(SEARCH(""Practice"", $C$1:$AJ$1)) ) )  / 
  SUM( FILTER(C$77:AJ$77, ISNUMBER(SEARCH(""Practice"", $C$1:$AJ$1))))*0.1
+
(SUM( FILTER(C63:X63, ISNUMBER(SEARCH(""After RETAKE"", $C$1:$X$1)) ) ) +
SUM( FILTER(X63:AJ63, ISNUMBER("&amp;"SEARCH(""Before RETAKE"", $X$1:$AJ$1)) ) )
)  / 
  SUM( FILTER(C$77:AJ$77, ISNUMBER(SEARCH(""BEFORE RETAKE"", $C$1:$AJ$1))))*0.6 
+
0.3"),0.918949494949495)</f>
        <v>0.91894949494949496</v>
      </c>
      <c r="AI63" s="49">
        <v>82</v>
      </c>
      <c r="AJ63" s="49">
        <v>82</v>
      </c>
      <c r="AK63" s="45">
        <f ca="1">IFERROR(__xludf.DUMMYFUNCTION("SUM( FILTER(C63:AK63, ISNUMBER(SEARCH(""Practice"", $C$1:$AK$1)) ) )  / 
  SUM( FILTER(C$77:AK$77, ISNUMBER(SEARCH(""Practice"", $C$1:$AK$1))))*0.1
+
(SUM( FILTER(C63:P63, ISNUMBER(SEARCH(""After RETAKE"", $C$1:$P$1)) ) ) +
SUM( FILTER(P63:AK63, ISNUMBER("&amp;"SEARCH(""After RETAKE"", $P$1:$AK$1)) ) )
)  / 
  SUM( FILTER(C$77:AK$77, ISNUMBER(SEARCH(""BEFORE RETAKE"", $C$1:$AK$1))))*0.6 
+
0.3"),0.918949494949495)</f>
        <v>0.91894949494949496</v>
      </c>
      <c r="AL63" s="45">
        <v>0.92</v>
      </c>
      <c r="AM63" s="21">
        <f t="shared" si="0"/>
        <v>3</v>
      </c>
      <c r="AN63" s="21">
        <f t="shared" si="1"/>
        <v>2</v>
      </c>
      <c r="AO63" s="21">
        <f t="shared" si="2"/>
        <v>1</v>
      </c>
      <c r="AP63" s="23">
        <f t="shared" si="3"/>
        <v>87.333333333333329</v>
      </c>
      <c r="AQ63" s="23">
        <f t="shared" si="4"/>
        <v>87.333333333333329</v>
      </c>
      <c r="AR63" s="47">
        <f ca="1">IFERROR(__xludf.DUMMYFUNCTION("SUM( FILTER(C63:AK63, ISNUMBER(SEARCH(""Practice"", $C$1:$AK$1)) ) )  / 
  SUM( FILTER(C$77:AK$77, ISNUMBER(SEARCH(""Practice"", $C$1:$AK$1))))*0.1
+
(SUM( FILTER(C63:P63, ISNUMBER(SEARCH(""before RETAKE"", $C$1:$P$1)) ) ) +
SUM( FILTER(P63:AK63, ISNUMBER"&amp;"(SEARCH(""before RETAKE"", $P$1:$AK$1)) ) )
)  / 
  SUM( FILTER(C$77:AK$77, ISNUMBER(SEARCH(""BEFORE RETAKE"", $C$1:$AK$1))))*0.6 
+
0.3*AL63"),0.894949494949494)</f>
        <v>0.89494949494949405</v>
      </c>
      <c r="AS63" s="47">
        <f ca="1">IFERROR(__xludf.DUMMYFUNCTION("SUM( FILTER(C63:AK63, ISNUMBER(SEARCH(""Practice"", $C$1:$AK$1)) ) )  / 
  SUM( FILTER(C$77:AK$77, ISNUMBER(SEARCH(""Practice"", $C$1:$AK$1))))*0.1
+
(SUM( FILTER(C63:P63, ISNUMBER(SEARCH(""after RETAKE"", $C$1:$P$1)) ) ) +
SUM( FILTER(P63:AK63, ISNUMBER("&amp;"SEARCH(""after RETAKE"", $P$1:$AK$1)) ) )
)  / 
  SUM( FILTER(C$77:AK$77, ISNUMBER(SEARCH(""BEFORE RETAKE"", $C$1:$AK$1))))*0.6 
+
0.3*AL63"),0.894949494949494)</f>
        <v>0.89494949494949405</v>
      </c>
      <c r="AT63" s="47">
        <v>0.91094949489999999</v>
      </c>
      <c r="AU63" s="48">
        <f t="shared" si="5"/>
        <v>0.9494949494949495</v>
      </c>
      <c r="AV63" s="21">
        <v>6</v>
      </c>
      <c r="AW63" s="23">
        <f t="shared" si="6"/>
        <v>50</v>
      </c>
    </row>
    <row r="64" spans="1:49" ht="12.75" x14ac:dyDescent="0.2">
      <c r="A64" s="22" t="s">
        <v>266</v>
      </c>
      <c r="B64" s="22" t="s">
        <v>464</v>
      </c>
      <c r="C64" s="49">
        <v>10</v>
      </c>
      <c r="D64" s="49">
        <v>1</v>
      </c>
      <c r="E64" s="49">
        <v>1</v>
      </c>
      <c r="F64" s="49">
        <v>1</v>
      </c>
      <c r="G64" s="49">
        <v>1</v>
      </c>
      <c r="H64" s="49">
        <v>1</v>
      </c>
      <c r="I64" s="49">
        <v>1</v>
      </c>
      <c r="J64" s="49">
        <v>5</v>
      </c>
      <c r="K64" s="49">
        <v>48</v>
      </c>
      <c r="L64" s="49">
        <v>100</v>
      </c>
      <c r="M64" s="45">
        <f ca="1">IFERROR(__xludf.DUMMYFUNCTION("SUM( FILTER(C64:P64, ISNUMBER(SEARCH(""Practice"", $C$1:$P$1)) ) )  / 
  SUM( FILTER(C$77:P$77, ISNUMBER(SEARCH(""Practice"", $C$1:$P$1))))*0.1
+
SUM( FILTER(C64:P64, ISNUMBER(SEARCH(""BEFORE RETAKE"", $C$1:$P$1)) ) ) 
  / 
  SUM( FILTER(C$77:P$77, ISNUMB"&amp;"ER(SEARCH(""BEFORE RETAKE"", $C$1:$P$1))))*0.6 
+
0.3"),0.996721311475409)</f>
        <v>0.99672131147540899</v>
      </c>
      <c r="N64" s="46" t="s">
        <v>462</v>
      </c>
      <c r="O64" s="49">
        <v>100</v>
      </c>
      <c r="P64" s="45">
        <f ca="1">IFERROR(__xludf.DUMMYFUNCTION("SUM( FILTER(C64:P64, ISNUMBER(SEARCH(""Practice"", $C$1:$P$1)) ) )  / 
  SUM( FILTER(C$77:P$77, ISNUMBER(SEARCH(""Practice"", $C$1:$P$1))))*0.1
+
SUM( FILTER(C64:P64, ISNUMBER(SEARCH(""After RETAKE"", $C$1:$P$1)) ) ) 
  / 
  SUM( FILTER(C$77:P$77, ISNUMBE"&amp;"R(SEARCH(""BEFORE RETAKE"", $C$1:$P$1))))*0.6 
+
0.3"),0.996721311475409)</f>
        <v>0.99672131147540899</v>
      </c>
      <c r="Q64" s="49">
        <v>1</v>
      </c>
      <c r="R64" s="49">
        <v>1</v>
      </c>
      <c r="S64" s="49">
        <v>5</v>
      </c>
      <c r="T64" s="49">
        <v>44</v>
      </c>
      <c r="U64" s="49">
        <v>95</v>
      </c>
      <c r="V64" s="45">
        <f ca="1">IFERROR(__xludf.DUMMYFUNCTION("SUM( FILTER(C64:X64, ISNUMBER(SEARCH(""Practice"", $C$1:$X$1)) ) )  / 
  SUM( FILTER(C$77:X$77, ISNUMBER(SEARCH(""Practice"", $C$1:$X$1))))*0.1
+
(SUM( FILTER(C64:P64, ISNUMBER(SEARCH(""After RETAKE"", $C$1:$P$1)) ) ) +
SUM( FILTER(P64:X64, ISNUMBER(SEARC"&amp;"H(""Before RETAKE"", $P$1:$X$1)) ) )
)  / 
  SUM( FILTER(C$77:X$77, ISNUMBER(SEARCH(""BEFORE RETAKE"", $C$1:$X$1))))*0.6 
+
0.3"),0.97822033898305)</f>
        <v>0.97822033898305005</v>
      </c>
      <c r="W64" s="46" t="s">
        <v>462</v>
      </c>
      <c r="X64" s="49">
        <v>95</v>
      </c>
      <c r="Y64" s="45">
        <f ca="1">IFERROR(__xludf.DUMMYFUNCTION("SUM( FILTER(C64:X64, ISNUMBER(SEARCH(""Practice"", $C$1:$X$1)) ) )  / 
  SUM( FILTER(C$77:X$77, ISNUMBER(SEARCH(""Practice"", $C$1:$X$1))))*0.1
+
(SUM( FILTER(C64:P64, ISNUMBER(SEARCH(""After RETAKE"", $C$1:$P$1)) ) ) +
SUM( FILTER(Q64:X64, ISNUMBER(SEARC"&amp;"H(""After RETAKE"", $Q$1:$X$1)) ) )
)  / 
  SUM( FILTER(C$77:X$77, ISNUMBER(SEARCH(""BEFORE RETAKE"", $C$1:$X$1))))*0.6 
+
0.3"),0.97822033898305)</f>
        <v>0.97822033898305005</v>
      </c>
      <c r="Z64" s="49">
        <v>5</v>
      </c>
      <c r="AA64" s="49">
        <v>5</v>
      </c>
      <c r="AB64" s="49">
        <v>5</v>
      </c>
      <c r="AC64" s="49">
        <v>0</v>
      </c>
      <c r="AD64" s="49">
        <v>5</v>
      </c>
      <c r="AE64" s="49">
        <v>0</v>
      </c>
      <c r="AF64" s="49">
        <v>50</v>
      </c>
      <c r="AG64" s="49">
        <v>100</v>
      </c>
      <c r="AH64" s="45">
        <f ca="1">IFERROR(__xludf.DUMMYFUNCTION("SUM( FILTER(C64:AJ64, ISNUMBER(SEARCH(""Practice"", $C$1:$AJ$1)) ) )  / 
  SUM( FILTER(C$77:AJ$77, ISNUMBER(SEARCH(""Practice"", $C$1:$AJ$1))))*0.1
+
(SUM( FILTER(C64:X64, ISNUMBER(SEARCH(""After RETAKE"", $C$1:$X$1)) ) ) +
SUM( FILTER(X64:AJ64, ISNUMBER("&amp;"SEARCH(""Before RETAKE"", $X$1:$AJ$1)) ) )
)  / 
  SUM( FILTER(C$77:AJ$77, ISNUMBER(SEARCH(""BEFORE RETAKE"", $C$1:$AJ$1))))*0.6 
+
0.3"),0.980909090909091)</f>
        <v>0.98090909090909095</v>
      </c>
      <c r="AI64" s="46" t="s">
        <v>462</v>
      </c>
      <c r="AJ64" s="49">
        <v>100</v>
      </c>
      <c r="AK64" s="45">
        <f ca="1">IFERROR(__xludf.DUMMYFUNCTION("SUM( FILTER(C64:AK64, ISNUMBER(SEARCH(""Practice"", $C$1:$AK$1)) ) )  / 
  SUM( FILTER(C$77:AK$77, ISNUMBER(SEARCH(""Practice"", $C$1:$AK$1))))*0.1
+
(SUM( FILTER(C64:P64, ISNUMBER(SEARCH(""After RETAKE"", $C$1:$P$1)) ) ) +
SUM( FILTER(P64:AK64, ISNUMBER("&amp;"SEARCH(""After RETAKE"", $P$1:$AK$1)) ) )
)  / 
  SUM( FILTER(C$77:AK$77, ISNUMBER(SEARCH(""BEFORE RETAKE"", $C$1:$AK$1))))*0.6 
+
0.3"),0.980909090909091)</f>
        <v>0.98090909090909095</v>
      </c>
      <c r="AL64" s="45">
        <v>0.92</v>
      </c>
      <c r="AM64" s="21">
        <f t="shared" si="0"/>
        <v>0</v>
      </c>
      <c r="AN64" s="21">
        <f t="shared" si="1"/>
        <v>0</v>
      </c>
      <c r="AO64" s="21">
        <f t="shared" si="2"/>
        <v>2</v>
      </c>
      <c r="AP64" s="23">
        <f t="shared" si="3"/>
        <v>98.333333333333329</v>
      </c>
      <c r="AQ64" s="23">
        <f t="shared" si="4"/>
        <v>98.333333333333329</v>
      </c>
      <c r="AR64" s="47">
        <f ca="1">IFERROR(__xludf.DUMMYFUNCTION("SUM( FILTER(C64:AK64, ISNUMBER(SEARCH(""Practice"", $C$1:$AK$1)) ) )  / 
  SUM( FILTER(C$77:AK$77, ISNUMBER(SEARCH(""Practice"", $C$1:$AK$1))))*0.1
+
(SUM( FILTER(C64:P64, ISNUMBER(SEARCH(""before RETAKE"", $C$1:$P$1)) ) ) +
SUM( FILTER(P64:AK64, ISNUMBER"&amp;"(SEARCH(""before RETAKE"", $P$1:$AK$1)) ) )
)  / 
  SUM( FILTER(C$77:AK$77, ISNUMBER(SEARCH(""BEFORE RETAKE"", $C$1:$AK$1))))*0.6 
+
0.3*AL64"),0.95690909090909)</f>
        <v>0.95690909090909004</v>
      </c>
      <c r="AS64" s="47">
        <f ca="1">IFERROR(__xludf.DUMMYFUNCTION("SUM( FILTER(C64:AK64, ISNUMBER(SEARCH(""Practice"", $C$1:$AK$1)) ) )  / 
  SUM( FILTER(C$77:AK$77, ISNUMBER(SEARCH(""Practice"", $C$1:$AK$1))))*0.1
+
(SUM( FILTER(C64:P64, ISNUMBER(SEARCH(""after RETAKE"", $C$1:$P$1)) ) ) +
SUM( FILTER(P64:AK64, ISNUMBER("&amp;"SEARCH(""after RETAKE"", $P$1:$AK$1)) ) )
)  / 
  SUM( FILTER(C$77:AK$77, ISNUMBER(SEARCH(""BEFORE RETAKE"", $C$1:$AK$1))))*0.6 
+
0.3*AL64"),0.95690909090909)</f>
        <v>0.95690909090909004</v>
      </c>
      <c r="AT64" s="47">
        <v>0.96690909089999999</v>
      </c>
      <c r="AU64" s="48">
        <f t="shared" si="5"/>
        <v>0.90909090909090906</v>
      </c>
      <c r="AV64" s="21">
        <v>2</v>
      </c>
      <c r="AW64" s="23">
        <f t="shared" si="6"/>
        <v>47.333333333333336</v>
      </c>
    </row>
    <row r="65" spans="1:49" ht="12.75" x14ac:dyDescent="0.2">
      <c r="A65" s="22" t="s">
        <v>269</v>
      </c>
      <c r="B65" s="22" t="s">
        <v>464</v>
      </c>
      <c r="C65" s="49">
        <v>11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5</v>
      </c>
      <c r="K65" s="49">
        <v>48</v>
      </c>
      <c r="L65" s="49">
        <v>62</v>
      </c>
      <c r="M65" s="45">
        <f ca="1">IFERROR(__xludf.DUMMYFUNCTION("SUM( FILTER(C65:P65, ISNUMBER(SEARCH(""Practice"", $C$1:$P$1)) ) )  / 
  SUM( FILTER(C$77:P$77, ISNUMBER(SEARCH(""Practice"", $C$1:$P$1))))*0.1
+
SUM( FILTER(C65:P65, ISNUMBER(SEARCH(""BEFORE RETAKE"", $C$1:$P$1)) ) ) 
  / 
  SUM( FILTER(C$77:P$77, ISNUMB"&amp;"ER(SEARCH(""BEFORE RETAKE"", $C$1:$P$1))))*0.6 
+
0.3"),0.758885245901639)</f>
        <v>0.75888524590163897</v>
      </c>
      <c r="N65" s="46" t="s">
        <v>462</v>
      </c>
      <c r="O65" s="49">
        <v>62</v>
      </c>
      <c r="P65" s="45">
        <f ca="1">IFERROR(__xludf.DUMMYFUNCTION("SUM( FILTER(C65:P65, ISNUMBER(SEARCH(""Practice"", $C$1:$P$1)) ) )  / 
  SUM( FILTER(C$77:P$77, ISNUMBER(SEARCH(""Practice"", $C$1:$P$1))))*0.1
+
SUM( FILTER(C65:P65, ISNUMBER(SEARCH(""After RETAKE"", $C$1:$P$1)) ) ) 
  / 
  SUM( FILTER(C$77:P$77, ISNUMBE"&amp;"R(SEARCH(""BEFORE RETAKE"", $C$1:$P$1))))*0.6 
+
0.3"),0.758885245901639)</f>
        <v>0.75888524590163897</v>
      </c>
      <c r="Q65" s="49">
        <v>0</v>
      </c>
      <c r="R65" s="49">
        <v>0</v>
      </c>
      <c r="S65" s="49">
        <v>3</v>
      </c>
      <c r="T65" s="49">
        <v>48.5</v>
      </c>
      <c r="U65" s="49">
        <v>78</v>
      </c>
      <c r="V65" s="45">
        <f ca="1">IFERROR(__xludf.DUMMYFUNCTION("SUM( FILTER(C65:X65, ISNUMBER(SEARCH(""Practice"", $C$1:$X$1)) ) )  / 
  SUM( FILTER(C$77:X$77, ISNUMBER(SEARCH(""Practice"", $C$1:$X$1))))*0.1
+
(SUM( FILTER(C65:P65, ISNUMBER(SEARCH(""After RETAKE"", $C$1:$P$1)) ) ) +
SUM( FILTER(P65:X65, ISNUMBER(SEARC"&amp;"H(""Before RETAKE"", $P$1:$X$1)) ) )
)  / 
  SUM( FILTER(C$77:X$77, ISNUMBER(SEARCH(""BEFORE RETAKE"", $C$1:$X$1))))*0.6 
+
0.3"),0.808559322033898)</f>
        <v>0.80855932203389802</v>
      </c>
      <c r="W65" s="46" t="s">
        <v>462</v>
      </c>
      <c r="X65" s="49">
        <v>78</v>
      </c>
      <c r="Y65" s="45">
        <f ca="1">IFERROR(__xludf.DUMMYFUNCTION("SUM( FILTER(C65:X65, ISNUMBER(SEARCH(""Practice"", $C$1:$X$1)) ) )  / 
  SUM( FILTER(C$77:X$77, ISNUMBER(SEARCH(""Practice"", $C$1:$X$1))))*0.1
+
(SUM( FILTER(C65:P65, ISNUMBER(SEARCH(""After RETAKE"", $C$1:$P$1)) ) ) +
SUM( FILTER(Q65:X65, ISNUMBER(SEARC"&amp;"H(""After RETAKE"", $Q$1:$X$1)) ) )
)  / 
  SUM( FILTER(C$77:X$77, ISNUMBER(SEARCH(""BEFORE RETAKE"", $C$1:$X$1))))*0.6 
+
0.3"),0.808559322033898)</f>
        <v>0.80855932203389802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50</v>
      </c>
      <c r="AG65" s="49">
        <v>68</v>
      </c>
      <c r="AH65" s="45">
        <f ca="1">IFERROR(__xludf.DUMMYFUNCTION("SUM( FILTER(C65:AJ65, ISNUMBER(SEARCH(""Practice"", $C$1:$AJ$1)) ) )  / 
  SUM( FILTER(C$77:AJ$77, ISNUMBER(SEARCH(""Practice"", $C$1:$AJ$1))))*0.1
+
(SUM( FILTER(C65:X65, ISNUMBER(SEARCH(""After RETAKE"", $C$1:$X$1)) ) ) +
SUM( FILTER(X65:AJ65, ISNUMBER("&amp;"SEARCH(""Before RETAKE"", $X$1:$AJ$1)) ) )
)  / 
  SUM( FILTER(C$77:AJ$77, ISNUMBER(SEARCH(""BEFORE RETAKE"", $C$1:$AJ$1))))*0.6 
+
0.3"),0.794030303030303)</f>
        <v>0.79403030303030298</v>
      </c>
      <c r="AI65" s="49">
        <v>70</v>
      </c>
      <c r="AJ65" s="49">
        <v>70</v>
      </c>
      <c r="AK65" s="45">
        <f ca="1">IFERROR(__xludf.DUMMYFUNCTION("SUM( FILTER(C65:AK65, ISNUMBER(SEARCH(""Practice"", $C$1:$AK$1)) ) )  / 
  SUM( FILTER(C$77:AK$77, ISNUMBER(SEARCH(""Practice"", $C$1:$AK$1))))*0.1
+
(SUM( FILTER(C65:P65, ISNUMBER(SEARCH(""After RETAKE"", $C$1:$P$1)) ) ) +
SUM( FILTER(P65:AK65, ISNUMBER("&amp;"SEARCH(""After RETAKE"", $P$1:$AK$1)) ) )
)  / 
  SUM( FILTER(C$77:AK$77, ISNUMBER(SEARCH(""BEFORE RETAKE"", $C$1:$AK$1))))*0.6 
+
0.3"),0.798030303030303)</f>
        <v>0.79803030303030298</v>
      </c>
      <c r="AL65" s="45">
        <v>0.78</v>
      </c>
      <c r="AM65" s="21">
        <f t="shared" si="0"/>
        <v>6</v>
      </c>
      <c r="AN65" s="21">
        <f t="shared" si="1"/>
        <v>2</v>
      </c>
      <c r="AO65" s="21">
        <f t="shared" si="2"/>
        <v>6</v>
      </c>
      <c r="AP65" s="23">
        <f t="shared" si="3"/>
        <v>69.333333333333329</v>
      </c>
      <c r="AQ65" s="23">
        <f t="shared" si="4"/>
        <v>70</v>
      </c>
      <c r="AR65" s="47">
        <f ca="1">IFERROR(__xludf.DUMMYFUNCTION("SUM( FILTER(C65:AK65, ISNUMBER(SEARCH(""Practice"", $C$1:$AK$1)) ) )  / 
  SUM( FILTER(C$77:AK$77, ISNUMBER(SEARCH(""Practice"", $C$1:$AK$1))))*0.1
+
(SUM( FILTER(C65:P65, ISNUMBER(SEARCH(""before RETAKE"", $C$1:$P$1)) ) ) +
SUM( FILTER(P65:AK65, ISNUMBER"&amp;"(SEARCH(""before RETAKE"", $P$1:$AK$1)) ) )
)  / 
  SUM( FILTER(C$77:AK$77, ISNUMBER(SEARCH(""BEFORE RETAKE"", $C$1:$AK$1))))*0.6 
+
0.3*AL65"),0.728030303030303)</f>
        <v>0.72803030303030303</v>
      </c>
      <c r="AS65" s="47">
        <f ca="1">IFERROR(__xludf.DUMMYFUNCTION("SUM( FILTER(C65:AK65, ISNUMBER(SEARCH(""Practice"", $C$1:$AK$1)) ) )  / 
  SUM( FILTER(C$77:AK$77, ISNUMBER(SEARCH(""Practice"", $C$1:$AK$1))))*0.1
+
(SUM( FILTER(C65:P65, ISNUMBER(SEARCH(""after RETAKE"", $C$1:$P$1)) ) ) +
SUM( FILTER(P65:AK65, ISNUMBER("&amp;"SEARCH(""after RETAKE"", $P$1:$AK$1)) ) )
)  / 
  SUM( FILTER(C$77:AK$77, ISNUMBER(SEARCH(""BEFORE RETAKE"", $C$1:$AK$1))))*0.6 
+
0.3*AL65"),0.732030303030303)</f>
        <v>0.73203030303030303</v>
      </c>
      <c r="AT65" s="47">
        <v>0.75603030299999996</v>
      </c>
      <c r="AU65" s="48">
        <f t="shared" si="5"/>
        <v>0.78030303030303028</v>
      </c>
      <c r="AV65" s="21">
        <v>14</v>
      </c>
      <c r="AW65" s="23">
        <f t="shared" si="6"/>
        <v>48.833333333333336</v>
      </c>
    </row>
    <row r="66" spans="1:49" ht="12.75" x14ac:dyDescent="0.2">
      <c r="A66" s="22" t="s">
        <v>271</v>
      </c>
      <c r="B66" s="22" t="s">
        <v>461</v>
      </c>
      <c r="C66" s="49">
        <v>10</v>
      </c>
      <c r="D66" s="49">
        <v>1</v>
      </c>
      <c r="E66" s="49">
        <v>1</v>
      </c>
      <c r="F66" s="49">
        <v>1</v>
      </c>
      <c r="G66" s="49">
        <v>1</v>
      </c>
      <c r="H66" s="49">
        <v>1</v>
      </c>
      <c r="I66" s="49">
        <v>1</v>
      </c>
      <c r="J66" s="49">
        <v>5</v>
      </c>
      <c r="K66" s="49">
        <v>48</v>
      </c>
      <c r="L66" s="49">
        <v>92</v>
      </c>
      <c r="M66" s="45">
        <f ca="1">IFERROR(__xludf.DUMMYFUNCTION("SUM( FILTER(C66:P66, ISNUMBER(SEARCH(""Practice"", $C$1:$P$1)) ) )  / 
  SUM( FILTER(C$77:P$77, ISNUMBER(SEARCH(""Practice"", $C$1:$P$1))))*0.1
+
SUM( FILTER(C66:P66, ISNUMBER(SEARCH(""BEFORE RETAKE"", $C$1:$P$1)) ) ) 
  / 
  SUM( FILTER(C$77:P$77, ISNUMB"&amp;"ER(SEARCH(""BEFORE RETAKE"", $C$1:$P$1))))*0.6 
+
0.3"),0.948721311475409)</f>
        <v>0.94872131147540895</v>
      </c>
      <c r="N66" s="46" t="s">
        <v>462</v>
      </c>
      <c r="O66" s="49">
        <v>92</v>
      </c>
      <c r="P66" s="45">
        <f ca="1">IFERROR(__xludf.DUMMYFUNCTION("SUM( FILTER(C66:P66, ISNUMBER(SEARCH(""Practice"", $C$1:$P$1)) ) )  / 
  SUM( FILTER(C$77:P$77, ISNUMBER(SEARCH(""Practice"", $C$1:$P$1))))*0.1
+
SUM( FILTER(C66:P66, ISNUMBER(SEARCH(""After RETAKE"", $C$1:$P$1)) ) ) 
  / 
  SUM( FILTER(C$77:P$77, ISNUMBE"&amp;"R(SEARCH(""BEFORE RETAKE"", $C$1:$P$1))))*0.6 
+
0.3"),0.948721311475409)</f>
        <v>0.94872131147540895</v>
      </c>
      <c r="Q66" s="49">
        <v>1</v>
      </c>
      <c r="R66" s="49">
        <v>1</v>
      </c>
      <c r="S66" s="49">
        <v>5</v>
      </c>
      <c r="T66" s="49">
        <v>48.5</v>
      </c>
      <c r="U66" s="49">
        <v>88</v>
      </c>
      <c r="V66" s="45">
        <f ca="1">IFERROR(__xludf.DUMMYFUNCTION("SUM( FILTER(C66:X66, ISNUMBER(SEARCH(""Practice"", $C$1:$X$1)) ) )  / 
  SUM( FILTER(C$77:X$77, ISNUMBER(SEARCH(""Practice"", $C$1:$X$1))))*0.1
+
(SUM( FILTER(C66:P66, ISNUMBER(SEARCH(""After RETAKE"", $C$1:$P$1)) ) ) +
SUM( FILTER(P66:X66, ISNUMBER(SEARC"&amp;"H(""Before RETAKE"", $P$1:$X$1)) ) )
)  / 
  SUM( FILTER(C$77:X$77, ISNUMBER(SEARCH(""BEFORE RETAKE"", $C$1:$X$1))))*0.6 
+
0.3"),0.937033898305084)</f>
        <v>0.93703389830508399</v>
      </c>
      <c r="W66" s="46" t="s">
        <v>462</v>
      </c>
      <c r="X66" s="49">
        <v>88</v>
      </c>
      <c r="Y66" s="45">
        <f ca="1">IFERROR(__xludf.DUMMYFUNCTION("SUM( FILTER(C66:X66, ISNUMBER(SEARCH(""Practice"", $C$1:$X$1)) ) )  / 
  SUM( FILTER(C$77:X$77, ISNUMBER(SEARCH(""Practice"", $C$1:$X$1))))*0.1
+
(SUM( FILTER(C66:P66, ISNUMBER(SEARCH(""After RETAKE"", $C$1:$P$1)) ) ) +
SUM( FILTER(Q66:X66, ISNUMBER(SEARC"&amp;"H(""After RETAKE"", $Q$1:$X$1)) ) )
)  / 
  SUM( FILTER(C$77:X$77, ISNUMBER(SEARCH(""BEFORE RETAKE"", $C$1:$X$1))))*0.6 
+
0.3"),0.937033898305084)</f>
        <v>0.93703389830508399</v>
      </c>
      <c r="Z66" s="49">
        <v>5</v>
      </c>
      <c r="AA66" s="49">
        <v>5</v>
      </c>
      <c r="AB66" s="49">
        <v>5</v>
      </c>
      <c r="AC66" s="49">
        <v>5</v>
      </c>
      <c r="AD66" s="49">
        <v>5</v>
      </c>
      <c r="AE66" s="49">
        <v>5</v>
      </c>
      <c r="AF66" s="49">
        <v>47</v>
      </c>
      <c r="AG66" s="49">
        <v>85</v>
      </c>
      <c r="AH66" s="45">
        <f ca="1">IFERROR(__xludf.DUMMYFUNCTION("SUM( FILTER(C66:AJ66, ISNUMBER(SEARCH(""Practice"", $C$1:$AJ$1)) ) )  / 
  SUM( FILTER(C$77:AJ$77, ISNUMBER(SEARCH(""Practice"", $C$1:$AJ$1))))*0.1
+
(SUM( FILTER(C66:X66, ISNUMBER(SEARCH(""After RETAKE"", $C$1:$X$1)) ) ) +
SUM( FILTER(X66:AJ66, ISNUMBER("&amp;"SEARCH(""Before RETAKE"", $X$1:$AJ$1)) ) )
)  / 
  SUM( FILTER(C$77:AJ$77, ISNUMBER(SEARCH(""BEFORE RETAKE"", $C$1:$AJ$1))))*0.6 
+
0.3"),0.926717171717171)</f>
        <v>0.92671717171717105</v>
      </c>
      <c r="AI66" s="49">
        <v>95</v>
      </c>
      <c r="AJ66" s="49">
        <v>95</v>
      </c>
      <c r="AK66" s="45">
        <f ca="1">IFERROR(__xludf.DUMMYFUNCTION("SUM( FILTER(C66:AK66, ISNUMBER(SEARCH(""Practice"", $C$1:$AK$1)) ) )  / 
  SUM( FILTER(C$77:AK$77, ISNUMBER(SEARCH(""Practice"", $C$1:$AK$1))))*0.1
+
(SUM( FILTER(C66:P66, ISNUMBER(SEARCH(""After RETAKE"", $C$1:$P$1)) ) ) +
SUM( FILTER(P66:AK66, ISNUMBER("&amp;"SEARCH(""After RETAKE"", $P$1:$AK$1)) ) )
)  / 
  SUM( FILTER(C$77:AK$77, ISNUMBER(SEARCH(""BEFORE RETAKE"", $C$1:$AK$1))))*0.6 
+
0.3"),0.946717171717171)</f>
        <v>0.94671717171717096</v>
      </c>
      <c r="AL66" s="45">
        <v>0.85</v>
      </c>
      <c r="AM66" s="21">
        <f t="shared" si="0"/>
        <v>0</v>
      </c>
      <c r="AN66" s="21">
        <f t="shared" si="1"/>
        <v>0</v>
      </c>
      <c r="AO66" s="21">
        <f t="shared" si="2"/>
        <v>0</v>
      </c>
      <c r="AP66" s="23">
        <f t="shared" si="3"/>
        <v>88.333333333333329</v>
      </c>
      <c r="AQ66" s="23">
        <f t="shared" si="4"/>
        <v>91.666666666666671</v>
      </c>
      <c r="AR66" s="47">
        <f ca="1">IFERROR(__xludf.DUMMYFUNCTION("SUM( FILTER(C66:AK66, ISNUMBER(SEARCH(""Practice"", $C$1:$AK$1)) ) )  / 
  SUM( FILTER(C$77:AK$77, ISNUMBER(SEARCH(""Practice"", $C$1:$AK$1))))*0.1
+
(SUM( FILTER(C66:P66, ISNUMBER(SEARCH(""before RETAKE"", $C$1:$P$1)) ) ) +
SUM( FILTER(P66:AK66, ISNUMBER"&amp;"(SEARCH(""before RETAKE"", $P$1:$AK$1)) ) )
)  / 
  SUM( FILTER(C$77:AK$77, ISNUMBER(SEARCH(""BEFORE RETAKE"", $C$1:$AK$1))))*0.6 
+
0.3*AL66"),0.881717171717171)</f>
        <v>0.88171717171717101</v>
      </c>
      <c r="AS66" s="47">
        <f ca="1">IFERROR(__xludf.DUMMYFUNCTION("SUM( FILTER(C66:AK66, ISNUMBER(SEARCH(""Practice"", $C$1:$AK$1)) ) )  / 
  SUM( FILTER(C$77:AK$77, ISNUMBER(SEARCH(""Practice"", $C$1:$AK$1))))*0.1
+
(SUM( FILTER(C66:P66, ISNUMBER(SEARCH(""after RETAKE"", $C$1:$P$1)) ) ) +
SUM( FILTER(P66:AK66, ISNUMBER("&amp;"SEARCH(""after RETAKE"", $P$1:$AK$1)) ) )
)  / 
  SUM( FILTER(C$77:AK$77, ISNUMBER(SEARCH(""BEFORE RETAKE"", $C$1:$AK$1))))*0.6 
+
0.3*AL66"),0.901717171717171)</f>
        <v>0.90171717171717103</v>
      </c>
      <c r="AT66" s="47">
        <v>0.9127171717</v>
      </c>
      <c r="AU66" s="48">
        <f t="shared" si="5"/>
        <v>0.96717171717171713</v>
      </c>
      <c r="AV66" s="21">
        <v>0</v>
      </c>
      <c r="AW66" s="23">
        <f t="shared" si="6"/>
        <v>47.833333333333336</v>
      </c>
    </row>
    <row r="67" spans="1:49" ht="12.75" x14ac:dyDescent="0.2">
      <c r="A67" s="22" t="s">
        <v>273</v>
      </c>
      <c r="B67" s="22" t="s">
        <v>461</v>
      </c>
      <c r="C67" s="49">
        <v>10</v>
      </c>
      <c r="D67" s="49">
        <v>1</v>
      </c>
      <c r="E67" s="49">
        <v>1</v>
      </c>
      <c r="F67" s="49">
        <v>1</v>
      </c>
      <c r="G67" s="49">
        <v>1</v>
      </c>
      <c r="H67" s="49">
        <v>1</v>
      </c>
      <c r="I67" s="49">
        <v>1</v>
      </c>
      <c r="J67" s="49">
        <v>5</v>
      </c>
      <c r="K67" s="49">
        <v>48</v>
      </c>
      <c r="L67" s="49">
        <v>100</v>
      </c>
      <c r="M67" s="45">
        <f ca="1">IFERROR(__xludf.DUMMYFUNCTION("SUM( FILTER(C67:P67, ISNUMBER(SEARCH(""Practice"", $C$1:$P$1)) ) )  / 
  SUM( FILTER(C$77:P$77, ISNUMBER(SEARCH(""Practice"", $C$1:$P$1))))*0.1
+
SUM( FILTER(C67:P67, ISNUMBER(SEARCH(""BEFORE RETAKE"", $C$1:$P$1)) ) ) 
  / 
  SUM( FILTER(C$77:P$77, ISNUMB"&amp;"ER(SEARCH(""BEFORE RETAKE"", $C$1:$P$1))))*0.6 
+
0.3"),0.996721311475409)</f>
        <v>0.99672131147540899</v>
      </c>
      <c r="N67" s="46" t="s">
        <v>462</v>
      </c>
      <c r="O67" s="49">
        <v>100</v>
      </c>
      <c r="P67" s="45">
        <f ca="1">IFERROR(__xludf.DUMMYFUNCTION("SUM( FILTER(C67:P67, ISNUMBER(SEARCH(""Practice"", $C$1:$P$1)) ) )  / 
  SUM( FILTER(C$77:P$77, ISNUMBER(SEARCH(""Practice"", $C$1:$P$1))))*0.1
+
SUM( FILTER(C67:P67, ISNUMBER(SEARCH(""After RETAKE"", $C$1:$P$1)) ) ) 
  / 
  SUM( FILTER(C$77:P$77, ISNUMBE"&amp;"R(SEARCH(""BEFORE RETAKE"", $C$1:$P$1))))*0.6 
+
0.3"),0.996721311475409)</f>
        <v>0.99672131147540899</v>
      </c>
      <c r="Q67" s="49">
        <v>1</v>
      </c>
      <c r="R67" s="49">
        <v>1</v>
      </c>
      <c r="S67" s="49">
        <v>5</v>
      </c>
      <c r="T67" s="49">
        <v>50</v>
      </c>
      <c r="U67" s="49">
        <v>95</v>
      </c>
      <c r="V67" s="45">
        <f ca="1">IFERROR(__xludf.DUMMYFUNCTION("SUM( FILTER(C67:X67, ISNUMBER(SEARCH(""Practice"", $C$1:$X$1)) ) )  / 
  SUM( FILTER(C$77:X$77, ISNUMBER(SEARCH(""Practice"", $C$1:$X$1))))*0.1
+
(SUM( FILTER(C67:P67, ISNUMBER(SEARCH(""After RETAKE"", $C$1:$P$1)) ) ) +
SUM( FILTER(P67:X67, ISNUMBER(SEARC"&amp;"H(""Before RETAKE"", $P$1:$X$1)) ) )
)  / 
  SUM( FILTER(C$77:X$77, ISNUMBER(SEARCH(""BEFORE RETAKE"", $C$1:$X$1))))*0.6 
+
0.3"),0.983305084745762)</f>
        <v>0.98330508474576195</v>
      </c>
      <c r="W67" s="49">
        <v>90</v>
      </c>
      <c r="X67" s="49">
        <v>95</v>
      </c>
      <c r="Y67" s="45">
        <f ca="1">IFERROR(__xludf.DUMMYFUNCTION("SUM( FILTER(C67:X67, ISNUMBER(SEARCH(""Practice"", $C$1:$X$1)) ) )  / 
  SUM( FILTER(C$77:X$77, ISNUMBER(SEARCH(""Practice"", $C$1:$X$1))))*0.1
+
(SUM( FILTER(C67:P67, ISNUMBER(SEARCH(""After RETAKE"", $C$1:$P$1)) ) ) +
SUM( FILTER(Q67:X67, ISNUMBER(SEARC"&amp;"H(""After RETAKE"", $Q$1:$X$1)) ) )
)  / 
  SUM( FILTER(C$77:X$77, ISNUMBER(SEARCH(""BEFORE RETAKE"", $C$1:$X$1))))*0.6 
+
0.3"),0.983305084745762)</f>
        <v>0.98330508474576195</v>
      </c>
      <c r="Z67" s="49">
        <v>5</v>
      </c>
      <c r="AA67" s="49">
        <v>5</v>
      </c>
      <c r="AB67" s="49">
        <v>5</v>
      </c>
      <c r="AC67" s="49">
        <v>5</v>
      </c>
      <c r="AD67" s="49">
        <v>5</v>
      </c>
      <c r="AE67" s="49">
        <v>5</v>
      </c>
      <c r="AF67" s="49">
        <v>50</v>
      </c>
      <c r="AG67" s="49">
        <v>92</v>
      </c>
      <c r="AH67" s="45">
        <f ca="1">IFERROR(__xludf.DUMMYFUNCTION("SUM( FILTER(C67:AJ67, ISNUMBER(SEARCH(""Practice"", $C$1:$AJ$1)) ) )  / 
  SUM( FILTER(C$77:AJ$77, ISNUMBER(SEARCH(""Practice"", $C$1:$AJ$1))))*0.1
+
(SUM( FILTER(C67:X67, ISNUMBER(SEARCH(""After RETAKE"", $C$1:$X$1)) ) ) +
SUM( FILTER(X67:AJ67, ISNUMBER("&amp;"SEARCH(""Before RETAKE"", $X$1:$AJ$1)) ) )
)  / 
  SUM( FILTER(C$77:AJ$77, ISNUMBER(SEARCH(""BEFORE RETAKE"", $C$1:$AJ$1))))*0.6 
+
0.3"),0.972989898989898)</f>
        <v>0.97298989898989796</v>
      </c>
      <c r="AI67" s="49">
        <v>92</v>
      </c>
      <c r="AJ67" s="49">
        <v>92</v>
      </c>
      <c r="AK67" s="45">
        <f ca="1">IFERROR(__xludf.DUMMYFUNCTION("SUM( FILTER(C67:AK67, ISNUMBER(SEARCH(""Practice"", $C$1:$AK$1)) ) )  / 
  SUM( FILTER(C$77:AK$77, ISNUMBER(SEARCH(""Practice"", $C$1:$AK$1))))*0.1
+
(SUM( FILTER(C67:P67, ISNUMBER(SEARCH(""After RETAKE"", $C$1:$P$1)) ) ) +
SUM( FILTER(P67:AK67, ISNUMBER("&amp;"SEARCH(""After RETAKE"", $P$1:$AK$1)) ) )
)  / 
  SUM( FILTER(C$77:AK$77, ISNUMBER(SEARCH(""BEFORE RETAKE"", $C$1:$AK$1))))*0.6 
+
0.3"),0.972989898989898)</f>
        <v>0.97298989898989796</v>
      </c>
      <c r="AL67" s="45">
        <v>0.88</v>
      </c>
      <c r="AM67" s="21">
        <f t="shared" si="0"/>
        <v>0</v>
      </c>
      <c r="AN67" s="21">
        <f t="shared" si="1"/>
        <v>0</v>
      </c>
      <c r="AO67" s="21">
        <f t="shared" si="2"/>
        <v>0</v>
      </c>
      <c r="AP67" s="23">
        <f t="shared" si="3"/>
        <v>95.666666666666671</v>
      </c>
      <c r="AQ67" s="23">
        <f t="shared" si="4"/>
        <v>95.666666666666671</v>
      </c>
      <c r="AR67" s="47">
        <f ca="1">IFERROR(__xludf.DUMMYFUNCTION("SUM( FILTER(C67:AK67, ISNUMBER(SEARCH(""Practice"", $C$1:$AK$1)) ) )  / 
  SUM( FILTER(C$77:AK$77, ISNUMBER(SEARCH(""Practice"", $C$1:$AK$1))))*0.1
+
(SUM( FILTER(C67:P67, ISNUMBER(SEARCH(""before RETAKE"", $C$1:$P$1)) ) ) +
SUM( FILTER(P67:AK67, ISNUMBER"&amp;"(SEARCH(""before RETAKE"", $P$1:$AK$1)) ) )
)  / 
  SUM( FILTER(C$77:AK$77, ISNUMBER(SEARCH(""BEFORE RETAKE"", $C$1:$AK$1))))*0.6 
+
0.3*AL67"),0.936989898989898)</f>
        <v>0.93698989898989804</v>
      </c>
      <c r="AS67" s="47">
        <f ca="1">IFERROR(__xludf.DUMMYFUNCTION("SUM( FILTER(C67:AK67, ISNUMBER(SEARCH(""Practice"", $C$1:$AK$1)) ) )  / 
  SUM( FILTER(C$77:AK$77, ISNUMBER(SEARCH(""Practice"", $C$1:$AK$1))))*0.1
+
(SUM( FILTER(C67:P67, ISNUMBER(SEARCH(""after RETAKE"", $C$1:$P$1)) ) ) +
SUM( FILTER(P67:AK67, ISNUMBER("&amp;"SEARCH(""after RETAKE"", $P$1:$AK$1)) ) )
)  / 
  SUM( FILTER(C$77:AK$77, ISNUMBER(SEARCH(""BEFORE RETAKE"", $C$1:$AK$1))))*0.6 
+
0.3*AL67"),0.936989898989898)</f>
        <v>0.93698989898989804</v>
      </c>
      <c r="AT67" s="47">
        <v>0.94798989899999997</v>
      </c>
      <c r="AU67" s="48">
        <f t="shared" si="5"/>
        <v>0.98989898989898994</v>
      </c>
      <c r="AV67" s="21">
        <v>0</v>
      </c>
      <c r="AW67" s="23">
        <f t="shared" si="6"/>
        <v>49.333333333333336</v>
      </c>
    </row>
    <row r="68" spans="1:49" ht="12.75" x14ac:dyDescent="0.2">
      <c r="A68" s="22" t="s">
        <v>275</v>
      </c>
      <c r="B68" s="22" t="s">
        <v>464</v>
      </c>
      <c r="C68" s="49">
        <v>11</v>
      </c>
      <c r="D68" s="49">
        <v>0</v>
      </c>
      <c r="E68" s="49">
        <v>1</v>
      </c>
      <c r="F68" s="49">
        <v>1</v>
      </c>
      <c r="G68" s="49">
        <v>0</v>
      </c>
      <c r="H68" s="49">
        <v>0</v>
      </c>
      <c r="I68" s="49">
        <v>1</v>
      </c>
      <c r="J68" s="49">
        <v>5</v>
      </c>
      <c r="K68" s="49">
        <v>50</v>
      </c>
      <c r="L68" s="49">
        <v>70</v>
      </c>
      <c r="M68" s="45">
        <f ca="1">IFERROR(__xludf.DUMMYFUNCTION("SUM( FILTER(C68:P68, ISNUMBER(SEARCH(""Practice"", $C$1:$P$1)) ) )  / 
  SUM( FILTER(C$77:P$77, ISNUMBER(SEARCH(""Practice"", $C$1:$P$1))))*0.1
+
SUM( FILTER(C68:P68, ISNUMBER(SEARCH(""BEFORE RETAKE"", $C$1:$P$1)) ) ) 
  / 
  SUM( FILTER(C$77:P$77, ISNUMB"&amp;"ER(SEARCH(""BEFORE RETAKE"", $C$1:$P$1))))*0.6 
+
0.3"),0.815081967213114)</f>
        <v>0.81508196721311399</v>
      </c>
      <c r="N68" s="46" t="s">
        <v>462</v>
      </c>
      <c r="O68" s="49">
        <v>70</v>
      </c>
      <c r="P68" s="45">
        <f ca="1">IFERROR(__xludf.DUMMYFUNCTION("SUM( FILTER(C68:P68, ISNUMBER(SEARCH(""Practice"", $C$1:$P$1)) ) )  / 
  SUM( FILTER(C$77:P$77, ISNUMBER(SEARCH(""Practice"", $C$1:$P$1))))*0.1
+
SUM( FILTER(C68:P68, ISNUMBER(SEARCH(""After RETAKE"", $C$1:$P$1)) ) ) 
  / 
  SUM( FILTER(C$77:P$77, ISNUMBE"&amp;"R(SEARCH(""BEFORE RETAKE"", $C$1:$P$1))))*0.6 
+
0.3"),0.815081967213114)</f>
        <v>0.81508196721311399</v>
      </c>
      <c r="Q68" s="49">
        <v>1</v>
      </c>
      <c r="R68" s="49">
        <v>1</v>
      </c>
      <c r="S68" s="49">
        <v>5</v>
      </c>
      <c r="T68" s="49">
        <v>50</v>
      </c>
      <c r="U68" s="49">
        <v>72</v>
      </c>
      <c r="V68" s="45">
        <f ca="1">IFERROR(__xludf.DUMMYFUNCTION("SUM( FILTER(C68:X68, ISNUMBER(SEARCH(""Practice"", $C$1:$X$1)) ) )  / 
  SUM( FILTER(C$77:X$77, ISNUMBER(SEARCH(""Practice"", $C$1:$X$1))))*0.1
+
(SUM( FILTER(C68:P68, ISNUMBER(SEARCH(""After RETAKE"", $C$1:$P$1)) ) ) +
SUM( FILTER(P68:X68, ISNUMBER(SEARC"&amp;"H(""Before RETAKE"", $P$1:$X$1)) ) )
)  / 
  SUM( FILTER(C$77:X$77, ISNUMBER(SEARCH(""BEFORE RETAKE"", $C$1:$X$1))))*0.6 
+
0.3"),0.823457627118644)</f>
        <v>0.82345762711864401</v>
      </c>
      <c r="W68" s="46" t="s">
        <v>462</v>
      </c>
      <c r="X68" s="49">
        <v>72</v>
      </c>
      <c r="Y68" s="45">
        <f ca="1">IFERROR(__xludf.DUMMYFUNCTION("SUM( FILTER(C68:X68, ISNUMBER(SEARCH(""Practice"", $C$1:$X$1)) ) )  / 
  SUM( FILTER(C$77:X$77, ISNUMBER(SEARCH(""Practice"", $C$1:$X$1))))*0.1
+
(SUM( FILTER(C68:P68, ISNUMBER(SEARCH(""After RETAKE"", $C$1:$P$1)) ) ) +
SUM( FILTER(Q68:X68, ISNUMBER(SEARC"&amp;"H(""After RETAKE"", $Q$1:$X$1)) ) )
)  / 
  SUM( FILTER(C$77:X$77, ISNUMBER(SEARCH(""BEFORE RETAKE"", $C$1:$X$1))))*0.6 
+
0.3"),0.823457627118644)</f>
        <v>0.82345762711864401</v>
      </c>
      <c r="Z68" s="49">
        <v>0</v>
      </c>
      <c r="AA68" s="49">
        <v>5</v>
      </c>
      <c r="AB68" s="49">
        <v>5</v>
      </c>
      <c r="AC68" s="49">
        <v>5</v>
      </c>
      <c r="AD68" s="49">
        <v>0</v>
      </c>
      <c r="AE68" s="49">
        <v>0</v>
      </c>
      <c r="AF68" s="49">
        <v>50</v>
      </c>
      <c r="AG68" s="49">
        <v>75</v>
      </c>
      <c r="AH68" s="45">
        <f ca="1">IFERROR(__xludf.DUMMYFUNCTION("SUM( FILTER(C68:AJ68, ISNUMBER(SEARCH(""Practice"", $C$1:$AJ$1)) ) )  / 
  SUM( FILTER(C$77:AJ$77, ISNUMBER(SEARCH(""Practice"", $C$1:$AJ$1))))*0.1
+
(SUM( FILTER(C68:X68, ISNUMBER(SEARCH(""After RETAKE"", $C$1:$X$1)) ) ) +
SUM( FILTER(X68:AJ68, ISNUMBER("&amp;"SEARCH(""Before RETAKE"", $X$1:$AJ$1)) ) )
)  / 
  SUM( FILTER(C$77:AJ$77, ISNUMBER(SEARCH(""BEFORE RETAKE"", $C$1:$AJ$1))))*0.6 
+
0.3"),0.82490909090909)</f>
        <v>0.82490909090909004</v>
      </c>
      <c r="AI68" s="46" t="s">
        <v>462</v>
      </c>
      <c r="AJ68" s="49">
        <v>75</v>
      </c>
      <c r="AK68" s="45">
        <f ca="1">IFERROR(__xludf.DUMMYFUNCTION("SUM( FILTER(C68:AK68, ISNUMBER(SEARCH(""Practice"", $C$1:$AK$1)) ) )  / 
  SUM( FILTER(C$77:AK$77, ISNUMBER(SEARCH(""Practice"", $C$1:$AK$1))))*0.1
+
(SUM( FILTER(C68:P68, ISNUMBER(SEARCH(""After RETAKE"", $C$1:$P$1)) ) ) +
SUM( FILTER(P68:AK68, ISNUMBER("&amp;"SEARCH(""After RETAKE"", $P$1:$AK$1)) ) )
)  / 
  SUM( FILTER(C$77:AK$77, ISNUMBER(SEARCH(""BEFORE RETAKE"", $C$1:$AK$1))))*0.6 
+
0.3"),0.82490909090909)</f>
        <v>0.82490909090909004</v>
      </c>
      <c r="AL68" s="45">
        <v>0.65</v>
      </c>
      <c r="AM68" s="21">
        <f t="shared" si="0"/>
        <v>3</v>
      </c>
      <c r="AN68" s="21">
        <f t="shared" si="1"/>
        <v>0</v>
      </c>
      <c r="AO68" s="21">
        <f t="shared" si="2"/>
        <v>3</v>
      </c>
      <c r="AP68" s="23">
        <f t="shared" si="3"/>
        <v>72.333333333333329</v>
      </c>
      <c r="AQ68" s="23">
        <f t="shared" si="4"/>
        <v>72.333333333333329</v>
      </c>
      <c r="AR68" s="47">
        <f ca="1">IFERROR(__xludf.DUMMYFUNCTION("SUM( FILTER(C68:AK68, ISNUMBER(SEARCH(""Practice"", $C$1:$AK$1)) ) )  / 
  SUM( FILTER(C$77:AK$77, ISNUMBER(SEARCH(""Practice"", $C$1:$AK$1))))*0.1
+
(SUM( FILTER(C68:P68, ISNUMBER(SEARCH(""before RETAKE"", $C$1:$P$1)) ) ) +
SUM( FILTER(P68:AK68, ISNUMBER"&amp;"(SEARCH(""before RETAKE"", $P$1:$AK$1)) ) )
)  / 
  SUM( FILTER(C$77:AK$77, ISNUMBER(SEARCH(""BEFORE RETAKE"", $C$1:$AK$1))))*0.6 
+
0.3*AL68"),0.71990909090909)</f>
        <v>0.71990909090909005</v>
      </c>
      <c r="AS68" s="47">
        <f ca="1">IFERROR(__xludf.DUMMYFUNCTION("SUM( FILTER(C68:AK68, ISNUMBER(SEARCH(""Practice"", $C$1:$AK$1)) ) )  / 
  SUM( FILTER(C$77:AK$77, ISNUMBER(SEARCH(""Practice"", $C$1:$AK$1))))*0.1
+
(SUM( FILTER(C68:P68, ISNUMBER(SEARCH(""after RETAKE"", $C$1:$P$1)) ) ) +
SUM( FILTER(P68:AK68, ISNUMBER("&amp;"SEARCH(""after RETAKE"", $P$1:$AK$1)) ) )
)  / 
  SUM( FILTER(C$77:AK$77, ISNUMBER(SEARCH(""BEFORE RETAKE"", $C$1:$AK$1))))*0.6 
+
0.3*AL68"),0.71990909090909)</f>
        <v>0.71990909090909005</v>
      </c>
      <c r="AT68" s="47">
        <v>0.7269090909</v>
      </c>
      <c r="AU68" s="48">
        <f t="shared" si="5"/>
        <v>0.90909090909090906</v>
      </c>
      <c r="AV68" s="21">
        <v>6</v>
      </c>
      <c r="AW68" s="23">
        <f t="shared" si="6"/>
        <v>50</v>
      </c>
    </row>
    <row r="69" spans="1:49" ht="12.75" x14ac:dyDescent="0.2">
      <c r="A69" s="22" t="s">
        <v>277</v>
      </c>
      <c r="B69" s="22" t="s">
        <v>464</v>
      </c>
      <c r="C69" s="49">
        <v>11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5</v>
      </c>
      <c r="K69" s="49">
        <v>39</v>
      </c>
      <c r="L69" s="49">
        <v>70</v>
      </c>
      <c r="M69" s="45">
        <f ca="1">IFERROR(__xludf.DUMMYFUNCTION("SUM( FILTER(C69:P69, ISNUMBER(SEARCH(""Practice"", $C$1:$P$1)) ) )  / 
  SUM( FILTER(C$77:P$77, ISNUMBER(SEARCH(""Practice"", $C$1:$P$1))))*0.1
+
SUM( FILTER(C69:P69, ISNUMBER(SEARCH(""BEFORE RETAKE"", $C$1:$P$1)) ) ) 
  / 
  SUM( FILTER(C$77:P$77, ISNUMB"&amp;"ER(SEARCH(""BEFORE RETAKE"", $C$1:$P$1))))*0.6 
+
0.3"),0.792131147540983)</f>
        <v>0.79213114754098302</v>
      </c>
      <c r="N69" s="46" t="s">
        <v>462</v>
      </c>
      <c r="O69" s="49">
        <v>70</v>
      </c>
      <c r="P69" s="45">
        <f ca="1">IFERROR(__xludf.DUMMYFUNCTION("SUM( FILTER(C69:P69, ISNUMBER(SEARCH(""Practice"", $C$1:$P$1)) ) )  / 
  SUM( FILTER(C$77:P$77, ISNUMBER(SEARCH(""Practice"", $C$1:$P$1))))*0.1
+
SUM( FILTER(C69:P69, ISNUMBER(SEARCH(""After RETAKE"", $C$1:$P$1)) ) ) 
  / 
  SUM( FILTER(C$77:P$77, ISNUMBE"&amp;"R(SEARCH(""BEFORE RETAKE"", $C$1:$P$1))))*0.6 
+
0.3"),0.792131147540983)</f>
        <v>0.79213114754098302</v>
      </c>
      <c r="Q69" s="49">
        <v>0</v>
      </c>
      <c r="R69" s="49">
        <v>0</v>
      </c>
      <c r="S69" s="49">
        <v>5</v>
      </c>
      <c r="T69" s="49">
        <v>36</v>
      </c>
      <c r="U69" s="49">
        <v>65</v>
      </c>
      <c r="V69" s="45">
        <f ca="1">IFERROR(__xludf.DUMMYFUNCTION("SUM( FILTER(C69:X69, ISNUMBER(SEARCH(""Practice"", $C$1:$X$1)) ) )  / 
  SUM( FILTER(C$77:X$77, ISNUMBER(SEARCH(""Practice"", $C$1:$X$1))))*0.1
+
(SUM( FILTER(C69:P69, ISNUMBER(SEARCH(""After RETAKE"", $C$1:$P$1)) ) ) +
SUM( FILTER(P69:X69, ISNUMBER(SEARC"&amp;"H(""Before RETAKE"", $P$1:$X$1)) ) )
)  / 
  SUM( FILTER(C$77:X$77, ISNUMBER(SEARCH(""BEFORE RETAKE"", $C$1:$X$1))))*0.6 
+
0.3"),0.777033898305084)</f>
        <v>0.77703389830508396</v>
      </c>
      <c r="W69" s="49">
        <v>65</v>
      </c>
      <c r="X69" s="49">
        <v>65</v>
      </c>
      <c r="Y69" s="45">
        <f ca="1">IFERROR(__xludf.DUMMYFUNCTION("SUM( FILTER(C69:X69, ISNUMBER(SEARCH(""Practice"", $C$1:$X$1)) ) )  / 
  SUM( FILTER(C$77:X$77, ISNUMBER(SEARCH(""Practice"", $C$1:$X$1))))*0.1
+
(SUM( FILTER(C69:P69, ISNUMBER(SEARCH(""After RETAKE"", $C$1:$P$1)) ) ) +
SUM( FILTER(Q69:X69, ISNUMBER(SEARC"&amp;"H(""After RETAKE"", $Q$1:$X$1)) ) )
)  / 
  SUM( FILTER(C$77:X$77, ISNUMBER(SEARCH(""BEFORE RETAKE"", $C$1:$X$1))))*0.6 
+
0.3"),0.777033898305084)</f>
        <v>0.77703389830508396</v>
      </c>
      <c r="Z69" s="49">
        <v>0</v>
      </c>
      <c r="AA69" s="49">
        <v>0</v>
      </c>
      <c r="AB69" s="49">
        <v>0</v>
      </c>
      <c r="AC69" s="49">
        <v>0</v>
      </c>
      <c r="AD69" s="49">
        <v>0</v>
      </c>
      <c r="AE69" s="49">
        <v>0</v>
      </c>
      <c r="AF69" s="49">
        <v>39</v>
      </c>
      <c r="AG69" s="49">
        <v>62</v>
      </c>
      <c r="AH69" s="45">
        <f ca="1">IFERROR(__xludf.DUMMYFUNCTION("SUM( FILTER(C69:AJ69, ISNUMBER(SEARCH(""Practice"", $C$1:$AJ$1)) ) )  / 
  SUM( FILTER(C$77:AJ$77, ISNUMBER(SEARCH(""Practice"", $C$1:$AJ$1))))*0.1
+
(SUM( FILTER(C69:X69, ISNUMBER(SEARCH(""After RETAKE"", $C$1:$X$1)) ) ) +
SUM( FILTER(X69:AJ69, ISNUMBER("&amp;"SEARCH(""Before RETAKE"", $X$1:$AJ$1)) ) )
)  / 
  SUM( FILTER(C$77:AJ$77, ISNUMBER(SEARCH(""BEFORE RETAKE"", $C$1:$AJ$1))))*0.6 
+
0.3"),0.756626262626262)</f>
        <v>0.75662626262626198</v>
      </c>
      <c r="AI69" s="46" t="s">
        <v>462</v>
      </c>
      <c r="AJ69" s="49">
        <v>62</v>
      </c>
      <c r="AK69" s="45">
        <f ca="1">IFERROR(__xludf.DUMMYFUNCTION("SUM( FILTER(C69:AK69, ISNUMBER(SEARCH(""Practice"", $C$1:$AK$1)) ) )  / 
  SUM( FILTER(C$77:AK$77, ISNUMBER(SEARCH(""Practice"", $C$1:$AK$1))))*0.1
+
(SUM( FILTER(C69:P69, ISNUMBER(SEARCH(""After RETAKE"", $C$1:$P$1)) ) ) +
SUM( FILTER(P69:AK69, ISNUMBER("&amp;"SEARCH(""After RETAKE"", $P$1:$AK$1)) ) )
)  / 
  SUM( FILTER(C$77:AK$77, ISNUMBER(SEARCH(""BEFORE RETAKE"", $C$1:$AK$1))))*0.6 
+
0.3"),0.756626262626262)</f>
        <v>0.75662626262626198</v>
      </c>
      <c r="AL69" s="45">
        <v>0.62</v>
      </c>
      <c r="AM69" s="21">
        <f t="shared" si="0"/>
        <v>6</v>
      </c>
      <c r="AN69" s="21">
        <f t="shared" si="1"/>
        <v>2</v>
      </c>
      <c r="AO69" s="21">
        <f t="shared" si="2"/>
        <v>6</v>
      </c>
      <c r="AP69" s="23">
        <f t="shared" si="3"/>
        <v>65.666666666666671</v>
      </c>
      <c r="AQ69" s="23">
        <f t="shared" si="4"/>
        <v>65.666666666666671</v>
      </c>
      <c r="AR69" s="47">
        <f ca="1">IFERROR(__xludf.DUMMYFUNCTION("SUM( FILTER(C69:AK69, ISNUMBER(SEARCH(""Practice"", $C$1:$AK$1)) ) )  / 
  SUM( FILTER(C$77:AK$77, ISNUMBER(SEARCH(""Practice"", $C$1:$AK$1))))*0.1
+
(SUM( FILTER(C69:P69, ISNUMBER(SEARCH(""before RETAKE"", $C$1:$P$1)) ) ) +
SUM( FILTER(P69:AK69, ISNUMBER"&amp;"(SEARCH(""before RETAKE"", $P$1:$AK$1)) ) )
)  / 
  SUM( FILTER(C$77:AK$77, ISNUMBER(SEARCH(""BEFORE RETAKE"", $C$1:$AK$1))))*0.6 
+
0.3*AL69"),0.642626262626262)</f>
        <v>0.64262626262626199</v>
      </c>
      <c r="AS69" s="47">
        <f ca="1">IFERROR(__xludf.DUMMYFUNCTION("SUM( FILTER(C69:AK69, ISNUMBER(SEARCH(""Practice"", $C$1:$AK$1)) ) )  / 
  SUM( FILTER(C$77:AK$77, ISNUMBER(SEARCH(""Practice"", $C$1:$AK$1))))*0.1
+
(SUM( FILTER(C69:P69, ISNUMBER(SEARCH(""after RETAKE"", $C$1:$P$1)) ) ) +
SUM( FILTER(P69:AK69, ISNUMBER("&amp;"SEARCH(""after RETAKE"", $P$1:$AK$1)) ) )
)  / 
  SUM( FILTER(C$77:AK$77, ISNUMBER(SEARCH(""BEFORE RETAKE"", $C$1:$AK$1))))*0.6 
+
0.3*AL69"),0.642626262626262)</f>
        <v>0.64262626262626199</v>
      </c>
      <c r="AT69" s="47">
        <v>0.65362626260000001</v>
      </c>
      <c r="AU69" s="48">
        <f t="shared" si="5"/>
        <v>0.6262626262626263</v>
      </c>
      <c r="AV69" s="21">
        <v>14</v>
      </c>
      <c r="AW69" s="23">
        <f t="shared" si="6"/>
        <v>38</v>
      </c>
    </row>
    <row r="70" spans="1:49" ht="12.75" x14ac:dyDescent="0.2">
      <c r="A70" s="22" t="s">
        <v>279</v>
      </c>
      <c r="B70" s="22" t="s">
        <v>464</v>
      </c>
      <c r="C70" s="49">
        <v>11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5</v>
      </c>
      <c r="K70" s="49">
        <v>48</v>
      </c>
      <c r="L70" s="49">
        <v>85</v>
      </c>
      <c r="M70" s="45">
        <f ca="1">IFERROR(__xludf.DUMMYFUNCTION("SUM( FILTER(C70:P70, ISNUMBER(SEARCH(""Practice"", $C$1:$P$1)) ) )  / 
  SUM( FILTER(C$77:P$77, ISNUMBER(SEARCH(""Practice"", $C$1:$P$1))))*0.1
+
SUM( FILTER(C70:P70, ISNUMBER(SEARCH(""BEFORE RETAKE"", $C$1:$P$1)) ) ) 
  / 
  SUM( FILTER(C$77:P$77, ISNUMB"&amp;"ER(SEARCH(""BEFORE RETAKE"", $C$1:$P$1))))*0.6 
+
0.3"),0.896885245901639)</f>
        <v>0.89688524590163898</v>
      </c>
      <c r="N70" s="46" t="s">
        <v>462</v>
      </c>
      <c r="O70" s="49">
        <v>85</v>
      </c>
      <c r="P70" s="45">
        <f ca="1">IFERROR(__xludf.DUMMYFUNCTION("SUM( FILTER(C70:P70, ISNUMBER(SEARCH(""Practice"", $C$1:$P$1)) ) )  / 
  SUM( FILTER(C$77:P$77, ISNUMBER(SEARCH(""Practice"", $C$1:$P$1))))*0.1
+
SUM( FILTER(C70:P70, ISNUMBER(SEARCH(""After RETAKE"", $C$1:$P$1)) ) ) 
  / 
  SUM( FILTER(C$77:P$77, ISNUMBE"&amp;"R(SEARCH(""BEFORE RETAKE"", $C$1:$P$1))))*0.6 
+
0.3"),0.896885245901639)</f>
        <v>0.89688524590163898</v>
      </c>
      <c r="Q70" s="49">
        <v>0</v>
      </c>
      <c r="R70" s="49">
        <v>0</v>
      </c>
      <c r="S70" s="49">
        <v>5</v>
      </c>
      <c r="T70" s="49">
        <v>38</v>
      </c>
      <c r="U70" s="49">
        <v>86</v>
      </c>
      <c r="V70" s="45">
        <f ca="1">IFERROR(__xludf.DUMMYFUNCTION("SUM( FILTER(C70:X70, ISNUMBER(SEARCH(""Practice"", $C$1:$X$1)) ) )  / 
  SUM( FILTER(C$77:X$77, ISNUMBER(SEARCH(""Practice"", $C$1:$X$1))))*0.1
+
(SUM( FILTER(C70:P70, ISNUMBER(SEARCH(""After RETAKE"", $C$1:$P$1)) ) ) +
SUM( FILTER(P70:X70, ISNUMBER(SEARC"&amp;"H(""Before RETAKE"", $P$1:$X$1)) ) )
)  / 
  SUM( FILTER(C$77:X$77, ISNUMBER(SEARCH(""BEFORE RETAKE"", $C$1:$X$1))))*0.6 
+
0.3"),0.894355932203389)</f>
        <v>0.89435593220338905</v>
      </c>
      <c r="W70" s="46" t="s">
        <v>462</v>
      </c>
      <c r="X70" s="49">
        <v>86</v>
      </c>
      <c r="Y70" s="45">
        <f ca="1">IFERROR(__xludf.DUMMYFUNCTION("SUM( FILTER(C70:X70, ISNUMBER(SEARCH(""Practice"", $C$1:$X$1)) ) )  / 
  SUM( FILTER(C$77:X$77, ISNUMBER(SEARCH(""Practice"", $C$1:$X$1))))*0.1
+
(SUM( FILTER(C70:P70, ISNUMBER(SEARCH(""After RETAKE"", $C$1:$P$1)) ) ) +
SUM( FILTER(Q70:X70, ISNUMBER(SEARC"&amp;"H(""After RETAKE"", $Q$1:$X$1)) ) )
)  / 
  SUM( FILTER(C$77:X$77, ISNUMBER(SEARCH(""BEFORE RETAKE"", $C$1:$X$1))))*0.6 
+
0.3"),0.894355932203389)</f>
        <v>0.89435593220338905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50</v>
      </c>
      <c r="AG70" s="49">
        <v>62</v>
      </c>
      <c r="AH70" s="45">
        <f ca="1">IFERROR(__xludf.DUMMYFUNCTION("SUM( FILTER(C70:AJ70, ISNUMBER(SEARCH(""Practice"", $C$1:$AJ$1)) ) )  / 
  SUM( FILTER(C$77:AJ$77, ISNUMBER(SEARCH(""Practice"", $C$1:$AJ$1))))*0.1
+
(SUM( FILTER(C70:X70, ISNUMBER(SEARCH(""After RETAKE"", $C$1:$X$1)) ) ) +
SUM( FILTER(X70:AJ70, ISNUMBER("&amp;"SEARCH(""Before RETAKE"", $X$1:$AJ$1)) ) )
)  / 
  SUM( FILTER(C$77:AJ$77, ISNUMBER(SEARCH(""BEFORE RETAKE"", $C$1:$AJ$1))))*0.6 
+
0.3"),0.839737373737373)</f>
        <v>0.83973737373737301</v>
      </c>
      <c r="AI70" s="46" t="s">
        <v>462</v>
      </c>
      <c r="AJ70" s="49">
        <v>62</v>
      </c>
      <c r="AK70" s="45">
        <f ca="1">IFERROR(__xludf.DUMMYFUNCTION("SUM( FILTER(C70:AK70, ISNUMBER(SEARCH(""Practice"", $C$1:$AK$1)) ) )  / 
  SUM( FILTER(C$77:AK$77, ISNUMBER(SEARCH(""Practice"", $C$1:$AK$1))))*0.1
+
(SUM( FILTER(C70:P70, ISNUMBER(SEARCH(""After RETAKE"", $C$1:$P$1)) ) ) +
SUM( FILTER(P70:AK70, ISNUMBER("&amp;"SEARCH(""After RETAKE"", $P$1:$AK$1)) ) )
)  / 
  SUM( FILTER(C$77:AK$77, ISNUMBER(SEARCH(""BEFORE RETAKE"", $C$1:$AK$1))))*0.6 
+
0.3"),0.839737373737373)</f>
        <v>0.83973737373737301</v>
      </c>
      <c r="AL70" s="45">
        <v>0.68</v>
      </c>
      <c r="AM70" s="21">
        <f t="shared" si="0"/>
        <v>6</v>
      </c>
      <c r="AN70" s="21">
        <f t="shared" si="1"/>
        <v>2</v>
      </c>
      <c r="AO70" s="21">
        <f t="shared" si="2"/>
        <v>6</v>
      </c>
      <c r="AP70" s="23">
        <f t="shared" si="3"/>
        <v>77.666666666666671</v>
      </c>
      <c r="AQ70" s="23">
        <f t="shared" si="4"/>
        <v>77.666666666666671</v>
      </c>
      <c r="AR70" s="47">
        <f ca="1">IFERROR(__xludf.DUMMYFUNCTION("SUM( FILTER(C70:AK70, ISNUMBER(SEARCH(""Practice"", $C$1:$AK$1)) ) )  / 
  SUM( FILTER(C$77:AK$77, ISNUMBER(SEARCH(""Practice"", $C$1:$AK$1))))*0.1
+
(SUM( FILTER(C70:P70, ISNUMBER(SEARCH(""before RETAKE"", $C$1:$P$1)) ) ) +
SUM( FILTER(P70:AK70, ISNUMBER"&amp;"(SEARCH(""before RETAKE"", $P$1:$AK$1)) ) )
)  / 
  SUM( FILTER(C$77:AK$77, ISNUMBER(SEARCH(""BEFORE RETAKE"", $C$1:$AK$1))))*0.6 
+
0.3*AL70"),0.743737373737373)</f>
        <v>0.74373737373737303</v>
      </c>
      <c r="AS70" s="47">
        <f ca="1">IFERROR(__xludf.DUMMYFUNCTION("SUM( FILTER(C70:AK70, ISNUMBER(SEARCH(""Practice"", $C$1:$AK$1)) ) )  / 
  SUM( FILTER(C$77:AK$77, ISNUMBER(SEARCH(""Practice"", $C$1:$AK$1))))*0.1
+
(SUM( FILTER(C70:P70, ISNUMBER(SEARCH(""after RETAKE"", $C$1:$P$1)) ) ) +
SUM( FILTER(P70:AK70, ISNUMBER("&amp;"SEARCH(""after RETAKE"", $P$1:$AK$1)) ) )
)  / 
  SUM( FILTER(C$77:AK$77, ISNUMBER(SEARCH(""BEFORE RETAKE"", $C$1:$AK$1))))*0.6 
+
0.3*AL70"),0.743737373737373)</f>
        <v>0.74373737373737303</v>
      </c>
      <c r="AT70" s="47">
        <v>0.79073737369999997</v>
      </c>
      <c r="AU70" s="48">
        <f t="shared" si="5"/>
        <v>0.73737373737373735</v>
      </c>
      <c r="AV70" s="21">
        <v>14</v>
      </c>
      <c r="AW70" s="23">
        <f t="shared" si="6"/>
        <v>45.333333333333336</v>
      </c>
    </row>
    <row r="71" spans="1:49" ht="12.75" x14ac:dyDescent="0.2">
      <c r="A71" s="22" t="s">
        <v>281</v>
      </c>
      <c r="B71" s="22" t="s">
        <v>464</v>
      </c>
      <c r="C71" s="49">
        <v>11</v>
      </c>
      <c r="D71" s="49">
        <v>1</v>
      </c>
      <c r="E71" s="49">
        <v>1</v>
      </c>
      <c r="F71" s="49">
        <v>0</v>
      </c>
      <c r="G71" s="49">
        <v>1</v>
      </c>
      <c r="H71" s="49">
        <v>0</v>
      </c>
      <c r="I71" s="49">
        <v>1</v>
      </c>
      <c r="J71" s="49">
        <v>5</v>
      </c>
      <c r="K71" s="49">
        <v>48</v>
      </c>
      <c r="L71" s="49">
        <v>72</v>
      </c>
      <c r="M71" s="45">
        <f ca="1">IFERROR(__xludf.DUMMYFUNCTION("SUM( FILTER(C71:P71, ISNUMBER(SEARCH(""Practice"", $C$1:$P$1)) ) )  / 
  SUM( FILTER(C$77:P$77, ISNUMBER(SEARCH(""Practice"", $C$1:$P$1))))*0.1
+
SUM( FILTER(C71:P71, ISNUMBER(SEARCH(""BEFORE RETAKE"", $C$1:$P$1)) ) ) 
  / 
  SUM( FILTER(C$77:P$77, ISNUMB"&amp;"ER(SEARCH(""BEFORE RETAKE"", $C$1:$P$1))))*0.6 
+
0.3"),0.825442622950819)</f>
        <v>0.82544262295081905</v>
      </c>
      <c r="N71" s="46" t="s">
        <v>462</v>
      </c>
      <c r="O71" s="49">
        <v>72</v>
      </c>
      <c r="P71" s="45">
        <f ca="1">IFERROR(__xludf.DUMMYFUNCTION("SUM( FILTER(C71:P71, ISNUMBER(SEARCH(""Practice"", $C$1:$P$1)) ) )  / 
  SUM( FILTER(C$77:P$77, ISNUMBER(SEARCH(""Practice"", $C$1:$P$1))))*0.1
+
SUM( FILTER(C71:P71, ISNUMBER(SEARCH(""After RETAKE"", $C$1:$P$1)) ) ) 
  / 
  SUM( FILTER(C$77:P$77, ISNUMBE"&amp;"R(SEARCH(""BEFORE RETAKE"", $C$1:$P$1))))*0.6 
+
0.3"),0.825442622950819)</f>
        <v>0.82544262295081905</v>
      </c>
      <c r="Q71" s="49">
        <v>0</v>
      </c>
      <c r="R71" s="49">
        <v>0</v>
      </c>
      <c r="S71" s="49">
        <v>3</v>
      </c>
      <c r="T71" s="49">
        <v>44.5</v>
      </c>
      <c r="U71" s="49">
        <v>63</v>
      </c>
      <c r="V71" s="45">
        <f ca="1">IFERROR(__xludf.DUMMYFUNCTION("SUM( FILTER(C71:X71, ISNUMBER(SEARCH(""Practice"", $C$1:$X$1)) ) )  / 
  SUM( FILTER(C$77:X$77, ISNUMBER(SEARCH(""Practice"", $C$1:$X$1))))*0.1
+
(SUM( FILTER(C71:P71, ISNUMBER(SEARCH(""After RETAKE"", $C$1:$P$1)) ) ) +
SUM( FILTER(P71:X71, ISNUMBER(SEARC"&amp;"H(""Before RETAKE"", $P$1:$X$1)) ) )
)  / 
  SUM( FILTER(C$77:X$77, ISNUMBER(SEARCH(""BEFORE RETAKE"", $C$1:$X$1))))*0.6 
+
0.3"),0.793559322033898)</f>
        <v>0.79355932203389801</v>
      </c>
      <c r="W71" s="49">
        <v>62</v>
      </c>
      <c r="X71" s="49">
        <v>63</v>
      </c>
      <c r="Y71" s="45">
        <f ca="1">IFERROR(__xludf.DUMMYFUNCTION("SUM( FILTER(C71:X71, ISNUMBER(SEARCH(""Practice"", $C$1:$X$1)) ) )  / 
  SUM( FILTER(C$77:X$77, ISNUMBER(SEARCH(""Practice"", $C$1:$X$1))))*0.1
+
(SUM( FILTER(C71:P71, ISNUMBER(SEARCH(""After RETAKE"", $C$1:$P$1)) ) ) +
SUM( FILTER(Q71:X71, ISNUMBER(SEARC"&amp;"H(""After RETAKE"", $Q$1:$X$1)) ) )
)  / 
  SUM( FILTER(C$77:X$77, ISNUMBER(SEARCH(""BEFORE RETAKE"", $C$1:$X$1))))*0.6 
+
0.3"),0.793559322033898)</f>
        <v>0.79355932203389801</v>
      </c>
      <c r="Z71" s="49">
        <v>0</v>
      </c>
      <c r="AA71" s="49">
        <v>0</v>
      </c>
      <c r="AB71" s="49">
        <v>0</v>
      </c>
      <c r="AC71" s="49">
        <v>0</v>
      </c>
      <c r="AD71" s="49">
        <v>0</v>
      </c>
      <c r="AE71" s="49">
        <v>0</v>
      </c>
      <c r="AF71" s="49">
        <v>50</v>
      </c>
      <c r="AG71" s="49">
        <v>30</v>
      </c>
      <c r="AH71" s="45">
        <f ca="1">IFERROR(__xludf.DUMMYFUNCTION("SUM( FILTER(C71:AJ71, ISNUMBER(SEARCH(""Practice"", $C$1:$AJ$1)) ) )  / 
  SUM( FILTER(C$77:AJ$77, ISNUMBER(SEARCH(""Practice"", $C$1:$AJ$1))))*0.1
+
(SUM( FILTER(C71:X71, ISNUMBER(SEARCH(""After RETAKE"", $C$1:$X$1)) ) ) +
SUM( FILTER(X71:AJ71, ISNUMBER("&amp;"SEARCH(""Before RETAKE"", $X$1:$AJ$1)) ) )
)  / 
  SUM( FILTER(C$77:AJ$77, ISNUMBER(SEARCH(""BEFORE RETAKE"", $C$1:$AJ$1))))*0.6 
+
0.3"),0.708030303030303)</f>
        <v>0.70803030303030301</v>
      </c>
      <c r="AI71" s="49">
        <v>30</v>
      </c>
      <c r="AJ71" s="49">
        <v>30</v>
      </c>
      <c r="AK71" s="45">
        <f ca="1">IFERROR(__xludf.DUMMYFUNCTION("SUM( FILTER(C71:AK71, ISNUMBER(SEARCH(""Practice"", $C$1:$AK$1)) ) )  / 
  SUM( FILTER(C$77:AK$77, ISNUMBER(SEARCH(""Practice"", $C$1:$AK$1))))*0.1
+
(SUM( FILTER(C71:P71, ISNUMBER(SEARCH(""After RETAKE"", $C$1:$P$1)) ) ) +
SUM( FILTER(P71:AK71, ISNUMBER("&amp;"SEARCH(""After RETAKE"", $P$1:$AK$1)) ) )
)  / 
  SUM( FILTER(C$77:AK$77, ISNUMBER(SEARCH(""BEFORE RETAKE"", $C$1:$AK$1))))*0.6 
+
0.3"),0.708030303030303)</f>
        <v>0.70803030303030301</v>
      </c>
      <c r="AL71" s="45">
        <v>0.62</v>
      </c>
      <c r="AM71" s="21">
        <f t="shared" si="0"/>
        <v>2</v>
      </c>
      <c r="AN71" s="21">
        <f t="shared" si="1"/>
        <v>2</v>
      </c>
      <c r="AO71" s="21">
        <f t="shared" si="2"/>
        <v>6</v>
      </c>
      <c r="AP71" s="23">
        <f t="shared" si="3"/>
        <v>55</v>
      </c>
      <c r="AQ71" s="23">
        <f t="shared" si="4"/>
        <v>55</v>
      </c>
      <c r="AR71" s="47">
        <f ca="1">IFERROR(__xludf.DUMMYFUNCTION("SUM( FILTER(C71:AK71, ISNUMBER(SEARCH(""Practice"", $C$1:$AK$1)) ) )  / 
  SUM( FILTER(C$77:AK$77, ISNUMBER(SEARCH(""Practice"", $C$1:$AK$1))))*0.1
+
(SUM( FILTER(C71:P71, ISNUMBER(SEARCH(""before RETAKE"", $C$1:$P$1)) ) ) +
SUM( FILTER(P71:AK71, ISNUMBER"&amp;"(SEARCH(""before RETAKE"", $P$1:$AK$1)) ) )
)  / 
  SUM( FILTER(C$77:AK$77, ISNUMBER(SEARCH(""BEFORE RETAKE"", $C$1:$AK$1))))*0.6 
+
0.3*AL71"),0.594030303030303)</f>
        <v>0.59403030303030302</v>
      </c>
      <c r="AS71" s="47">
        <f ca="1">IFERROR(__xludf.DUMMYFUNCTION("SUM( FILTER(C71:AK71, ISNUMBER(SEARCH(""Practice"", $C$1:$AK$1)) ) )  / 
  SUM( FILTER(C$77:AK$77, ISNUMBER(SEARCH(""Practice"", $C$1:$AK$1))))*0.1
+
(SUM( FILTER(C71:P71, ISNUMBER(SEARCH(""after RETAKE"", $C$1:$P$1)) ) ) +
SUM( FILTER(P71:AK71, ISNUMBER("&amp;"SEARCH(""after RETAKE"", $P$1:$AK$1)) ) )
)  / 
  SUM( FILTER(C$77:AK$77, ISNUMBER(SEARCH(""BEFORE RETAKE"", $C$1:$AK$1))))*0.6 
+
0.3*AL71"),0.594030303030303)</f>
        <v>0.59403030303030302</v>
      </c>
      <c r="AT71" s="47">
        <v>0.66903030299999999</v>
      </c>
      <c r="AU71" s="48">
        <f t="shared" si="5"/>
        <v>0.78030303030303028</v>
      </c>
      <c r="AV71" s="21">
        <v>10</v>
      </c>
      <c r="AW71" s="23">
        <f t="shared" si="6"/>
        <v>47.5</v>
      </c>
    </row>
    <row r="72" spans="1:49" ht="12.75" x14ac:dyDescent="0.2">
      <c r="A72" s="22" t="s">
        <v>283</v>
      </c>
      <c r="B72" s="22" t="s">
        <v>464</v>
      </c>
      <c r="C72" s="49">
        <v>11</v>
      </c>
      <c r="D72" s="49" t="s">
        <v>462</v>
      </c>
      <c r="E72" s="49" t="s">
        <v>462</v>
      </c>
      <c r="F72" s="49" t="s">
        <v>462</v>
      </c>
      <c r="G72" s="49" t="s">
        <v>462</v>
      </c>
      <c r="H72" s="49" t="s">
        <v>462</v>
      </c>
      <c r="I72" s="49" t="s">
        <v>462</v>
      </c>
      <c r="J72" s="49" t="s">
        <v>462</v>
      </c>
      <c r="K72" s="49" t="s">
        <v>462</v>
      </c>
      <c r="L72" s="49" t="s">
        <v>462</v>
      </c>
      <c r="M72" s="45">
        <f ca="1">IFERROR(__xludf.DUMMYFUNCTION("SUM( FILTER(C72:P72, ISNUMBER(SEARCH(""Practice"", $C$1:$P$1)) ) )  / 
  SUM( FILTER(C$77:P$77, ISNUMBER(SEARCH(""Practice"", $C$1:$P$1))))*0.1
+
SUM( FILTER(C72:P72, ISNUMBER(SEARCH(""BEFORE RETAKE"", $C$1:$P$1)) ) ) 
  / 
  SUM( FILTER(C$77:P$77, ISNUMB"&amp;"ER(SEARCH(""BEFORE RETAKE"", $C$1:$P$1))))*0.6 
+
0.3"),0.3)</f>
        <v>0.3</v>
      </c>
      <c r="N72" s="46" t="s">
        <v>462</v>
      </c>
      <c r="O72" s="49" t="s">
        <v>150</v>
      </c>
      <c r="P72" s="45">
        <f ca="1">IFERROR(__xludf.DUMMYFUNCTION("SUM( FILTER(C72:P72, ISNUMBER(SEARCH(""Practice"", $C$1:$P$1)) ) )  / 
  SUM( FILTER(C$77:P$77, ISNUMBER(SEARCH(""Practice"", $C$1:$P$1))))*0.1
+
SUM( FILTER(C72:P72, ISNUMBER(SEARCH(""After RETAKE"", $C$1:$P$1)) ) ) 
  / 
  SUM( FILTER(C$77:P$77, ISNUMBE"&amp;"R(SEARCH(""BEFORE RETAKE"", $C$1:$P$1))))*0.6 
+
0.3"),0.3)</f>
        <v>0.3</v>
      </c>
      <c r="Q72" s="49">
        <v>0</v>
      </c>
      <c r="R72" s="49">
        <v>0</v>
      </c>
      <c r="S72" s="49">
        <v>5</v>
      </c>
      <c r="T72" s="49">
        <v>45.5</v>
      </c>
      <c r="U72" s="49">
        <v>65</v>
      </c>
      <c r="V72" s="45">
        <f ca="1">IFERROR(__xludf.DUMMYFUNCTION("SUM( FILTER(C72:X72, ISNUMBER(SEARCH(""Practice"", $C$1:$X$1)) ) )  / 
  SUM( FILTER(C$77:X$77, ISNUMBER(SEARCH(""Practice"", $C$1:$X$1))))*0.1
+
(SUM( FILTER(C72:P72, ISNUMBER(SEARCH(""After RETAKE"", $C$1:$P$1)) ) ) +
SUM( FILTER(P72:X72, ISNUMBER(SEARC"&amp;"H(""Before RETAKE"", $P$1:$X$1)) ) )
)  / 
  SUM( FILTER(C$77:X$77, ISNUMBER(SEARCH(""BEFORE RETAKE"", $C$1:$X$1))))*0.6 
+
0.3"),0.537796610169491)</f>
        <v>0.53779661016949099</v>
      </c>
      <c r="W72" s="49">
        <v>72</v>
      </c>
      <c r="X72" s="49">
        <v>72</v>
      </c>
      <c r="Y72" s="45">
        <f ca="1">IFERROR(__xludf.DUMMYFUNCTION("SUM( FILTER(C72:X72, ISNUMBER(SEARCH(""Practice"", $C$1:$X$1)) ) )  / 
  SUM( FILTER(C$77:X$77, ISNUMBER(SEARCH(""Practice"", $C$1:$X$1))))*0.1
+
(SUM( FILTER(C72:P72, ISNUMBER(SEARCH(""After RETAKE"", $C$1:$P$1)) ) ) +
SUM( FILTER(Q72:X72, ISNUMBER(SEARC"&amp;"H(""After RETAKE"", $Q$1:$X$1)) ) )
)  / 
  SUM( FILTER(C$77:X$77, ISNUMBER(SEARCH(""BEFORE RETAKE"", $C$1:$X$1))))*0.6 
+
0.3"),0.558796610169491)</f>
        <v>0.558796610169491</v>
      </c>
      <c r="Z72" s="49">
        <v>0</v>
      </c>
      <c r="AA72" s="49">
        <v>0</v>
      </c>
      <c r="AB72" s="49">
        <v>0</v>
      </c>
      <c r="AC72" s="49">
        <v>0</v>
      </c>
      <c r="AD72" s="49">
        <v>0</v>
      </c>
      <c r="AE72" s="49">
        <v>0</v>
      </c>
      <c r="AF72" s="49">
        <v>11</v>
      </c>
      <c r="AG72" s="49">
        <v>65</v>
      </c>
      <c r="AH72" s="45">
        <f ca="1">IFERROR(__xludf.DUMMYFUNCTION("SUM( FILTER(C72:AJ72, ISNUMBER(SEARCH(""Practice"", $C$1:$AJ$1)) ) )  / 
  SUM( FILTER(C$77:AJ$77, ISNUMBER(SEARCH(""Practice"", $C$1:$AJ$1))))*0.1
+
(SUM( FILTER(C72:X72, ISNUMBER(SEARCH(""After RETAKE"", $C$1:$X$1)) ) ) +
SUM( FILTER(X72:AJ72, ISNUMBER("&amp;"SEARCH(""Before RETAKE"", $X$1:$AJ$1)) ) )
)  / 
  SUM( FILTER(C$77:AJ$77, ISNUMBER(SEARCH(""BEFORE RETAKE"", $C$1:$AJ$1))))*0.6 
+
0.3"),0.605060606060606)</f>
        <v>0.60506060606060597</v>
      </c>
      <c r="AI72" s="49">
        <v>65</v>
      </c>
      <c r="AJ72" s="49">
        <v>65</v>
      </c>
      <c r="AK72" s="45">
        <f ca="1">IFERROR(__xludf.DUMMYFUNCTION("SUM( FILTER(C72:AK72, ISNUMBER(SEARCH(""Practice"", $C$1:$AK$1)) ) )  / 
  SUM( FILTER(C$77:AK$77, ISNUMBER(SEARCH(""Practice"", $C$1:$AK$1))))*0.1
+
(SUM( FILTER(C72:P72, ISNUMBER(SEARCH(""After RETAKE"", $C$1:$P$1)) ) ) +
SUM( FILTER(P72:AK72, ISNUMBER("&amp;"SEARCH(""After RETAKE"", $P$1:$AK$1)) ) )
)  / 
  SUM( FILTER(C$77:AK$77, ISNUMBER(SEARCH(""BEFORE RETAKE"", $C$1:$AK$1))))*0.6 
+
0.3"),0.605060606060606)</f>
        <v>0.60506060606060597</v>
      </c>
      <c r="AL72" s="45">
        <v>0.62</v>
      </c>
      <c r="AM72" s="21">
        <f t="shared" si="0"/>
        <v>0</v>
      </c>
      <c r="AN72" s="21">
        <f t="shared" si="1"/>
        <v>2</v>
      </c>
      <c r="AO72" s="21">
        <f t="shared" si="2"/>
        <v>6</v>
      </c>
      <c r="AP72" s="23">
        <f t="shared" si="3"/>
        <v>65</v>
      </c>
      <c r="AQ72" s="23">
        <f t="shared" si="4"/>
        <v>68.5</v>
      </c>
      <c r="AR72" s="47">
        <f ca="1">IFERROR(__xludf.DUMMYFUNCTION("SUM( FILTER(C72:AK72, ISNUMBER(SEARCH(""Practice"", $C$1:$AK$1)) ) )  / 
  SUM( FILTER(C$77:AK$77, ISNUMBER(SEARCH(""Practice"", $C$1:$AK$1))))*0.1
+
(SUM( FILTER(C72:P72, ISNUMBER(SEARCH(""before RETAKE"", $C$1:$P$1)) ) ) +
SUM( FILTER(P72:AK72, ISNUMBER"&amp;"(SEARCH(""before RETAKE"", $P$1:$AK$1)) ) )
)  / 
  SUM( FILTER(C$77:AK$77, ISNUMBER(SEARCH(""BEFORE RETAKE"", $C$1:$AK$1))))*0.6 
+
0.3*AL72"),0.477060606060606)</f>
        <v>0.47706060606060602</v>
      </c>
      <c r="AS72" s="47">
        <f ca="1">IFERROR(__xludf.DUMMYFUNCTION("SUM( FILTER(C72:AK72, ISNUMBER(SEARCH(""Practice"", $C$1:$AK$1)) ) )  / 
  SUM( FILTER(C$77:AK$77, ISNUMBER(SEARCH(""Practice"", $C$1:$AK$1))))*0.1
+
(SUM( FILTER(C72:P72, ISNUMBER(SEARCH(""after RETAKE"", $C$1:$P$1)) ) ) +
SUM( FILTER(P72:AK72, ISNUMBER("&amp;"SEARCH(""after RETAKE"", $P$1:$AK$1)) ) )
)  / 
  SUM( FILTER(C$77:AK$77, ISNUMBER(SEARCH(""BEFORE RETAKE"", $C$1:$AK$1))))*0.6 
+
0.3*AL72"),0.491060606060606)</f>
        <v>0.49106060606060598</v>
      </c>
      <c r="AT72" s="47">
        <v>0.62806060610000003</v>
      </c>
      <c r="AU72" s="48">
        <f t="shared" si="5"/>
        <v>0.31060606060606061</v>
      </c>
      <c r="AV72" s="21">
        <v>8</v>
      </c>
      <c r="AW72" s="23">
        <f t="shared" si="6"/>
        <v>28.25</v>
      </c>
    </row>
    <row r="73" spans="1:49" ht="12.75" x14ac:dyDescent="0.2">
      <c r="A73" s="22" t="s">
        <v>285</v>
      </c>
      <c r="B73" s="22" t="s">
        <v>464</v>
      </c>
      <c r="C73" s="49">
        <v>11</v>
      </c>
      <c r="D73" s="49">
        <v>0</v>
      </c>
      <c r="E73" s="49">
        <v>0</v>
      </c>
      <c r="F73" s="49">
        <v>0</v>
      </c>
      <c r="G73" s="49">
        <v>0</v>
      </c>
      <c r="H73" s="49">
        <v>0</v>
      </c>
      <c r="I73" s="49">
        <v>0</v>
      </c>
      <c r="J73" s="49">
        <v>0</v>
      </c>
      <c r="K73" s="49">
        <v>44</v>
      </c>
      <c r="L73" s="49"/>
      <c r="M73" s="45">
        <f ca="1">IFERROR(__xludf.DUMMYFUNCTION("SUM( FILTER(C73:P73, ISNUMBER(SEARCH(""Practice"", $C$1:$P$1)) ) )  / 
  SUM( FILTER(C$77:P$77, ISNUMBER(SEARCH(""Practice"", $C$1:$P$1))))*0.1
+
SUM( FILTER(C73:P73, ISNUMBER(SEARCH(""BEFORE RETAKE"", $C$1:$P$1)) ) ) 
  / 
  SUM( FILTER(C$77:P$77, ISNUMB"&amp;"ER(SEARCH(""BEFORE RETAKE"", $C$1:$P$1))))*0.6 
+
0.3"),0.372131147540983)</f>
        <v>0.37213114754098298</v>
      </c>
      <c r="N73" s="46" t="s">
        <v>462</v>
      </c>
      <c r="O73" s="49">
        <v>60</v>
      </c>
      <c r="P73" s="45">
        <f ca="1">IFERROR(__xludf.DUMMYFUNCTION("SUM( FILTER(C73:P73, ISNUMBER(SEARCH(""Practice"", $C$1:$P$1)) ) )  / 
  SUM( FILTER(C$77:P$77, ISNUMBER(SEARCH(""Practice"", $C$1:$P$1))))*0.1
+
SUM( FILTER(C73:P73, ISNUMBER(SEARCH(""After RETAKE"", $C$1:$P$1)) ) ) 
  / 
  SUM( FILTER(C$77:P$77, ISNUMBE"&amp;"R(SEARCH(""BEFORE RETAKE"", $C$1:$P$1))))*0.6 
+
0.3"),0.732131147540983)</f>
        <v>0.73213114754098296</v>
      </c>
      <c r="Q73" s="49">
        <v>1</v>
      </c>
      <c r="R73" s="49">
        <v>1</v>
      </c>
      <c r="S73" s="49">
        <v>5</v>
      </c>
      <c r="T73" s="49">
        <v>41</v>
      </c>
      <c r="U73" s="49">
        <v>63</v>
      </c>
      <c r="V73" s="45">
        <f ca="1">IFERROR(__xludf.DUMMYFUNCTION("SUM( FILTER(C73:X73, ISNUMBER(SEARCH(""Practice"", $C$1:$X$1)) ) )  / 
  SUM( FILTER(C$77:X$77, ISNUMBER(SEARCH(""Practice"", $C$1:$X$1))))*0.1
+
(SUM( FILTER(C73:P73, ISNUMBER(SEARCH(""After RETAKE"", $C$1:$P$1)) ) ) +
SUM( FILTER(P73:X73, ISNUMBER(SEARC"&amp;"H(""Before RETAKE"", $P$1:$X$1)) ) )
)  / 
  SUM( FILTER(C$77:X$77, ISNUMBER(SEARCH(""BEFORE RETAKE"", $C$1:$X$1))))*0.6 
+
0.3"),0.746966101694915)</f>
        <v>0.74696610169491495</v>
      </c>
      <c r="W73" s="46" t="s">
        <v>462</v>
      </c>
      <c r="X73" s="49">
        <v>63</v>
      </c>
      <c r="Y73" s="45">
        <f ca="1">IFERROR(__xludf.DUMMYFUNCTION("SUM( FILTER(C73:X73, ISNUMBER(SEARCH(""Practice"", $C$1:$X$1)) ) )  / 
  SUM( FILTER(C$77:X$77, ISNUMBER(SEARCH(""Practice"", $C$1:$X$1))))*0.1
+
(SUM( FILTER(C73:P73, ISNUMBER(SEARCH(""After RETAKE"", $C$1:$P$1)) ) ) +
SUM( FILTER(Q73:X73, ISNUMBER(SEARC"&amp;"H(""After RETAKE"", $Q$1:$X$1)) ) )
)  / 
  SUM( FILTER(C$77:X$77, ISNUMBER(SEARCH(""BEFORE RETAKE"", $C$1:$X$1))))*0.6 
+
0.3"),0.746966101694915)</f>
        <v>0.74696610169491495</v>
      </c>
      <c r="Z73" s="49">
        <v>0</v>
      </c>
      <c r="AA73" s="49">
        <v>0</v>
      </c>
      <c r="AB73" s="49">
        <v>0</v>
      </c>
      <c r="AC73" s="49">
        <v>0</v>
      </c>
      <c r="AD73" s="49">
        <v>0</v>
      </c>
      <c r="AE73" s="49">
        <v>0</v>
      </c>
      <c r="AF73" s="49">
        <v>44</v>
      </c>
      <c r="AG73" s="49">
        <v>68</v>
      </c>
      <c r="AH73" s="45">
        <f ca="1">IFERROR(__xludf.DUMMYFUNCTION("SUM( FILTER(C73:AJ73, ISNUMBER(SEARCH(""Practice"", $C$1:$AJ$1)) ) )  / 
  SUM( FILTER(C$77:AJ$77, ISNUMBER(SEARCH(""Practice"", $C$1:$AJ$1))))*0.1
+
(SUM( FILTER(C73:X73, ISNUMBER(SEARCH(""After RETAKE"", $C$1:$X$1)) ) ) +
SUM( FILTER(X73:AJ73, ISNUMBER("&amp;"SEARCH(""Before RETAKE"", $X$1:$AJ$1)) ) )
)  / 
  SUM( FILTER(C$77:AJ$77, ISNUMBER(SEARCH(""BEFORE RETAKE"", $C$1:$AJ$1))))*0.6 
+
0.3"),0.750686868686868)</f>
        <v>0.75068686868686796</v>
      </c>
      <c r="AI73" s="46" t="s">
        <v>462</v>
      </c>
      <c r="AJ73" s="49">
        <v>68</v>
      </c>
      <c r="AK73" s="45">
        <f ca="1">IFERROR(__xludf.DUMMYFUNCTION("SUM( FILTER(C73:AK73, ISNUMBER(SEARCH(""Practice"", $C$1:$AK$1)) ) )  / 
  SUM( FILTER(C$77:AK$77, ISNUMBER(SEARCH(""Practice"", $C$1:$AK$1))))*0.1
+
(SUM( FILTER(C73:P73, ISNUMBER(SEARCH(""After RETAKE"", $C$1:$P$1)) ) ) +
SUM( FILTER(P73:AK73, ISNUMBER("&amp;"SEARCH(""After RETAKE"", $P$1:$AK$1)) ) )
)  / 
  SUM( FILTER(C$77:AK$77, ISNUMBER(SEARCH(""BEFORE RETAKE"", $C$1:$AK$1))))*0.6 
+
0.3"),0.750686868686868)</f>
        <v>0.75068686868686796</v>
      </c>
      <c r="AL73" s="45">
        <v>0.62</v>
      </c>
      <c r="AM73" s="21">
        <f t="shared" si="0"/>
        <v>7</v>
      </c>
      <c r="AN73" s="21">
        <f t="shared" si="1"/>
        <v>0</v>
      </c>
      <c r="AO73" s="21">
        <f t="shared" si="2"/>
        <v>6</v>
      </c>
      <c r="AP73" s="23">
        <f t="shared" si="3"/>
        <v>65.5</v>
      </c>
      <c r="AQ73" s="23">
        <f t="shared" si="4"/>
        <v>63.666666666666664</v>
      </c>
      <c r="AR73" s="47">
        <f ca="1">IFERROR(__xludf.DUMMYFUNCTION("SUM( FILTER(C73:AK73, ISNUMBER(SEARCH(""Practice"", $C$1:$AK$1)) ) )  / 
  SUM( FILTER(C$77:AK$77, ISNUMBER(SEARCH(""Practice"", $C$1:$AK$1))))*0.1
+
(SUM( FILTER(C73:P73, ISNUMBER(SEARCH(""before RETAKE"", $C$1:$P$1)) ) ) +
SUM( FILTER(P73:AK73, ISNUMBER"&amp;"(SEARCH(""before RETAKE"", $P$1:$AK$1)) ) )
)  / 
  SUM( FILTER(C$77:AK$77, ISNUMBER(SEARCH(""BEFORE RETAKE"", $C$1:$AK$1))))*0.6 
+
0.3*AL73"),0.516686868686868)</f>
        <v>0.51668686868686797</v>
      </c>
      <c r="AS73" s="47">
        <f ca="1">IFERROR(__xludf.DUMMYFUNCTION("SUM( FILTER(C73:AK73, ISNUMBER(SEARCH(""Practice"", $C$1:$AK$1)) ) )  / 
  SUM( FILTER(C$77:AK$77, ISNUMBER(SEARCH(""Practice"", $C$1:$AK$1))))*0.1
+
(SUM( FILTER(C73:P73, ISNUMBER(SEARCH(""after RETAKE"", $C$1:$P$1)) ) ) +
SUM( FILTER(P73:AK73, ISNUMBER("&amp;"SEARCH(""after RETAKE"", $P$1:$AK$1)) ) )
)  / 
  SUM( FILTER(C$77:AK$77, ISNUMBER(SEARCH(""BEFORE RETAKE"", $C$1:$AK$1))))*0.6 
+
0.3*AL73"),0.636686868686868)</f>
        <v>0.63668686868686797</v>
      </c>
      <c r="AT73" s="47">
        <v>0.64768686870000003</v>
      </c>
      <c r="AU73" s="48">
        <f t="shared" si="5"/>
        <v>0.68686868686868685</v>
      </c>
      <c r="AV73" s="21">
        <v>13</v>
      </c>
      <c r="AW73" s="23">
        <f t="shared" si="6"/>
        <v>43</v>
      </c>
    </row>
    <row r="74" spans="1:49" ht="12.75" x14ac:dyDescent="0.2">
      <c r="A74" s="24" t="s">
        <v>740</v>
      </c>
      <c r="B74" s="24"/>
      <c r="C74" s="24"/>
      <c r="D74" s="50">
        <f t="shared" ref="D74:AI74" si="7">AVERAGE(D3:D73)</f>
        <v>0.65833333333333333</v>
      </c>
      <c r="E74" s="50">
        <f t="shared" si="7"/>
        <v>0.68333333333333335</v>
      </c>
      <c r="F74" s="50">
        <f t="shared" si="7"/>
        <v>0.57786885245901642</v>
      </c>
      <c r="G74" s="50">
        <f t="shared" si="7"/>
        <v>0.45081967213114754</v>
      </c>
      <c r="H74" s="50">
        <f t="shared" si="7"/>
        <v>0.31147540983606559</v>
      </c>
      <c r="I74" s="50">
        <f t="shared" si="7"/>
        <v>0.42622950819672129</v>
      </c>
      <c r="J74" s="50">
        <f t="shared" si="7"/>
        <v>4.75</v>
      </c>
      <c r="K74" s="50">
        <f t="shared" si="7"/>
        <v>44.661290322580648</v>
      </c>
      <c r="L74" s="50">
        <f t="shared" si="7"/>
        <v>77.85507246376811</v>
      </c>
      <c r="M74" s="51">
        <f t="shared" ca="1" si="7"/>
        <v>0.82883329485107315</v>
      </c>
      <c r="N74" s="24">
        <f t="shared" si="7"/>
        <v>79.15384615384616</v>
      </c>
      <c r="O74" s="50">
        <f t="shared" si="7"/>
        <v>78.98571428571428</v>
      </c>
      <c r="P74" s="51">
        <f t="shared" ca="1" si="7"/>
        <v>0.84210090048487596</v>
      </c>
      <c r="Q74" s="50">
        <f t="shared" si="7"/>
        <v>0.57746478873239437</v>
      </c>
      <c r="R74" s="50">
        <f t="shared" si="7"/>
        <v>0.5140845070422535</v>
      </c>
      <c r="S74" s="50">
        <f t="shared" si="7"/>
        <v>4.626760563380282</v>
      </c>
      <c r="T74" s="50">
        <f t="shared" si="7"/>
        <v>43.971428571428568</v>
      </c>
      <c r="U74" s="50">
        <f t="shared" si="7"/>
        <v>76.647887323943664</v>
      </c>
      <c r="V74" s="51">
        <f t="shared" ca="1" si="7"/>
        <v>0.84384805442826405</v>
      </c>
      <c r="W74" s="24">
        <f t="shared" si="7"/>
        <v>76</v>
      </c>
      <c r="X74" s="50">
        <f t="shared" si="7"/>
        <v>77.436619718309856</v>
      </c>
      <c r="Y74" s="51">
        <f t="shared" ca="1" si="7"/>
        <v>0.84621425161136266</v>
      </c>
      <c r="Z74" s="50">
        <f t="shared" si="7"/>
        <v>2.5774647887323945</v>
      </c>
      <c r="AA74" s="50">
        <f t="shared" si="7"/>
        <v>2.795774647887324</v>
      </c>
      <c r="AB74" s="50">
        <f t="shared" si="7"/>
        <v>2.788732394366197</v>
      </c>
      <c r="AC74" s="50">
        <f t="shared" si="7"/>
        <v>2.6901408450704225</v>
      </c>
      <c r="AD74" s="50">
        <f t="shared" si="7"/>
        <v>1.8591549295774648</v>
      </c>
      <c r="AE74" s="50">
        <f t="shared" si="7"/>
        <v>1.6901408450704225</v>
      </c>
      <c r="AF74" s="50">
        <f t="shared" si="7"/>
        <v>43.408450704225352</v>
      </c>
      <c r="AG74" s="50">
        <f t="shared" si="7"/>
        <v>71.760563380281695</v>
      </c>
      <c r="AH74" s="51">
        <f t="shared" ca="1" si="7"/>
        <v>0.83118416559965824</v>
      </c>
      <c r="AI74" s="24">
        <f t="shared" si="7"/>
        <v>75.270270270270274</v>
      </c>
      <c r="AJ74" s="24"/>
      <c r="AK74" s="51">
        <f t="shared" ref="AK74:AW74" ca="1" si="8">AVERAGE(AK3:AK73)</f>
        <v>0.83600106700810883</v>
      </c>
      <c r="AL74" s="47">
        <f t="shared" si="8"/>
        <v>0.71671428571428553</v>
      </c>
      <c r="AM74" s="24">
        <f t="shared" si="8"/>
        <v>2.492957746478873</v>
      </c>
      <c r="AN74" s="24">
        <f t="shared" si="8"/>
        <v>0.94366197183098588</v>
      </c>
      <c r="AO74" s="24">
        <f t="shared" si="8"/>
        <v>3.084507042253521</v>
      </c>
      <c r="AP74" s="50">
        <f t="shared" si="8"/>
        <v>75.302816901408448</v>
      </c>
      <c r="AQ74" s="50">
        <f t="shared" si="8"/>
        <v>76.814553990610335</v>
      </c>
      <c r="AR74" s="47">
        <f t="shared" ca="1" si="8"/>
        <v>0.7422409090909089</v>
      </c>
      <c r="AS74" s="47">
        <f t="shared" ca="1" si="8"/>
        <v>0.75321233766233742</v>
      </c>
      <c r="AT74" s="47">
        <f t="shared" si="8"/>
        <v>0.77386948051857141</v>
      </c>
      <c r="AU74" s="47">
        <f t="shared" si="8"/>
        <v>0.77043320529236026</v>
      </c>
      <c r="AV74" s="24">
        <f t="shared" si="8"/>
        <v>6.52112676056338</v>
      </c>
      <c r="AW74" s="50">
        <f t="shared" si="8"/>
        <v>43.970657276995325</v>
      </c>
    </row>
    <row r="75" spans="1:49" ht="12.75" x14ac:dyDescent="0.2">
      <c r="A75" s="24" t="s">
        <v>741</v>
      </c>
      <c r="B75" s="24"/>
      <c r="C75" s="24"/>
      <c r="D75" s="24"/>
      <c r="E75" s="24"/>
      <c r="F75" s="24"/>
      <c r="G75" s="24"/>
      <c r="H75" s="24"/>
      <c r="I75" s="24"/>
      <c r="J75" s="24"/>
      <c r="K75" s="50">
        <f t="shared" ref="K75:P75" si="9">MEDIAN(K3:K74)</f>
        <v>48</v>
      </c>
      <c r="L75" s="50">
        <f t="shared" si="9"/>
        <v>77.927536231884062</v>
      </c>
      <c r="M75" s="47">
        <f t="shared" ca="1" si="9"/>
        <v>0.83095763103209364</v>
      </c>
      <c r="N75" s="24">
        <f t="shared" si="9"/>
        <v>78</v>
      </c>
      <c r="O75" s="50">
        <f t="shared" si="9"/>
        <v>78</v>
      </c>
      <c r="P75" s="47">
        <f t="shared" ca="1" si="9"/>
        <v>0.84174717155391299</v>
      </c>
      <c r="Q75" s="24"/>
      <c r="R75" s="24"/>
      <c r="S75" s="24"/>
      <c r="T75" s="50">
        <f t="shared" ref="T75:Y75" si="10">MEDIAN(T3:T74)</f>
        <v>45</v>
      </c>
      <c r="U75" s="50">
        <f t="shared" si="10"/>
        <v>78</v>
      </c>
      <c r="V75" s="47">
        <f t="shared" ca="1" si="10"/>
        <v>0.83820338983050802</v>
      </c>
      <c r="W75" s="24">
        <f t="shared" si="10"/>
        <v>75</v>
      </c>
      <c r="X75" s="50">
        <f t="shared" si="10"/>
        <v>78</v>
      </c>
      <c r="Y75" s="47">
        <f t="shared" ca="1" si="10"/>
        <v>0.84775966817856241</v>
      </c>
      <c r="Z75" s="24"/>
      <c r="AA75" s="24"/>
      <c r="AB75" s="24"/>
      <c r="AC75" s="24"/>
      <c r="AD75" s="24"/>
      <c r="AE75" s="24"/>
      <c r="AF75" s="24"/>
      <c r="AG75" s="24"/>
      <c r="AH75" s="47">
        <f t="shared" ref="AH75:AS75" ca="1" si="11">MEDIAN(AH3:AH74)</f>
        <v>0.82799999999999951</v>
      </c>
      <c r="AI75" s="47">
        <f t="shared" si="11"/>
        <v>78</v>
      </c>
      <c r="AJ75" s="47">
        <f t="shared" si="11"/>
        <v>75</v>
      </c>
      <c r="AK75" s="47">
        <f t="shared" ca="1" si="11"/>
        <v>0.83654598804950897</v>
      </c>
      <c r="AL75" s="47">
        <f t="shared" si="11"/>
        <v>0.72</v>
      </c>
      <c r="AM75" s="24">
        <f t="shared" si="11"/>
        <v>2</v>
      </c>
      <c r="AN75" s="24">
        <f t="shared" si="11"/>
        <v>1</v>
      </c>
      <c r="AO75" s="24">
        <f t="shared" si="11"/>
        <v>3</v>
      </c>
      <c r="AP75" s="50">
        <f t="shared" si="11"/>
        <v>75.151408450704224</v>
      </c>
      <c r="AQ75" s="50">
        <f t="shared" si="11"/>
        <v>77</v>
      </c>
      <c r="AR75" s="47">
        <f t="shared" ca="1" si="11"/>
        <v>0.7422409090909089</v>
      </c>
      <c r="AS75" s="47">
        <f t="shared" ca="1" si="11"/>
        <v>0.75321233766233742</v>
      </c>
      <c r="AT75" s="24"/>
      <c r="AU75" s="47">
        <f t="shared" ref="AU75:AW75" si="12">MEDIAN(AU3:AU74)</f>
        <v>0.78030303030303028</v>
      </c>
      <c r="AV75" s="24">
        <f t="shared" si="12"/>
        <v>6</v>
      </c>
      <c r="AW75" s="50">
        <f t="shared" si="12"/>
        <v>46.666666666666664</v>
      </c>
    </row>
    <row r="76" spans="1:49" ht="12.75" x14ac:dyDescent="0.2">
      <c r="A76" s="24" t="s">
        <v>742</v>
      </c>
      <c r="B76" s="24"/>
      <c r="C76" s="24"/>
      <c r="D76" s="24"/>
      <c r="E76" s="24"/>
      <c r="F76" s="24"/>
      <c r="G76" s="24"/>
      <c r="H76" s="24"/>
      <c r="I76" s="24"/>
      <c r="J76" s="24"/>
      <c r="K76" s="24">
        <f t="shared" ref="K76:P76" si="13">STDEV(K3:K73)</f>
        <v>7.741613227031821</v>
      </c>
      <c r="L76" s="24">
        <f t="shared" si="13"/>
        <v>13.679391285819495</v>
      </c>
      <c r="M76" s="24">
        <f t="shared" ca="1" si="13"/>
        <v>0.12474590229290627</v>
      </c>
      <c r="N76" s="24">
        <f t="shared" si="13"/>
        <v>10.106484336356834</v>
      </c>
      <c r="O76" s="24">
        <f t="shared" si="13"/>
        <v>12.180398671687307</v>
      </c>
      <c r="P76" s="47">
        <f t="shared" ca="1" si="13"/>
        <v>0.10347952049429834</v>
      </c>
      <c r="Q76" s="24"/>
      <c r="R76" s="24"/>
      <c r="S76" s="24"/>
      <c r="T76" s="24">
        <f t="shared" ref="T76:Y76" si="14">STDEV(T3:T73)</f>
        <v>6.6255356438017747</v>
      </c>
      <c r="U76" s="24">
        <f t="shared" si="14"/>
        <v>13.981721324183322</v>
      </c>
      <c r="V76" s="24">
        <f t="shared" ca="1" si="14"/>
        <v>8.1315798317082216E-2</v>
      </c>
      <c r="W76" s="24">
        <f t="shared" si="14"/>
        <v>8.8436715404739843</v>
      </c>
      <c r="X76" s="24">
        <f t="shared" si="14"/>
        <v>13.74017300199487</v>
      </c>
      <c r="Y76" s="47">
        <f t="shared" ca="1" si="14"/>
        <v>8.0037582460960488E-2</v>
      </c>
      <c r="Z76" s="24"/>
      <c r="AA76" s="24"/>
      <c r="AB76" s="24"/>
      <c r="AC76" s="24"/>
      <c r="AD76" s="24"/>
      <c r="AE76" s="24"/>
      <c r="AF76" s="24"/>
      <c r="AG76" s="24"/>
      <c r="AH76" s="47">
        <f t="shared" ref="AH76:AS76" ca="1" si="15">STDEV(AH3:AH73)</f>
        <v>8.4202274851013975E-2</v>
      </c>
      <c r="AI76" s="47">
        <f t="shared" si="15"/>
        <v>17.176613054849792</v>
      </c>
      <c r="AJ76" s="47">
        <f t="shared" si="15"/>
        <v>16.22782963702695</v>
      </c>
      <c r="AK76" s="47">
        <f t="shared" ca="1" si="15"/>
        <v>8.6349377914291148E-2</v>
      </c>
      <c r="AL76" s="47">
        <f t="shared" si="15"/>
        <v>0.15444825997838912</v>
      </c>
      <c r="AM76" s="24">
        <f t="shared" si="15"/>
        <v>2.3837140254929894</v>
      </c>
      <c r="AN76" s="24">
        <f t="shared" si="15"/>
        <v>0.96934917700577361</v>
      </c>
      <c r="AO76" s="24">
        <f t="shared" si="15"/>
        <v>2.5564846336507787</v>
      </c>
      <c r="AP76" s="24">
        <f t="shared" si="15"/>
        <v>12.149508771151318</v>
      </c>
      <c r="AQ76" s="24">
        <f t="shared" si="15"/>
        <v>12.278919517630777</v>
      </c>
      <c r="AR76" s="24">
        <f t="shared" ca="1" si="15"/>
        <v>0.1266433436473296</v>
      </c>
      <c r="AS76" s="24">
        <f t="shared" ca="1" si="15"/>
        <v>0.12477604209269179</v>
      </c>
      <c r="AT76" s="24"/>
      <c r="AU76" s="24">
        <f t="shared" ref="AU76:AW76" si="16">STDEV(AU3:AU73)</f>
        <v>0.17555984354677756</v>
      </c>
      <c r="AV76" s="24">
        <f t="shared" si="16"/>
        <v>5.1957651847567918</v>
      </c>
      <c r="AW76" s="24">
        <f t="shared" si="16"/>
        <v>6.907482407694415</v>
      </c>
    </row>
    <row r="77" spans="1:49" ht="12.75" x14ac:dyDescent="0.2">
      <c r="A77" s="21" t="s">
        <v>743</v>
      </c>
      <c r="B77" s="21"/>
      <c r="D77" s="21">
        <v>1</v>
      </c>
      <c r="E77" s="21">
        <v>1</v>
      </c>
      <c r="F77" s="21">
        <v>1</v>
      </c>
      <c r="G77" s="21">
        <v>1</v>
      </c>
      <c r="H77" s="21">
        <v>1</v>
      </c>
      <c r="I77" s="21">
        <v>1</v>
      </c>
      <c r="J77" s="21">
        <v>5</v>
      </c>
      <c r="K77" s="21">
        <v>50</v>
      </c>
      <c r="L77" s="21">
        <v>100</v>
      </c>
      <c r="M77" s="48"/>
      <c r="N77" s="21">
        <v>100</v>
      </c>
      <c r="O77" s="21">
        <v>100</v>
      </c>
      <c r="P77" s="48"/>
      <c r="Q77" s="21">
        <v>1</v>
      </c>
      <c r="R77" s="21">
        <v>1</v>
      </c>
      <c r="S77" s="21">
        <v>5</v>
      </c>
      <c r="T77" s="21">
        <v>50</v>
      </c>
      <c r="U77" s="21">
        <v>100</v>
      </c>
      <c r="V77" s="48"/>
      <c r="W77" s="21">
        <v>100</v>
      </c>
      <c r="X77" s="21">
        <v>100</v>
      </c>
      <c r="Y77" s="48"/>
      <c r="Z77" s="21">
        <v>5</v>
      </c>
      <c r="AA77" s="21">
        <v>5</v>
      </c>
      <c r="AB77" s="21">
        <v>5</v>
      </c>
      <c r="AC77" s="21">
        <v>5</v>
      </c>
      <c r="AD77" s="21">
        <v>5</v>
      </c>
      <c r="AE77" s="21">
        <v>5</v>
      </c>
      <c r="AF77" s="21">
        <v>50</v>
      </c>
      <c r="AG77" s="21">
        <v>100</v>
      </c>
      <c r="AH77" s="48"/>
      <c r="AI77" s="21">
        <v>100</v>
      </c>
      <c r="AJ77" s="21">
        <v>100</v>
      </c>
      <c r="AK77" s="48"/>
      <c r="AL77" s="48"/>
      <c r="AR77" s="47"/>
      <c r="AS77" s="47"/>
      <c r="AT77" s="47"/>
      <c r="AU77" s="48"/>
    </row>
    <row r="78" spans="1:49" ht="12.75" x14ac:dyDescent="0.2">
      <c r="M78" s="48"/>
      <c r="P78" s="48"/>
      <c r="V78" s="48"/>
      <c r="Y78" s="48"/>
      <c r="AH78" s="48"/>
      <c r="AK78" s="48"/>
      <c r="AL78" s="48"/>
      <c r="AR78" s="47"/>
      <c r="AS78" s="47"/>
      <c r="AT78" s="47"/>
      <c r="AU78" s="48"/>
    </row>
    <row r="79" spans="1:49" ht="15.75" x14ac:dyDescent="0.25">
      <c r="C79" s="52" t="s">
        <v>744</v>
      </c>
      <c r="M79" s="48"/>
      <c r="P79" s="48"/>
      <c r="V79" s="48"/>
      <c r="Y79" s="48"/>
      <c r="AH79" s="48"/>
      <c r="AK79" s="48"/>
      <c r="AL79" s="48"/>
      <c r="AR79" s="47"/>
      <c r="AS79" s="47"/>
      <c r="AT79" s="47"/>
      <c r="AU79" s="48"/>
    </row>
    <row r="81" spans="3:24" ht="25.5" x14ac:dyDescent="0.2">
      <c r="C81" s="25" t="s">
        <v>745</v>
      </c>
      <c r="D81" s="25" t="s">
        <v>746</v>
      </c>
      <c r="E81" s="25" t="s">
        <v>747</v>
      </c>
      <c r="F81" s="25" t="s">
        <v>748</v>
      </c>
      <c r="M81" s="48"/>
      <c r="P81" s="48"/>
      <c r="V81" s="48"/>
    </row>
    <row r="82" spans="3:24" ht="12.75" x14ac:dyDescent="0.2">
      <c r="C82" s="38">
        <f>COUNTIF(N3:N73, "&gt;0")</f>
        <v>13</v>
      </c>
      <c r="D82" s="38">
        <f>COUNTIF(W3:W73, "&gt;0")</f>
        <v>20</v>
      </c>
      <c r="E82" s="38">
        <f>COUNTIF(AI3:AI73, "&gt;0")</f>
        <v>37</v>
      </c>
      <c r="F82" s="21">
        <f>SUM(C82:E82)</f>
        <v>70</v>
      </c>
      <c r="M82" s="48"/>
      <c r="P82" s="48"/>
      <c r="V82" s="48"/>
    </row>
    <row r="83" spans="3:24" ht="12.75" x14ac:dyDescent="0.2">
      <c r="M83" s="48"/>
      <c r="P83" s="48"/>
      <c r="V83" s="48"/>
    </row>
    <row r="84" spans="3:24" ht="12.75" x14ac:dyDescent="0.2">
      <c r="D84" s="38"/>
      <c r="E84" s="38"/>
      <c r="M84" s="48"/>
      <c r="P84" s="48"/>
      <c r="V84" s="48"/>
    </row>
    <row r="85" spans="3:24" ht="63.75" x14ac:dyDescent="0.2">
      <c r="C85" s="25" t="s">
        <v>749</v>
      </c>
      <c r="D85" s="25" t="s">
        <v>750</v>
      </c>
      <c r="E85" s="25" t="s">
        <v>751</v>
      </c>
      <c r="F85" s="25" t="s">
        <v>752</v>
      </c>
      <c r="J85" s="25" t="s">
        <v>753</v>
      </c>
      <c r="K85" s="25" t="s">
        <v>754</v>
      </c>
      <c r="L85" s="25" t="s">
        <v>755</v>
      </c>
      <c r="M85" s="53"/>
      <c r="N85" s="25" t="s">
        <v>756</v>
      </c>
      <c r="P85" s="48"/>
      <c r="T85" s="25" t="s">
        <v>757</v>
      </c>
      <c r="U85" s="25" t="s">
        <v>758</v>
      </c>
      <c r="V85" s="53"/>
      <c r="W85" s="25" t="s">
        <v>759</v>
      </c>
      <c r="X85" s="25" t="s">
        <v>760</v>
      </c>
    </row>
    <row r="86" spans="3:24" ht="12.75" x14ac:dyDescent="0.2">
      <c r="C86" s="21">
        <f ca="1">IFERROR(__xludf.DUMMYFUNCTION(" COUNT(
FILTER(L3:L73, 
ISNUMBER(N3:N73), 
ISNUMBER(N3:N73), 
L3:L73 &gt;= N3:N73
)
)
"),3)</f>
        <v>3</v>
      </c>
      <c r="D86" s="21">
        <f ca="1">IFERROR(__xludf.DUMMYFUNCTION(" COUNT(
FILTER(L3:L73, 
ISNUMBER(N3:N73), 
ISNUMBER(N3:N73), 
N3:N73-L3:L73 &gt; 0,  N3:N73-L3:L73 &lt; 5 
)
)
"),1)</f>
        <v>1</v>
      </c>
      <c r="E86" s="21">
        <f ca="1">IFERROR(__xludf.DUMMYFUNCTION(" COUNT(
FILTER(L3:L73, 
ISNUMBER(N3:N73), 
ISNUMBER(N3:N73), 
N3:N73-L3:L73 &gt;= 5,  N3:N73-L3:L73 &lt;10 
)
)
"),5)</f>
        <v>5</v>
      </c>
      <c r="F86" s="21">
        <f ca="1">IFERROR(__xludf.DUMMYFUNCTION(" COUNT(
FILTER(L3:L73, 
ISNUMBER(N3:N73), 
ISNUMBER(N3:N73), 
N3:N73-L3:L73 &gt;= 10 
)
)"),4)</f>
        <v>4</v>
      </c>
      <c r="J86" s="21">
        <f ca="1">IFERROR(__xludf.DUMMYFUNCTION(" COUNT(
FILTER(U3:U73, 
ISNUMBER(W3:W73), 
ISNUMBER(W3:W73), 
U3:U73 &gt;= W3:W73
)
)
"),9)</f>
        <v>9</v>
      </c>
      <c r="K86" s="21">
        <f ca="1">IFERROR(__xludf.DUMMYFUNCTION(" COUNT(
FILTER(U3:U73, 
ISNUMBER(W3:W73), 
ISNUMBER(W3:W73), 
W3:W73-U3:U73 &gt; 0,  W3:W73-U3:U73 &lt; 5 
)
)
"),4)</f>
        <v>4</v>
      </c>
      <c r="L86" s="21">
        <f ca="1">IFERROR(__xludf.DUMMYFUNCTION(" COUNT(
FILTER(U3:U73, 
ISNUMBER(W3:W73), 
ISNUMBER(W3:W73), 
W3:W73-U3:U73 &gt;= 5,  W3:W73-U3:U73 &lt;10 
)
)
"),6)</f>
        <v>6</v>
      </c>
      <c r="M86" s="48"/>
      <c r="N86" s="21">
        <f ca="1">IFERROR(__xludf.DUMMYFUNCTION(" COUNT(
FILTER(U3:U73, 
ISNUMBER(W3:W73), 
ISNUMBER(W3:W73), 
W3:W73-U3:U73 &gt;= 10 
)
)"),1)</f>
        <v>1</v>
      </c>
      <c r="P86" s="48"/>
      <c r="T86" s="21">
        <f ca="1">IFERROR(__xludf.DUMMYFUNCTION(" COUNT(
FILTER(AG3:AG73, 
ISNUMBER(AG3:AG73), 
ISNUMBER(AI3:AI73), 
AG3:AG73 &gt;= AI3:AI73
)
)
"),14)</f>
        <v>14</v>
      </c>
      <c r="U86" s="21">
        <f ca="1">IFERROR(__xludf.DUMMYFUNCTION(" COUNT(
FILTER(AG3:AG73, 
ISNUMBER(AG3:AG73), 
ISNUMBER(AI3:AI73), 
 AI3:AI73 - AG3:AG73 &gt; 0,AI3:AI73 - AG3:AG73 &lt; 5 
)
)"),6)</f>
        <v>6</v>
      </c>
      <c r="V86" s="48"/>
      <c r="W86" s="21">
        <f ca="1">IFERROR(__xludf.DUMMYFUNCTION(" COUNT(
FILTER(AG3:AG73, 
ISNUMBER(AG3:AG73), 
ISNUMBER(AI3:AI73), 
 AI3:AI73 - AG3:AG73 &gt;= 5,AI3:AI73 - AG3:AG73 &lt; 10 
)
)
"),8)</f>
        <v>8</v>
      </c>
      <c r="X86" s="21">
        <f ca="1">IFERROR(__xludf.DUMMYFUNCTION(" COUNT(
FILTER(AG3:AG73, 
ISNUMBER(AG3:AG73), 
ISNUMBER(AI3:AI73), 
 AI3:AI73 - AG3:AG73 &gt;= 10 
)
)"),9)</f>
        <v>9</v>
      </c>
    </row>
  </sheetData>
  <conditionalFormatting sqref="AU1:AU73 AU77:AU1001">
    <cfRule type="cellIs" dxfId="0" priority="1" operator="greaterThan">
      <formula>"100%"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Raw Summary Data</vt:lpstr>
      <vt:lpstr>Alg 2 Raw</vt:lpstr>
      <vt:lpstr>Geo Raw</vt:lpstr>
      <vt:lpstr>Alg 2 Data</vt:lpstr>
      <vt:lpstr>Geo Data</vt:lpstr>
      <vt:lpstr>Alg 2 Assignment Points</vt:lpstr>
      <vt:lpstr>Geo Assignment Points</vt:lpstr>
      <vt:lpstr>Student Data</vt:lpstr>
      <vt:lpstr>All Alg 2 Simple Analysis</vt:lpstr>
      <vt:lpstr>Alg 2 Summary</vt:lpstr>
      <vt:lpstr>All Geo</vt:lpstr>
      <vt:lpstr>P1 Geo</vt:lpstr>
      <vt:lpstr>Pivot Table 2</vt:lpstr>
      <vt:lpstr>P3 Alg 2</vt:lpstr>
      <vt:lpstr>P4 Alg 2</vt:lpstr>
      <vt:lpstr>P5 Geo</vt:lpstr>
      <vt:lpstr>P6 Geo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Zahir Yahya</dc:creator>
  <cp:lastModifiedBy>zyahya</cp:lastModifiedBy>
  <dcterms:created xsi:type="dcterms:W3CDTF">2025-01-24T03:49:55Z</dcterms:created>
  <dcterms:modified xsi:type="dcterms:W3CDTF">2025-01-24T04:00:00Z</dcterms:modified>
</cp:coreProperties>
</file>