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1"/>
  </bookViews>
  <sheets>
    <sheet name="Investment" sheetId="1" r:id="rId1"/>
    <sheet name="Worst" sheetId="2" r:id="rId2"/>
    <sheet name="Mid" sheetId="3" r:id="rId3"/>
    <sheet name="Best" sheetId="4" r:id="rId4"/>
    <sheet name="Cost Breakdown" sheetId="5" r:id="rId5"/>
  </sheets>
  <calcPr calcId="144525"/>
</workbook>
</file>

<file path=xl/calcChain.xml><?xml version="1.0" encoding="utf-8"?>
<calcChain xmlns="http://schemas.openxmlformats.org/spreadsheetml/2006/main">
  <c r="F47" i="2" l="1"/>
  <c r="F11" i="2"/>
  <c r="D11" i="2"/>
  <c r="C11" i="2"/>
  <c r="C16" i="2"/>
  <c r="C12" i="2"/>
  <c r="C13" i="2"/>
  <c r="C5" i="2"/>
  <c r="C4" i="2"/>
  <c r="C3" i="2"/>
  <c r="T58" i="5"/>
  <c r="T60" i="5" s="1"/>
  <c r="E34" i="5"/>
  <c r="E33" i="5"/>
  <c r="K32" i="5"/>
  <c r="E32" i="5"/>
  <c r="K31" i="5"/>
  <c r="E31" i="5"/>
  <c r="K30" i="5"/>
  <c r="E30" i="5"/>
  <c r="K29" i="5"/>
  <c r="K33" i="5" s="1"/>
  <c r="B6" i="5" s="1"/>
  <c r="C6" i="5" s="1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E29" i="5"/>
  <c r="E35" i="5" s="1"/>
  <c r="B4" i="5" s="1"/>
  <c r="C4" i="5" s="1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E24" i="5"/>
  <c r="E23" i="5"/>
  <c r="K22" i="5"/>
  <c r="E22" i="5"/>
  <c r="K21" i="5"/>
  <c r="E21" i="5"/>
  <c r="K20" i="5"/>
  <c r="E20" i="5"/>
  <c r="K19" i="5"/>
  <c r="E19" i="5"/>
  <c r="K18" i="5"/>
  <c r="E18" i="5"/>
  <c r="K17" i="5"/>
  <c r="E17" i="5"/>
  <c r="K16" i="5"/>
  <c r="E16" i="5"/>
  <c r="K15" i="5"/>
  <c r="E15" i="5"/>
  <c r="K14" i="5"/>
  <c r="E14" i="5"/>
  <c r="K13" i="5"/>
  <c r="K23" i="5" s="1"/>
  <c r="B5" i="5" s="1"/>
  <c r="C5" i="5" s="1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E13" i="5"/>
  <c r="E25" i="5" s="1"/>
  <c r="B3" i="5" s="1"/>
  <c r="B9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D46" i="4"/>
  <c r="K42" i="4"/>
  <c r="J42" i="4"/>
  <c r="D42" i="4"/>
  <c r="K41" i="4"/>
  <c r="J41" i="4"/>
  <c r="D41" i="4"/>
  <c r="K40" i="4"/>
  <c r="J40" i="4"/>
  <c r="D40" i="4"/>
  <c r="K39" i="4"/>
  <c r="J39" i="4"/>
  <c r="D39" i="4"/>
  <c r="K38" i="4"/>
  <c r="J38" i="4"/>
  <c r="D38" i="4"/>
  <c r="D37" i="4"/>
  <c r="D3" i="4"/>
  <c r="D4" i="4" s="1"/>
  <c r="D5" i="4" s="1"/>
  <c r="C3" i="4"/>
  <c r="C4" i="4" s="1"/>
  <c r="C5" i="4" s="1"/>
  <c r="E2" i="4"/>
  <c r="F2" i="4" s="1"/>
  <c r="D46" i="3"/>
  <c r="K42" i="3"/>
  <c r="J42" i="3"/>
  <c r="D42" i="3"/>
  <c r="K41" i="3"/>
  <c r="J41" i="3"/>
  <c r="D41" i="3"/>
  <c r="K40" i="3"/>
  <c r="J40" i="3"/>
  <c r="D40" i="3"/>
  <c r="K39" i="3"/>
  <c r="J39" i="3"/>
  <c r="D39" i="3"/>
  <c r="K38" i="3"/>
  <c r="J38" i="3"/>
  <c r="D38" i="3"/>
  <c r="D37" i="3"/>
  <c r="D3" i="3"/>
  <c r="D4" i="3" s="1"/>
  <c r="D5" i="3" s="1"/>
  <c r="C3" i="3"/>
  <c r="C4" i="3" s="1"/>
  <c r="C5" i="3" s="1"/>
  <c r="E2" i="3"/>
  <c r="F2" i="3" s="1"/>
  <c r="D46" i="2"/>
  <c r="K42" i="2"/>
  <c r="J42" i="2"/>
  <c r="D42" i="2"/>
  <c r="K41" i="2"/>
  <c r="J41" i="2"/>
  <c r="D41" i="2"/>
  <c r="K40" i="2"/>
  <c r="J40" i="2"/>
  <c r="D40" i="2"/>
  <c r="K39" i="2"/>
  <c r="J39" i="2"/>
  <c r="D39" i="2"/>
  <c r="K38" i="2"/>
  <c r="J38" i="2"/>
  <c r="D38" i="2"/>
  <c r="D37" i="2"/>
  <c r="D3" i="2"/>
  <c r="D4" i="2" s="1"/>
  <c r="D5" i="2" s="1"/>
  <c r="E2" i="2"/>
  <c r="F2" i="2" s="1"/>
  <c r="D15" i="1"/>
  <c r="F3" i="2" l="1"/>
  <c r="F4" i="2" s="1"/>
  <c r="F5" i="2" s="1"/>
  <c r="G2" i="2"/>
  <c r="F3" i="3"/>
  <c r="F4" i="3" s="1"/>
  <c r="F5" i="3" s="1"/>
  <c r="G2" i="3"/>
  <c r="E3" i="2"/>
  <c r="E4" i="2" s="1"/>
  <c r="E5" i="2" s="1"/>
  <c r="D47" i="4"/>
  <c r="D47" i="3"/>
  <c r="D47" i="2"/>
  <c r="D16" i="1"/>
  <c r="E3" i="3"/>
  <c r="E4" i="3" s="1"/>
  <c r="E5" i="3" s="1"/>
  <c r="G2" i="4"/>
  <c r="F3" i="4"/>
  <c r="F4" i="4" s="1"/>
  <c r="F5" i="4" s="1"/>
  <c r="E3" i="4"/>
  <c r="E4" i="4" s="1"/>
  <c r="E5" i="4" s="1"/>
  <c r="B8" i="5"/>
  <c r="C3" i="5"/>
  <c r="C6" i="4" l="1"/>
  <c r="C7" i="4" s="1"/>
  <c r="C6" i="3"/>
  <c r="C7" i="3" s="1"/>
  <c r="C6" i="2"/>
  <c r="C7" i="2" s="1"/>
  <c r="H2" i="4"/>
  <c r="G3" i="4"/>
  <c r="G4" i="4" s="1"/>
  <c r="G5" i="4" s="1"/>
  <c r="D17" i="1"/>
  <c r="E7" i="1" s="1"/>
  <c r="E6" i="1"/>
  <c r="G3" i="3"/>
  <c r="G4" i="3" s="1"/>
  <c r="G5" i="3" s="1"/>
  <c r="H2" i="3"/>
  <c r="H2" i="2"/>
  <c r="G3" i="2"/>
  <c r="G4" i="2" s="1"/>
  <c r="G5" i="2" s="1"/>
  <c r="D3" i="5"/>
  <c r="C8" i="5"/>
  <c r="E3" i="5" l="1"/>
  <c r="D8" i="5"/>
  <c r="C31" i="2"/>
  <c r="C32" i="2" s="1"/>
  <c r="C33" i="2" s="1"/>
  <c r="C26" i="2"/>
  <c r="C27" i="2" s="1"/>
  <c r="C28" i="2" s="1"/>
  <c r="C21" i="2"/>
  <c r="C22" i="2" s="1"/>
  <c r="C23" i="2" s="1"/>
  <c r="C17" i="2"/>
  <c r="C18" i="2" s="1"/>
  <c r="I2" i="2"/>
  <c r="H3" i="2"/>
  <c r="H4" i="2" s="1"/>
  <c r="H5" i="2" s="1"/>
  <c r="H3" i="4"/>
  <c r="H4" i="4" s="1"/>
  <c r="H5" i="4" s="1"/>
  <c r="I2" i="4"/>
  <c r="C31" i="4"/>
  <c r="C32" i="4" s="1"/>
  <c r="C33" i="4" s="1"/>
  <c r="C26" i="4"/>
  <c r="C27" i="4" s="1"/>
  <c r="C28" i="4" s="1"/>
  <c r="C21" i="4"/>
  <c r="C22" i="4" s="1"/>
  <c r="C23" i="4" s="1"/>
  <c r="C16" i="4"/>
  <c r="C17" i="4" s="1"/>
  <c r="C18" i="4" s="1"/>
  <c r="C11" i="4"/>
  <c r="C12" i="4" s="1"/>
  <c r="C13" i="4" s="1"/>
  <c r="C31" i="3"/>
  <c r="C32" i="3" s="1"/>
  <c r="C33" i="3" s="1"/>
  <c r="C26" i="3"/>
  <c r="C27" i="3" s="1"/>
  <c r="C28" i="3" s="1"/>
  <c r="C21" i="3"/>
  <c r="C22" i="3" s="1"/>
  <c r="C23" i="3" s="1"/>
  <c r="C16" i="3"/>
  <c r="C17" i="3" s="1"/>
  <c r="C18" i="3" s="1"/>
  <c r="C11" i="3"/>
  <c r="C12" i="3" s="1"/>
  <c r="C13" i="3" s="1"/>
  <c r="D6" i="4"/>
  <c r="D7" i="4" s="1"/>
  <c r="D6" i="3"/>
  <c r="D7" i="3" s="1"/>
  <c r="D6" i="2"/>
  <c r="D7" i="2" s="1"/>
  <c r="H3" i="3"/>
  <c r="H4" i="3" s="1"/>
  <c r="H5" i="3" s="1"/>
  <c r="I2" i="3"/>
  <c r="D31" i="4" l="1"/>
  <c r="D26" i="4"/>
  <c r="D21" i="4"/>
  <c r="D16" i="4"/>
  <c r="D11" i="4"/>
  <c r="J2" i="2"/>
  <c r="I3" i="2"/>
  <c r="I4" i="2" s="1"/>
  <c r="I5" i="2" s="1"/>
  <c r="D31" i="2"/>
  <c r="D26" i="2"/>
  <c r="D21" i="2"/>
  <c r="D16" i="2"/>
  <c r="J2" i="4"/>
  <c r="I3" i="4"/>
  <c r="I4" i="4" s="1"/>
  <c r="I5" i="4" s="1"/>
  <c r="D31" i="3"/>
  <c r="D26" i="3"/>
  <c r="D21" i="3"/>
  <c r="D16" i="3"/>
  <c r="D11" i="3"/>
  <c r="E6" i="4"/>
  <c r="E7" i="4" s="1"/>
  <c r="E6" i="3"/>
  <c r="E7" i="3" s="1"/>
  <c r="E6" i="2"/>
  <c r="E7" i="2" s="1"/>
  <c r="J2" i="3"/>
  <c r="I3" i="3"/>
  <c r="I4" i="3" s="1"/>
  <c r="I5" i="3" s="1"/>
  <c r="F3" i="5"/>
  <c r="E8" i="5"/>
  <c r="D22" i="2" l="1"/>
  <c r="D23" i="2" s="1"/>
  <c r="D22" i="4"/>
  <c r="D23" i="4" s="1"/>
  <c r="F8" i="5"/>
  <c r="G3" i="5"/>
  <c r="J3" i="3"/>
  <c r="J4" i="3" s="1"/>
  <c r="J5" i="3" s="1"/>
  <c r="K2" i="3"/>
  <c r="D22" i="3"/>
  <c r="D23" i="3" s="1"/>
  <c r="D27" i="3"/>
  <c r="D28" i="3" s="1"/>
  <c r="K2" i="4"/>
  <c r="J3" i="4"/>
  <c r="J4" i="4" s="1"/>
  <c r="J5" i="4" s="1"/>
  <c r="D27" i="2"/>
  <c r="D28" i="2" s="1"/>
  <c r="J3" i="2"/>
  <c r="J4" i="2" s="1"/>
  <c r="J5" i="2" s="1"/>
  <c r="K2" i="2"/>
  <c r="D27" i="4"/>
  <c r="D28" i="4" s="1"/>
  <c r="E31" i="2"/>
  <c r="E26" i="2"/>
  <c r="E27" i="2" s="1"/>
  <c r="E28" i="2" s="1"/>
  <c r="E21" i="2"/>
  <c r="E22" i="2" s="1"/>
  <c r="E23" i="2" s="1"/>
  <c r="E16" i="2"/>
  <c r="E11" i="2"/>
  <c r="E31" i="3"/>
  <c r="E26" i="3"/>
  <c r="E27" i="3" s="1"/>
  <c r="E28" i="3" s="1"/>
  <c r="E21" i="3"/>
  <c r="E22" i="3" s="1"/>
  <c r="E23" i="3" s="1"/>
  <c r="E16" i="3"/>
  <c r="E11" i="3"/>
  <c r="E12" i="3" s="1"/>
  <c r="E13" i="3" s="1"/>
  <c r="D12" i="3"/>
  <c r="D13" i="3" s="1"/>
  <c r="D32" i="3"/>
  <c r="D33" i="3" s="1"/>
  <c r="D12" i="2"/>
  <c r="D13" i="2" s="1"/>
  <c r="D32" i="2"/>
  <c r="D33" i="2" s="1"/>
  <c r="D12" i="4"/>
  <c r="D13" i="4" s="1"/>
  <c r="D32" i="4"/>
  <c r="D33" i="4" s="1"/>
  <c r="F6" i="4"/>
  <c r="F7" i="4" s="1"/>
  <c r="F6" i="3"/>
  <c r="F7" i="3" s="1"/>
  <c r="F6" i="2"/>
  <c r="F7" i="2" s="1"/>
  <c r="E31" i="4"/>
  <c r="E32" i="4" s="1"/>
  <c r="E33" i="4" s="1"/>
  <c r="E26" i="4"/>
  <c r="E27" i="4" s="1"/>
  <c r="E28" i="4" s="1"/>
  <c r="E21" i="4"/>
  <c r="E22" i="4" s="1"/>
  <c r="E23" i="4" s="1"/>
  <c r="E16" i="4"/>
  <c r="E11" i="4"/>
  <c r="E12" i="4" s="1"/>
  <c r="E13" i="4" s="1"/>
  <c r="D17" i="3"/>
  <c r="D18" i="3" s="1"/>
  <c r="D17" i="2"/>
  <c r="D18" i="2" s="1"/>
  <c r="D17" i="4"/>
  <c r="D18" i="4" s="1"/>
  <c r="F31" i="4" l="1"/>
  <c r="F32" i="4" s="1"/>
  <c r="F33" i="4" s="1"/>
  <c r="F26" i="4"/>
  <c r="F27" i="4" s="1"/>
  <c r="F28" i="4" s="1"/>
  <c r="F21" i="4"/>
  <c r="F22" i="4" s="1"/>
  <c r="F23" i="4" s="1"/>
  <c r="F16" i="4"/>
  <c r="F11" i="4"/>
  <c r="F12" i="4" s="1"/>
  <c r="F13" i="4" s="1"/>
  <c r="E17" i="2"/>
  <c r="E18" i="2" s="1"/>
  <c r="K3" i="3"/>
  <c r="K4" i="3" s="1"/>
  <c r="K5" i="3" s="1"/>
  <c r="L2" i="3"/>
  <c r="E17" i="4"/>
  <c r="E18" i="4" s="1"/>
  <c r="F31" i="2"/>
  <c r="F26" i="2"/>
  <c r="F27" i="2" s="1"/>
  <c r="F28" i="2" s="1"/>
  <c r="F21" i="2"/>
  <c r="F22" i="2" s="1"/>
  <c r="F23" i="2" s="1"/>
  <c r="F16" i="2"/>
  <c r="E32" i="3"/>
  <c r="E33" i="3" s="1"/>
  <c r="L2" i="2"/>
  <c r="K3" i="2"/>
  <c r="K4" i="2" s="1"/>
  <c r="K5" i="2" s="1"/>
  <c r="H3" i="5"/>
  <c r="G8" i="5"/>
  <c r="F31" i="3"/>
  <c r="F26" i="3"/>
  <c r="F27" i="3" s="1"/>
  <c r="F28" i="3" s="1"/>
  <c r="F21" i="3"/>
  <c r="F22" i="3" s="1"/>
  <c r="F23" i="3" s="1"/>
  <c r="F16" i="3"/>
  <c r="F11" i="3"/>
  <c r="F12" i="3" s="1"/>
  <c r="F13" i="3" s="1"/>
  <c r="E17" i="3"/>
  <c r="E18" i="3" s="1"/>
  <c r="E12" i="2"/>
  <c r="E13" i="2" s="1"/>
  <c r="E32" i="2"/>
  <c r="E33" i="2" s="1"/>
  <c r="L2" i="4"/>
  <c r="K3" i="4"/>
  <c r="K4" i="4" s="1"/>
  <c r="K5" i="4" s="1"/>
  <c r="G6" i="4"/>
  <c r="G7" i="4" s="1"/>
  <c r="G6" i="3"/>
  <c r="G7" i="3" s="1"/>
  <c r="G6" i="2"/>
  <c r="G7" i="2" s="1"/>
  <c r="G31" i="4" l="1"/>
  <c r="G26" i="4"/>
  <c r="G21" i="4"/>
  <c r="G16" i="4"/>
  <c r="G11" i="4"/>
  <c r="G12" i="4" s="1"/>
  <c r="G13" i="4" s="1"/>
  <c r="F32" i="3"/>
  <c r="F33" i="3" s="1"/>
  <c r="F17" i="3"/>
  <c r="F18" i="3" s="1"/>
  <c r="G31" i="2"/>
  <c r="G26" i="2"/>
  <c r="G27" i="2" s="1"/>
  <c r="G28" i="2" s="1"/>
  <c r="G21" i="2"/>
  <c r="G22" i="2" s="1"/>
  <c r="G23" i="2" s="1"/>
  <c r="G16" i="2"/>
  <c r="G11" i="2"/>
  <c r="M2" i="2"/>
  <c r="L3" i="2"/>
  <c r="L4" i="2" s="1"/>
  <c r="L5" i="2" s="1"/>
  <c r="F12" i="2"/>
  <c r="F13" i="2" s="1"/>
  <c r="F32" i="2"/>
  <c r="F33" i="2" s="1"/>
  <c r="H6" i="4"/>
  <c r="H7" i="4" s="1"/>
  <c r="H6" i="3"/>
  <c r="H7" i="3" s="1"/>
  <c r="H6" i="2"/>
  <c r="H7" i="2" s="1"/>
  <c r="G31" i="3"/>
  <c r="G32" i="3" s="1"/>
  <c r="G33" i="3" s="1"/>
  <c r="G26" i="3"/>
  <c r="G27" i="3" s="1"/>
  <c r="G28" i="3" s="1"/>
  <c r="G21" i="3"/>
  <c r="G16" i="3"/>
  <c r="G17" i="3" s="1"/>
  <c r="G18" i="3" s="1"/>
  <c r="G11" i="3"/>
  <c r="G12" i="3" s="1"/>
  <c r="G13" i="3" s="1"/>
  <c r="L3" i="4"/>
  <c r="L4" i="4" s="1"/>
  <c r="L5" i="4" s="1"/>
  <c r="M2" i="4"/>
  <c r="I3" i="5"/>
  <c r="H8" i="5"/>
  <c r="F17" i="2"/>
  <c r="F18" i="2" s="1"/>
  <c r="M2" i="3"/>
  <c r="L3" i="3"/>
  <c r="L4" i="3" s="1"/>
  <c r="L5" i="3" s="1"/>
  <c r="F17" i="4"/>
  <c r="F18" i="4" s="1"/>
  <c r="I6" i="4" l="1"/>
  <c r="I7" i="4" s="1"/>
  <c r="I6" i="3"/>
  <c r="I7" i="3" s="1"/>
  <c r="I6" i="2"/>
  <c r="I7" i="2" s="1"/>
  <c r="H31" i="4"/>
  <c r="H26" i="4"/>
  <c r="H21" i="4"/>
  <c r="H22" i="4" s="1"/>
  <c r="H23" i="4" s="1"/>
  <c r="H16" i="4"/>
  <c r="H11" i="4"/>
  <c r="G17" i="2"/>
  <c r="G18" i="2" s="1"/>
  <c r="G22" i="4"/>
  <c r="G23" i="4" s="1"/>
  <c r="G27" i="4"/>
  <c r="G28" i="4" s="1"/>
  <c r="N2" i="3"/>
  <c r="M3" i="3"/>
  <c r="M4" i="3" s="1"/>
  <c r="M5" i="3" s="1"/>
  <c r="J3" i="5"/>
  <c r="I8" i="5"/>
  <c r="G32" i="4"/>
  <c r="G33" i="4" s="1"/>
  <c r="H31" i="2"/>
  <c r="H26" i="2"/>
  <c r="H27" i="2" s="1"/>
  <c r="H28" i="2" s="1"/>
  <c r="H21" i="2"/>
  <c r="H16" i="2"/>
  <c r="H11" i="2"/>
  <c r="N2" i="4"/>
  <c r="M3" i="4"/>
  <c r="M4" i="4" s="1"/>
  <c r="M5" i="4" s="1"/>
  <c r="G22" i="3"/>
  <c r="G23" i="3" s="1"/>
  <c r="H31" i="3"/>
  <c r="H32" i="3" s="1"/>
  <c r="H33" i="3" s="1"/>
  <c r="H26" i="3"/>
  <c r="H27" i="3" s="1"/>
  <c r="H28" i="3" s="1"/>
  <c r="H21" i="3"/>
  <c r="H22" i="3" s="1"/>
  <c r="H23" i="3" s="1"/>
  <c r="H16" i="3"/>
  <c r="H17" i="3" s="1"/>
  <c r="H18" i="3" s="1"/>
  <c r="H11" i="3"/>
  <c r="H12" i="3" s="1"/>
  <c r="H13" i="3" s="1"/>
  <c r="N2" i="2"/>
  <c r="M3" i="2"/>
  <c r="M4" i="2" s="1"/>
  <c r="M5" i="2" s="1"/>
  <c r="G12" i="2"/>
  <c r="G13" i="2" s="1"/>
  <c r="G32" i="2"/>
  <c r="G33" i="2" s="1"/>
  <c r="G17" i="4"/>
  <c r="G18" i="4" s="1"/>
  <c r="H17" i="2" l="1"/>
  <c r="H18" i="2" s="1"/>
  <c r="J8" i="5"/>
  <c r="K3" i="5"/>
  <c r="H12" i="4"/>
  <c r="H13" i="4" s="1"/>
  <c r="H32" i="4"/>
  <c r="H33" i="4" s="1"/>
  <c r="I31" i="4"/>
  <c r="I26" i="4"/>
  <c r="I21" i="4"/>
  <c r="I16" i="4"/>
  <c r="I11" i="4"/>
  <c r="I12" i="4" s="1"/>
  <c r="I13" i="4" s="1"/>
  <c r="N3" i="2"/>
  <c r="N4" i="2" s="1"/>
  <c r="N5" i="2" s="1"/>
  <c r="O2" i="2"/>
  <c r="H22" i="2"/>
  <c r="H23" i="2" s="1"/>
  <c r="H17" i="4"/>
  <c r="H18" i="4" s="1"/>
  <c r="O2" i="4"/>
  <c r="N3" i="4"/>
  <c r="N4" i="4" s="1"/>
  <c r="N5" i="4" s="1"/>
  <c r="N3" i="3"/>
  <c r="N4" i="3" s="1"/>
  <c r="N5" i="3" s="1"/>
  <c r="O2" i="3"/>
  <c r="I31" i="2"/>
  <c r="I26" i="2"/>
  <c r="I27" i="2" s="1"/>
  <c r="I28" i="2" s="1"/>
  <c r="I21" i="2"/>
  <c r="I22" i="2" s="1"/>
  <c r="I23" i="2" s="1"/>
  <c r="I16" i="2"/>
  <c r="I17" i="2" s="1"/>
  <c r="I18" i="2" s="1"/>
  <c r="I11" i="2"/>
  <c r="H12" i="2"/>
  <c r="H13" i="2" s="1"/>
  <c r="H32" i="2"/>
  <c r="H33" i="2" s="1"/>
  <c r="J6" i="4"/>
  <c r="J7" i="4" s="1"/>
  <c r="J6" i="3"/>
  <c r="J7" i="3" s="1"/>
  <c r="J6" i="2"/>
  <c r="J7" i="2" s="1"/>
  <c r="H27" i="4"/>
  <c r="H28" i="4" s="1"/>
  <c r="I31" i="3"/>
  <c r="I32" i="3" s="1"/>
  <c r="I33" i="3" s="1"/>
  <c r="I26" i="3"/>
  <c r="I27" i="3" s="1"/>
  <c r="I28" i="3" s="1"/>
  <c r="I21" i="3"/>
  <c r="I22" i="3" s="1"/>
  <c r="I23" i="3" s="1"/>
  <c r="I16" i="3"/>
  <c r="I17" i="3" s="1"/>
  <c r="I18" i="3" s="1"/>
  <c r="I11" i="3"/>
  <c r="I12" i="3" s="1"/>
  <c r="I13" i="3" s="1"/>
  <c r="J31" i="2" l="1"/>
  <c r="J26" i="2"/>
  <c r="J27" i="2" s="1"/>
  <c r="J28" i="2" s="1"/>
  <c r="J21" i="2"/>
  <c r="J22" i="2" s="1"/>
  <c r="J23" i="2" s="1"/>
  <c r="J16" i="2"/>
  <c r="J17" i="2" s="1"/>
  <c r="J18" i="2" s="1"/>
  <c r="J11" i="2"/>
  <c r="P2" i="4"/>
  <c r="O3" i="4"/>
  <c r="O4" i="4" s="1"/>
  <c r="O5" i="4" s="1"/>
  <c r="P2" i="2"/>
  <c r="O3" i="2"/>
  <c r="O4" i="2" s="1"/>
  <c r="O5" i="2" s="1"/>
  <c r="I32" i="4"/>
  <c r="I33" i="4" s="1"/>
  <c r="L3" i="5"/>
  <c r="K8" i="5"/>
  <c r="J31" i="4"/>
  <c r="J32" i="4" s="1"/>
  <c r="J33" i="4" s="1"/>
  <c r="J26" i="4"/>
  <c r="J21" i="4"/>
  <c r="J16" i="4"/>
  <c r="J11" i="4"/>
  <c r="J12" i="4" s="1"/>
  <c r="J13" i="4" s="1"/>
  <c r="O3" i="3"/>
  <c r="O4" i="3" s="1"/>
  <c r="O5" i="3" s="1"/>
  <c r="P2" i="3"/>
  <c r="I17" i="4"/>
  <c r="I18" i="4" s="1"/>
  <c r="K6" i="4"/>
  <c r="K7" i="4" s="1"/>
  <c r="K6" i="3"/>
  <c r="K7" i="3" s="1"/>
  <c r="K6" i="2"/>
  <c r="K7" i="2" s="1"/>
  <c r="J31" i="3"/>
  <c r="J32" i="3" s="1"/>
  <c r="J33" i="3" s="1"/>
  <c r="J26" i="3"/>
  <c r="J27" i="3" s="1"/>
  <c r="J28" i="3" s="1"/>
  <c r="J21" i="3"/>
  <c r="J22" i="3" s="1"/>
  <c r="J23" i="3" s="1"/>
  <c r="J16" i="3"/>
  <c r="J17" i="3" s="1"/>
  <c r="J18" i="3" s="1"/>
  <c r="J11" i="3"/>
  <c r="J12" i="3" s="1"/>
  <c r="J13" i="3" s="1"/>
  <c r="I12" i="2"/>
  <c r="I13" i="2" s="1"/>
  <c r="I32" i="2"/>
  <c r="I33" i="2" s="1"/>
  <c r="I22" i="4"/>
  <c r="I23" i="4" s="1"/>
  <c r="I27" i="4"/>
  <c r="I28" i="4" s="1"/>
  <c r="J22" i="4" l="1"/>
  <c r="J23" i="4" s="1"/>
  <c r="M3" i="5"/>
  <c r="L8" i="5"/>
  <c r="Q2" i="2"/>
  <c r="P3" i="2"/>
  <c r="P4" i="2" s="1"/>
  <c r="P5" i="2" s="1"/>
  <c r="K31" i="2"/>
  <c r="K26" i="2"/>
  <c r="K27" i="2" s="1"/>
  <c r="K28" i="2" s="1"/>
  <c r="K21" i="2"/>
  <c r="K22" i="2" s="1"/>
  <c r="K23" i="2" s="1"/>
  <c r="K16" i="2"/>
  <c r="K11" i="2"/>
  <c r="T62" i="5"/>
  <c r="J27" i="4"/>
  <c r="J28" i="4" s="1"/>
  <c r="K31" i="3"/>
  <c r="K32" i="3" s="1"/>
  <c r="K33" i="3" s="1"/>
  <c r="K26" i="3"/>
  <c r="K27" i="3" s="1"/>
  <c r="K28" i="3" s="1"/>
  <c r="K21" i="3"/>
  <c r="K22" i="3" s="1"/>
  <c r="K23" i="3" s="1"/>
  <c r="K16" i="3"/>
  <c r="K17" i="3" s="1"/>
  <c r="K18" i="3" s="1"/>
  <c r="K11" i="3"/>
  <c r="K12" i="3" s="1"/>
  <c r="K13" i="3" s="1"/>
  <c r="P3" i="4"/>
  <c r="P4" i="4" s="1"/>
  <c r="P5" i="4" s="1"/>
  <c r="Q2" i="4"/>
  <c r="K31" i="4"/>
  <c r="K26" i="4"/>
  <c r="K21" i="4"/>
  <c r="K16" i="4"/>
  <c r="K11" i="4"/>
  <c r="K12" i="4" s="1"/>
  <c r="K13" i="4" s="1"/>
  <c r="P3" i="3"/>
  <c r="P4" i="3" s="1"/>
  <c r="P5" i="3" s="1"/>
  <c r="Q2" i="3"/>
  <c r="J17" i="4"/>
  <c r="J18" i="4" s="1"/>
  <c r="L6" i="4"/>
  <c r="L7" i="4" s="1"/>
  <c r="L6" i="3"/>
  <c r="L7" i="3" s="1"/>
  <c r="L6" i="2"/>
  <c r="L7" i="2" s="1"/>
  <c r="J12" i="2"/>
  <c r="J13" i="2" s="1"/>
  <c r="J32" i="2"/>
  <c r="J33" i="2" s="1"/>
  <c r="K22" i="4" l="1"/>
  <c r="K23" i="4" s="1"/>
  <c r="M6" i="4"/>
  <c r="M7" i="4" s="1"/>
  <c r="M6" i="3"/>
  <c r="M7" i="3" s="1"/>
  <c r="M6" i="2"/>
  <c r="M7" i="2" s="1"/>
  <c r="R2" i="3"/>
  <c r="Q3" i="3"/>
  <c r="Q4" i="3" s="1"/>
  <c r="Q5" i="3" s="1"/>
  <c r="K27" i="4"/>
  <c r="K28" i="4" s="1"/>
  <c r="K12" i="2"/>
  <c r="K13" i="2" s="1"/>
  <c r="K32" i="2"/>
  <c r="K33" i="2" s="1"/>
  <c r="N3" i="5"/>
  <c r="M8" i="5"/>
  <c r="L31" i="3"/>
  <c r="L32" i="3" s="1"/>
  <c r="L33" i="3" s="1"/>
  <c r="L26" i="3"/>
  <c r="L27" i="3" s="1"/>
  <c r="L28" i="3" s="1"/>
  <c r="L21" i="3"/>
  <c r="L22" i="3" s="1"/>
  <c r="L23" i="3" s="1"/>
  <c r="L16" i="3"/>
  <c r="L17" i="3" s="1"/>
  <c r="L18" i="3" s="1"/>
  <c r="L11" i="3"/>
  <c r="L12" i="3" s="1"/>
  <c r="L13" i="3" s="1"/>
  <c r="L31" i="4"/>
  <c r="L26" i="4"/>
  <c r="L27" i="4" s="1"/>
  <c r="L28" i="4" s="1"/>
  <c r="L21" i="4"/>
  <c r="L22" i="4" s="1"/>
  <c r="L23" i="4" s="1"/>
  <c r="L16" i="4"/>
  <c r="L11" i="4"/>
  <c r="L12" i="4" s="1"/>
  <c r="L13" i="4" s="1"/>
  <c r="K32" i="4"/>
  <c r="K33" i="4" s="1"/>
  <c r="K17" i="2"/>
  <c r="K18" i="2" s="1"/>
  <c r="L31" i="2"/>
  <c r="L26" i="2"/>
  <c r="L27" i="2" s="1"/>
  <c r="L28" i="2" s="1"/>
  <c r="L21" i="2"/>
  <c r="L22" i="2" s="1"/>
  <c r="L23" i="2" s="1"/>
  <c r="L16" i="2"/>
  <c r="L11" i="2"/>
  <c r="L12" i="2" s="1"/>
  <c r="L13" i="2" s="1"/>
  <c r="K17" i="4"/>
  <c r="K18" i="4" s="1"/>
  <c r="R2" i="4"/>
  <c r="Q3" i="4"/>
  <c r="Q4" i="4" s="1"/>
  <c r="Q5" i="4" s="1"/>
  <c r="R2" i="2"/>
  <c r="Q3" i="2"/>
  <c r="Q4" i="2" s="1"/>
  <c r="Q5" i="2" s="1"/>
  <c r="M31" i="4" l="1"/>
  <c r="M26" i="4"/>
  <c r="M27" i="4" s="1"/>
  <c r="M28" i="4" s="1"/>
  <c r="M21" i="4"/>
  <c r="M22" i="4" s="1"/>
  <c r="M23" i="4" s="1"/>
  <c r="M16" i="4"/>
  <c r="M11" i="4"/>
  <c r="M12" i="4" s="1"/>
  <c r="M13" i="4" s="1"/>
  <c r="L17" i="4"/>
  <c r="L18" i="4" s="1"/>
  <c r="R3" i="2"/>
  <c r="R4" i="2" s="1"/>
  <c r="R5" i="2" s="1"/>
  <c r="S2" i="2"/>
  <c r="L32" i="2"/>
  <c r="L33" i="2" s="1"/>
  <c r="N6" i="4"/>
  <c r="N7" i="4" s="1"/>
  <c r="N6" i="3"/>
  <c r="N7" i="3" s="1"/>
  <c r="N6" i="2"/>
  <c r="N7" i="2" s="1"/>
  <c r="S2" i="3"/>
  <c r="R3" i="3"/>
  <c r="R4" i="3" s="1"/>
  <c r="R5" i="3" s="1"/>
  <c r="N8" i="5"/>
  <c r="O3" i="5"/>
  <c r="M31" i="2"/>
  <c r="M32" i="2" s="1"/>
  <c r="M33" i="2" s="1"/>
  <c r="M26" i="2"/>
  <c r="M27" i="2" s="1"/>
  <c r="M28" i="2" s="1"/>
  <c r="M21" i="2"/>
  <c r="M22" i="2" s="1"/>
  <c r="M23" i="2" s="1"/>
  <c r="M16" i="2"/>
  <c r="M17" i="2" s="1"/>
  <c r="M18" i="2" s="1"/>
  <c r="M11" i="2"/>
  <c r="M12" i="2" s="1"/>
  <c r="M13" i="2" s="1"/>
  <c r="L17" i="2"/>
  <c r="L18" i="2" s="1"/>
  <c r="S2" i="4"/>
  <c r="R3" i="4"/>
  <c r="R4" i="4" s="1"/>
  <c r="R5" i="4" s="1"/>
  <c r="L32" i="4"/>
  <c r="L33" i="4" s="1"/>
  <c r="M31" i="3"/>
  <c r="M32" i="3" s="1"/>
  <c r="M33" i="3" s="1"/>
  <c r="M26" i="3"/>
  <c r="M27" i="3" s="1"/>
  <c r="M28" i="3" s="1"/>
  <c r="M21" i="3"/>
  <c r="M22" i="3" s="1"/>
  <c r="M23" i="3" s="1"/>
  <c r="M16" i="3"/>
  <c r="M17" i="3" s="1"/>
  <c r="M18" i="3" s="1"/>
  <c r="M11" i="3"/>
  <c r="M12" i="3" s="1"/>
  <c r="M13" i="3" s="1"/>
  <c r="P3" i="5" l="1"/>
  <c r="O8" i="5"/>
  <c r="N31" i="2"/>
  <c r="N32" i="2" s="1"/>
  <c r="N33" i="2" s="1"/>
  <c r="N26" i="2"/>
  <c r="N27" i="2" s="1"/>
  <c r="N28" i="2" s="1"/>
  <c r="N21" i="2"/>
  <c r="N22" i="2" s="1"/>
  <c r="N23" i="2" s="1"/>
  <c r="N16" i="2"/>
  <c r="N17" i="2" s="1"/>
  <c r="N18" i="2" s="1"/>
  <c r="N11" i="2"/>
  <c r="N12" i="2" s="1"/>
  <c r="N13" i="2" s="1"/>
  <c r="T2" i="4"/>
  <c r="S3" i="4"/>
  <c r="S4" i="4" s="1"/>
  <c r="S5" i="4" s="1"/>
  <c r="O6" i="4"/>
  <c r="O7" i="4" s="1"/>
  <c r="O6" i="3"/>
  <c r="O7" i="3" s="1"/>
  <c r="O6" i="2"/>
  <c r="O7" i="2" s="1"/>
  <c r="N31" i="3"/>
  <c r="N32" i="3" s="1"/>
  <c r="N33" i="3" s="1"/>
  <c r="N26" i="3"/>
  <c r="N27" i="3" s="1"/>
  <c r="N28" i="3" s="1"/>
  <c r="N21" i="3"/>
  <c r="N22" i="3" s="1"/>
  <c r="N23" i="3" s="1"/>
  <c r="N16" i="3"/>
  <c r="N17" i="3" s="1"/>
  <c r="N18" i="3" s="1"/>
  <c r="N11" i="3"/>
  <c r="N12" i="3" s="1"/>
  <c r="N13" i="3" s="1"/>
  <c r="T2" i="2"/>
  <c r="S3" i="2"/>
  <c r="S4" i="2" s="1"/>
  <c r="S5" i="2" s="1"/>
  <c r="N31" i="4"/>
  <c r="N26" i="4"/>
  <c r="N27" i="4" s="1"/>
  <c r="N28" i="4" s="1"/>
  <c r="N21" i="4"/>
  <c r="N22" i="4" s="1"/>
  <c r="N23" i="4" s="1"/>
  <c r="N16" i="4"/>
  <c r="N17" i="4" s="1"/>
  <c r="N18" i="4" s="1"/>
  <c r="N11" i="4"/>
  <c r="N12" i="4" s="1"/>
  <c r="N13" i="4" s="1"/>
  <c r="M32" i="4"/>
  <c r="M33" i="4" s="1"/>
  <c r="S3" i="3"/>
  <c r="S4" i="3" s="1"/>
  <c r="S5" i="3" s="1"/>
  <c r="T2" i="3"/>
  <c r="M17" i="4"/>
  <c r="M18" i="4" s="1"/>
  <c r="O31" i="2" l="1"/>
  <c r="O32" i="2" s="1"/>
  <c r="O33" i="2" s="1"/>
  <c r="O26" i="2"/>
  <c r="O27" i="2" s="1"/>
  <c r="O28" i="2" s="1"/>
  <c r="O21" i="2"/>
  <c r="O22" i="2" s="1"/>
  <c r="O23" i="2" s="1"/>
  <c r="O16" i="2"/>
  <c r="O17" i="2" s="1"/>
  <c r="O18" i="2" s="1"/>
  <c r="O11" i="2"/>
  <c r="O12" i="2" s="1"/>
  <c r="O13" i="2" s="1"/>
  <c r="T3" i="4"/>
  <c r="T4" i="4" s="1"/>
  <c r="T5" i="4" s="1"/>
  <c r="U2" i="4"/>
  <c r="O31" i="3"/>
  <c r="O32" i="3" s="1"/>
  <c r="O33" i="3" s="1"/>
  <c r="O26" i="3"/>
  <c r="O27" i="3" s="1"/>
  <c r="O28" i="3" s="1"/>
  <c r="O21" i="3"/>
  <c r="O22" i="3" s="1"/>
  <c r="O23" i="3" s="1"/>
  <c r="O16" i="3"/>
  <c r="O17" i="3" s="1"/>
  <c r="O18" i="3" s="1"/>
  <c r="O11" i="3"/>
  <c r="O12" i="3" s="1"/>
  <c r="O13" i="3" s="1"/>
  <c r="U2" i="3"/>
  <c r="T3" i="3"/>
  <c r="T4" i="3" s="1"/>
  <c r="T5" i="3" s="1"/>
  <c r="U2" i="2"/>
  <c r="T3" i="2"/>
  <c r="T4" i="2" s="1"/>
  <c r="T5" i="2" s="1"/>
  <c r="O31" i="4"/>
  <c r="O26" i="4"/>
  <c r="O27" i="4" s="1"/>
  <c r="O28" i="4" s="1"/>
  <c r="O21" i="4"/>
  <c r="O22" i="4" s="1"/>
  <c r="O23" i="4" s="1"/>
  <c r="O16" i="4"/>
  <c r="O17" i="4" s="1"/>
  <c r="O18" i="4" s="1"/>
  <c r="O11" i="4"/>
  <c r="O12" i="4" s="1"/>
  <c r="O13" i="4" s="1"/>
  <c r="P6" i="4"/>
  <c r="P7" i="4" s="1"/>
  <c r="P6" i="3"/>
  <c r="P7" i="3" s="1"/>
  <c r="P6" i="2"/>
  <c r="P7" i="2" s="1"/>
  <c r="N32" i="4"/>
  <c r="N33" i="4" s="1"/>
  <c r="Q3" i="5"/>
  <c r="P8" i="5"/>
  <c r="Q6" i="4" l="1"/>
  <c r="Q7" i="4" s="1"/>
  <c r="Q6" i="3"/>
  <c r="Q7" i="3" s="1"/>
  <c r="Q6" i="2"/>
  <c r="Q7" i="2" s="1"/>
  <c r="R3" i="5"/>
  <c r="Q8" i="5"/>
  <c r="P26" i="3"/>
  <c r="P27" i="3" s="1"/>
  <c r="P28" i="3" s="1"/>
  <c r="P31" i="3"/>
  <c r="P32" i="3" s="1"/>
  <c r="P33" i="3" s="1"/>
  <c r="P21" i="3"/>
  <c r="P22" i="3" s="1"/>
  <c r="P23" i="3" s="1"/>
  <c r="P16" i="3"/>
  <c r="P17" i="3" s="1"/>
  <c r="P18" i="3" s="1"/>
  <c r="P11" i="3"/>
  <c r="P12" i="3" s="1"/>
  <c r="P13" i="3" s="1"/>
  <c r="P31" i="4"/>
  <c r="P32" i="4" s="1"/>
  <c r="P33" i="4" s="1"/>
  <c r="P26" i="4"/>
  <c r="P27" i="4" s="1"/>
  <c r="P28" i="4" s="1"/>
  <c r="P21" i="4"/>
  <c r="P22" i="4" s="1"/>
  <c r="P23" i="4" s="1"/>
  <c r="P16" i="4"/>
  <c r="P17" i="4" s="1"/>
  <c r="P18" i="4" s="1"/>
  <c r="P11" i="4"/>
  <c r="P12" i="4" s="1"/>
  <c r="P13" i="4" s="1"/>
  <c r="O32" i="4"/>
  <c r="O33" i="4" s="1"/>
  <c r="V2" i="3"/>
  <c r="V3" i="3" s="1"/>
  <c r="V4" i="3" s="1"/>
  <c r="V5" i="3" s="1"/>
  <c r="U3" i="3"/>
  <c r="U4" i="3" s="1"/>
  <c r="U5" i="3" s="1"/>
  <c r="V2" i="4"/>
  <c r="V3" i="4" s="1"/>
  <c r="V4" i="4" s="1"/>
  <c r="V5" i="4" s="1"/>
  <c r="U3" i="4"/>
  <c r="U4" i="4" s="1"/>
  <c r="U5" i="4" s="1"/>
  <c r="P31" i="2"/>
  <c r="P32" i="2" s="1"/>
  <c r="P33" i="2" s="1"/>
  <c r="P26" i="2"/>
  <c r="P27" i="2" s="1"/>
  <c r="P28" i="2" s="1"/>
  <c r="P21" i="2"/>
  <c r="P22" i="2" s="1"/>
  <c r="P23" i="2" s="1"/>
  <c r="P16" i="2"/>
  <c r="P17" i="2" s="1"/>
  <c r="P18" i="2" s="1"/>
  <c r="P11" i="2"/>
  <c r="P12" i="2" s="1"/>
  <c r="P13" i="2" s="1"/>
  <c r="V2" i="2"/>
  <c r="V3" i="2" s="1"/>
  <c r="V4" i="2" s="1"/>
  <c r="V5" i="2" s="1"/>
  <c r="U3" i="2"/>
  <c r="U4" i="2" s="1"/>
  <c r="U5" i="2" s="1"/>
  <c r="Q31" i="2" l="1"/>
  <c r="Q32" i="2" s="1"/>
  <c r="Q33" i="2" s="1"/>
  <c r="Q26" i="2"/>
  <c r="Q27" i="2" s="1"/>
  <c r="Q28" i="2" s="1"/>
  <c r="Q21" i="2"/>
  <c r="Q22" i="2" s="1"/>
  <c r="Q23" i="2" s="1"/>
  <c r="Q16" i="2"/>
  <c r="Q17" i="2" s="1"/>
  <c r="Q18" i="2" s="1"/>
  <c r="Q11" i="2"/>
  <c r="Q12" i="2" s="1"/>
  <c r="Q13" i="2" s="1"/>
  <c r="Q31" i="3"/>
  <c r="Q32" i="3" s="1"/>
  <c r="Q33" i="3" s="1"/>
  <c r="Q21" i="3"/>
  <c r="Q22" i="3" s="1"/>
  <c r="Q23" i="3" s="1"/>
  <c r="Q16" i="3"/>
  <c r="Q17" i="3" s="1"/>
  <c r="Q18" i="3" s="1"/>
  <c r="Q11" i="3"/>
  <c r="Q12" i="3" s="1"/>
  <c r="Q13" i="3" s="1"/>
  <c r="Q26" i="3"/>
  <c r="Q27" i="3" s="1"/>
  <c r="Q28" i="3" s="1"/>
  <c r="R6" i="4"/>
  <c r="R7" i="4" s="1"/>
  <c r="R6" i="3"/>
  <c r="R7" i="3" s="1"/>
  <c r="R6" i="2"/>
  <c r="R7" i="2" s="1"/>
  <c r="Q31" i="4"/>
  <c r="Q32" i="4" s="1"/>
  <c r="Q33" i="4" s="1"/>
  <c r="Q26" i="4"/>
  <c r="Q27" i="4" s="1"/>
  <c r="Q28" i="4" s="1"/>
  <c r="Q21" i="4"/>
  <c r="Q22" i="4" s="1"/>
  <c r="Q23" i="4" s="1"/>
  <c r="Q16" i="4"/>
  <c r="Q17" i="4" s="1"/>
  <c r="Q18" i="4" s="1"/>
  <c r="Q11" i="4"/>
  <c r="Q12" i="4" s="1"/>
  <c r="Q13" i="4" s="1"/>
  <c r="R8" i="5"/>
  <c r="S3" i="5"/>
  <c r="R31" i="2" l="1"/>
  <c r="R32" i="2" s="1"/>
  <c r="R33" i="2" s="1"/>
  <c r="R26" i="2"/>
  <c r="R27" i="2" s="1"/>
  <c r="R28" i="2" s="1"/>
  <c r="R21" i="2"/>
  <c r="R22" i="2" s="1"/>
  <c r="R23" i="2" s="1"/>
  <c r="R16" i="2"/>
  <c r="R17" i="2" s="1"/>
  <c r="R18" i="2" s="1"/>
  <c r="R11" i="2"/>
  <c r="R12" i="2" s="1"/>
  <c r="R13" i="2" s="1"/>
  <c r="R31" i="3"/>
  <c r="R32" i="3" s="1"/>
  <c r="R33" i="3" s="1"/>
  <c r="R21" i="3"/>
  <c r="R22" i="3" s="1"/>
  <c r="R23" i="3" s="1"/>
  <c r="R16" i="3"/>
  <c r="R17" i="3" s="1"/>
  <c r="R18" i="3" s="1"/>
  <c r="R11" i="3"/>
  <c r="R12" i="3" s="1"/>
  <c r="R13" i="3" s="1"/>
  <c r="R26" i="3"/>
  <c r="R27" i="3" s="1"/>
  <c r="R28" i="3" s="1"/>
  <c r="T3" i="5"/>
  <c r="S8" i="5"/>
  <c r="R31" i="4"/>
  <c r="R32" i="4" s="1"/>
  <c r="R33" i="4" s="1"/>
  <c r="R26" i="4"/>
  <c r="R27" i="4" s="1"/>
  <c r="R28" i="4" s="1"/>
  <c r="R21" i="4"/>
  <c r="R22" i="4" s="1"/>
  <c r="R23" i="4" s="1"/>
  <c r="R16" i="4"/>
  <c r="R17" i="4" s="1"/>
  <c r="R18" i="4" s="1"/>
  <c r="R11" i="4"/>
  <c r="R12" i="4" s="1"/>
  <c r="R13" i="4" s="1"/>
  <c r="S6" i="4"/>
  <c r="S7" i="4" s="1"/>
  <c r="S6" i="3"/>
  <c r="S7" i="3" s="1"/>
  <c r="S6" i="2"/>
  <c r="S7" i="2" s="1"/>
  <c r="S31" i="3" l="1"/>
  <c r="S32" i="3" s="1"/>
  <c r="S33" i="3" s="1"/>
  <c r="S26" i="3"/>
  <c r="S27" i="3" s="1"/>
  <c r="S28" i="3" s="1"/>
  <c r="S21" i="3"/>
  <c r="S22" i="3" s="1"/>
  <c r="S23" i="3" s="1"/>
  <c r="S16" i="3"/>
  <c r="S17" i="3" s="1"/>
  <c r="S18" i="3" s="1"/>
  <c r="S11" i="3"/>
  <c r="S12" i="3" s="1"/>
  <c r="S13" i="3" s="1"/>
  <c r="S31" i="2"/>
  <c r="S32" i="2" s="1"/>
  <c r="S33" i="2" s="1"/>
  <c r="S26" i="2"/>
  <c r="S27" i="2" s="1"/>
  <c r="S28" i="2" s="1"/>
  <c r="S21" i="2"/>
  <c r="S22" i="2" s="1"/>
  <c r="S23" i="2" s="1"/>
  <c r="S16" i="2"/>
  <c r="S17" i="2" s="1"/>
  <c r="S18" i="2" s="1"/>
  <c r="S11" i="2"/>
  <c r="S12" i="2" s="1"/>
  <c r="S13" i="2" s="1"/>
  <c r="T6" i="4"/>
  <c r="T7" i="4" s="1"/>
  <c r="T6" i="3"/>
  <c r="T7" i="3" s="1"/>
  <c r="T6" i="2"/>
  <c r="T7" i="2" s="1"/>
  <c r="U3" i="5"/>
  <c r="T8" i="5"/>
  <c r="S31" i="4"/>
  <c r="S32" i="4" s="1"/>
  <c r="S33" i="4" s="1"/>
  <c r="S26" i="4"/>
  <c r="S27" i="4" s="1"/>
  <c r="S28" i="4" s="1"/>
  <c r="S21" i="4"/>
  <c r="S22" i="4" s="1"/>
  <c r="S23" i="4" s="1"/>
  <c r="S16" i="4"/>
  <c r="S17" i="4" s="1"/>
  <c r="S18" i="4" s="1"/>
  <c r="S11" i="4"/>
  <c r="S12" i="4" s="1"/>
  <c r="S13" i="4" s="1"/>
  <c r="T31" i="3" l="1"/>
  <c r="T32" i="3" s="1"/>
  <c r="T33" i="3" s="1"/>
  <c r="T26" i="3"/>
  <c r="T27" i="3" s="1"/>
  <c r="T28" i="3" s="1"/>
  <c r="T21" i="3"/>
  <c r="T22" i="3" s="1"/>
  <c r="T23" i="3" s="1"/>
  <c r="T16" i="3"/>
  <c r="T17" i="3" s="1"/>
  <c r="T18" i="3" s="1"/>
  <c r="T11" i="3"/>
  <c r="T12" i="3" s="1"/>
  <c r="T13" i="3" s="1"/>
  <c r="U6" i="4"/>
  <c r="U7" i="4" s="1"/>
  <c r="U6" i="3"/>
  <c r="U7" i="3" s="1"/>
  <c r="U6" i="2"/>
  <c r="U7" i="2" s="1"/>
  <c r="T31" i="4"/>
  <c r="T32" i="4" s="1"/>
  <c r="T33" i="4" s="1"/>
  <c r="T26" i="4"/>
  <c r="T27" i="4" s="1"/>
  <c r="T28" i="4" s="1"/>
  <c r="T21" i="4"/>
  <c r="T22" i="4" s="1"/>
  <c r="T23" i="4" s="1"/>
  <c r="T16" i="4"/>
  <c r="T17" i="4" s="1"/>
  <c r="T18" i="4" s="1"/>
  <c r="T11" i="4"/>
  <c r="T12" i="4" s="1"/>
  <c r="T13" i="4" s="1"/>
  <c r="V3" i="5"/>
  <c r="V8" i="5" s="1"/>
  <c r="U8" i="5"/>
  <c r="T31" i="2"/>
  <c r="T32" i="2" s="1"/>
  <c r="T33" i="2" s="1"/>
  <c r="T26" i="2"/>
  <c r="T27" i="2" s="1"/>
  <c r="T28" i="2" s="1"/>
  <c r="T21" i="2"/>
  <c r="T22" i="2" s="1"/>
  <c r="T23" i="2" s="1"/>
  <c r="T16" i="2"/>
  <c r="T17" i="2" s="1"/>
  <c r="T18" i="2" s="1"/>
  <c r="T11" i="2"/>
  <c r="T12" i="2" s="1"/>
  <c r="T13" i="2" s="1"/>
  <c r="U31" i="2" l="1"/>
  <c r="U32" i="2" s="1"/>
  <c r="U33" i="2" s="1"/>
  <c r="U26" i="2"/>
  <c r="U27" i="2" s="1"/>
  <c r="U28" i="2" s="1"/>
  <c r="U21" i="2"/>
  <c r="U22" i="2" s="1"/>
  <c r="U23" i="2" s="1"/>
  <c r="U16" i="2"/>
  <c r="U17" i="2" s="1"/>
  <c r="U18" i="2" s="1"/>
  <c r="U11" i="2"/>
  <c r="U12" i="2" s="1"/>
  <c r="U13" i="2" s="1"/>
  <c r="V6" i="4"/>
  <c r="V7" i="4" s="1"/>
  <c r="V6" i="3"/>
  <c r="V7" i="3" s="1"/>
  <c r="V6" i="2"/>
  <c r="V7" i="2" s="1"/>
  <c r="U31" i="3"/>
  <c r="U32" i="3" s="1"/>
  <c r="U33" i="3" s="1"/>
  <c r="U26" i="3"/>
  <c r="U27" i="3" s="1"/>
  <c r="U28" i="3" s="1"/>
  <c r="U21" i="3"/>
  <c r="U22" i="3" s="1"/>
  <c r="U23" i="3" s="1"/>
  <c r="U16" i="3"/>
  <c r="U17" i="3" s="1"/>
  <c r="U18" i="3" s="1"/>
  <c r="U11" i="3"/>
  <c r="U12" i="3" s="1"/>
  <c r="U13" i="3" s="1"/>
  <c r="U31" i="4"/>
  <c r="U32" i="4" s="1"/>
  <c r="U33" i="4" s="1"/>
  <c r="U26" i="4"/>
  <c r="U27" i="4" s="1"/>
  <c r="U28" i="4" s="1"/>
  <c r="U21" i="4"/>
  <c r="U22" i="4" s="1"/>
  <c r="U23" i="4" s="1"/>
  <c r="U16" i="4"/>
  <c r="U17" i="4" s="1"/>
  <c r="U18" i="4" s="1"/>
  <c r="U11" i="4"/>
  <c r="U12" i="4" s="1"/>
  <c r="U13" i="4" s="1"/>
  <c r="V31" i="2" l="1"/>
  <c r="V26" i="2"/>
  <c r="V21" i="2"/>
  <c r="V16" i="2"/>
  <c r="V11" i="2"/>
  <c r="D18" i="1"/>
  <c r="J7" i="1"/>
  <c r="V31" i="3"/>
  <c r="V21" i="3"/>
  <c r="V16" i="3"/>
  <c r="V11" i="3"/>
  <c r="V26" i="3"/>
  <c r="K7" i="1"/>
  <c r="V31" i="4"/>
  <c r="V26" i="4"/>
  <c r="V21" i="4"/>
  <c r="V16" i="4"/>
  <c r="V11" i="4"/>
  <c r="L7" i="1"/>
  <c r="V27" i="4" l="1"/>
  <c r="N41" i="4"/>
  <c r="L27" i="1" s="1"/>
  <c r="V12" i="3"/>
  <c r="N38" i="3"/>
  <c r="K24" i="1" s="1"/>
  <c r="V12" i="4"/>
  <c r="N38" i="4"/>
  <c r="L24" i="1" s="1"/>
  <c r="V32" i="4"/>
  <c r="N42" i="4"/>
  <c r="L28" i="1" s="1"/>
  <c r="V17" i="3"/>
  <c r="N39" i="3"/>
  <c r="K25" i="1" s="1"/>
  <c r="V17" i="4"/>
  <c r="N39" i="4"/>
  <c r="L25" i="1" s="1"/>
  <c r="V22" i="4"/>
  <c r="N40" i="4"/>
  <c r="L26" i="1" s="1"/>
  <c r="V27" i="3"/>
  <c r="N41" i="3"/>
  <c r="K27" i="1" s="1"/>
  <c r="V32" i="3"/>
  <c r="N42" i="3"/>
  <c r="K28" i="1" s="1"/>
  <c r="V17" i="2"/>
  <c r="N39" i="2"/>
  <c r="J25" i="1" s="1"/>
  <c r="V22" i="2"/>
  <c r="N40" i="2"/>
  <c r="J26" i="1" s="1"/>
  <c r="G29" i="1"/>
  <c r="G28" i="1"/>
  <c r="G27" i="1"/>
  <c r="V27" i="2"/>
  <c r="N41" i="2"/>
  <c r="J27" i="1" s="1"/>
  <c r="V22" i="3"/>
  <c r="N40" i="3"/>
  <c r="K26" i="1" s="1"/>
  <c r="V12" i="2"/>
  <c r="N38" i="2"/>
  <c r="J24" i="1" s="1"/>
  <c r="V32" i="2"/>
  <c r="N42" i="2"/>
  <c r="J28" i="1" s="1"/>
  <c r="M42" i="2" l="1"/>
  <c r="J22" i="1" s="1"/>
  <c r="V33" i="2"/>
  <c r="L42" i="2" s="1"/>
  <c r="J16" i="1" s="1"/>
  <c r="M39" i="2"/>
  <c r="J19" i="1" s="1"/>
  <c r="V18" i="2"/>
  <c r="L39" i="2" s="1"/>
  <c r="J13" i="1" s="1"/>
  <c r="M41" i="3"/>
  <c r="K21" i="1" s="1"/>
  <c r="V28" i="3"/>
  <c r="L41" i="3" s="1"/>
  <c r="K15" i="1" s="1"/>
  <c r="M39" i="4"/>
  <c r="L19" i="1" s="1"/>
  <c r="V18" i="4"/>
  <c r="L39" i="4" s="1"/>
  <c r="L13" i="1" s="1"/>
  <c r="V33" i="4"/>
  <c r="L42" i="4" s="1"/>
  <c r="L16" i="1" s="1"/>
  <c r="M42" i="4"/>
  <c r="L22" i="1" s="1"/>
  <c r="M38" i="3"/>
  <c r="K18" i="1" s="1"/>
  <c r="V13" i="3"/>
  <c r="L38" i="3" s="1"/>
  <c r="K12" i="1" s="1"/>
  <c r="M40" i="3"/>
  <c r="K20" i="1" s="1"/>
  <c r="V23" i="3"/>
  <c r="L40" i="3" s="1"/>
  <c r="K14" i="1" s="1"/>
  <c r="M38" i="2"/>
  <c r="J18" i="1" s="1"/>
  <c r="V13" i="2"/>
  <c r="L38" i="2" s="1"/>
  <c r="J12" i="1" s="1"/>
  <c r="M41" i="2"/>
  <c r="J21" i="1" s="1"/>
  <c r="V28" i="2"/>
  <c r="L41" i="2" s="1"/>
  <c r="J15" i="1" s="1"/>
  <c r="M40" i="2"/>
  <c r="J20" i="1" s="1"/>
  <c r="V23" i="2"/>
  <c r="L40" i="2" s="1"/>
  <c r="J14" i="1" s="1"/>
  <c r="V33" i="3"/>
  <c r="L42" i="3" s="1"/>
  <c r="K16" i="1" s="1"/>
  <c r="M42" i="3"/>
  <c r="K22" i="1" s="1"/>
  <c r="V23" i="4"/>
  <c r="L40" i="4" s="1"/>
  <c r="L14" i="1" s="1"/>
  <c r="M40" i="4"/>
  <c r="L20" i="1" s="1"/>
  <c r="M39" i="3"/>
  <c r="K19" i="1" s="1"/>
  <c r="V18" i="3"/>
  <c r="L39" i="3" s="1"/>
  <c r="K13" i="1" s="1"/>
  <c r="M38" i="4"/>
  <c r="L18" i="1" s="1"/>
  <c r="V13" i="4"/>
  <c r="L38" i="4" s="1"/>
  <c r="L12" i="1" s="1"/>
  <c r="M41" i="4"/>
  <c r="L21" i="1" s="1"/>
  <c r="V28" i="4"/>
  <c r="L41" i="4" s="1"/>
  <c r="L15" i="1" s="1"/>
</calcChain>
</file>

<file path=xl/sharedStrings.xml><?xml version="1.0" encoding="utf-8"?>
<sst xmlns="http://schemas.openxmlformats.org/spreadsheetml/2006/main" count="364" uniqueCount="161">
  <si>
    <t xml:space="preserve">Private Investment Options </t>
  </si>
  <si>
    <t>Key Assumptions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</si>
  <si>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</si>
  <si>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</si>
  <si>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</si>
  <si>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</si>
  <si>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</si>
  <si>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</si>
  <si>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</si>
  <si>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</si>
  <si>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</si>
  <si>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</si>
  <si>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</si>
  <si>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</si>
  <si>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</si>
  <si>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</si>
  <si>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</si>
  <si>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</si>
  <si>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</si>
  <si>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</si>
  <si>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</si>
  <si>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</si>
  <si>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Number of Listed Tokens</t>
  </si>
  <si>
    <t>Worst</t>
  </si>
  <si>
    <t>Mid</t>
  </si>
  <si>
    <t>Best</t>
  </si>
  <si>
    <t>Class</t>
  </si>
  <si>
    <t>Number of Users</t>
  </si>
  <si>
    <t>Min Investment</t>
  </si>
  <si>
    <t>Discount</t>
  </si>
  <si>
    <t>Equity</t>
  </si>
  <si>
    <t>Minimum unique community users requirement per token for listing</t>
  </si>
  <si>
    <t>Number of Transactions per quarter</t>
  </si>
  <si>
    <t>Bronze</t>
  </si>
  <si>
    <t>Transaction Fees per quarter</t>
  </si>
  <si>
    <t>NA</t>
  </si>
  <si>
    <t>Average monthly transactions per user</t>
  </si>
  <si>
    <t>Silver</t>
  </si>
  <si>
    <t>Average transaction size</t>
  </si>
  <si>
    <t>Running Costs</t>
  </si>
  <si>
    <t>Gold</t>
  </si>
  <si>
    <t>Transaction fee</t>
  </si>
  <si>
    <t>Platinum</t>
  </si>
  <si>
    <t>Quarterly New Token Listings</t>
  </si>
  <si>
    <t>Diamond</t>
  </si>
  <si>
    <t>dividend payout starts in # months</t>
  </si>
  <si>
    <t>Profit</t>
  </si>
  <si>
    <t>Significant Investor</t>
  </si>
  <si>
    <t xml:space="preserve">More </t>
  </si>
  <si>
    <t>Negotiate</t>
  </si>
  <si>
    <t>Quarterly Cost Growth rate</t>
  </si>
  <si>
    <t xml:space="preserve">Monthly Dividend </t>
  </si>
  <si>
    <t>Rebate Rate</t>
  </si>
  <si>
    <t>Token Economy</t>
  </si>
  <si>
    <t>ROI (5 Years)</t>
  </si>
  <si>
    <t>Token Symbol</t>
  </si>
  <si>
    <t>Accumulated Profit from dividends</t>
  </si>
  <si>
    <t>INVO</t>
  </si>
  <si>
    <t xml:space="preserve">ROI </t>
  </si>
  <si>
    <t>Token Type</t>
  </si>
  <si>
    <t>ERC20</t>
  </si>
  <si>
    <t>Total Supply</t>
  </si>
  <si>
    <t>Monthly Dividend</t>
  </si>
  <si>
    <t>Average Price</t>
  </si>
  <si>
    <t>Valuation</t>
  </si>
  <si>
    <t>Hard Cap</t>
  </si>
  <si>
    <t>5 YR Gross Dividend Income</t>
  </si>
  <si>
    <t>Soft Cap</t>
  </si>
  <si>
    <t>ROI</t>
  </si>
  <si>
    <t>Monthly Passive Income ( average over 5 years)</t>
  </si>
  <si>
    <t>STO Plan</t>
  </si>
  <si>
    <t>STO Phase</t>
  </si>
  <si>
    <t>Start Date</t>
  </si>
  <si>
    <t>End Date</t>
  </si>
  <si>
    <t>INVO Price</t>
  </si>
  <si>
    <t>Min Goal</t>
  </si>
  <si>
    <t>Private Sale</t>
  </si>
  <si>
    <t>Public Sale 1</t>
  </si>
  <si>
    <t>TBA</t>
  </si>
  <si>
    <t>Public Sale 2</t>
  </si>
  <si>
    <t>Dimond</t>
  </si>
  <si>
    <t>Public Sale 3</t>
  </si>
  <si>
    <t>Notes</t>
  </si>
  <si>
    <t>All numbers are calculated based on assumptions</t>
  </si>
  <si>
    <t>STO needs to achive the softcap for investors to be entitleted to dividends</t>
  </si>
  <si>
    <t>Dividends will be calculated based on average monthly holding of the INVO token and number of transactions per user</t>
  </si>
  <si>
    <t>This is not an investment advise document</t>
  </si>
  <si>
    <t>This document is still work in progress and should not be seen or take as investment advise</t>
  </si>
  <si>
    <t xml:space="preserve">Dividend payouts will be on monthly basis and in form of either FIAT , INVO </t>
  </si>
  <si>
    <t xml:space="preserve">Depending to the tax requirement, Dividend rate will adjust to cover the tax deducatables </t>
  </si>
  <si>
    <t>Minimum listing community users requirement per token</t>
  </si>
  <si>
    <t>ROI (5 years)</t>
  </si>
  <si>
    <t>5 Yr Income</t>
  </si>
  <si>
    <t>Avg over 5yr , passive monthly Income</t>
  </si>
  <si>
    <t>Quarterly New Token Listing</t>
  </si>
  <si>
    <t>Dividend Rate</t>
  </si>
  <si>
    <t>Considerations</t>
  </si>
  <si>
    <t>Number of Tokens</t>
  </si>
  <si>
    <t>INVO Token Price</t>
  </si>
  <si>
    <t xml:space="preserve">Cost Breakdown </t>
  </si>
  <si>
    <t>Cost Item/Quarter</t>
  </si>
  <si>
    <t>Platform Development</t>
  </si>
  <si>
    <t>Marketing</t>
  </si>
  <si>
    <t>Operation</t>
  </si>
  <si>
    <t>Legal</t>
  </si>
  <si>
    <t>Sum</t>
  </si>
  <si>
    <t>Operations</t>
  </si>
  <si>
    <t>Cost Category</t>
  </si>
  <si>
    <t>Cost Item</t>
  </si>
  <si>
    <t>Monthly Cost</t>
  </si>
  <si>
    <t>#No</t>
  </si>
  <si>
    <t>Total Cost</t>
  </si>
  <si>
    <t>Offshore FED</t>
  </si>
  <si>
    <t>Office</t>
  </si>
  <si>
    <t>Offshore BED</t>
  </si>
  <si>
    <t>Servers</t>
  </si>
  <si>
    <t>Offshore Blockchain Dev</t>
  </si>
  <si>
    <t xml:space="preserve">Training </t>
  </si>
  <si>
    <t>Offshore Linux DevOps</t>
  </si>
  <si>
    <t>Travel &amp; Accomodation</t>
  </si>
  <si>
    <t>Offshore security Architect</t>
  </si>
  <si>
    <t>Accounting</t>
  </si>
  <si>
    <t>Offshore BA</t>
  </si>
  <si>
    <t>Customer Support Offshore (T1&amp;T2)</t>
  </si>
  <si>
    <t>Offshore UX</t>
  </si>
  <si>
    <t>HR Onshore</t>
  </si>
  <si>
    <t>Onshore Linux DevOps</t>
  </si>
  <si>
    <t>Onshore Delivery Manager</t>
  </si>
  <si>
    <t>Onshore TPM</t>
  </si>
  <si>
    <t>Community Management</t>
  </si>
  <si>
    <t>Onshore Blockchain Arch</t>
  </si>
  <si>
    <t>Listing fee for other exchanges</t>
  </si>
  <si>
    <t>Onshore BA</t>
  </si>
  <si>
    <t>Total</t>
  </si>
  <si>
    <t>Tester Offshore ( Pen, UI , API , System )</t>
  </si>
  <si>
    <t>Marketing Costs</t>
  </si>
  <si>
    <t>Legal &amp; Compliance</t>
  </si>
  <si>
    <t>Growth Hacker</t>
  </si>
  <si>
    <t>Security Lawyer</t>
  </si>
  <si>
    <t>PR + Digital Channels</t>
  </si>
  <si>
    <t>Blockchain Lawyer</t>
  </si>
  <si>
    <t>Outbound (1+1)</t>
  </si>
  <si>
    <t>Corporate Lawyer</t>
  </si>
  <si>
    <t>Advertisements</t>
  </si>
  <si>
    <t>Licensing &amp; Compliance</t>
  </si>
  <si>
    <t>Website Dev + SEO + Inbound</t>
  </si>
  <si>
    <t>Conferences</t>
  </si>
  <si>
    <t>Monthly</t>
  </si>
  <si>
    <t>Marketing ( including community management)  (4xFTE+Commission)</t>
  </si>
  <si>
    <t>Product Development (4X20k + 10*2k)</t>
  </si>
  <si>
    <t>Operation (Servers, Security , Cloud )</t>
  </si>
  <si>
    <t>Legal &amp; Corporate ( Corporation , licencing ,etc )</t>
  </si>
  <si>
    <t>Advisory</t>
  </si>
  <si>
    <t>Will get INVO tokens</t>
  </si>
  <si>
    <t>Startup Analysts</t>
  </si>
  <si>
    <t>Will get paid by selling reports</t>
  </si>
  <si>
    <t>Mentors</t>
  </si>
  <si>
    <t xml:space="preserve"> Will get paid by startup</t>
  </si>
  <si>
    <t xml:space="preserve">interest payments for investors ( 6 months @ 8%) </t>
  </si>
  <si>
    <t>Two Year budget</t>
  </si>
  <si>
    <t>Revenue forecast for two years divided by two ( our share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</si>
</sst>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&quot;$&quot;#,##0.00"/>
    <numFmt numFmtId="166" formatCode="#,##0%"/>
    <numFmt numFmtId="167" formatCode="m/d"/>
  </numFmts>
  <fonts count="27">
    <font>
      <sz val="10"/>
      <color rgb="FF000000"/>
      <name val="Arial"/>
    </font>
    <font>
      <sz val="10"/>
      <name val="Calibri"/>
    </font>
    <font>
      <sz val="12"/>
      <color rgb="FF000000"/>
      <name val="Calibri"/>
    </font>
    <font>
      <sz val="18"/>
      <color rgb="FFFFFFFF"/>
      <name val="Calibri"/>
    </font>
    <font>
      <sz val="14"/>
      <color rgb="FFFFFFFF"/>
      <name val="Calibri"/>
    </font>
    <font>
      <sz val="12"/>
      <color rgb="FFFFFFFF"/>
      <name val="Calibri"/>
    </font>
    <font>
      <sz val="14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11A9CC"/>
      <name val="Inconsolata"/>
    </font>
    <font>
      <sz val="12"/>
      <name val="Calibri"/>
    </font>
    <font>
      <sz val="14"/>
      <name val="Calibri"/>
    </font>
    <font>
      <b/>
      <sz val="10"/>
      <name val="Arial"/>
    </font>
    <font>
      <sz val="10"/>
      <name val="Arial"/>
    </font>
    <font>
      <b/>
      <sz val="10"/>
      <name val="Calibri"/>
    </font>
    <font>
      <sz val="12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b/>
      <sz val="12"/>
      <name val="Calibri"/>
    </font>
    <font>
      <sz val="10"/>
      <color rgb="FF000000"/>
      <name val="Calibri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1"/>
      <name val="Calibri"/>
    </font>
    <font>
      <b/>
      <sz val="12"/>
      <color rgb="FF000000"/>
      <name val="Arial"/>
    </font>
    <font>
      <b/>
      <sz val="12"/>
      <name val="Arial"/>
    </font>
    <font>
      <sz val="10"/>
      <color rgb="FFFFFFFF"/>
      <name val="Arial"/>
    </font>
    <font>
      <b/>
      <sz val="10"/>
      <color rgb="FF000000"/>
      <name val="Arial"/>
    </font>
  </fonts>
  <fills count="24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0B5394"/>
        <bgColor rgb="FF0B5394"/>
      </patternFill>
    </fill>
    <fill>
      <patternFill patternType="solid">
        <fgColor rgb="FFE26B0A"/>
        <bgColor rgb="FFE26B0A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1155CC"/>
        <bgColor rgb="FF1155CC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9900FF"/>
        <bgColor rgb="FF9900FF"/>
      </patternFill>
    </fill>
    <fill>
      <patternFill patternType="solid">
        <fgColor rgb="FF0C343D"/>
        <bgColor rgb="FF0C343D"/>
      </patternFill>
    </fill>
    <fill>
      <patternFill patternType="solid">
        <fgColor rgb="FF11A9CC"/>
        <bgColor rgb="FF11A9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4" borderId="0" xfId="0" applyFont="1" applyFill="1" applyAlignment="1"/>
    <xf numFmtId="0" fontId="4" fillId="3" borderId="0" xfId="0" applyFont="1" applyFill="1" applyAlignment="1">
      <alignment vertical="center"/>
    </xf>
    <xf numFmtId="0" fontId="2" fillId="0" borderId="0" xfId="0" applyFont="1" applyAlignment="1"/>
    <xf numFmtId="0" fontId="5" fillId="3" borderId="0" xfId="0" applyFont="1" applyFill="1" applyAlignment="1">
      <alignment vertical="center"/>
    </xf>
    <xf numFmtId="0" fontId="2" fillId="0" borderId="0" xfId="0" applyFont="1" applyAlignment="1">
      <alignment horizontal="right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/>
    </xf>
    <xf numFmtId="0" fontId="7" fillId="8" borderId="0" xfId="0" applyFont="1" applyFill="1" applyAlignment="1">
      <alignment horizontal="center"/>
    </xf>
    <xf numFmtId="0" fontId="6" fillId="9" borderId="0" xfId="0" applyFont="1" applyFill="1" applyAlignment="1"/>
    <xf numFmtId="0" fontId="7" fillId="9" borderId="0" xfId="0" applyFont="1" applyFill="1" applyAlignment="1">
      <alignment horizontal="right"/>
    </xf>
    <xf numFmtId="0" fontId="1" fillId="9" borderId="0" xfId="0" applyFont="1" applyFill="1"/>
    <xf numFmtId="0" fontId="2" fillId="10" borderId="0" xfId="0" applyFont="1" applyFill="1" applyAlignment="1">
      <alignment horizontal="right"/>
    </xf>
    <xf numFmtId="0" fontId="2" fillId="11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12" borderId="0" xfId="0" applyFont="1" applyFill="1" applyAlignment="1"/>
    <xf numFmtId="164" fontId="8" fillId="12" borderId="0" xfId="0" applyNumberFormat="1" applyFont="1" applyFill="1" applyAlignment="1"/>
    <xf numFmtId="9" fontId="8" fillId="12" borderId="0" xfId="0" applyNumberFormat="1" applyFont="1" applyFill="1" applyAlignment="1"/>
    <xf numFmtId="164" fontId="9" fillId="13" borderId="0" xfId="0" applyNumberFormat="1" applyFont="1" applyFill="1"/>
    <xf numFmtId="0" fontId="8" fillId="12" borderId="0" xfId="0" applyFont="1" applyFill="1" applyAlignment="1">
      <alignment horizontal="right"/>
    </xf>
    <xf numFmtId="0" fontId="10" fillId="12" borderId="0" xfId="0" applyFont="1" applyFill="1" applyAlignment="1"/>
    <xf numFmtId="164" fontId="7" fillId="9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164" fontId="2" fillId="8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7" fillId="9" borderId="0" xfId="0" applyNumberFormat="1" applyFont="1" applyFill="1" applyAlignment="1">
      <alignment horizontal="right"/>
    </xf>
    <xf numFmtId="10" fontId="2" fillId="10" borderId="0" xfId="0" applyNumberFormat="1" applyFont="1" applyFill="1" applyAlignment="1">
      <alignment horizontal="right"/>
    </xf>
    <xf numFmtId="10" fontId="2" fillId="11" borderId="0" xfId="0" applyNumberFormat="1" applyFont="1" applyFill="1" applyAlignment="1">
      <alignment horizontal="right"/>
    </xf>
    <xf numFmtId="10" fontId="2" fillId="8" borderId="0" xfId="0" applyNumberFormat="1" applyFont="1" applyFill="1" applyAlignment="1">
      <alignment horizontal="right"/>
    </xf>
    <xf numFmtId="10" fontId="8" fillId="12" borderId="0" xfId="0" applyNumberFormat="1" applyFont="1" applyFill="1" applyAlignment="1"/>
    <xf numFmtId="0" fontId="11" fillId="9" borderId="0" xfId="0" applyFont="1" applyFill="1" applyAlignment="1"/>
    <xf numFmtId="0" fontId="12" fillId="0" borderId="0" xfId="0" applyFont="1" applyAlignment="1"/>
    <xf numFmtId="0" fontId="1" fillId="10" borderId="0" xfId="0" applyFont="1" applyFill="1"/>
    <xf numFmtId="0" fontId="1" fillId="11" borderId="0" xfId="0" applyFont="1" applyFill="1"/>
    <xf numFmtId="0" fontId="1" fillId="8" borderId="0" xfId="0" applyFont="1" applyFill="1"/>
    <xf numFmtId="0" fontId="10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13" fillId="13" borderId="0" xfId="0" applyFont="1" applyFill="1"/>
    <xf numFmtId="9" fontId="10" fillId="10" borderId="0" xfId="0" applyNumberFormat="1" applyFont="1" applyFill="1" applyAlignment="1">
      <alignment horizontal="right"/>
    </xf>
    <xf numFmtId="165" fontId="2" fillId="13" borderId="0" xfId="0" applyNumberFormat="1" applyFont="1" applyFill="1" applyAlignment="1">
      <alignment horizontal="right"/>
    </xf>
    <xf numFmtId="9" fontId="14" fillId="11" borderId="0" xfId="0" applyNumberFormat="1" applyFont="1" applyFill="1" applyAlignment="1">
      <alignment horizontal="right"/>
    </xf>
    <xf numFmtId="0" fontId="15" fillId="14" borderId="0" xfId="0" applyFont="1" applyFill="1" applyAlignment="1"/>
    <xf numFmtId="9" fontId="1" fillId="8" borderId="0" xfId="0" applyNumberFormat="1" applyFont="1" applyFill="1" applyAlignment="1">
      <alignment horizontal="right"/>
    </xf>
    <xf numFmtId="0" fontId="16" fillId="9" borderId="0" xfId="0" applyFont="1" applyFill="1" applyAlignment="1"/>
    <xf numFmtId="0" fontId="17" fillId="9" borderId="0" xfId="0" applyFont="1" applyFill="1"/>
    <xf numFmtId="165" fontId="2" fillId="14" borderId="0" xfId="0" applyNumberFormat="1" applyFont="1" applyFill="1" applyAlignment="1">
      <alignment horizontal="right"/>
    </xf>
    <xf numFmtId="9" fontId="12" fillId="15" borderId="0" xfId="0" applyNumberFormat="1" applyFont="1" applyFill="1" applyAlignment="1"/>
    <xf numFmtId="9" fontId="14" fillId="11" borderId="0" xfId="0" applyNumberFormat="1" applyFont="1" applyFill="1" applyAlignment="1"/>
    <xf numFmtId="9" fontId="1" fillId="8" borderId="0" xfId="0" applyNumberFormat="1" applyFont="1" applyFill="1" applyAlignment="1"/>
    <xf numFmtId="0" fontId="4" fillId="16" borderId="0" xfId="0" applyFont="1" applyFill="1" applyAlignment="1">
      <alignment vertical="center"/>
    </xf>
    <xf numFmtId="0" fontId="4" fillId="16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15" fillId="13" borderId="0" xfId="0" applyFont="1" applyFill="1" applyAlignment="1"/>
    <xf numFmtId="0" fontId="10" fillId="17" borderId="0" xfId="0" applyFont="1" applyFill="1" applyAlignment="1"/>
    <xf numFmtId="165" fontId="2" fillId="14" borderId="0" xfId="0" applyNumberFormat="1" applyFont="1" applyFill="1" applyAlignment="1"/>
    <xf numFmtId="0" fontId="18" fillId="17" borderId="0" xfId="0" applyFont="1" applyFill="1" applyAlignment="1">
      <alignment horizontal="left"/>
    </xf>
    <xf numFmtId="0" fontId="7" fillId="10" borderId="0" xfId="0" applyFont="1" applyFill="1" applyAlignment="1"/>
    <xf numFmtId="166" fontId="1" fillId="10" borderId="0" xfId="0" applyNumberFormat="1" applyFont="1" applyFill="1"/>
    <xf numFmtId="166" fontId="1" fillId="11" borderId="0" xfId="0" applyNumberFormat="1" applyFont="1" applyFill="1"/>
    <xf numFmtId="166" fontId="19" fillId="8" borderId="0" xfId="0" applyNumberFormat="1" applyFont="1" applyFill="1"/>
    <xf numFmtId="10" fontId="2" fillId="14" borderId="0" xfId="0" applyNumberFormat="1" applyFont="1" applyFill="1" applyAlignment="1"/>
    <xf numFmtId="0" fontId="10" fillId="17" borderId="0" xfId="0" applyFont="1" applyFill="1" applyAlignment="1">
      <alignment horizontal="left"/>
    </xf>
    <xf numFmtId="0" fontId="18" fillId="10" borderId="0" xfId="0" applyFont="1" applyFill="1" applyAlignment="1"/>
    <xf numFmtId="0" fontId="2" fillId="13" borderId="0" xfId="0" applyFont="1" applyFill="1" applyAlignment="1"/>
    <xf numFmtId="0" fontId="2" fillId="17" borderId="0" xfId="0" applyFont="1" applyFill="1" applyAlignment="1"/>
    <xf numFmtId="0" fontId="12" fillId="18" borderId="0" xfId="0" applyFont="1" applyFill="1" applyAlignment="1"/>
    <xf numFmtId="3" fontId="2" fillId="17" borderId="0" xfId="0" applyNumberFormat="1" applyFont="1" applyFill="1" applyAlignment="1">
      <alignment horizontal="right"/>
    </xf>
    <xf numFmtId="0" fontId="15" fillId="18" borderId="0" xfId="0" applyFont="1" applyFill="1" applyAlignment="1"/>
    <xf numFmtId="3" fontId="2" fillId="17" borderId="0" xfId="0" applyNumberFormat="1" applyFont="1" applyFill="1" applyAlignment="1">
      <alignment horizontal="left"/>
    </xf>
    <xf numFmtId="165" fontId="2" fillId="18" borderId="0" xfId="0" applyNumberFormat="1" applyFont="1" applyFill="1" applyAlignment="1">
      <alignment horizontal="right"/>
    </xf>
    <xf numFmtId="165" fontId="10" fillId="17" borderId="0" xfId="0" applyNumberFormat="1" applyFont="1" applyFill="1" applyAlignment="1"/>
    <xf numFmtId="165" fontId="10" fillId="17" borderId="0" xfId="0" applyNumberFormat="1" applyFont="1" applyFill="1" applyAlignment="1">
      <alignment horizontal="left"/>
    </xf>
    <xf numFmtId="0" fontId="10" fillId="17" borderId="0" xfId="0" applyFont="1" applyFill="1"/>
    <xf numFmtId="165" fontId="2" fillId="18" borderId="0" xfId="0" applyNumberFormat="1" applyFont="1" applyFill="1" applyAlignment="1"/>
    <xf numFmtId="165" fontId="10" fillId="17" borderId="0" xfId="0" applyNumberFormat="1" applyFont="1" applyFill="1" applyAlignment="1">
      <alignment horizontal="left"/>
    </xf>
    <xf numFmtId="0" fontId="11" fillId="19" borderId="0" xfId="0" applyFont="1" applyFill="1" applyAlignment="1">
      <alignment vertical="center"/>
    </xf>
    <xf numFmtId="0" fontId="14" fillId="19" borderId="0" xfId="0" applyFont="1" applyFill="1" applyAlignment="1">
      <alignment horizontal="center" vertical="center"/>
    </xf>
    <xf numFmtId="10" fontId="2" fillId="18" borderId="0" xfId="0" applyNumberFormat="1" applyFont="1" applyFill="1" applyAlignment="1"/>
    <xf numFmtId="0" fontId="20" fillId="19" borderId="0" xfId="0" applyFont="1" applyFill="1" applyAlignment="1">
      <alignment horizontal="center" vertical="center"/>
    </xf>
    <xf numFmtId="165" fontId="10" fillId="17" borderId="0" xfId="0" applyNumberFormat="1" applyFont="1" applyFill="1" applyAlignment="1">
      <alignment horizontal="left"/>
    </xf>
    <xf numFmtId="0" fontId="7" fillId="19" borderId="0" xfId="0" applyFont="1" applyFill="1" applyAlignment="1"/>
    <xf numFmtId="0" fontId="12" fillId="10" borderId="0" xfId="0" applyFont="1" applyFill="1" applyAlignment="1"/>
    <xf numFmtId="0" fontId="15" fillId="10" borderId="0" xfId="0" applyFont="1" applyFill="1" applyAlignment="1"/>
    <xf numFmtId="165" fontId="1" fillId="10" borderId="0" xfId="0" applyNumberFormat="1" applyFont="1" applyFill="1"/>
    <xf numFmtId="165" fontId="2" fillId="10" borderId="0" xfId="0" applyNumberFormat="1" applyFont="1" applyFill="1" applyAlignment="1">
      <alignment horizontal="right"/>
    </xf>
    <xf numFmtId="165" fontId="1" fillId="11" borderId="0" xfId="0" applyNumberFormat="1" applyFont="1" applyFill="1"/>
    <xf numFmtId="165" fontId="19" fillId="8" borderId="0" xfId="0" applyNumberFormat="1" applyFont="1" applyFill="1"/>
    <xf numFmtId="0" fontId="10" fillId="13" borderId="0" xfId="0" applyFont="1" applyFill="1"/>
    <xf numFmtId="0" fontId="18" fillId="19" borderId="0" xfId="0" applyFont="1" applyFill="1" applyAlignment="1"/>
    <xf numFmtId="165" fontId="2" fillId="10" borderId="0" xfId="0" applyNumberFormat="1" applyFont="1" applyFill="1" applyAlignment="1"/>
    <xf numFmtId="0" fontId="1" fillId="0" borderId="0" xfId="0" applyFont="1" applyAlignment="1"/>
    <xf numFmtId="10" fontId="2" fillId="10" borderId="0" xfId="0" applyNumberFormat="1" applyFont="1" applyFill="1" applyAlignment="1"/>
    <xf numFmtId="0" fontId="6" fillId="20" borderId="0" xfId="0" applyFont="1" applyFill="1" applyAlignment="1">
      <alignment vertical="center"/>
    </xf>
    <xf numFmtId="0" fontId="21" fillId="20" borderId="0" xfId="0" applyFont="1" applyFill="1" applyAlignment="1">
      <alignment vertical="center"/>
    </xf>
    <xf numFmtId="0" fontId="13" fillId="13" borderId="0" xfId="0" applyFont="1" applyFill="1" applyAlignment="1"/>
    <xf numFmtId="0" fontId="4" fillId="20" borderId="0" xfId="0" applyFont="1" applyFill="1" applyAlignment="1">
      <alignment vertical="center"/>
    </xf>
    <xf numFmtId="0" fontId="12" fillId="8" borderId="0" xfId="0" applyFont="1" applyFill="1" applyAlignment="1"/>
    <xf numFmtId="0" fontId="11" fillId="20" borderId="0" xfId="0" applyFont="1" applyFill="1" applyAlignment="1">
      <alignment vertical="center"/>
    </xf>
    <xf numFmtId="0" fontId="15" fillId="8" borderId="0" xfId="0" applyFont="1" applyFill="1" applyAlignment="1"/>
    <xf numFmtId="0" fontId="4" fillId="16" borderId="0" xfId="0" applyFont="1" applyFill="1" applyAlignment="1">
      <alignment horizontal="left" vertical="center"/>
    </xf>
    <xf numFmtId="0" fontId="7" fillId="20" borderId="0" xfId="0" applyFont="1" applyFill="1" applyAlignment="1"/>
    <xf numFmtId="165" fontId="2" fillId="8" borderId="0" xfId="0" applyNumberFormat="1" applyFont="1" applyFill="1" applyAlignment="1">
      <alignment horizontal="right"/>
    </xf>
    <xf numFmtId="0" fontId="4" fillId="16" borderId="0" xfId="0" applyFont="1" applyFill="1" applyAlignment="1">
      <alignment horizontal="center" vertical="center"/>
    </xf>
    <xf numFmtId="0" fontId="18" fillId="20" borderId="0" xfId="0" applyFont="1" applyFill="1" applyAlignment="1"/>
    <xf numFmtId="167" fontId="10" fillId="17" borderId="0" xfId="0" applyNumberFormat="1" applyFont="1" applyFill="1" applyAlignment="1"/>
    <xf numFmtId="167" fontId="10" fillId="17" borderId="0" xfId="0" applyNumberFormat="1" applyFont="1" applyFill="1" applyAlignment="1">
      <alignment horizontal="left"/>
    </xf>
    <xf numFmtId="165" fontId="2" fillId="8" borderId="0" xfId="0" applyNumberFormat="1" applyFont="1" applyFill="1" applyAlignment="1"/>
    <xf numFmtId="165" fontId="10" fillId="17" borderId="0" xfId="0" applyNumberFormat="1" applyFont="1" applyFill="1" applyAlignment="1">
      <alignment horizontal="left"/>
    </xf>
    <xf numFmtId="164" fontId="2" fillId="17" borderId="0" xfId="0" applyNumberFormat="1" applyFont="1" applyFill="1" applyAlignment="1">
      <alignment horizontal="center"/>
    </xf>
    <xf numFmtId="0" fontId="10" fillId="17" borderId="0" xfId="0" applyFont="1" applyFill="1" applyAlignment="1">
      <alignment horizontal="right"/>
    </xf>
    <xf numFmtId="10" fontId="2" fillId="8" borderId="0" xfId="0" applyNumberFormat="1" applyFont="1" applyFill="1" applyAlignment="1"/>
    <xf numFmtId="165" fontId="2" fillId="17" borderId="0" xfId="0" applyNumberFormat="1" applyFont="1" applyFill="1" applyAlignment="1">
      <alignment horizontal="left"/>
    </xf>
    <xf numFmtId="0" fontId="12" fillId="21" borderId="0" xfId="0" applyFont="1" applyFill="1" applyAlignment="1"/>
    <xf numFmtId="0" fontId="15" fillId="21" borderId="0" xfId="0" applyFont="1" applyFill="1" applyAlignment="1"/>
    <xf numFmtId="165" fontId="2" fillId="21" borderId="0" xfId="0" applyNumberFormat="1" applyFont="1" applyFill="1" applyAlignment="1">
      <alignment horizontal="right"/>
    </xf>
    <xf numFmtId="0" fontId="10" fillId="13" borderId="0" xfId="0" applyFont="1" applyFill="1" applyAlignment="1"/>
    <xf numFmtId="165" fontId="10" fillId="13" borderId="0" xfId="0" applyNumberFormat="1" applyFont="1" applyFill="1" applyAlignment="1">
      <alignment horizontal="left"/>
    </xf>
    <xf numFmtId="0" fontId="22" fillId="0" borderId="0" xfId="0" applyFont="1" applyAlignment="1"/>
    <xf numFmtId="0" fontId="8" fillId="0" borderId="0" xfId="0" applyFont="1"/>
    <xf numFmtId="0" fontId="8" fillId="0" borderId="0" xfId="0" applyFont="1" applyAlignment="1"/>
    <xf numFmtId="165" fontId="2" fillId="21" borderId="0" xfId="0" applyNumberFormat="1" applyFont="1" applyFill="1" applyAlignment="1"/>
    <xf numFmtId="10" fontId="2" fillId="21" borderId="0" xfId="0" applyNumberFormat="1" applyFont="1" applyFill="1" applyAlignment="1"/>
    <xf numFmtId="0" fontId="23" fillId="0" borderId="0" xfId="0" applyFont="1" applyAlignment="1"/>
    <xf numFmtId="0" fontId="7" fillId="0" borderId="0" xfId="0" applyFont="1" applyAlignment="1"/>
    <xf numFmtId="0" fontId="23" fillId="0" borderId="0" xfId="0" applyFont="1" applyAlignment="1">
      <alignment horizontal="right"/>
    </xf>
    <xf numFmtId="0" fontId="12" fillId="0" borderId="0" xfId="0" applyFont="1"/>
    <xf numFmtId="0" fontId="24" fillId="0" borderId="0" xfId="0" applyFont="1" applyAlignment="1"/>
    <xf numFmtId="0" fontId="24" fillId="0" borderId="0" xfId="0" applyFont="1" applyAlignment="1">
      <alignment horizontal="center"/>
    </xf>
    <xf numFmtId="0" fontId="7" fillId="13" borderId="0" xfId="0" applyFont="1" applyFill="1" applyAlignment="1"/>
    <xf numFmtId="164" fontId="12" fillId="0" borderId="0" xfId="0" applyNumberFormat="1" applyFont="1" applyAlignment="1"/>
    <xf numFmtId="9" fontId="12" fillId="0" borderId="0" xfId="0" applyNumberFormat="1" applyFont="1" applyAlignment="1"/>
    <xf numFmtId="10" fontId="12" fillId="0" borderId="0" xfId="0" applyNumberFormat="1" applyFont="1"/>
    <xf numFmtId="165" fontId="12" fillId="0" borderId="0" xfId="0" applyNumberFormat="1" applyFont="1"/>
    <xf numFmtId="164" fontId="23" fillId="0" borderId="0" xfId="0" applyNumberFormat="1" applyFont="1" applyAlignment="1">
      <alignment horizontal="right"/>
    </xf>
    <xf numFmtId="0" fontId="18" fillId="0" borderId="0" xfId="0" applyFont="1" applyAlignment="1"/>
    <xf numFmtId="10" fontId="23" fillId="0" borderId="0" xfId="0" applyNumberFormat="1" applyFont="1" applyAlignment="1">
      <alignment horizontal="right"/>
    </xf>
    <xf numFmtId="0" fontId="13" fillId="0" borderId="0" xfId="0" applyFont="1" applyAlignment="1"/>
    <xf numFmtId="3" fontId="15" fillId="0" borderId="0" xfId="0" applyNumberFormat="1" applyFont="1" applyAlignment="1">
      <alignment horizontal="right"/>
    </xf>
    <xf numFmtId="165" fontId="13" fillId="0" borderId="0" xfId="0" applyNumberFormat="1" applyFont="1" applyAlignment="1"/>
    <xf numFmtId="165" fontId="15" fillId="0" borderId="0" xfId="0" applyNumberFormat="1" applyFont="1" applyAlignment="1">
      <alignment horizontal="right"/>
    </xf>
    <xf numFmtId="0" fontId="13" fillId="19" borderId="0" xfId="0" applyFont="1" applyFill="1" applyAlignment="1">
      <alignment horizontal="left"/>
    </xf>
    <xf numFmtId="0" fontId="13" fillId="19" borderId="0" xfId="0" applyFont="1" applyFill="1" applyAlignment="1">
      <alignment horizontal="center"/>
    </xf>
    <xf numFmtId="164" fontId="13" fillId="0" borderId="0" xfId="0" applyNumberFormat="1" applyFont="1" applyAlignment="1"/>
    <xf numFmtId="164" fontId="13" fillId="0" borderId="0" xfId="0" applyNumberFormat="1" applyFont="1"/>
    <xf numFmtId="0" fontId="25" fillId="22" borderId="0" xfId="0" applyFont="1" applyFill="1" applyAlignment="1"/>
    <xf numFmtId="164" fontId="25" fillId="22" borderId="0" xfId="0" applyNumberFormat="1" applyFont="1" applyFill="1"/>
    <xf numFmtId="9" fontId="13" fillId="0" borderId="0" xfId="0" applyNumberFormat="1" applyFont="1" applyAlignment="1"/>
    <xf numFmtId="0" fontId="12" fillId="23" borderId="0" xfId="0" applyFont="1" applyFill="1" applyAlignment="1"/>
    <xf numFmtId="0" fontId="26" fillId="4" borderId="0" xfId="0" applyFont="1" applyFill="1" applyAlignment="1"/>
    <xf numFmtId="0" fontId="26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0" borderId="0" xfId="0" applyFont="1" applyFill="1" applyAlignment="1"/>
    <xf numFmtId="164" fontId="12" fillId="20" borderId="0" xfId="0" applyNumberFormat="1" applyFont="1" applyFill="1"/>
    <xf numFmtId="164" fontId="12" fillId="10" borderId="0" xfId="0" applyNumberFormat="1" applyFont="1" applyFill="1"/>
    <xf numFmtId="0" fontId="13" fillId="0" borderId="0" xfId="0" applyFont="1" applyAlignment="1">
      <alignment horizontal="center"/>
    </xf>
    <xf numFmtId="165" fontId="13" fillId="0" borderId="0" xfId="0" applyNumberFormat="1" applyFont="1" applyAlignment="1"/>
    <xf numFmtId="165" fontId="13" fillId="0" borderId="0" xfId="0" applyNumberFormat="1" applyFont="1"/>
    <xf numFmtId="9" fontId="12" fillId="0" borderId="0" xfId="0" applyNumberFormat="1" applyFont="1"/>
  </cellXfs>
  <cellStyles count="1">
    <cellStyle name="Normal" xfId="0" builtinId="0"/>
  </cellStyles>
  <dxfs count="6"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A61C00"/>
          <bgColor rgb="FFA61C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A61C00"/>
          <bgColor rgb="FFA61C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A61C00"/>
          <bgColor rgb="FFA61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5"/>
  <sheetViews>
    <sheetView workbookViewId="0">
      <selection activeCell="C6" sqref="C6"/>
    </sheetView>
  </sheetViews>
  <sheetFormatPr defaultColWidth="14.42578125" defaultRowHeight="15.75" customHeight="1"/>
  <cols>
    <col min="1" max="1" width="12.42578125" customWidth="1"/>
    <col min="2" max="2" width="20.5703125" customWidth="1"/>
    <col min="3" max="3" width="21.85546875" customWidth="1"/>
    <col min="4" max="4" width="21.140625" customWidth="1"/>
    <col min="7" max="7" width="20.28515625" customWidth="1"/>
    <col min="8" max="8" width="36.7109375" customWidth="1"/>
    <col min="9" max="9" width="18" customWidth="1"/>
    <col min="10" max="10" width="18.42578125" customWidth="1"/>
    <col min="11" max="11" width="20.28515625" customWidth="1"/>
  </cols>
  <sheetData>
    <row r="1" spans="1:22" ht="27" customHeight="1">
      <c r="A1" s="1"/>
      <c r="B1" s="3" t="s">
        <v>0</v>
      </c>
      <c r="C1" s="4"/>
      <c r="D1" s="4"/>
      <c r="E1" s="4"/>
      <c r="F1" s="1"/>
      <c r="G1" s="5" t="s">
        <v>1</v>
      </c>
      <c r="H1" s="7"/>
      <c r="I1" s="9"/>
      <c r="J1" s="11" t="s">
        <v>23</v>
      </c>
      <c r="K1" s="12" t="s">
        <v>24</v>
      </c>
      <c r="L1" s="13" t="s">
        <v>25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7" customHeight="1">
      <c r="A2" s="1"/>
      <c r="B2" s="14" t="s">
        <v>26</v>
      </c>
      <c r="C2" s="15" t="s">
        <v>28</v>
      </c>
      <c r="D2" s="15" t="s">
        <v>29</v>
      </c>
      <c r="E2" s="15" t="s">
        <v>30</v>
      </c>
      <c r="F2" s="1"/>
      <c r="G2" s="16" t="s">
        <v>31</v>
      </c>
      <c r="H2" s="17"/>
      <c r="I2" s="18"/>
      <c r="J2" s="19">
        <v>5000</v>
      </c>
      <c r="K2" s="20">
        <v>10000</v>
      </c>
      <c r="L2" s="21">
        <v>15000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7" customHeight="1">
      <c r="A3" s="1"/>
      <c r="B3" s="22" t="s">
        <v>33</v>
      </c>
      <c r="C3" s="23">
        <v>4900</v>
      </c>
      <c r="D3" s="24">
        <v>0.02</v>
      </c>
      <c r="E3" s="26" t="s">
        <v>35</v>
      </c>
      <c r="F3" s="1"/>
      <c r="G3" s="16" t="s">
        <v>36</v>
      </c>
      <c r="H3" s="17"/>
      <c r="I3" s="18"/>
      <c r="J3" s="19">
        <v>3</v>
      </c>
      <c r="K3" s="20">
        <v>5</v>
      </c>
      <c r="L3" s="21">
        <v>6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7" customHeight="1">
      <c r="A4" s="1"/>
      <c r="B4" s="27" t="s">
        <v>37</v>
      </c>
      <c r="C4" s="23">
        <v>19000</v>
      </c>
      <c r="D4" s="24">
        <v>0.05</v>
      </c>
      <c r="E4" s="26" t="s">
        <v>35</v>
      </c>
      <c r="F4" s="1"/>
      <c r="G4" s="16" t="s">
        <v>38</v>
      </c>
      <c r="H4" s="28"/>
      <c r="I4" s="18"/>
      <c r="J4" s="29">
        <v>400</v>
      </c>
      <c r="K4" s="30">
        <v>500</v>
      </c>
      <c r="L4" s="31">
        <v>1000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7" customHeight="1">
      <c r="A5" s="1"/>
      <c r="B5" s="27" t="s">
        <v>40</v>
      </c>
      <c r="C5" s="23">
        <v>49000</v>
      </c>
      <c r="D5" s="24">
        <v>0.08</v>
      </c>
      <c r="E5" s="26" t="s">
        <v>35</v>
      </c>
      <c r="F5" s="1"/>
      <c r="G5" s="16" t="s">
        <v>41</v>
      </c>
      <c r="H5" s="33"/>
      <c r="I5" s="18"/>
      <c r="J5" s="34">
        <v>1.9E-3</v>
      </c>
      <c r="K5" s="35">
        <v>2.2000000000000001E-3</v>
      </c>
      <c r="L5" s="36">
        <v>2.5999999999999999E-3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7" customHeight="1">
      <c r="A6" s="1"/>
      <c r="B6" s="27" t="s">
        <v>42</v>
      </c>
      <c r="C6" s="23">
        <v>79000</v>
      </c>
      <c r="D6" s="24">
        <v>0.11</v>
      </c>
      <c r="E6" s="37">
        <f t="shared" ref="E6:E7" si="0">C6/D16</f>
        <v>1.1109375011109375E-3</v>
      </c>
      <c r="F6" s="1"/>
      <c r="G6" s="16" t="s">
        <v>43</v>
      </c>
      <c r="H6" s="17"/>
      <c r="I6" s="18"/>
      <c r="J6" s="19">
        <v>150</v>
      </c>
      <c r="K6" s="20">
        <v>150</v>
      </c>
      <c r="L6" s="21">
        <v>150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7" customHeight="1">
      <c r="A7" s="1"/>
      <c r="B7" s="27" t="s">
        <v>44</v>
      </c>
      <c r="C7" s="23">
        <v>199000</v>
      </c>
      <c r="D7" s="24">
        <v>0.2</v>
      </c>
      <c r="E7" s="37">
        <f t="shared" si="0"/>
        <v>5.5968750055968748E-3</v>
      </c>
      <c r="F7" s="1"/>
      <c r="G7" s="38" t="s">
        <v>45</v>
      </c>
      <c r="H7" s="18"/>
      <c r="I7" s="18"/>
      <c r="J7" s="40">
        <f>COUNTIF(Worst!C7:V7,"&lt;0")*3+3</f>
        <v>9</v>
      </c>
      <c r="K7" s="41">
        <f>COUNTIF(Mid!C7:V7,"&lt;0")*3+3</f>
        <v>6</v>
      </c>
      <c r="L7" s="42">
        <f>COUNTIF(Best!C7:V7,"&lt;0")*3+3</f>
        <v>6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7" customHeight="1">
      <c r="A8" s="1"/>
      <c r="B8" s="43" t="s">
        <v>47</v>
      </c>
      <c r="C8" s="44" t="s">
        <v>48</v>
      </c>
      <c r="D8" s="44" t="s">
        <v>49</v>
      </c>
      <c r="E8" s="44" t="s">
        <v>49</v>
      </c>
      <c r="F8" s="1"/>
      <c r="G8" s="38" t="s">
        <v>50</v>
      </c>
      <c r="H8" s="18"/>
      <c r="I8" s="18"/>
      <c r="J8" s="46">
        <v>0.03</v>
      </c>
      <c r="K8" s="48">
        <v>0.03</v>
      </c>
      <c r="L8" s="50">
        <v>0.03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7" customHeight="1">
      <c r="A9" s="1"/>
      <c r="B9" s="1"/>
      <c r="C9" s="1"/>
      <c r="D9" s="1"/>
      <c r="E9" s="1"/>
      <c r="F9" s="1"/>
      <c r="G9" s="51" t="s">
        <v>52</v>
      </c>
      <c r="H9" s="52"/>
      <c r="I9" s="52"/>
      <c r="J9" s="54">
        <v>0.2</v>
      </c>
      <c r="K9" s="55">
        <v>0.2</v>
      </c>
      <c r="L9" s="56">
        <v>0.2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.75" customHeight="1"/>
    <row r="11" spans="1:22" ht="27" customHeight="1">
      <c r="A11" s="1"/>
      <c r="B11" s="57" t="s">
        <v>53</v>
      </c>
      <c r="C11" s="58"/>
      <c r="D11" s="58"/>
      <c r="E11" s="1"/>
      <c r="F11" s="1"/>
      <c r="G11" s="59" t="s">
        <v>54</v>
      </c>
      <c r="H11" s="60"/>
      <c r="I11" s="60"/>
      <c r="J11" s="11" t="s">
        <v>23</v>
      </c>
      <c r="K11" s="12" t="s">
        <v>24</v>
      </c>
      <c r="L11" s="13" t="s">
        <v>25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7" customHeight="1">
      <c r="A12" s="1"/>
      <c r="B12" s="62" t="s">
        <v>55</v>
      </c>
      <c r="C12" s="62"/>
      <c r="D12" s="64" t="s">
        <v>57</v>
      </c>
      <c r="E12" s="1"/>
      <c r="F12" s="1"/>
      <c r="G12" s="1"/>
      <c r="H12" s="1"/>
      <c r="I12" s="65" t="s">
        <v>33</v>
      </c>
      <c r="J12" s="66">
        <f>Worst!L38</f>
        <v>3.634099653589856</v>
      </c>
      <c r="K12" s="67">
        <f>Mid!L38</f>
        <v>18.178406718516815</v>
      </c>
      <c r="L12" s="68">
        <f>Best!L38</f>
        <v>77.912807288455298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7" customHeight="1">
      <c r="A13" s="1"/>
      <c r="B13" s="62" t="s">
        <v>59</v>
      </c>
      <c r="C13" s="62"/>
      <c r="D13" s="70" t="s">
        <v>60</v>
      </c>
      <c r="E13" s="1"/>
      <c r="F13" s="1"/>
      <c r="G13" s="1"/>
      <c r="H13" s="1"/>
      <c r="I13" s="71" t="s">
        <v>37</v>
      </c>
      <c r="J13" s="66">
        <f>Worst!L39</f>
        <v>3.7488606952821675</v>
      </c>
      <c r="K13" s="67">
        <f>Mid!L39</f>
        <v>18.75246166752261</v>
      </c>
      <c r="L13" s="68">
        <f>Best!L39</f>
        <v>80.373211729143364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7" customHeight="1">
      <c r="A14" s="1"/>
      <c r="B14" s="73" t="s">
        <v>61</v>
      </c>
      <c r="C14" s="75"/>
      <c r="D14" s="77">
        <v>888888888</v>
      </c>
      <c r="E14" s="1"/>
      <c r="F14" s="1"/>
      <c r="G14" s="1"/>
      <c r="H14" s="1"/>
      <c r="I14" s="71" t="s">
        <v>40</v>
      </c>
      <c r="J14" s="66">
        <f>Worst!L40</f>
        <v>3.8711061527370196</v>
      </c>
      <c r="K14" s="67">
        <f>Mid!L40</f>
        <v>19.363954982767911</v>
      </c>
      <c r="L14" s="68">
        <f>Best!L40</f>
        <v>82.994077329006728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7" customHeight="1">
      <c r="A15" s="1"/>
      <c r="B15" s="62" t="s">
        <v>63</v>
      </c>
      <c r="C15" s="79"/>
      <c r="D15" s="80">
        <f>AVERAGE(F26:F29)</f>
        <v>0.08</v>
      </c>
      <c r="E15" s="1"/>
      <c r="F15" s="1"/>
      <c r="G15" s="1"/>
      <c r="H15" s="1"/>
      <c r="I15" s="71" t="s">
        <v>42</v>
      </c>
      <c r="J15" s="66">
        <f>Worst!L41</f>
        <v>4.0015928769865816</v>
      </c>
      <c r="K15" s="67">
        <f>Mid!L41</f>
        <v>20.016672566456716</v>
      </c>
      <c r="L15" s="68">
        <f>Best!L41</f>
        <v>85.79163049740022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7" customHeight="1">
      <c r="A16" s="1"/>
      <c r="B16" s="62" t="s">
        <v>64</v>
      </c>
      <c r="C16" s="81"/>
      <c r="D16" s="83">
        <f>D14*D15</f>
        <v>71111111.040000007</v>
      </c>
      <c r="E16" s="1"/>
      <c r="F16" s="1"/>
      <c r="G16" s="1"/>
      <c r="H16" s="1"/>
      <c r="I16" s="71" t="s">
        <v>44</v>
      </c>
      <c r="J16" s="66">
        <f>Worst!L42</f>
        <v>4.4517720756475727</v>
      </c>
      <c r="K16" s="67">
        <f>Mid!L42</f>
        <v>22.268548230183097</v>
      </c>
      <c r="L16" s="68">
        <f>Best!L42</f>
        <v>95.443188928357756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7" customHeight="1">
      <c r="A17" s="1"/>
      <c r="B17" s="62" t="s">
        <v>65</v>
      </c>
      <c r="C17" s="81"/>
      <c r="D17" s="83">
        <f>50%*D16</f>
        <v>35555555.520000003</v>
      </c>
      <c r="E17" s="1"/>
      <c r="F17" s="1"/>
      <c r="G17" s="84" t="s">
        <v>66</v>
      </c>
      <c r="H17" s="85"/>
      <c r="I17" s="85"/>
      <c r="J17" s="85"/>
      <c r="K17" s="85"/>
      <c r="L17" s="87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7" customHeight="1">
      <c r="A18" s="1"/>
      <c r="B18" s="62" t="s">
        <v>67</v>
      </c>
      <c r="C18" s="81"/>
      <c r="D18" s="88">
        <f>SUMIF(Worst!C7:V7,"&lt;0")*-2</f>
        <v>2792940</v>
      </c>
      <c r="E18" s="1"/>
      <c r="F18" s="1"/>
      <c r="G18" s="1"/>
      <c r="H18" s="1"/>
      <c r="I18" s="89" t="s">
        <v>33</v>
      </c>
      <c r="J18" s="92">
        <f>Worst!M38</f>
        <v>17807.088302590295</v>
      </c>
      <c r="K18" s="94">
        <f>Mid!M38</f>
        <v>89074.192920732385</v>
      </c>
      <c r="L18" s="95">
        <f>Best!M38</f>
        <v>381772.75571343099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7" customHeight="1">
      <c r="A19" s="1"/>
      <c r="C19" s="96"/>
      <c r="E19" s="1"/>
      <c r="F19" s="1"/>
      <c r="G19" s="1"/>
      <c r="H19" s="1"/>
      <c r="I19" s="97" t="s">
        <v>37</v>
      </c>
      <c r="J19" s="92">
        <f>Worst!M39</f>
        <v>71228.35321036118</v>
      </c>
      <c r="K19" s="94">
        <f>Mid!M39</f>
        <v>356296.7716829296</v>
      </c>
      <c r="L19" s="95">
        <f>Best!M39</f>
        <v>1527091.022853724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7" customHeight="1">
      <c r="A20" s="1"/>
      <c r="B20" s="1"/>
      <c r="C20" s="1"/>
      <c r="D20" s="1"/>
      <c r="E20" s="1"/>
      <c r="F20" s="1"/>
      <c r="G20" s="1"/>
      <c r="H20" s="1"/>
      <c r="I20" s="97" t="s">
        <v>40</v>
      </c>
      <c r="J20" s="92">
        <f>Worst!M40</f>
        <v>189684.20148411396</v>
      </c>
      <c r="K20" s="94">
        <f>Mid!M40</f>
        <v>948833.79415562772</v>
      </c>
      <c r="L20" s="95">
        <f>Best!M40</f>
        <v>4066709.7891213298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7" customHeight="1">
      <c r="A21" s="1"/>
      <c r="B21" s="99"/>
      <c r="C21" s="1"/>
      <c r="D21" s="1"/>
      <c r="E21" s="1"/>
      <c r="F21" s="1"/>
      <c r="G21" s="1"/>
      <c r="H21" s="1"/>
      <c r="I21" s="97" t="s">
        <v>42</v>
      </c>
      <c r="J21" s="92">
        <f>Worst!M41</f>
        <v>316125.83728193998</v>
      </c>
      <c r="K21" s="94">
        <f>Mid!M41</f>
        <v>1581317.1327500807</v>
      </c>
      <c r="L21" s="95">
        <f>Best!M41</f>
        <v>6777538.8092946177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7" customHeight="1">
      <c r="A22" s="1"/>
      <c r="B22" s="1"/>
      <c r="C22" s="1"/>
      <c r="D22" s="1"/>
      <c r="E22" s="1"/>
      <c r="F22" s="1"/>
      <c r="G22" s="1"/>
      <c r="H22" s="1"/>
      <c r="I22" s="97" t="s">
        <v>44</v>
      </c>
      <c r="J22" s="92">
        <f>Worst!M42</f>
        <v>885902.64305386692</v>
      </c>
      <c r="K22" s="94">
        <f>Mid!M42</f>
        <v>4431441.097806436</v>
      </c>
      <c r="L22" s="95">
        <f>Best!M42</f>
        <v>18993194.596743193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7" customHeight="1">
      <c r="A23" s="1"/>
      <c r="E23" s="1"/>
      <c r="F23" s="1"/>
      <c r="G23" s="101" t="s">
        <v>69</v>
      </c>
      <c r="H23" s="102"/>
      <c r="I23" s="102"/>
      <c r="J23" s="104"/>
      <c r="K23" s="106"/>
      <c r="L23" s="104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7" customHeight="1">
      <c r="A24" s="1"/>
      <c r="B24" s="108" t="s">
        <v>70</v>
      </c>
      <c r="E24" s="1"/>
      <c r="F24" s="1"/>
      <c r="G24" s="1"/>
      <c r="H24" s="1"/>
      <c r="I24" s="109" t="s">
        <v>33</v>
      </c>
      <c r="J24" s="92">
        <f>Worst!N38</f>
        <v>312.4050579401806</v>
      </c>
      <c r="K24" s="94">
        <f>Mid!N38</f>
        <v>1562.7051389602175</v>
      </c>
      <c r="L24" s="95">
        <f>Best!N38</f>
        <v>6697.767644095281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7" customHeight="1">
      <c r="A25" s="1"/>
      <c r="B25" s="111" t="s">
        <v>71</v>
      </c>
      <c r="C25" s="111" t="s">
        <v>72</v>
      </c>
      <c r="D25" s="111" t="s">
        <v>73</v>
      </c>
      <c r="E25" s="111"/>
      <c r="F25" s="111" t="s">
        <v>74</v>
      </c>
      <c r="G25" s="111" t="s">
        <v>75</v>
      </c>
      <c r="H25" s="1"/>
      <c r="I25" s="112" t="s">
        <v>37</v>
      </c>
      <c r="J25" s="92">
        <f>Worst!N39</f>
        <v>1249.6202317607224</v>
      </c>
      <c r="K25" s="94">
        <f>Mid!N39</f>
        <v>6250.8205558408708</v>
      </c>
      <c r="L25" s="95">
        <f>Best!N39</f>
        <v>26791.070576381124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7" customHeight="1">
      <c r="A26" s="1"/>
      <c r="B26" s="62" t="s">
        <v>76</v>
      </c>
      <c r="C26" s="113">
        <v>43383</v>
      </c>
      <c r="D26" s="114">
        <v>43293</v>
      </c>
      <c r="E26" s="116"/>
      <c r="F26" s="116">
        <v>0.05</v>
      </c>
      <c r="G26" s="117">
        <v>500000</v>
      </c>
      <c r="H26" s="1"/>
      <c r="I26" s="112" t="s">
        <v>40</v>
      </c>
      <c r="J26" s="92">
        <f>Worst!N40</f>
        <v>3327.7930084932268</v>
      </c>
      <c r="K26" s="94">
        <f>Mid!N40</f>
        <v>16646.206915011015</v>
      </c>
      <c r="L26" s="95">
        <f>Best!N40</f>
        <v>71345.785774058415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7" customHeight="1">
      <c r="A27" s="1"/>
      <c r="B27" s="62" t="s">
        <v>77</v>
      </c>
      <c r="C27" s="118" t="s">
        <v>78</v>
      </c>
      <c r="D27" s="70" t="s">
        <v>78</v>
      </c>
      <c r="E27" s="116"/>
      <c r="F27" s="116">
        <v>7.0000000000000007E-2</v>
      </c>
      <c r="G27" s="117">
        <f>D18/3</f>
        <v>930980</v>
      </c>
      <c r="H27" s="1"/>
      <c r="I27" s="112" t="s">
        <v>42</v>
      </c>
      <c r="J27" s="92">
        <f>Worst!N41</f>
        <v>5546.0673207357895</v>
      </c>
      <c r="K27" s="94">
        <f>Mid!N41</f>
        <v>27742.405837720715</v>
      </c>
      <c r="L27" s="95">
        <f>Best!N41</f>
        <v>118904.18963674767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7" customHeight="1">
      <c r="A28" s="1"/>
      <c r="B28" s="62" t="s">
        <v>79</v>
      </c>
      <c r="C28" s="75" t="s">
        <v>78</v>
      </c>
      <c r="D28" s="77" t="s">
        <v>78</v>
      </c>
      <c r="E28" s="120"/>
      <c r="F28" s="120">
        <v>0.09</v>
      </c>
      <c r="G28" s="117">
        <f>D18/3</f>
        <v>930980</v>
      </c>
      <c r="H28" s="1"/>
      <c r="I28" s="112" t="s">
        <v>44</v>
      </c>
      <c r="J28" s="92">
        <f>Worst!N42</f>
        <v>15542.151632523979</v>
      </c>
      <c r="K28" s="94">
        <f>Mid!N42</f>
        <v>77744.580663270812</v>
      </c>
      <c r="L28" s="95">
        <f>Best!N42</f>
        <v>333213.94029374019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7" customHeight="1">
      <c r="A29" s="1"/>
      <c r="B29" s="62" t="s">
        <v>81</v>
      </c>
      <c r="C29" s="75" t="s">
        <v>78</v>
      </c>
      <c r="D29" s="77" t="s">
        <v>78</v>
      </c>
      <c r="E29" s="120"/>
      <c r="F29" s="120">
        <v>0.11</v>
      </c>
      <c r="G29" s="117">
        <f>D18/3</f>
        <v>930980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7" customHeight="1">
      <c r="A30" s="1"/>
      <c r="B30" s="124"/>
      <c r="C30" s="96"/>
      <c r="D30" s="12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7" customHeight="1">
      <c r="A31" s="1"/>
      <c r="B31" s="126" t="s">
        <v>82</v>
      </c>
      <c r="C31" s="12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7" customHeight="1">
      <c r="A32" s="1"/>
      <c r="B32" s="127"/>
      <c r="C32" s="128" t="s">
        <v>83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7" customHeight="1">
      <c r="A33" s="1"/>
      <c r="B33" s="127"/>
      <c r="C33" s="128" t="s">
        <v>84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7" customHeight="1">
      <c r="A34" s="1"/>
      <c r="B34" s="127"/>
      <c r="C34" s="128" t="s">
        <v>85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7" customHeight="1">
      <c r="A35" s="1"/>
      <c r="B35" s="127"/>
      <c r="C35" s="128" t="s">
        <v>86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7" customHeight="1">
      <c r="A36" s="1"/>
      <c r="B36" s="127"/>
      <c r="C36" s="128" t="s">
        <v>87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7" customHeight="1">
      <c r="A37" s="1"/>
      <c r="B37" s="1"/>
      <c r="C37" s="99" t="s">
        <v>88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7" customHeight="1">
      <c r="A38" s="1"/>
      <c r="B38" s="1"/>
      <c r="C38" s="99" t="s">
        <v>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8"/>
  <sheetViews>
    <sheetView tabSelected="1" workbookViewId="0">
      <selection activeCell="F6" sqref="F6"/>
    </sheetView>
  </sheetViews>
  <sheetFormatPr defaultColWidth="14.42578125" defaultRowHeight="15.75" customHeight="1"/>
  <cols>
    <col min="1" max="1" width="13" customWidth="1"/>
    <col min="2" max="2" width="44.85546875" customWidth="1"/>
    <col min="9" max="9" width="19.7109375" customWidth="1"/>
    <col min="10" max="10" width="17.42578125" customWidth="1"/>
    <col min="13" max="13" width="17.28515625" customWidth="1"/>
    <col min="14" max="14" width="16.85546875" customWidth="1"/>
  </cols>
  <sheetData>
    <row r="1" spans="1:23">
      <c r="A1" s="2"/>
      <c r="B1" s="2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3">
      <c r="A2" s="8"/>
      <c r="B2" s="8" t="s">
        <v>22</v>
      </c>
      <c r="C2" s="10">
        <v>2</v>
      </c>
      <c r="D2" s="10">
        <v>10</v>
      </c>
      <c r="E2" s="10">
        <f t="shared" ref="E2:V2" si="0">D2+$D$41</f>
        <v>160</v>
      </c>
      <c r="F2" s="10">
        <f t="shared" si="0"/>
        <v>310</v>
      </c>
      <c r="G2" s="10">
        <f t="shared" si="0"/>
        <v>460</v>
      </c>
      <c r="H2" s="10">
        <f t="shared" si="0"/>
        <v>610</v>
      </c>
      <c r="I2" s="10">
        <f t="shared" si="0"/>
        <v>760</v>
      </c>
      <c r="J2" s="10">
        <f t="shared" si="0"/>
        <v>910</v>
      </c>
      <c r="K2" s="10">
        <f t="shared" si="0"/>
        <v>1060</v>
      </c>
      <c r="L2" s="10">
        <f t="shared" si="0"/>
        <v>1210</v>
      </c>
      <c r="M2" s="10">
        <f t="shared" si="0"/>
        <v>1360</v>
      </c>
      <c r="N2" s="10">
        <f t="shared" si="0"/>
        <v>1510</v>
      </c>
      <c r="O2" s="10">
        <f t="shared" si="0"/>
        <v>1660</v>
      </c>
      <c r="P2" s="10">
        <f t="shared" si="0"/>
        <v>1810</v>
      </c>
      <c r="Q2" s="10">
        <f t="shared" si="0"/>
        <v>1960</v>
      </c>
      <c r="R2" s="10">
        <f t="shared" si="0"/>
        <v>2110</v>
      </c>
      <c r="S2" s="10">
        <f t="shared" si="0"/>
        <v>2260</v>
      </c>
      <c r="T2" s="10">
        <f t="shared" si="0"/>
        <v>2410</v>
      </c>
      <c r="U2" s="10">
        <f t="shared" si="0"/>
        <v>2560</v>
      </c>
      <c r="V2" s="10">
        <f t="shared" si="0"/>
        <v>2710</v>
      </c>
    </row>
    <row r="3" spans="1:23">
      <c r="A3" s="8"/>
      <c r="B3" s="8" t="s">
        <v>27</v>
      </c>
      <c r="C3" s="10">
        <f>C2*$D$37</f>
        <v>10000</v>
      </c>
      <c r="D3" s="10">
        <f t="shared" ref="C3:V3" si="1">D2*$D$37</f>
        <v>50000</v>
      </c>
      <c r="E3" s="10">
        <f t="shared" si="1"/>
        <v>800000</v>
      </c>
      <c r="F3" s="10">
        <f t="shared" si="1"/>
        <v>1550000</v>
      </c>
      <c r="G3" s="10">
        <f t="shared" si="1"/>
        <v>2300000</v>
      </c>
      <c r="H3" s="10">
        <f t="shared" si="1"/>
        <v>3050000</v>
      </c>
      <c r="I3" s="10">
        <f t="shared" si="1"/>
        <v>3800000</v>
      </c>
      <c r="J3" s="10">
        <f t="shared" si="1"/>
        <v>4550000</v>
      </c>
      <c r="K3" s="10">
        <f t="shared" si="1"/>
        <v>5300000</v>
      </c>
      <c r="L3" s="10">
        <f t="shared" si="1"/>
        <v>6050000</v>
      </c>
      <c r="M3" s="10">
        <f t="shared" si="1"/>
        <v>6800000</v>
      </c>
      <c r="N3" s="10">
        <f t="shared" si="1"/>
        <v>7550000</v>
      </c>
      <c r="O3" s="10">
        <f t="shared" si="1"/>
        <v>8300000</v>
      </c>
      <c r="P3" s="10">
        <f t="shared" si="1"/>
        <v>9050000</v>
      </c>
      <c r="Q3" s="10">
        <f t="shared" si="1"/>
        <v>9800000</v>
      </c>
      <c r="R3" s="10">
        <f t="shared" si="1"/>
        <v>10550000</v>
      </c>
      <c r="S3" s="10">
        <f t="shared" si="1"/>
        <v>11300000</v>
      </c>
      <c r="T3" s="10">
        <f t="shared" si="1"/>
        <v>12050000</v>
      </c>
      <c r="U3" s="10">
        <f t="shared" si="1"/>
        <v>12800000</v>
      </c>
      <c r="V3" s="10">
        <f t="shared" si="1"/>
        <v>13550000</v>
      </c>
    </row>
    <row r="4" spans="1:23">
      <c r="A4" s="8"/>
      <c r="B4" s="8" t="s">
        <v>32</v>
      </c>
      <c r="C4" s="10">
        <f>C3*$D$38*3/2</f>
        <v>45000</v>
      </c>
      <c r="D4" s="10">
        <f t="shared" ref="C4:V4" si="2">D3*$D$38*3/2</f>
        <v>225000</v>
      </c>
      <c r="E4" s="10">
        <f t="shared" si="2"/>
        <v>3600000</v>
      </c>
      <c r="F4" s="10">
        <f t="shared" si="2"/>
        <v>6975000</v>
      </c>
      <c r="G4" s="10">
        <f t="shared" si="2"/>
        <v>10350000</v>
      </c>
      <c r="H4" s="10">
        <f t="shared" si="2"/>
        <v>13725000</v>
      </c>
      <c r="I4" s="10">
        <f t="shared" si="2"/>
        <v>17100000</v>
      </c>
      <c r="J4" s="10">
        <f t="shared" si="2"/>
        <v>20475000</v>
      </c>
      <c r="K4" s="10">
        <f t="shared" si="2"/>
        <v>23850000</v>
      </c>
      <c r="L4" s="10">
        <f t="shared" si="2"/>
        <v>27225000</v>
      </c>
      <c r="M4" s="10">
        <f t="shared" si="2"/>
        <v>30600000</v>
      </c>
      <c r="N4" s="10">
        <f t="shared" si="2"/>
        <v>33975000</v>
      </c>
      <c r="O4" s="10">
        <f t="shared" si="2"/>
        <v>37350000</v>
      </c>
      <c r="P4" s="10">
        <f t="shared" si="2"/>
        <v>40725000</v>
      </c>
      <c r="Q4" s="10">
        <f t="shared" si="2"/>
        <v>44100000</v>
      </c>
      <c r="R4" s="10">
        <f t="shared" si="2"/>
        <v>47475000</v>
      </c>
      <c r="S4" s="10">
        <f t="shared" si="2"/>
        <v>50850000</v>
      </c>
      <c r="T4" s="10">
        <f t="shared" si="2"/>
        <v>54225000</v>
      </c>
      <c r="U4" s="10">
        <f t="shared" si="2"/>
        <v>57600000</v>
      </c>
      <c r="V4" s="10">
        <f t="shared" si="2"/>
        <v>60975000</v>
      </c>
    </row>
    <row r="5" spans="1:23">
      <c r="A5" s="8"/>
      <c r="B5" s="8" t="s">
        <v>34</v>
      </c>
      <c r="C5" s="25">
        <f>C4*$D$39*$D$40</f>
        <v>34200</v>
      </c>
      <c r="D5" s="25">
        <f t="shared" ref="C5:V5" si="3">D4*$D$39*$D$40</f>
        <v>171000</v>
      </c>
      <c r="E5" s="25">
        <f t="shared" si="3"/>
        <v>2736000</v>
      </c>
      <c r="F5" s="25">
        <f t="shared" si="3"/>
        <v>5301000</v>
      </c>
      <c r="G5" s="25">
        <f t="shared" si="3"/>
        <v>7866000</v>
      </c>
      <c r="H5" s="25">
        <f t="shared" si="3"/>
        <v>10431000</v>
      </c>
      <c r="I5" s="25">
        <f t="shared" si="3"/>
        <v>12996000</v>
      </c>
      <c r="J5" s="25">
        <f t="shared" si="3"/>
        <v>15561000</v>
      </c>
      <c r="K5" s="25">
        <f t="shared" si="3"/>
        <v>18126000</v>
      </c>
      <c r="L5" s="25">
        <f t="shared" si="3"/>
        <v>20691000</v>
      </c>
      <c r="M5" s="25">
        <f t="shared" si="3"/>
        <v>23256000</v>
      </c>
      <c r="N5" s="25">
        <f t="shared" si="3"/>
        <v>25821000</v>
      </c>
      <c r="O5" s="25">
        <f t="shared" si="3"/>
        <v>28386000</v>
      </c>
      <c r="P5" s="25">
        <f t="shared" si="3"/>
        <v>30951000</v>
      </c>
      <c r="Q5" s="25">
        <f t="shared" si="3"/>
        <v>33516000</v>
      </c>
      <c r="R5" s="25">
        <f t="shared" si="3"/>
        <v>36081000</v>
      </c>
      <c r="S5" s="25">
        <f t="shared" si="3"/>
        <v>38646000</v>
      </c>
      <c r="T5" s="25">
        <f t="shared" si="3"/>
        <v>41211000</v>
      </c>
      <c r="U5" s="25">
        <f t="shared" si="3"/>
        <v>43776000</v>
      </c>
      <c r="V5" s="25">
        <f t="shared" si="3"/>
        <v>46341000</v>
      </c>
    </row>
    <row r="6" spans="1:23">
      <c r="A6" s="8"/>
      <c r="B6" s="8" t="s">
        <v>39</v>
      </c>
      <c r="C6" s="32">
        <f>'Cost Breakdown'!B8</f>
        <v>789000</v>
      </c>
      <c r="D6" s="32">
        <f>'Cost Breakdown'!C8</f>
        <v>812670</v>
      </c>
      <c r="E6" s="32">
        <f>'Cost Breakdown'!D8</f>
        <v>837050.10000000009</v>
      </c>
      <c r="F6" s="32">
        <f>'Cost Breakdown'!E8</f>
        <v>862161.603</v>
      </c>
      <c r="G6" s="32">
        <f>'Cost Breakdown'!F8</f>
        <v>888026.45108999987</v>
      </c>
      <c r="H6" s="32">
        <f>'Cost Breakdown'!G8</f>
        <v>914667.24462269992</v>
      </c>
      <c r="I6" s="32">
        <f>'Cost Breakdown'!H8</f>
        <v>942107.26196138095</v>
      </c>
      <c r="J6" s="32">
        <f>'Cost Breakdown'!I8</f>
        <v>970370.47982022259</v>
      </c>
      <c r="K6" s="32">
        <f>'Cost Breakdown'!J8</f>
        <v>999481.59421482915</v>
      </c>
      <c r="L6" s="32">
        <f>'Cost Breakdown'!K8</f>
        <v>1029466.042041274</v>
      </c>
      <c r="M6" s="32">
        <f>'Cost Breakdown'!L8</f>
        <v>1060350.0233025122</v>
      </c>
      <c r="N6" s="32">
        <f>'Cost Breakdown'!M8</f>
        <v>1092160.5240015876</v>
      </c>
      <c r="O6" s="32">
        <f>'Cost Breakdown'!N8</f>
        <v>1124925.3397216352</v>
      </c>
      <c r="P6" s="32">
        <f>'Cost Breakdown'!O8</f>
        <v>1158673.0999132842</v>
      </c>
      <c r="Q6" s="32">
        <f>'Cost Breakdown'!P8</f>
        <v>1193433.2929106827</v>
      </c>
      <c r="R6" s="32">
        <f>'Cost Breakdown'!Q8</f>
        <v>1229236.2916980032</v>
      </c>
      <c r="S6" s="32">
        <f>'Cost Breakdown'!R8</f>
        <v>1266113.3804489435</v>
      </c>
      <c r="T6" s="32">
        <f>'Cost Breakdown'!S8</f>
        <v>1304096.7818624116</v>
      </c>
      <c r="U6" s="32">
        <f>'Cost Breakdown'!T8</f>
        <v>1343219.685318284</v>
      </c>
      <c r="V6" s="32">
        <f>'Cost Breakdown'!U8</f>
        <v>1383516.2758778324</v>
      </c>
    </row>
    <row r="7" spans="1:23">
      <c r="A7" s="8"/>
      <c r="B7" s="39" t="s">
        <v>46</v>
      </c>
      <c r="C7" s="32">
        <f t="shared" ref="C7:V7" si="4">C5-C6</f>
        <v>-754800</v>
      </c>
      <c r="D7" s="32">
        <f t="shared" si="4"/>
        <v>-641670</v>
      </c>
      <c r="E7" s="32">
        <f t="shared" si="4"/>
        <v>1898949.9</v>
      </c>
      <c r="F7" s="32">
        <f t="shared" si="4"/>
        <v>4438838.3969999999</v>
      </c>
      <c r="G7" s="32">
        <f t="shared" si="4"/>
        <v>6977973.5489100004</v>
      </c>
      <c r="H7" s="32">
        <f t="shared" si="4"/>
        <v>9516332.7553773001</v>
      </c>
      <c r="I7" s="32">
        <f t="shared" si="4"/>
        <v>12053892.738038618</v>
      </c>
      <c r="J7" s="32">
        <f t="shared" si="4"/>
        <v>14590629.520179778</v>
      </c>
      <c r="K7" s="32">
        <f t="shared" si="4"/>
        <v>17126518.405785169</v>
      </c>
      <c r="L7" s="32">
        <f t="shared" si="4"/>
        <v>19661533.957958724</v>
      </c>
      <c r="M7" s="32">
        <f t="shared" si="4"/>
        <v>22195649.97669749</v>
      </c>
      <c r="N7" s="32">
        <f t="shared" si="4"/>
        <v>24728839.475998413</v>
      </c>
      <c r="O7" s="32">
        <f t="shared" si="4"/>
        <v>27261074.660278365</v>
      </c>
      <c r="P7" s="32">
        <f t="shared" si="4"/>
        <v>29792326.900086716</v>
      </c>
      <c r="Q7" s="32">
        <f t="shared" si="4"/>
        <v>32322566.707089316</v>
      </c>
      <c r="R7" s="32">
        <f t="shared" si="4"/>
        <v>34851763.708301999</v>
      </c>
      <c r="S7" s="32">
        <f t="shared" si="4"/>
        <v>37379886.619551055</v>
      </c>
      <c r="T7" s="32">
        <f t="shared" si="4"/>
        <v>39906903.218137592</v>
      </c>
      <c r="U7" s="32">
        <f t="shared" si="4"/>
        <v>42432780.314681716</v>
      </c>
      <c r="V7" s="32">
        <f t="shared" si="4"/>
        <v>44957483.724122167</v>
      </c>
    </row>
    <row r="8" spans="1:23">
      <c r="A8" s="8"/>
      <c r="B8" s="8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3">
      <c r="A9" s="8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3">
      <c r="B10" s="45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spans="1:23">
      <c r="A11" s="49" t="s">
        <v>33</v>
      </c>
      <c r="B11" s="49" t="s">
        <v>51</v>
      </c>
      <c r="C11" s="53">
        <f>IF(C7&gt;0,C7/$D$46*$J$38/(($D$47-$D$47*$K$38)/$D$42),0)</f>
        <v>0</v>
      </c>
      <c r="D11" s="53">
        <f>IF(D7&gt;0,D7/$D$46*$J$38/(($D$47-$D$47*$K$38)/$D$42),0)</f>
        <v>0</v>
      </c>
      <c r="E11" s="53">
        <f t="shared" ref="C11:V11" si="5">IF(E7&gt;0,E7/$D$46*$J$38/(($D$47-$D$47*$K$38)/$D$42),0)</f>
        <v>26.703982995453984</v>
      </c>
      <c r="F11" s="53">
        <f>IF(F7&gt;0,F7/$D$46*$J$38/(($D$47-$D$47*$K$38)/$D$42),0)</f>
        <v>62.421165020233659</v>
      </c>
      <c r="G11" s="53">
        <f t="shared" si="5"/>
        <v>98.127753129674659</v>
      </c>
      <c r="H11" s="53">
        <f t="shared" si="5"/>
        <v>133.8234295063167</v>
      </c>
      <c r="I11" s="53">
        <f t="shared" si="5"/>
        <v>169.50786679817594</v>
      </c>
      <c r="J11" s="53">
        <f t="shared" si="5"/>
        <v>205.18072783270887</v>
      </c>
      <c r="K11" s="53">
        <f t="shared" si="5"/>
        <v>240.84166532219567</v>
      </c>
      <c r="L11" s="53">
        <f t="shared" si="5"/>
        <v>276.49032156028494</v>
      </c>
      <c r="M11" s="53">
        <f t="shared" si="5"/>
        <v>312.12632810943484</v>
      </c>
      <c r="N11" s="53">
        <f t="shared" si="5"/>
        <v>347.74930547897696</v>
      </c>
      <c r="O11" s="53">
        <f t="shared" si="5"/>
        <v>383.35886279352337</v>
      </c>
      <c r="P11" s="53">
        <f t="shared" si="5"/>
        <v>418.95459745142409</v>
      </c>
      <c r="Q11" s="53">
        <f t="shared" si="5"/>
        <v>454.53609477297965</v>
      </c>
      <c r="R11" s="53">
        <f t="shared" si="5"/>
        <v>490.10292763809986</v>
      </c>
      <c r="S11" s="53">
        <f t="shared" si="5"/>
        <v>525.65465611309139</v>
      </c>
      <c r="T11" s="53">
        <f t="shared" si="5"/>
        <v>561.19082706625079</v>
      </c>
      <c r="U11" s="53">
        <f t="shared" si="5"/>
        <v>596.71097377192268</v>
      </c>
      <c r="V11" s="53">
        <f t="shared" si="5"/>
        <v>632.21461550268259</v>
      </c>
    </row>
    <row r="12" spans="1:23">
      <c r="A12" s="61"/>
      <c r="B12" s="49" t="s">
        <v>56</v>
      </c>
      <c r="C12" s="63">
        <f>C11*3</f>
        <v>0</v>
      </c>
      <c r="D12" s="63">
        <f t="shared" ref="C12:D12" si="6">D11*3</f>
        <v>0</v>
      </c>
      <c r="E12" s="63">
        <f t="shared" ref="E12:V12" si="7">3*E11+D12</f>
        <v>80.111948986361952</v>
      </c>
      <c r="F12" s="63">
        <f t="shared" si="7"/>
        <v>267.3754440470629</v>
      </c>
      <c r="G12" s="63">
        <f t="shared" si="7"/>
        <v>561.75870343608688</v>
      </c>
      <c r="H12" s="63">
        <f t="shared" si="7"/>
        <v>963.22899195503692</v>
      </c>
      <c r="I12" s="63">
        <f t="shared" si="7"/>
        <v>1471.7525923495648</v>
      </c>
      <c r="J12" s="63">
        <f t="shared" si="7"/>
        <v>2087.2947758476912</v>
      </c>
      <c r="K12" s="63">
        <f t="shared" si="7"/>
        <v>2809.8197718142783</v>
      </c>
      <c r="L12" s="63">
        <f t="shared" si="7"/>
        <v>3639.2907364951334</v>
      </c>
      <c r="M12" s="63">
        <f t="shared" si="7"/>
        <v>4575.6697208234382</v>
      </c>
      <c r="N12" s="63">
        <f t="shared" si="7"/>
        <v>5618.9176372603688</v>
      </c>
      <c r="O12" s="63">
        <f t="shared" si="7"/>
        <v>6768.9942256409395</v>
      </c>
      <c r="P12" s="63">
        <f t="shared" si="7"/>
        <v>8025.8580179952114</v>
      </c>
      <c r="Q12" s="63">
        <f t="shared" si="7"/>
        <v>9389.4663023141511</v>
      </c>
      <c r="R12" s="63">
        <f t="shared" si="7"/>
        <v>10859.775085228452</v>
      </c>
      <c r="S12" s="63">
        <f t="shared" si="7"/>
        <v>12436.739053567726</v>
      </c>
      <c r="T12" s="63">
        <f t="shared" si="7"/>
        <v>14120.311534766479</v>
      </c>
      <c r="U12" s="63">
        <f t="shared" si="7"/>
        <v>15910.444456082247</v>
      </c>
      <c r="V12" s="63">
        <f t="shared" si="7"/>
        <v>17807.088302590295</v>
      </c>
    </row>
    <row r="13" spans="1:23">
      <c r="A13" s="61"/>
      <c r="B13" s="49" t="s">
        <v>58</v>
      </c>
      <c r="C13" s="69">
        <f>C12/$J$38</f>
        <v>0</v>
      </c>
      <c r="D13" s="69">
        <f t="shared" ref="C13:V13" si="8">D12/$J$38</f>
        <v>0</v>
      </c>
      <c r="E13" s="69">
        <f t="shared" si="8"/>
        <v>1.6349377344155501E-2</v>
      </c>
      <c r="F13" s="69">
        <f t="shared" si="8"/>
        <v>5.4566417152461813E-2</v>
      </c>
      <c r="G13" s="69">
        <f t="shared" si="8"/>
        <v>0.11464463335430344</v>
      </c>
      <c r="H13" s="69">
        <f t="shared" si="8"/>
        <v>0.19657734529694632</v>
      </c>
      <c r="I13" s="69">
        <f t="shared" si="8"/>
        <v>0.30035767190807444</v>
      </c>
      <c r="J13" s="69">
        <f t="shared" si="8"/>
        <v>0.42597852568320227</v>
      </c>
      <c r="K13" s="69">
        <f t="shared" si="8"/>
        <v>0.57343260649270988</v>
      </c>
      <c r="L13" s="69">
        <f t="shared" si="8"/>
        <v>0.7427123952030884</v>
      </c>
      <c r="M13" s="69">
        <f t="shared" si="8"/>
        <v>0.93381014710682408</v>
      </c>
      <c r="N13" s="69">
        <f t="shared" si="8"/>
        <v>1.1467178851551774</v>
      </c>
      <c r="O13" s="69">
        <f t="shared" si="8"/>
        <v>1.3814273929879468</v>
      </c>
      <c r="P13" s="69">
        <f t="shared" si="8"/>
        <v>1.6379302077541247</v>
      </c>
      <c r="Q13" s="69">
        <f t="shared" si="8"/>
        <v>1.9162176127171737</v>
      </c>
      <c r="R13" s="69">
        <f t="shared" si="8"/>
        <v>2.2162806296384594</v>
      </c>
      <c r="S13" s="69">
        <f t="shared" si="8"/>
        <v>2.538110010932189</v>
      </c>
      <c r="T13" s="69">
        <f t="shared" si="8"/>
        <v>2.8816962315849959</v>
      </c>
      <c r="U13" s="69">
        <f t="shared" si="8"/>
        <v>3.2470294808331115</v>
      </c>
      <c r="V13" s="69">
        <f t="shared" si="8"/>
        <v>3.634099653589856</v>
      </c>
    </row>
    <row r="14" spans="1:23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3">
      <c r="B15" s="45"/>
      <c r="C15" s="45"/>
      <c r="D15" s="45"/>
      <c r="E15" s="45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45"/>
    </row>
    <row r="16" spans="1:23">
      <c r="A16" s="74" t="s">
        <v>37</v>
      </c>
      <c r="B16" s="76" t="s">
        <v>62</v>
      </c>
      <c r="C16" s="78">
        <f>IF(C7&gt;0,C7/$D$46*$J$39/(($D$47-$D$47*$K$39)/$D$42),0)</f>
        <v>0</v>
      </c>
      <c r="D16" s="78">
        <f t="shared" ref="C16:V16" si="9">IF(D7&gt;0,D7/$D$46*$J$39/(($D$47-$D$47*$K$39)/$D$42),0)</f>
        <v>0</v>
      </c>
      <c r="E16" s="78">
        <f t="shared" si="9"/>
        <v>106.81593198181594</v>
      </c>
      <c r="F16" s="78">
        <f t="shared" si="9"/>
        <v>249.68466008093466</v>
      </c>
      <c r="G16" s="78">
        <f t="shared" si="9"/>
        <v>392.51101251869864</v>
      </c>
      <c r="H16" s="78">
        <f t="shared" si="9"/>
        <v>535.29371802526691</v>
      </c>
      <c r="I16" s="78">
        <f t="shared" si="9"/>
        <v>678.03146719270376</v>
      </c>
      <c r="J16" s="78">
        <f t="shared" si="9"/>
        <v>820.72291133083547</v>
      </c>
      <c r="K16" s="78">
        <f t="shared" si="9"/>
        <v>963.36666128878267</v>
      </c>
      <c r="L16" s="78">
        <f t="shared" si="9"/>
        <v>1105.9612862411398</v>
      </c>
      <c r="M16" s="78">
        <f t="shared" si="9"/>
        <v>1248.5053124377393</v>
      </c>
      <c r="N16" s="78">
        <f t="shared" si="9"/>
        <v>1390.9972219159083</v>
      </c>
      <c r="O16" s="78">
        <f t="shared" si="9"/>
        <v>1533.4354511740935</v>
      </c>
      <c r="P16" s="78">
        <f t="shared" si="9"/>
        <v>1675.8183898056961</v>
      </c>
      <c r="Q16" s="78">
        <f t="shared" si="9"/>
        <v>1818.1443790919184</v>
      </c>
      <c r="R16" s="78">
        <f t="shared" si="9"/>
        <v>1960.4117105523994</v>
      </c>
      <c r="S16" s="78">
        <f t="shared" si="9"/>
        <v>2102.6186244523656</v>
      </c>
      <c r="T16" s="78">
        <f t="shared" si="9"/>
        <v>2244.7633082650032</v>
      </c>
      <c r="U16" s="78">
        <f t="shared" si="9"/>
        <v>2386.8438950876907</v>
      </c>
      <c r="V16" s="78">
        <f t="shared" si="9"/>
        <v>2528.8584620107308</v>
      </c>
    </row>
    <row r="17" spans="1:26">
      <c r="A17" s="61"/>
      <c r="B17" s="76" t="s">
        <v>56</v>
      </c>
      <c r="C17" s="82">
        <f t="shared" ref="C17:D17" si="10">C16*3</f>
        <v>0</v>
      </c>
      <c r="D17" s="82">
        <f t="shared" si="10"/>
        <v>0</v>
      </c>
      <c r="E17" s="82">
        <f t="shared" ref="E17:V17" si="11">3*E16+D17</f>
        <v>320.44779594544781</v>
      </c>
      <c r="F17" s="82">
        <f t="shared" si="11"/>
        <v>1069.5017761882518</v>
      </c>
      <c r="G17" s="82">
        <f t="shared" si="11"/>
        <v>2247.034813744348</v>
      </c>
      <c r="H17" s="82">
        <f t="shared" si="11"/>
        <v>3852.9159678201486</v>
      </c>
      <c r="I17" s="82">
        <f t="shared" si="11"/>
        <v>5887.0103693982601</v>
      </c>
      <c r="J17" s="82">
        <f t="shared" si="11"/>
        <v>8349.1791033907666</v>
      </c>
      <c r="K17" s="82">
        <f t="shared" si="11"/>
        <v>11239.279087257115</v>
      </c>
      <c r="L17" s="82">
        <f t="shared" si="11"/>
        <v>14557.162945980534</v>
      </c>
      <c r="M17" s="82">
        <f t="shared" si="11"/>
        <v>18302.678883293753</v>
      </c>
      <c r="N17" s="82">
        <f t="shared" si="11"/>
        <v>22475.670549041479</v>
      </c>
      <c r="O17" s="82">
        <f t="shared" si="11"/>
        <v>27075.976902563758</v>
      </c>
      <c r="P17" s="82">
        <f t="shared" si="11"/>
        <v>32103.432071980846</v>
      </c>
      <c r="Q17" s="82">
        <f t="shared" si="11"/>
        <v>37557.865209256604</v>
      </c>
      <c r="R17" s="82">
        <f t="shared" si="11"/>
        <v>43439.100340913807</v>
      </c>
      <c r="S17" s="82">
        <f t="shared" si="11"/>
        <v>49746.956214270904</v>
      </c>
      <c r="T17" s="82">
        <f t="shared" si="11"/>
        <v>56481.246139065915</v>
      </c>
      <c r="U17" s="82">
        <f t="shared" si="11"/>
        <v>63641.777824328987</v>
      </c>
      <c r="V17" s="82">
        <f t="shared" si="11"/>
        <v>71228.35321036118</v>
      </c>
    </row>
    <row r="18" spans="1:26">
      <c r="A18" s="61"/>
      <c r="B18" s="76" t="s">
        <v>58</v>
      </c>
      <c r="C18" s="86">
        <f t="shared" ref="C18:V18" si="12">C17/$J$39</f>
        <v>0</v>
      </c>
      <c r="D18" s="86">
        <f t="shared" si="12"/>
        <v>0</v>
      </c>
      <c r="E18" s="86">
        <f t="shared" si="12"/>
        <v>1.6865673470813042E-2</v>
      </c>
      <c r="F18" s="86">
        <f t="shared" si="12"/>
        <v>5.6289567167802729E-2</v>
      </c>
      <c r="G18" s="86">
        <f t="shared" si="12"/>
        <v>0.11826499019707094</v>
      </c>
      <c r="H18" s="86">
        <f t="shared" si="12"/>
        <v>0.20278505093790256</v>
      </c>
      <c r="I18" s="86">
        <f t="shared" si="12"/>
        <v>0.30984265102096104</v>
      </c>
      <c r="J18" s="86">
        <f t="shared" si="12"/>
        <v>0.43943047912582983</v>
      </c>
      <c r="K18" s="86">
        <f t="shared" si="12"/>
        <v>0.59154100459247971</v>
      </c>
      <c r="L18" s="86">
        <f t="shared" si="12"/>
        <v>0.76616647084108069</v>
      </c>
      <c r="M18" s="86">
        <f t="shared" si="12"/>
        <v>0.96329888859440804</v>
      </c>
      <c r="N18" s="86">
        <f t="shared" si="12"/>
        <v>1.18293002889692</v>
      </c>
      <c r="O18" s="86">
        <f t="shared" si="12"/>
        <v>1.4250514159244083</v>
      </c>
      <c r="P18" s="86">
        <f t="shared" si="12"/>
        <v>1.6896543195779392</v>
      </c>
      <c r="Q18" s="86">
        <f t="shared" si="12"/>
        <v>1.9767297478556107</v>
      </c>
      <c r="R18" s="86">
        <f t="shared" si="12"/>
        <v>2.2862684389954637</v>
      </c>
      <c r="S18" s="86">
        <f t="shared" si="12"/>
        <v>2.618260853382679</v>
      </c>
      <c r="T18" s="86">
        <f t="shared" si="12"/>
        <v>2.9726971652139955</v>
      </c>
      <c r="U18" s="86">
        <f t="shared" si="12"/>
        <v>3.3495672539120518</v>
      </c>
      <c r="V18" s="86">
        <f t="shared" si="12"/>
        <v>3.7488606952821675</v>
      </c>
    </row>
    <row r="19" spans="1:26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6">
      <c r="A20" s="45"/>
      <c r="B20" s="45"/>
      <c r="C20" s="45"/>
      <c r="D20" s="45"/>
      <c r="E20" s="45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45"/>
      <c r="X20" s="45"/>
      <c r="Y20" s="45"/>
      <c r="Z20" s="45"/>
    </row>
    <row r="21" spans="1:26">
      <c r="A21" s="90" t="s">
        <v>40</v>
      </c>
      <c r="B21" s="91" t="s">
        <v>51</v>
      </c>
      <c r="C21" s="93">
        <f t="shared" ref="C21:V21" si="13">IF(C7&gt;0,C7/$D$46*$J$40/(($D$47-$D$47*$K$40)/$D$42),0)</f>
        <v>0</v>
      </c>
      <c r="D21" s="93">
        <f t="shared" si="13"/>
        <v>0</v>
      </c>
      <c r="E21" s="93">
        <f t="shared" si="13"/>
        <v>284.45547103853153</v>
      </c>
      <c r="F21" s="93">
        <f t="shared" si="13"/>
        <v>664.9211056503151</v>
      </c>
      <c r="G21" s="93">
        <f t="shared" si="13"/>
        <v>1045.2738920334907</v>
      </c>
      <c r="H21" s="93">
        <f t="shared" si="13"/>
        <v>1425.5104447411998</v>
      </c>
      <c r="I21" s="93">
        <f t="shared" si="13"/>
        <v>1805.6272767631785</v>
      </c>
      <c r="J21" s="93">
        <f t="shared" si="13"/>
        <v>2185.620796478855</v>
      </c>
      <c r="K21" s="93">
        <f t="shared" si="13"/>
        <v>2565.4873045190402</v>
      </c>
      <c r="L21" s="93">
        <f t="shared" si="13"/>
        <v>2945.2229905334693</v>
      </c>
      <c r="M21" s="93">
        <f t="shared" si="13"/>
        <v>3324.8239298613707</v>
      </c>
      <c r="N21" s="93">
        <f t="shared" si="13"/>
        <v>3704.2860801021461</v>
      </c>
      <c r="O21" s="93">
        <f t="shared" si="13"/>
        <v>4083.6052775831831</v>
      </c>
      <c r="P21" s="93">
        <f t="shared" si="13"/>
        <v>4462.7772337216911</v>
      </c>
      <c r="Q21" s="93">
        <f t="shared" si="13"/>
        <v>4841.7975312773906</v>
      </c>
      <c r="R21" s="93">
        <f t="shared" si="13"/>
        <v>5220.6616204928023</v>
      </c>
      <c r="S21" s="93">
        <f t="shared" si="13"/>
        <v>5599.3648151177122</v>
      </c>
      <c r="T21" s="93">
        <f t="shared" si="13"/>
        <v>5977.9022883144089</v>
      </c>
      <c r="U21" s="93">
        <f t="shared" si="13"/>
        <v>6356.269068440045</v>
      </c>
      <c r="V21" s="93">
        <f t="shared" si="13"/>
        <v>6734.460034702488</v>
      </c>
    </row>
    <row r="22" spans="1:26">
      <c r="A22" s="61"/>
      <c r="B22" s="91" t="s">
        <v>56</v>
      </c>
      <c r="C22" s="98">
        <f t="shared" ref="C22:D22" si="14">C21*3</f>
        <v>0</v>
      </c>
      <c r="D22" s="98">
        <f t="shared" si="14"/>
        <v>0</v>
      </c>
      <c r="E22" s="98">
        <f t="shared" ref="E22:V22" si="15">3*E21+D22</f>
        <v>853.36641311559458</v>
      </c>
      <c r="F22" s="98">
        <f t="shared" si="15"/>
        <v>2848.1297300665401</v>
      </c>
      <c r="G22" s="98">
        <f t="shared" si="15"/>
        <v>5983.9514061670125</v>
      </c>
      <c r="H22" s="98">
        <f t="shared" si="15"/>
        <v>10260.482740390613</v>
      </c>
      <c r="I22" s="98">
        <f t="shared" si="15"/>
        <v>15677.364570680149</v>
      </c>
      <c r="J22" s="98">
        <f t="shared" si="15"/>
        <v>22234.226960116714</v>
      </c>
      <c r="K22" s="98">
        <f t="shared" si="15"/>
        <v>29930.688873673833</v>
      </c>
      <c r="L22" s="98">
        <f t="shared" si="15"/>
        <v>38766.357845274237</v>
      </c>
      <c r="M22" s="98">
        <f t="shared" si="15"/>
        <v>48740.829634858354</v>
      </c>
      <c r="N22" s="98">
        <f t="shared" si="15"/>
        <v>59853.687875164789</v>
      </c>
      <c r="O22" s="98">
        <f t="shared" si="15"/>
        <v>72104.503707914337</v>
      </c>
      <c r="P22" s="98">
        <f t="shared" si="15"/>
        <v>85492.835409079416</v>
      </c>
      <c r="Q22" s="98">
        <f t="shared" si="15"/>
        <v>100018.22800291159</v>
      </c>
      <c r="R22" s="98">
        <f t="shared" si="15"/>
        <v>115680.21286438999</v>
      </c>
      <c r="S22" s="98">
        <f t="shared" si="15"/>
        <v>132478.30730974313</v>
      </c>
      <c r="T22" s="98">
        <f t="shared" si="15"/>
        <v>150412.01417468637</v>
      </c>
      <c r="U22" s="98">
        <f t="shared" si="15"/>
        <v>169480.8213800065</v>
      </c>
      <c r="V22" s="98">
        <f t="shared" si="15"/>
        <v>189684.20148411396</v>
      </c>
    </row>
    <row r="23" spans="1:26">
      <c r="A23" s="61"/>
      <c r="B23" s="91" t="s">
        <v>68</v>
      </c>
      <c r="C23" s="100">
        <f t="shared" ref="C23:V23" si="16">C22/$J$40</f>
        <v>0</v>
      </c>
      <c r="D23" s="100">
        <f t="shared" si="16"/>
        <v>0</v>
      </c>
      <c r="E23" s="100">
        <f t="shared" si="16"/>
        <v>1.7415641083991726E-2</v>
      </c>
      <c r="F23" s="100">
        <f t="shared" si="16"/>
        <v>5.8125096531970205E-2</v>
      </c>
      <c r="G23" s="100">
        <f t="shared" si="16"/>
        <v>0.12212145726871454</v>
      </c>
      <c r="H23" s="100">
        <f t="shared" si="16"/>
        <v>0.20939760694674719</v>
      </c>
      <c r="I23" s="100">
        <f t="shared" si="16"/>
        <v>0.31994621572816628</v>
      </c>
      <c r="J23" s="100">
        <f t="shared" si="16"/>
        <v>0.45375973387993296</v>
      </c>
      <c r="K23" s="100">
        <f t="shared" si="16"/>
        <v>0.61083038517701704</v>
      </c>
      <c r="L23" s="100">
        <f t="shared" si="16"/>
        <v>0.7911501601076375</v>
      </c>
      <c r="M23" s="100">
        <f t="shared" si="16"/>
        <v>0.99471080887466024</v>
      </c>
      <c r="N23" s="100">
        <f t="shared" si="16"/>
        <v>1.2215038341870366</v>
      </c>
      <c r="O23" s="100">
        <f t="shared" si="16"/>
        <v>1.4715204838349865</v>
      </c>
      <c r="P23" s="100">
        <f t="shared" si="16"/>
        <v>1.7447517430424371</v>
      </c>
      <c r="Q23" s="100">
        <f t="shared" si="16"/>
        <v>2.0411883265900324</v>
      </c>
      <c r="R23" s="100">
        <f t="shared" si="16"/>
        <v>2.3608206707018367</v>
      </c>
      <c r="S23" s="100">
        <f t="shared" si="16"/>
        <v>2.7036389246886352</v>
      </c>
      <c r="T23" s="100">
        <f t="shared" si="16"/>
        <v>3.069632942340538</v>
      </c>
      <c r="U23" s="100">
        <f t="shared" si="16"/>
        <v>3.4587922730613569</v>
      </c>
      <c r="V23" s="100">
        <f t="shared" si="16"/>
        <v>3.8711061527370196</v>
      </c>
    </row>
    <row r="24" spans="1:26" ht="15.75" customHeight="1">
      <c r="A24" s="103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>
      <c r="A26" s="105" t="s">
        <v>42</v>
      </c>
      <c r="B26" s="107" t="s">
        <v>62</v>
      </c>
      <c r="C26" s="110">
        <f t="shared" ref="C26:V26" si="17">IF(C7&gt;0,C7/$D$46*$J$41/(($D$47-$D$47*$K$41)/$D$42),0)</f>
        <v>0</v>
      </c>
      <c r="D26" s="110">
        <f t="shared" si="17"/>
        <v>0</v>
      </c>
      <c r="E26" s="110">
        <f t="shared" si="17"/>
        <v>474.07070935749766</v>
      </c>
      <c r="F26" s="110">
        <f t="shared" si="17"/>
        <v>1108.1510194603279</v>
      </c>
      <c r="G26" s="110">
        <f t="shared" si="17"/>
        <v>1742.0432578077073</v>
      </c>
      <c r="H26" s="110">
        <f t="shared" si="17"/>
        <v>2375.7417822469706</v>
      </c>
      <c r="I26" s="110">
        <f t="shared" si="17"/>
        <v>3009.2407813608761</v>
      </c>
      <c r="J26" s="110">
        <f t="shared" si="17"/>
        <v>3642.5342693896628</v>
      </c>
      <c r="K26" s="110">
        <f t="shared" si="17"/>
        <v>4275.6160810007759</v>
      </c>
      <c r="L26" s="110">
        <f t="shared" si="17"/>
        <v>4908.4798659016869</v>
      </c>
      <c r="M26" s="110">
        <f t="shared" si="17"/>
        <v>5541.1190832910897</v>
      </c>
      <c r="N26" s="110">
        <f t="shared" si="17"/>
        <v>6173.5269961436361</v>
      </c>
      <c r="O26" s="110">
        <f t="shared" si="17"/>
        <v>6805.6966653232248</v>
      </c>
      <c r="P26" s="110">
        <f t="shared" si="17"/>
        <v>7437.6209435196624</v>
      </c>
      <c r="Q26" s="110">
        <f t="shared" si="17"/>
        <v>8069.2924690034579</v>
      </c>
      <c r="R26" s="110">
        <f t="shared" si="17"/>
        <v>8700.7036591932338</v>
      </c>
      <c r="S26" s="110">
        <f t="shared" si="17"/>
        <v>9331.8467040301621</v>
      </c>
      <c r="T26" s="110">
        <f t="shared" si="17"/>
        <v>9962.7135591536644</v>
      </c>
      <c r="U26" s="110">
        <f t="shared" si="17"/>
        <v>10593.295938872334</v>
      </c>
      <c r="V26" s="110">
        <f t="shared" si="17"/>
        <v>11223.585308924028</v>
      </c>
    </row>
    <row r="27" spans="1:26">
      <c r="A27" s="61"/>
      <c r="B27" s="107" t="s">
        <v>56</v>
      </c>
      <c r="C27" s="115">
        <f t="shared" ref="C27:D27" si="18">C26*3</f>
        <v>0</v>
      </c>
      <c r="D27" s="115">
        <f t="shared" si="18"/>
        <v>0</v>
      </c>
      <c r="E27" s="115">
        <f t="shared" ref="E27:V27" si="19">3*E26+D27</f>
        <v>1422.212128072493</v>
      </c>
      <c r="F27" s="115">
        <f t="shared" si="19"/>
        <v>4746.665186453477</v>
      </c>
      <c r="G27" s="115">
        <f t="shared" si="19"/>
        <v>9972.794959876599</v>
      </c>
      <c r="H27" s="115">
        <f t="shared" si="19"/>
        <v>17100.020306617509</v>
      </c>
      <c r="I27" s="115">
        <f t="shared" si="19"/>
        <v>26127.742650700136</v>
      </c>
      <c r="J27" s="115">
        <f t="shared" si="19"/>
        <v>37055.345458869124</v>
      </c>
      <c r="K27" s="115">
        <f t="shared" si="19"/>
        <v>49882.193701871453</v>
      </c>
      <c r="L27" s="115">
        <f t="shared" si="19"/>
        <v>64607.633299576511</v>
      </c>
      <c r="M27" s="115">
        <f t="shared" si="19"/>
        <v>81230.99054944978</v>
      </c>
      <c r="N27" s="115">
        <f t="shared" si="19"/>
        <v>99751.571537880693</v>
      </c>
      <c r="O27" s="115">
        <f t="shared" si="19"/>
        <v>120168.66153385036</v>
      </c>
      <c r="P27" s="115">
        <f t="shared" si="19"/>
        <v>142481.52436440936</v>
      </c>
      <c r="Q27" s="115">
        <f t="shared" si="19"/>
        <v>166689.40177141974</v>
      </c>
      <c r="R27" s="115">
        <f t="shared" si="19"/>
        <v>192791.51274899943</v>
      </c>
      <c r="S27" s="115">
        <f t="shared" si="19"/>
        <v>220787.05286108993</v>
      </c>
      <c r="T27" s="115">
        <f t="shared" si="19"/>
        <v>250675.19353855093</v>
      </c>
      <c r="U27" s="115">
        <f t="shared" si="19"/>
        <v>282455.0813551679</v>
      </c>
      <c r="V27" s="115">
        <f t="shared" si="19"/>
        <v>316125.83728193998</v>
      </c>
    </row>
    <row r="28" spans="1:26">
      <c r="A28" s="61"/>
      <c r="B28" s="107" t="s">
        <v>68</v>
      </c>
      <c r="C28" s="119">
        <f t="shared" ref="C28:V28" si="20">C27/$J$41</f>
        <v>0</v>
      </c>
      <c r="D28" s="119">
        <f t="shared" si="20"/>
        <v>0</v>
      </c>
      <c r="E28" s="119">
        <f t="shared" si="20"/>
        <v>1.8002685165474593E-2</v>
      </c>
      <c r="F28" s="119">
        <f t="shared" si="20"/>
        <v>6.0084369448778187E-2</v>
      </c>
      <c r="G28" s="119">
        <f t="shared" si="20"/>
        <v>0.12623791088451392</v>
      </c>
      <c r="H28" s="119">
        <f t="shared" si="20"/>
        <v>0.2164559532483229</v>
      </c>
      <c r="I28" s="119">
        <f t="shared" si="20"/>
        <v>0.33073091962911566</v>
      </c>
      <c r="J28" s="119">
        <f t="shared" si="20"/>
        <v>0.46905500580846993</v>
      </c>
      <c r="K28" s="119">
        <f t="shared" si="20"/>
        <v>0.63142017344141077</v>
      </c>
      <c r="L28" s="119">
        <f t="shared" si="20"/>
        <v>0.81781814303261402</v>
      </c>
      <c r="M28" s="119">
        <f t="shared" si="20"/>
        <v>1.0282403867018959</v>
      </c>
      <c r="N28" s="119">
        <f t="shared" si="20"/>
        <v>1.2626781207326669</v>
      </c>
      <c r="O28" s="119">
        <f t="shared" si="20"/>
        <v>1.5211222978968399</v>
      </c>
      <c r="P28" s="119">
        <f t="shared" si="20"/>
        <v>1.8035635995494856</v>
      </c>
      <c r="Q28" s="119">
        <f t="shared" si="20"/>
        <v>2.109992427486326</v>
      </c>
      <c r="R28" s="119">
        <f t="shared" si="20"/>
        <v>2.4403988955569549</v>
      </c>
      <c r="S28" s="119">
        <f t="shared" si="20"/>
        <v>2.7947728210264549</v>
      </c>
      <c r="T28" s="119">
        <f t="shared" si="20"/>
        <v>3.1731037156778599</v>
      </c>
      <c r="U28" s="119">
        <f t="shared" si="20"/>
        <v>3.575380776647695</v>
      </c>
      <c r="V28" s="119">
        <f t="shared" si="20"/>
        <v>4.0015928769865816</v>
      </c>
    </row>
    <row r="29" spans="1:26" ht="12.75">
      <c r="A29" s="39"/>
    </row>
    <row r="30" spans="1:26" ht="12.7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>
      <c r="A31" s="121" t="s">
        <v>80</v>
      </c>
      <c r="B31" s="122" t="s">
        <v>62</v>
      </c>
      <c r="C31" s="123">
        <f t="shared" ref="C31:V31" si="21">IF(C7&gt;0,C7/$D$46*$J$42/(($D$47-$D$47*$K$42)/$D$42),0)</f>
        <v>0</v>
      </c>
      <c r="D31" s="123">
        <f t="shared" si="21"/>
        <v>0</v>
      </c>
      <c r="E31" s="123">
        <f t="shared" si="21"/>
        <v>1328.5231540238356</v>
      </c>
      <c r="F31" s="123">
        <f t="shared" si="21"/>
        <v>3105.4529597566243</v>
      </c>
      <c r="G31" s="123">
        <f t="shared" si="21"/>
        <v>4881.8557182013137</v>
      </c>
      <c r="H31" s="123">
        <f t="shared" si="21"/>
        <v>6657.7156179392559</v>
      </c>
      <c r="I31" s="123">
        <f t="shared" si="21"/>
        <v>8433.0163732092533</v>
      </c>
      <c r="J31" s="123">
        <f t="shared" si="21"/>
        <v>10207.741209677264</v>
      </c>
      <c r="K31" s="123">
        <f t="shared" si="21"/>
        <v>11981.872849779233</v>
      </c>
      <c r="L31" s="123">
        <f t="shared" si="21"/>
        <v>13755.393497624173</v>
      </c>
      <c r="M31" s="123">
        <f t="shared" si="21"/>
        <v>15528.284823444381</v>
      </c>
      <c r="N31" s="123">
        <f t="shared" si="21"/>
        <v>17300.527947579103</v>
      </c>
      <c r="O31" s="123">
        <f t="shared" si="21"/>
        <v>19072.103423977787</v>
      </c>
      <c r="P31" s="123">
        <f t="shared" si="21"/>
        <v>20842.991223208348</v>
      </c>
      <c r="Q31" s="123">
        <f t="shared" si="21"/>
        <v>22613.170714955733</v>
      </c>
      <c r="R31" s="123">
        <f t="shared" si="21"/>
        <v>24382.620649995464</v>
      </c>
      <c r="S31" s="123">
        <f t="shared" si="21"/>
        <v>26151.319141626293</v>
      </c>
      <c r="T31" s="123">
        <f t="shared" si="21"/>
        <v>27919.243646545969</v>
      </c>
      <c r="U31" s="123">
        <f t="shared" si="21"/>
        <v>29686.370945153147</v>
      </c>
      <c r="V31" s="123">
        <f t="shared" si="21"/>
        <v>31452.677121258454</v>
      </c>
    </row>
    <row r="32" spans="1:26">
      <c r="A32" s="61"/>
      <c r="B32" s="122" t="s">
        <v>56</v>
      </c>
      <c r="C32" s="129">
        <f t="shared" ref="C32:D32" si="22">C31*3</f>
        <v>0</v>
      </c>
      <c r="D32" s="129">
        <f t="shared" si="22"/>
        <v>0</v>
      </c>
      <c r="E32" s="129">
        <f t="shared" ref="E32:V32" si="23">3*E31+D32</f>
        <v>3985.5694620715067</v>
      </c>
      <c r="F32" s="129">
        <f t="shared" si="23"/>
        <v>13301.92834134138</v>
      </c>
      <c r="G32" s="129">
        <f t="shared" si="23"/>
        <v>27947.495495945321</v>
      </c>
      <c r="H32" s="129">
        <f t="shared" si="23"/>
        <v>47920.642349763089</v>
      </c>
      <c r="I32" s="129">
        <f t="shared" si="23"/>
        <v>73219.691469390847</v>
      </c>
      <c r="J32" s="129">
        <f t="shared" si="23"/>
        <v>103842.91509842264</v>
      </c>
      <c r="K32" s="129">
        <f t="shared" si="23"/>
        <v>139788.53364776034</v>
      </c>
      <c r="L32" s="129">
        <f t="shared" si="23"/>
        <v>181054.71414063286</v>
      </c>
      <c r="M32" s="129">
        <f t="shared" si="23"/>
        <v>227639.568610966</v>
      </c>
      <c r="N32" s="129">
        <f t="shared" si="23"/>
        <v>279541.15245370334</v>
      </c>
      <c r="O32" s="129">
        <f t="shared" si="23"/>
        <v>336757.46272563672</v>
      </c>
      <c r="P32" s="129">
        <f t="shared" si="23"/>
        <v>399286.43639526179</v>
      </c>
      <c r="Q32" s="129">
        <f t="shared" si="23"/>
        <v>467125.948540129</v>
      </c>
      <c r="R32" s="129">
        <f t="shared" si="23"/>
        <v>540273.81049011543</v>
      </c>
      <c r="S32" s="129">
        <f t="shared" si="23"/>
        <v>618727.76791499427</v>
      </c>
      <c r="T32" s="129">
        <f t="shared" si="23"/>
        <v>702485.49885463214</v>
      </c>
      <c r="U32" s="129">
        <f t="shared" si="23"/>
        <v>791544.61169009155</v>
      </c>
      <c r="V32" s="129">
        <f t="shared" si="23"/>
        <v>885902.64305386692</v>
      </c>
    </row>
    <row r="33" spans="1:22">
      <c r="A33" s="61"/>
      <c r="B33" s="122" t="s">
        <v>68</v>
      </c>
      <c r="C33" s="130">
        <f t="shared" ref="C33:V33" si="24">C32/$J$42</f>
        <v>0</v>
      </c>
      <c r="D33" s="130">
        <f t="shared" si="24"/>
        <v>0</v>
      </c>
      <c r="E33" s="130">
        <f t="shared" si="24"/>
        <v>2.0027987246590485E-2</v>
      </c>
      <c r="F33" s="130">
        <f t="shared" si="24"/>
        <v>6.6843861011765732E-2</v>
      </c>
      <c r="G33" s="130">
        <f t="shared" si="24"/>
        <v>0.1404396758590217</v>
      </c>
      <c r="H33" s="130">
        <f t="shared" si="24"/>
        <v>0.24080724798875924</v>
      </c>
      <c r="I33" s="130">
        <f t="shared" si="24"/>
        <v>0.36793814808739117</v>
      </c>
      <c r="J33" s="130">
        <f t="shared" si="24"/>
        <v>0.52182369396192285</v>
      </c>
      <c r="K33" s="130">
        <f t="shared" si="24"/>
        <v>0.70245494295356958</v>
      </c>
      <c r="L33" s="130">
        <f t="shared" si="24"/>
        <v>0.9098226841237832</v>
      </c>
      <c r="M33" s="130">
        <f t="shared" si="24"/>
        <v>1.1439174302058592</v>
      </c>
      <c r="N33" s="130">
        <f t="shared" si="24"/>
        <v>1.4047294093150922</v>
      </c>
      <c r="O33" s="130">
        <f t="shared" si="24"/>
        <v>1.6922485564102347</v>
      </c>
      <c r="P33" s="130">
        <f t="shared" si="24"/>
        <v>2.006464504498803</v>
      </c>
      <c r="Q33" s="130">
        <f t="shared" si="24"/>
        <v>2.3473665755785378</v>
      </c>
      <c r="R33" s="130">
        <f t="shared" si="24"/>
        <v>2.7149437713071127</v>
      </c>
      <c r="S33" s="130">
        <f t="shared" si="24"/>
        <v>3.109184763391931</v>
      </c>
      <c r="T33" s="130">
        <f t="shared" si="24"/>
        <v>3.5300778836916189</v>
      </c>
      <c r="U33" s="130">
        <f t="shared" si="24"/>
        <v>3.9776111140205606</v>
      </c>
      <c r="V33" s="130">
        <f t="shared" si="24"/>
        <v>4.4517720756475727</v>
      </c>
    </row>
    <row r="35" spans="1:22">
      <c r="C35" s="2"/>
      <c r="D35" s="2"/>
      <c r="E35" s="2"/>
    </row>
    <row r="36" spans="1:22">
      <c r="A36" s="131"/>
      <c r="B36" s="131" t="s">
        <v>1</v>
      </c>
      <c r="C36" s="2"/>
      <c r="D36" s="2"/>
      <c r="E36" s="2"/>
    </row>
    <row r="37" spans="1:22">
      <c r="A37" s="8"/>
      <c r="B37" s="132" t="s">
        <v>90</v>
      </c>
      <c r="C37" s="133"/>
      <c r="D37" s="133">
        <f>Investment!J2</f>
        <v>5000</v>
      </c>
      <c r="E37" s="2"/>
      <c r="I37" s="134"/>
      <c r="J37" s="135" t="s">
        <v>28</v>
      </c>
      <c r="K37" s="136" t="s">
        <v>29</v>
      </c>
      <c r="L37" s="135" t="s">
        <v>91</v>
      </c>
      <c r="M37" s="135" t="s">
        <v>92</v>
      </c>
      <c r="N37" s="135" t="s">
        <v>93</v>
      </c>
      <c r="O37" s="134"/>
    </row>
    <row r="38" spans="1:22">
      <c r="A38" s="8"/>
      <c r="B38" s="132" t="s">
        <v>36</v>
      </c>
      <c r="C38" s="133"/>
      <c r="D38" s="133">
        <f>Investment!J3</f>
        <v>3</v>
      </c>
      <c r="E38" s="2"/>
      <c r="I38" s="137" t="s">
        <v>33</v>
      </c>
      <c r="J38" s="138">
        <f>Investment!C3</f>
        <v>4900</v>
      </c>
      <c r="K38" s="139">
        <f>Investment!D3</f>
        <v>0.02</v>
      </c>
      <c r="L38" s="140">
        <f>V13</f>
        <v>3.634099653589856</v>
      </c>
      <c r="M38" s="141">
        <f>V12</f>
        <v>17807.088302590295</v>
      </c>
      <c r="N38" s="141">
        <f>AVERAGE(D11:V11)</f>
        <v>312.4050579401806</v>
      </c>
      <c r="O38" s="134"/>
    </row>
    <row r="39" spans="1:22">
      <c r="A39" s="8"/>
      <c r="B39" s="132" t="s">
        <v>38</v>
      </c>
      <c r="C39" s="142"/>
      <c r="D39" s="142">
        <f>Investment!J4</f>
        <v>400</v>
      </c>
      <c r="E39" s="8"/>
      <c r="I39" s="143" t="s">
        <v>37</v>
      </c>
      <c r="J39" s="138">
        <f>Investment!C4</f>
        <v>19000</v>
      </c>
      <c r="K39" s="139">
        <f>Investment!D4</f>
        <v>0.05</v>
      </c>
      <c r="L39" s="140">
        <f>V18</f>
        <v>3.7488606952821675</v>
      </c>
      <c r="M39" s="141">
        <f>V17</f>
        <v>71228.35321036118</v>
      </c>
      <c r="N39" s="141">
        <f>AVERAGE(D16:V16)</f>
        <v>1249.6202317607224</v>
      </c>
      <c r="O39" s="134"/>
    </row>
    <row r="40" spans="1:22">
      <c r="A40" s="8"/>
      <c r="B40" s="132" t="s">
        <v>41</v>
      </c>
      <c r="C40" s="144"/>
      <c r="D40" s="144">
        <f>Investment!J5</f>
        <v>1.9E-3</v>
      </c>
      <c r="E40" s="2"/>
      <c r="I40" s="143" t="s">
        <v>40</v>
      </c>
      <c r="J40" s="138">
        <f>Investment!C5</f>
        <v>49000</v>
      </c>
      <c r="K40" s="139">
        <f>Investment!D5</f>
        <v>0.08</v>
      </c>
      <c r="L40" s="140">
        <f>V23</f>
        <v>3.8711061527370196</v>
      </c>
      <c r="M40" s="141">
        <f>V22</f>
        <v>189684.20148411396</v>
      </c>
      <c r="N40" s="141">
        <f>AVERAGE(D21:V21)</f>
        <v>3327.7930084932268</v>
      </c>
      <c r="O40" s="134"/>
    </row>
    <row r="41" spans="1:22">
      <c r="A41" s="8"/>
      <c r="B41" s="132" t="s">
        <v>94</v>
      </c>
      <c r="C41" s="133"/>
      <c r="D41" s="133">
        <f>Investment!J6</f>
        <v>150</v>
      </c>
      <c r="E41" s="2"/>
      <c r="I41" s="143" t="s">
        <v>42</v>
      </c>
      <c r="J41" s="138">
        <f>Investment!C6</f>
        <v>79000</v>
      </c>
      <c r="K41" s="139">
        <f>Investment!D6</f>
        <v>0.11</v>
      </c>
      <c r="L41" s="140">
        <f>V28</f>
        <v>4.0015928769865816</v>
      </c>
      <c r="M41" s="141">
        <f>V27</f>
        <v>316125.83728193998</v>
      </c>
      <c r="N41" s="141">
        <f>AVERAGE(D26:V26)</f>
        <v>5546.0673207357895</v>
      </c>
      <c r="O41" s="134"/>
    </row>
    <row r="42" spans="1:22">
      <c r="A42" s="8"/>
      <c r="B42" s="39" t="s">
        <v>95</v>
      </c>
      <c r="D42" s="139">
        <f>Investment!J9</f>
        <v>0.2</v>
      </c>
      <c r="E42" s="2"/>
      <c r="I42" s="143" t="s">
        <v>44</v>
      </c>
      <c r="J42" s="138">
        <f>Investment!C7</f>
        <v>199000</v>
      </c>
      <c r="K42" s="139">
        <f>Investment!D7</f>
        <v>0.2</v>
      </c>
      <c r="L42" s="140">
        <f>V33</f>
        <v>4.4517720756475727</v>
      </c>
      <c r="M42" s="141">
        <f>V32</f>
        <v>885902.64305386692</v>
      </c>
      <c r="N42" s="141">
        <f>AVERAGE(D31:V31)</f>
        <v>15542.151632523979</v>
      </c>
      <c r="O42" s="134"/>
    </row>
    <row r="43" spans="1:22" ht="12.75">
      <c r="A43" s="145"/>
    </row>
    <row r="45" spans="1:22" ht="12.75">
      <c r="A45" s="145"/>
      <c r="B45" s="39" t="s">
        <v>96</v>
      </c>
    </row>
    <row r="46" spans="1:22">
      <c r="B46" s="8" t="s">
        <v>97</v>
      </c>
      <c r="C46" s="146"/>
      <c r="D46" s="146">
        <f>Investment!D14</f>
        <v>888888888</v>
      </c>
    </row>
    <row r="47" spans="1:22" ht="15">
      <c r="B47" s="145" t="s">
        <v>98</v>
      </c>
      <c r="C47" s="147"/>
      <c r="D47" s="148">
        <f>Investment!D15</f>
        <v>0.08</v>
      </c>
      <c r="F47">
        <f>49000/D47</f>
        <v>612500</v>
      </c>
    </row>
    <row r="48" spans="1:22" ht="15">
      <c r="D48" s="146"/>
    </row>
  </sheetData>
  <conditionalFormatting sqref="C7:V7">
    <cfRule type="cellIs" dxfId="5" priority="1" operator="lessThan">
      <formula>0</formula>
    </cfRule>
  </conditionalFormatting>
  <conditionalFormatting sqref="C7:V7"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7"/>
  <sheetViews>
    <sheetView workbookViewId="0"/>
  </sheetViews>
  <sheetFormatPr defaultColWidth="14.42578125" defaultRowHeight="15.75" customHeight="1"/>
  <cols>
    <col min="1" max="1" width="13" customWidth="1"/>
    <col min="2" max="2" width="44.85546875" customWidth="1"/>
    <col min="9" max="9" width="19.7109375" customWidth="1"/>
    <col min="10" max="10" width="17.42578125" customWidth="1"/>
    <col min="13" max="13" width="17.28515625" customWidth="1"/>
    <col min="14" max="14" width="16.85546875" customWidth="1"/>
  </cols>
  <sheetData>
    <row r="1" spans="1:23">
      <c r="A1" s="2"/>
      <c r="B1" s="2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3">
      <c r="A2" s="8"/>
      <c r="B2" s="8" t="s">
        <v>22</v>
      </c>
      <c r="C2" s="10">
        <v>2</v>
      </c>
      <c r="D2" s="10">
        <v>10</v>
      </c>
      <c r="E2" s="10">
        <f t="shared" ref="E2:V2" si="0">D2+$D$41</f>
        <v>160</v>
      </c>
      <c r="F2" s="10">
        <f t="shared" si="0"/>
        <v>310</v>
      </c>
      <c r="G2" s="10">
        <f t="shared" si="0"/>
        <v>460</v>
      </c>
      <c r="H2" s="10">
        <f t="shared" si="0"/>
        <v>610</v>
      </c>
      <c r="I2" s="10">
        <f t="shared" si="0"/>
        <v>760</v>
      </c>
      <c r="J2" s="10">
        <f t="shared" si="0"/>
        <v>910</v>
      </c>
      <c r="K2" s="10">
        <f t="shared" si="0"/>
        <v>1060</v>
      </c>
      <c r="L2" s="10">
        <f t="shared" si="0"/>
        <v>1210</v>
      </c>
      <c r="M2" s="10">
        <f t="shared" si="0"/>
        <v>1360</v>
      </c>
      <c r="N2" s="10">
        <f t="shared" si="0"/>
        <v>1510</v>
      </c>
      <c r="O2" s="10">
        <f t="shared" si="0"/>
        <v>1660</v>
      </c>
      <c r="P2" s="10">
        <f t="shared" si="0"/>
        <v>1810</v>
      </c>
      <c r="Q2" s="10">
        <f t="shared" si="0"/>
        <v>1960</v>
      </c>
      <c r="R2" s="10">
        <f t="shared" si="0"/>
        <v>2110</v>
      </c>
      <c r="S2" s="10">
        <f t="shared" si="0"/>
        <v>2260</v>
      </c>
      <c r="T2" s="10">
        <f t="shared" si="0"/>
        <v>2410</v>
      </c>
      <c r="U2" s="10">
        <f t="shared" si="0"/>
        <v>2560</v>
      </c>
      <c r="V2" s="10">
        <f t="shared" si="0"/>
        <v>2710</v>
      </c>
    </row>
    <row r="3" spans="1:23">
      <c r="A3" s="8"/>
      <c r="B3" s="8" t="s">
        <v>27</v>
      </c>
      <c r="C3" s="10">
        <f t="shared" ref="C3:V3" si="1">C2*$D$37</f>
        <v>20000</v>
      </c>
      <c r="D3" s="10">
        <f t="shared" si="1"/>
        <v>100000</v>
      </c>
      <c r="E3" s="10">
        <f t="shared" si="1"/>
        <v>1600000</v>
      </c>
      <c r="F3" s="10">
        <f t="shared" si="1"/>
        <v>3100000</v>
      </c>
      <c r="G3" s="10">
        <f t="shared" si="1"/>
        <v>4600000</v>
      </c>
      <c r="H3" s="10">
        <f t="shared" si="1"/>
        <v>6100000</v>
      </c>
      <c r="I3" s="10">
        <f t="shared" si="1"/>
        <v>7600000</v>
      </c>
      <c r="J3" s="10">
        <f t="shared" si="1"/>
        <v>9100000</v>
      </c>
      <c r="K3" s="10">
        <f t="shared" si="1"/>
        <v>10600000</v>
      </c>
      <c r="L3" s="10">
        <f t="shared" si="1"/>
        <v>12100000</v>
      </c>
      <c r="M3" s="10">
        <f t="shared" si="1"/>
        <v>13600000</v>
      </c>
      <c r="N3" s="10">
        <f t="shared" si="1"/>
        <v>15100000</v>
      </c>
      <c r="O3" s="10">
        <f t="shared" si="1"/>
        <v>16600000</v>
      </c>
      <c r="P3" s="10">
        <f t="shared" si="1"/>
        <v>18100000</v>
      </c>
      <c r="Q3" s="10">
        <f t="shared" si="1"/>
        <v>19600000</v>
      </c>
      <c r="R3" s="10">
        <f t="shared" si="1"/>
        <v>21100000</v>
      </c>
      <c r="S3" s="10">
        <f t="shared" si="1"/>
        <v>22600000</v>
      </c>
      <c r="T3" s="10">
        <f t="shared" si="1"/>
        <v>24100000</v>
      </c>
      <c r="U3" s="10">
        <f t="shared" si="1"/>
        <v>25600000</v>
      </c>
      <c r="V3" s="10">
        <f t="shared" si="1"/>
        <v>27100000</v>
      </c>
    </row>
    <row r="4" spans="1:23">
      <c r="A4" s="8"/>
      <c r="B4" s="8" t="s">
        <v>32</v>
      </c>
      <c r="C4" s="10">
        <f t="shared" ref="C4:V4" si="2">C3*$D$38*3/2</f>
        <v>150000</v>
      </c>
      <c r="D4" s="10">
        <f t="shared" si="2"/>
        <v>750000</v>
      </c>
      <c r="E4" s="10">
        <f t="shared" si="2"/>
        <v>12000000</v>
      </c>
      <c r="F4" s="10">
        <f t="shared" si="2"/>
        <v>23250000</v>
      </c>
      <c r="G4" s="10">
        <f t="shared" si="2"/>
        <v>34500000</v>
      </c>
      <c r="H4" s="10">
        <f t="shared" si="2"/>
        <v>45750000</v>
      </c>
      <c r="I4" s="10">
        <f t="shared" si="2"/>
        <v>57000000</v>
      </c>
      <c r="J4" s="10">
        <f t="shared" si="2"/>
        <v>68250000</v>
      </c>
      <c r="K4" s="10">
        <f t="shared" si="2"/>
        <v>79500000</v>
      </c>
      <c r="L4" s="10">
        <f t="shared" si="2"/>
        <v>90750000</v>
      </c>
      <c r="M4" s="10">
        <f t="shared" si="2"/>
        <v>102000000</v>
      </c>
      <c r="N4" s="10">
        <f t="shared" si="2"/>
        <v>113250000</v>
      </c>
      <c r="O4" s="10">
        <f t="shared" si="2"/>
        <v>124500000</v>
      </c>
      <c r="P4" s="10">
        <f t="shared" si="2"/>
        <v>135750000</v>
      </c>
      <c r="Q4" s="10">
        <f t="shared" si="2"/>
        <v>147000000</v>
      </c>
      <c r="R4" s="10">
        <f t="shared" si="2"/>
        <v>158250000</v>
      </c>
      <c r="S4" s="10">
        <f t="shared" si="2"/>
        <v>169500000</v>
      </c>
      <c r="T4" s="10">
        <f t="shared" si="2"/>
        <v>180750000</v>
      </c>
      <c r="U4" s="10">
        <f t="shared" si="2"/>
        <v>192000000</v>
      </c>
      <c r="V4" s="10">
        <f t="shared" si="2"/>
        <v>203250000</v>
      </c>
    </row>
    <row r="5" spans="1:23">
      <c r="A5" s="8"/>
      <c r="B5" s="8" t="s">
        <v>34</v>
      </c>
      <c r="C5" s="25">
        <f t="shared" ref="C5:V5" si="3">C4*$D$39*$D$40</f>
        <v>165000</v>
      </c>
      <c r="D5" s="25">
        <f t="shared" si="3"/>
        <v>825000</v>
      </c>
      <c r="E5" s="25">
        <f t="shared" si="3"/>
        <v>13200000</v>
      </c>
      <c r="F5" s="25">
        <f t="shared" si="3"/>
        <v>25575000</v>
      </c>
      <c r="G5" s="25">
        <f t="shared" si="3"/>
        <v>37950000</v>
      </c>
      <c r="H5" s="25">
        <f t="shared" si="3"/>
        <v>50325000</v>
      </c>
      <c r="I5" s="25">
        <f t="shared" si="3"/>
        <v>62700000.000000007</v>
      </c>
      <c r="J5" s="25">
        <f t="shared" si="3"/>
        <v>75075000</v>
      </c>
      <c r="K5" s="25">
        <f t="shared" si="3"/>
        <v>87450000</v>
      </c>
      <c r="L5" s="25">
        <f t="shared" si="3"/>
        <v>99825000</v>
      </c>
      <c r="M5" s="25">
        <f t="shared" si="3"/>
        <v>112200000</v>
      </c>
      <c r="N5" s="25">
        <f t="shared" si="3"/>
        <v>124575000.00000001</v>
      </c>
      <c r="O5" s="25">
        <f t="shared" si="3"/>
        <v>136950000</v>
      </c>
      <c r="P5" s="25">
        <f t="shared" si="3"/>
        <v>149325000</v>
      </c>
      <c r="Q5" s="25">
        <f t="shared" si="3"/>
        <v>161700000</v>
      </c>
      <c r="R5" s="25">
        <f t="shared" si="3"/>
        <v>174075000</v>
      </c>
      <c r="S5" s="25">
        <f t="shared" si="3"/>
        <v>186450000</v>
      </c>
      <c r="T5" s="25">
        <f t="shared" si="3"/>
        <v>198825000</v>
      </c>
      <c r="U5" s="25">
        <f t="shared" si="3"/>
        <v>211200000</v>
      </c>
      <c r="V5" s="25">
        <f t="shared" si="3"/>
        <v>223575000</v>
      </c>
    </row>
    <row r="6" spans="1:23">
      <c r="A6" s="8"/>
      <c r="B6" s="8" t="s">
        <v>39</v>
      </c>
      <c r="C6" s="32">
        <f>'Cost Breakdown'!B8</f>
        <v>789000</v>
      </c>
      <c r="D6" s="32">
        <f>'Cost Breakdown'!C8</f>
        <v>812670</v>
      </c>
      <c r="E6" s="32">
        <f>'Cost Breakdown'!D8</f>
        <v>837050.10000000009</v>
      </c>
      <c r="F6" s="32">
        <f>'Cost Breakdown'!E8</f>
        <v>862161.603</v>
      </c>
      <c r="G6" s="32">
        <f>'Cost Breakdown'!F8</f>
        <v>888026.45108999987</v>
      </c>
      <c r="H6" s="32">
        <f>'Cost Breakdown'!G8</f>
        <v>914667.24462269992</v>
      </c>
      <c r="I6" s="32">
        <f>'Cost Breakdown'!H8</f>
        <v>942107.26196138095</v>
      </c>
      <c r="J6" s="32">
        <f>'Cost Breakdown'!I8</f>
        <v>970370.47982022259</v>
      </c>
      <c r="K6" s="32">
        <f>'Cost Breakdown'!J8</f>
        <v>999481.59421482915</v>
      </c>
      <c r="L6" s="32">
        <f>'Cost Breakdown'!K8</f>
        <v>1029466.042041274</v>
      </c>
      <c r="M6" s="32">
        <f>'Cost Breakdown'!L8</f>
        <v>1060350.0233025122</v>
      </c>
      <c r="N6" s="32">
        <f>'Cost Breakdown'!M8</f>
        <v>1092160.5240015876</v>
      </c>
      <c r="O6" s="32">
        <f>'Cost Breakdown'!N8</f>
        <v>1124925.3397216352</v>
      </c>
      <c r="P6" s="32">
        <f>'Cost Breakdown'!O8</f>
        <v>1158673.0999132842</v>
      </c>
      <c r="Q6" s="32">
        <f>'Cost Breakdown'!P8</f>
        <v>1193433.2929106827</v>
      </c>
      <c r="R6" s="32">
        <f>'Cost Breakdown'!Q8</f>
        <v>1229236.2916980032</v>
      </c>
      <c r="S6" s="32">
        <f>'Cost Breakdown'!R8</f>
        <v>1266113.3804489435</v>
      </c>
      <c r="T6" s="32">
        <f>'Cost Breakdown'!S8</f>
        <v>1304096.7818624116</v>
      </c>
      <c r="U6" s="32">
        <f>'Cost Breakdown'!T8</f>
        <v>1343219.685318284</v>
      </c>
      <c r="V6" s="32">
        <f>'Cost Breakdown'!U8</f>
        <v>1383516.2758778324</v>
      </c>
    </row>
    <row r="7" spans="1:23">
      <c r="A7" s="8"/>
      <c r="B7" s="39" t="s">
        <v>46</v>
      </c>
      <c r="C7" s="32">
        <f t="shared" ref="C7:V7" si="4">C5-C6</f>
        <v>-624000</v>
      </c>
      <c r="D7" s="32">
        <f t="shared" si="4"/>
        <v>12330</v>
      </c>
      <c r="E7" s="32">
        <f t="shared" si="4"/>
        <v>12362949.9</v>
      </c>
      <c r="F7" s="32">
        <f t="shared" si="4"/>
        <v>24712838.397</v>
      </c>
      <c r="G7" s="32">
        <f t="shared" si="4"/>
        <v>37061973.548909999</v>
      </c>
      <c r="H7" s="32">
        <f t="shared" si="4"/>
        <v>49410332.7553773</v>
      </c>
      <c r="I7" s="32">
        <f t="shared" si="4"/>
        <v>61757892.738038629</v>
      </c>
      <c r="J7" s="32">
        <f t="shared" si="4"/>
        <v>74104629.520179778</v>
      </c>
      <c r="K7" s="32">
        <f t="shared" si="4"/>
        <v>86450518.405785173</v>
      </c>
      <c r="L7" s="32">
        <f t="shared" si="4"/>
        <v>98795533.957958728</v>
      </c>
      <c r="M7" s="32">
        <f t="shared" si="4"/>
        <v>111139649.97669749</v>
      </c>
      <c r="N7" s="32">
        <f t="shared" si="4"/>
        <v>123482839.47599843</v>
      </c>
      <c r="O7" s="32">
        <f t="shared" si="4"/>
        <v>135825074.66027835</v>
      </c>
      <c r="P7" s="32">
        <f t="shared" si="4"/>
        <v>148166326.9000867</v>
      </c>
      <c r="Q7" s="32">
        <f t="shared" si="4"/>
        <v>160506566.7070893</v>
      </c>
      <c r="R7" s="32">
        <f t="shared" si="4"/>
        <v>172845763.70830199</v>
      </c>
      <c r="S7" s="32">
        <f t="shared" si="4"/>
        <v>185183886.61955106</v>
      </c>
      <c r="T7" s="32">
        <f t="shared" si="4"/>
        <v>197520903.21813759</v>
      </c>
      <c r="U7" s="32">
        <f t="shared" si="4"/>
        <v>209856780.31468171</v>
      </c>
      <c r="V7" s="32">
        <f t="shared" si="4"/>
        <v>222191483.72412217</v>
      </c>
    </row>
    <row r="8" spans="1:23">
      <c r="A8" s="8"/>
      <c r="B8" s="8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3">
      <c r="A9" s="8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3">
      <c r="B10" s="45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spans="1:23">
      <c r="A11" s="49" t="s">
        <v>33</v>
      </c>
      <c r="B11" s="49" t="s">
        <v>51</v>
      </c>
      <c r="C11" s="53">
        <f t="shared" ref="C11:V11" si="5">IF(C7&gt;0,C7/$D$46*$J$38/(($D$47-$D$47*$K$38)/$D$42),0)</f>
        <v>0</v>
      </c>
      <c r="D11" s="53">
        <f t="shared" si="5"/>
        <v>0.17339062517339068</v>
      </c>
      <c r="E11" s="53">
        <f t="shared" si="5"/>
        <v>173.85398314260399</v>
      </c>
      <c r="F11" s="53">
        <f t="shared" si="5"/>
        <v>347.52429030533682</v>
      </c>
      <c r="G11" s="53">
        <f t="shared" si="5"/>
        <v>521.18400355273093</v>
      </c>
      <c r="H11" s="53">
        <f t="shared" si="5"/>
        <v>694.83280506732615</v>
      </c>
      <c r="I11" s="53">
        <f t="shared" si="5"/>
        <v>868.4703674971388</v>
      </c>
      <c r="J11" s="53">
        <f t="shared" si="5"/>
        <v>1042.0963536696247</v>
      </c>
      <c r="K11" s="53">
        <f t="shared" si="5"/>
        <v>1215.7104162970645</v>
      </c>
      <c r="L11" s="53">
        <f t="shared" si="5"/>
        <v>1389.312197673107</v>
      </c>
      <c r="M11" s="53">
        <f t="shared" si="5"/>
        <v>1562.90132936021</v>
      </c>
      <c r="N11" s="53">
        <f t="shared" si="5"/>
        <v>1736.4774318677055</v>
      </c>
      <c r="O11" s="53">
        <f t="shared" si="5"/>
        <v>1910.0401143202043</v>
      </c>
      <c r="P11" s="53">
        <f t="shared" si="5"/>
        <v>2083.5889741160581</v>
      </c>
      <c r="Q11" s="53">
        <f t="shared" si="5"/>
        <v>2257.1235965755668</v>
      </c>
      <c r="R11" s="53">
        <f t="shared" si="5"/>
        <v>2430.6435545786408</v>
      </c>
      <c r="S11" s="53">
        <f t="shared" si="5"/>
        <v>2604.1484081915855</v>
      </c>
      <c r="T11" s="53">
        <f t="shared" si="5"/>
        <v>2777.6377042826975</v>
      </c>
      <c r="U11" s="53">
        <f t="shared" si="5"/>
        <v>2951.1109761263233</v>
      </c>
      <c r="V11" s="53">
        <f t="shared" si="5"/>
        <v>3124.567742995036</v>
      </c>
    </row>
    <row r="12" spans="1:23">
      <c r="A12" s="61"/>
      <c r="B12" s="49" t="s">
        <v>56</v>
      </c>
      <c r="C12" s="63">
        <f t="shared" ref="C12:D12" si="6">C11*3</f>
        <v>0</v>
      </c>
      <c r="D12" s="63">
        <f t="shared" si="6"/>
        <v>0.52017187552017208</v>
      </c>
      <c r="E12" s="63">
        <f t="shared" ref="E12:V12" si="7">3*E11+D12</f>
        <v>522.0821213033322</v>
      </c>
      <c r="F12" s="63">
        <f t="shared" si="7"/>
        <v>1564.6549922193426</v>
      </c>
      <c r="G12" s="63">
        <f t="shared" si="7"/>
        <v>3128.2070028775352</v>
      </c>
      <c r="H12" s="63">
        <f t="shared" si="7"/>
        <v>5212.705418079513</v>
      </c>
      <c r="I12" s="63">
        <f t="shared" si="7"/>
        <v>7818.1165205709294</v>
      </c>
      <c r="J12" s="63">
        <f t="shared" si="7"/>
        <v>10944.405581579804</v>
      </c>
      <c r="K12" s="63">
        <f t="shared" si="7"/>
        <v>14591.536830470997</v>
      </c>
      <c r="L12" s="63">
        <f t="shared" si="7"/>
        <v>18759.473423490319</v>
      </c>
      <c r="M12" s="63">
        <f t="shared" si="7"/>
        <v>23448.177411570949</v>
      </c>
      <c r="N12" s="63">
        <f t="shared" si="7"/>
        <v>28657.609707174066</v>
      </c>
      <c r="O12" s="63">
        <f t="shared" si="7"/>
        <v>34387.730050134676</v>
      </c>
      <c r="P12" s="63">
        <f t="shared" si="7"/>
        <v>40638.496972482848</v>
      </c>
      <c r="Q12" s="63">
        <f t="shared" si="7"/>
        <v>47409.867762209549</v>
      </c>
      <c r="R12" s="63">
        <f t="shared" si="7"/>
        <v>54701.798425945468</v>
      </c>
      <c r="S12" s="63">
        <f t="shared" si="7"/>
        <v>62514.24365052022</v>
      </c>
      <c r="T12" s="63">
        <f t="shared" si="7"/>
        <v>70847.156763368315</v>
      </c>
      <c r="U12" s="63">
        <f t="shared" si="7"/>
        <v>79700.48969174728</v>
      </c>
      <c r="V12" s="63">
        <f t="shared" si="7"/>
        <v>89074.192920732385</v>
      </c>
    </row>
    <row r="13" spans="1:23">
      <c r="A13" s="61"/>
      <c r="B13" s="49" t="s">
        <v>58</v>
      </c>
      <c r="C13" s="69">
        <f t="shared" ref="C13:V13" si="8">C12/$J$38</f>
        <v>0</v>
      </c>
      <c r="D13" s="69">
        <f t="shared" si="8"/>
        <v>1.0615752561636165E-4</v>
      </c>
      <c r="E13" s="69">
        <f t="shared" si="8"/>
        <v>0.10654737169455759</v>
      </c>
      <c r="F13" s="69">
        <f t="shared" si="8"/>
        <v>0.31931734535088624</v>
      </c>
      <c r="G13" s="69">
        <f t="shared" si="8"/>
        <v>0.63840959242398676</v>
      </c>
      <c r="H13" s="69">
        <f t="shared" si="8"/>
        <v>1.0638174322611251</v>
      </c>
      <c r="I13" s="69">
        <f t="shared" si="8"/>
        <v>1.5955339837899856</v>
      </c>
      <c r="J13" s="69">
        <f t="shared" si="8"/>
        <v>2.2335521595060825</v>
      </c>
      <c r="K13" s="69">
        <f t="shared" si="8"/>
        <v>2.9778646592797955</v>
      </c>
      <c r="L13" s="69">
        <f t="shared" si="8"/>
        <v>3.8284639639776161</v>
      </c>
      <c r="M13" s="69">
        <f t="shared" si="8"/>
        <v>4.78534232889203</v>
      </c>
      <c r="N13" s="69">
        <f t="shared" si="8"/>
        <v>5.8484917769742992</v>
      </c>
      <c r="O13" s="69">
        <f t="shared" si="8"/>
        <v>7.0179040918642199</v>
      </c>
      <c r="P13" s="69">
        <f t="shared" si="8"/>
        <v>8.2935708107107846</v>
      </c>
      <c r="Q13" s="69">
        <f t="shared" si="8"/>
        <v>9.6754832167774598</v>
      </c>
      <c r="R13" s="69">
        <f t="shared" si="8"/>
        <v>11.163632331825605</v>
      </c>
      <c r="S13" s="69">
        <f t="shared" si="8"/>
        <v>12.758008908269433</v>
      </c>
      <c r="T13" s="69">
        <f t="shared" si="8"/>
        <v>14.458603421095575</v>
      </c>
      <c r="U13" s="69">
        <f t="shared" si="8"/>
        <v>16.265406059540261</v>
      </c>
      <c r="V13" s="69">
        <f t="shared" si="8"/>
        <v>18.178406718516815</v>
      </c>
    </row>
    <row r="14" spans="1:23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3">
      <c r="B15" s="45"/>
      <c r="C15" s="45"/>
      <c r="D15" s="45"/>
      <c r="E15" s="45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45"/>
    </row>
    <row r="16" spans="1:23">
      <c r="A16" s="74" t="s">
        <v>37</v>
      </c>
      <c r="B16" s="76" t="s">
        <v>62</v>
      </c>
      <c r="C16" s="78">
        <f t="shared" ref="C16:V16" si="9">IF(C7&gt;0,C7/$D$46*$J$39/(($D$47-$D$47*$K$39)/$D$42),0)</f>
        <v>0</v>
      </c>
      <c r="D16" s="78">
        <f t="shared" si="9"/>
        <v>0.69356250069356262</v>
      </c>
      <c r="E16" s="78">
        <f t="shared" si="9"/>
        <v>695.41593257041609</v>
      </c>
      <c r="F16" s="78">
        <f t="shared" si="9"/>
        <v>1390.0971612213473</v>
      </c>
      <c r="G16" s="78">
        <f t="shared" si="9"/>
        <v>2084.7360142109242</v>
      </c>
      <c r="H16" s="78">
        <f t="shared" si="9"/>
        <v>2779.3312202693046</v>
      </c>
      <c r="I16" s="78">
        <f t="shared" si="9"/>
        <v>3473.8814699885552</v>
      </c>
      <c r="J16" s="78">
        <f t="shared" si="9"/>
        <v>4168.3854146784988</v>
      </c>
      <c r="K16" s="78">
        <f t="shared" si="9"/>
        <v>4862.841665188258</v>
      </c>
      <c r="L16" s="78">
        <f t="shared" si="9"/>
        <v>5557.248790692428</v>
      </c>
      <c r="M16" s="78">
        <f t="shared" si="9"/>
        <v>6251.6053174408407</v>
      </c>
      <c r="N16" s="78">
        <f t="shared" si="9"/>
        <v>6945.909727470822</v>
      </c>
      <c r="O16" s="78">
        <f t="shared" si="9"/>
        <v>7640.1604572808192</v>
      </c>
      <c r="P16" s="78">
        <f t="shared" si="9"/>
        <v>8334.3558964642343</v>
      </c>
      <c r="Q16" s="78">
        <f t="shared" si="9"/>
        <v>9028.494386302269</v>
      </c>
      <c r="R16" s="78">
        <f t="shared" si="9"/>
        <v>9722.574218314563</v>
      </c>
      <c r="S16" s="78">
        <f t="shared" si="9"/>
        <v>10416.593632766342</v>
      </c>
      <c r="T16" s="78">
        <f t="shared" si="9"/>
        <v>11110.550817130792</v>
      </c>
      <c r="U16" s="78">
        <f t="shared" si="9"/>
        <v>11804.443904505291</v>
      </c>
      <c r="V16" s="78">
        <f t="shared" si="9"/>
        <v>12498.270971980144</v>
      </c>
    </row>
    <row r="17" spans="1:26">
      <c r="A17" s="61"/>
      <c r="B17" s="76" t="s">
        <v>56</v>
      </c>
      <c r="C17" s="82">
        <f t="shared" ref="C17:D17" si="10">C16*3</f>
        <v>0</v>
      </c>
      <c r="D17" s="82">
        <f t="shared" si="10"/>
        <v>2.0806875020806879</v>
      </c>
      <c r="E17" s="82">
        <f t="shared" ref="E17:V17" si="11">3*E16+D17</f>
        <v>2088.3284852133293</v>
      </c>
      <c r="F17" s="82">
        <f t="shared" si="11"/>
        <v>6258.6199688773713</v>
      </c>
      <c r="G17" s="82">
        <f t="shared" si="11"/>
        <v>12512.828011510144</v>
      </c>
      <c r="H17" s="82">
        <f t="shared" si="11"/>
        <v>20850.821672318059</v>
      </c>
      <c r="I17" s="82">
        <f t="shared" si="11"/>
        <v>31272.466082283725</v>
      </c>
      <c r="J17" s="82">
        <f t="shared" si="11"/>
        <v>43777.622326319222</v>
      </c>
      <c r="K17" s="82">
        <f t="shared" si="11"/>
        <v>58366.147321883996</v>
      </c>
      <c r="L17" s="82">
        <f t="shared" si="11"/>
        <v>75037.893693961276</v>
      </c>
      <c r="M17" s="82">
        <f t="shared" si="11"/>
        <v>93792.709646283794</v>
      </c>
      <c r="N17" s="82">
        <f t="shared" si="11"/>
        <v>114630.43882869626</v>
      </c>
      <c r="O17" s="82">
        <f t="shared" si="11"/>
        <v>137550.92020053871</v>
      </c>
      <c r="P17" s="82">
        <f t="shared" si="11"/>
        <v>162553.98788993142</v>
      </c>
      <c r="Q17" s="82">
        <f t="shared" si="11"/>
        <v>189639.47104883823</v>
      </c>
      <c r="R17" s="82">
        <f t="shared" si="11"/>
        <v>218807.19370378193</v>
      </c>
      <c r="S17" s="82">
        <f t="shared" si="11"/>
        <v>250056.97460208094</v>
      </c>
      <c r="T17" s="82">
        <f t="shared" si="11"/>
        <v>283388.62705347332</v>
      </c>
      <c r="U17" s="82">
        <f t="shared" si="11"/>
        <v>318801.95876698918</v>
      </c>
      <c r="V17" s="82">
        <f t="shared" si="11"/>
        <v>356296.7716829296</v>
      </c>
    </row>
    <row r="18" spans="1:26">
      <c r="A18" s="61"/>
      <c r="B18" s="76" t="s">
        <v>58</v>
      </c>
      <c r="C18" s="86">
        <f t="shared" ref="C18:V18" si="12">C17/$J$39</f>
        <v>0</v>
      </c>
      <c r="D18" s="86">
        <f t="shared" si="12"/>
        <v>1.0950986853056252E-4</v>
      </c>
      <c r="E18" s="86">
        <f t="shared" si="12"/>
        <v>0.10991202553754365</v>
      </c>
      <c r="F18" s="86">
        <f t="shared" si="12"/>
        <v>0.32940105099354589</v>
      </c>
      <c r="G18" s="86">
        <f t="shared" si="12"/>
        <v>0.65856989534263921</v>
      </c>
      <c r="H18" s="86">
        <f t="shared" si="12"/>
        <v>1.0974116669641083</v>
      </c>
      <c r="I18" s="86">
        <f t="shared" si="12"/>
        <v>1.6459192674886172</v>
      </c>
      <c r="J18" s="86">
        <f t="shared" si="12"/>
        <v>2.3040853855957484</v>
      </c>
      <c r="K18" s="86">
        <f t="shared" si="12"/>
        <v>3.0719024906254737</v>
      </c>
      <c r="L18" s="86">
        <f t="shared" si="12"/>
        <v>3.9493628259979618</v>
      </c>
      <c r="M18" s="86">
        <f t="shared" si="12"/>
        <v>4.9364584024359894</v>
      </c>
      <c r="N18" s="86">
        <f t="shared" si="12"/>
        <v>6.0331809909840137</v>
      </c>
      <c r="O18" s="86">
        <f t="shared" si="12"/>
        <v>7.2395221158178265</v>
      </c>
      <c r="P18" s="86">
        <f t="shared" si="12"/>
        <v>8.555473046838495</v>
      </c>
      <c r="Q18" s="86">
        <f t="shared" si="12"/>
        <v>9.9810247920441171</v>
      </c>
      <c r="R18" s="86">
        <f t="shared" si="12"/>
        <v>11.516168089672734</v>
      </c>
      <c r="S18" s="86">
        <f t="shared" si="12"/>
        <v>13.160893400109524</v>
      </c>
      <c r="T18" s="86">
        <f t="shared" si="12"/>
        <v>14.915190897551227</v>
      </c>
      <c r="U18" s="86">
        <f t="shared" si="12"/>
        <v>16.779050461420482</v>
      </c>
      <c r="V18" s="86">
        <f t="shared" si="12"/>
        <v>18.75246166752261</v>
      </c>
    </row>
    <row r="19" spans="1:26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6">
      <c r="A20" s="45"/>
      <c r="B20" s="45"/>
      <c r="C20" s="45"/>
      <c r="D20" s="45"/>
      <c r="E20" s="45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45"/>
      <c r="X20" s="45"/>
      <c r="Y20" s="45"/>
      <c r="Z20" s="45"/>
    </row>
    <row r="21" spans="1:26">
      <c r="A21" s="90" t="s">
        <v>40</v>
      </c>
      <c r="B21" s="91" t="s">
        <v>51</v>
      </c>
      <c r="C21" s="93">
        <f t="shared" ref="C21:V21" si="13">IF(C7&gt;0,C7/$D$46*$J$40/(($D$47-$D$47*$K$40)/$D$42),0)</f>
        <v>0</v>
      </c>
      <c r="D21" s="93">
        <f t="shared" si="13"/>
        <v>1.8469870942382915</v>
      </c>
      <c r="E21" s="93">
        <f t="shared" si="13"/>
        <v>1851.9228639103469</v>
      </c>
      <c r="F21" s="93">
        <f t="shared" si="13"/>
        <v>3701.8891793394573</v>
      </c>
      <c r="G21" s="93">
        <f t="shared" si="13"/>
        <v>5551.7426465399594</v>
      </c>
      <c r="H21" s="93">
        <f t="shared" si="13"/>
        <v>7401.4798800649951</v>
      </c>
      <c r="I21" s="93">
        <f t="shared" si="13"/>
        <v>9251.097392904303</v>
      </c>
      <c r="J21" s="93">
        <f t="shared" si="13"/>
        <v>11100.591593437304</v>
      </c>
      <c r="K21" s="93">
        <f t="shared" si="13"/>
        <v>12949.958782294818</v>
      </c>
      <c r="L21" s="93">
        <f t="shared" si="13"/>
        <v>14799.195149126574</v>
      </c>
      <c r="M21" s="93">
        <f t="shared" si="13"/>
        <v>16648.296769271801</v>
      </c>
      <c r="N21" s="93">
        <f t="shared" si="13"/>
        <v>18497.259600329904</v>
      </c>
      <c r="O21" s="93">
        <f t="shared" si="13"/>
        <v>20346.079478628264</v>
      </c>
      <c r="P21" s="93">
        <f t="shared" si="13"/>
        <v>22194.752115584099</v>
      </c>
      <c r="Q21" s="93">
        <f t="shared" si="13"/>
        <v>24043.273093957123</v>
      </c>
      <c r="R21" s="93">
        <f t="shared" si="13"/>
        <v>25891.637863989865</v>
      </c>
      <c r="S21" s="93">
        <f t="shared" si="13"/>
        <v>27739.841739432104</v>
      </c>
      <c r="T21" s="93">
        <f t="shared" si="13"/>
        <v>29587.87989344613</v>
      </c>
      <c r="U21" s="93">
        <f t="shared" si="13"/>
        <v>31435.747354389092</v>
      </c>
      <c r="V21" s="93">
        <f t="shared" si="13"/>
        <v>33283.439001468862</v>
      </c>
    </row>
    <row r="22" spans="1:26">
      <c r="A22" s="61"/>
      <c r="B22" s="91" t="s">
        <v>56</v>
      </c>
      <c r="C22" s="98">
        <f t="shared" ref="C22:D22" si="14">C21*3</f>
        <v>0</v>
      </c>
      <c r="D22" s="98">
        <f t="shared" si="14"/>
        <v>5.5409612827148749</v>
      </c>
      <c r="E22" s="98">
        <f t="shared" ref="E22:V22" si="15">3*E21+D22</f>
        <v>5561.3095530137562</v>
      </c>
      <c r="F22" s="98">
        <f t="shared" si="15"/>
        <v>16666.977091032128</v>
      </c>
      <c r="G22" s="98">
        <f t="shared" si="15"/>
        <v>33322.20503065201</v>
      </c>
      <c r="H22" s="98">
        <f t="shared" si="15"/>
        <v>55526.644670846996</v>
      </c>
      <c r="I22" s="98">
        <f t="shared" si="15"/>
        <v>83279.936849559905</v>
      </c>
      <c r="J22" s="98">
        <f t="shared" si="15"/>
        <v>116581.71162987182</v>
      </c>
      <c r="K22" s="98">
        <f t="shared" si="15"/>
        <v>155431.58797675627</v>
      </c>
      <c r="L22" s="98">
        <f t="shared" si="15"/>
        <v>199829.17342413601</v>
      </c>
      <c r="M22" s="98">
        <f t="shared" si="15"/>
        <v>249774.06373195141</v>
      </c>
      <c r="N22" s="98">
        <f t="shared" si="15"/>
        <v>305265.84253294114</v>
      </c>
      <c r="O22" s="98">
        <f t="shared" si="15"/>
        <v>366304.08096882596</v>
      </c>
      <c r="P22" s="98">
        <f t="shared" si="15"/>
        <v>432888.33731557825</v>
      </c>
      <c r="Q22" s="98">
        <f t="shared" si="15"/>
        <v>505018.15659744962</v>
      </c>
      <c r="R22" s="98">
        <f t="shared" si="15"/>
        <v>582693.0701894192</v>
      </c>
      <c r="S22" s="98">
        <f t="shared" si="15"/>
        <v>665912.59540771553</v>
      </c>
      <c r="T22" s="98">
        <f t="shared" si="15"/>
        <v>754676.23508805386</v>
      </c>
      <c r="U22" s="98">
        <f t="shared" si="15"/>
        <v>848983.47715122113</v>
      </c>
      <c r="V22" s="98">
        <f t="shared" si="15"/>
        <v>948833.79415562772</v>
      </c>
    </row>
    <row r="23" spans="1:26">
      <c r="A23" s="61"/>
      <c r="B23" s="91" t="s">
        <v>68</v>
      </c>
      <c r="C23" s="100">
        <f t="shared" ref="C23:V23" si="16">C22/$J$40</f>
        <v>0</v>
      </c>
      <c r="D23" s="100">
        <f t="shared" si="16"/>
        <v>1.1308084250438521E-4</v>
      </c>
      <c r="E23" s="100">
        <f t="shared" si="16"/>
        <v>0.11349611332681135</v>
      </c>
      <c r="F23" s="100">
        <f t="shared" si="16"/>
        <v>0.34014238961290055</v>
      </c>
      <c r="G23" s="100">
        <f t="shared" si="16"/>
        <v>0.68004500062555129</v>
      </c>
      <c r="H23" s="100">
        <f t="shared" si="16"/>
        <v>1.1331968300172857</v>
      </c>
      <c r="I23" s="100">
        <f t="shared" si="16"/>
        <v>1.699590547950202</v>
      </c>
      <c r="J23" s="100">
        <f t="shared" si="16"/>
        <v>2.3792186046912618</v>
      </c>
      <c r="K23" s="100">
        <f t="shared" si="16"/>
        <v>3.1720732240154343</v>
      </c>
      <c r="L23" s="100">
        <f t="shared" si="16"/>
        <v>4.078146396410939</v>
      </c>
      <c r="M23" s="100">
        <f t="shared" si="16"/>
        <v>5.0974298720806406</v>
      </c>
      <c r="N23" s="100">
        <f t="shared" si="16"/>
        <v>6.2299151537334927</v>
      </c>
      <c r="O23" s="100">
        <f t="shared" si="16"/>
        <v>7.4755934891597136</v>
      </c>
      <c r="P23" s="100">
        <f t="shared" si="16"/>
        <v>8.83445586358323</v>
      </c>
      <c r="Q23" s="100">
        <f t="shared" si="16"/>
        <v>10.306492991784687</v>
      </c>
      <c r="R23" s="100">
        <f t="shared" si="16"/>
        <v>11.891695309988147</v>
      </c>
      <c r="S23" s="100">
        <f t="shared" si="16"/>
        <v>13.590052967504398</v>
      </c>
      <c r="T23" s="100">
        <f t="shared" si="16"/>
        <v>15.401555818123548</v>
      </c>
      <c r="U23" s="100">
        <f t="shared" si="16"/>
        <v>17.32619341124941</v>
      </c>
      <c r="V23" s="100">
        <f t="shared" si="16"/>
        <v>19.363954982767911</v>
      </c>
    </row>
    <row r="24" spans="1:26" ht="15.75" customHeight="1">
      <c r="A24" s="103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>
      <c r="A26" s="105" t="s">
        <v>42</v>
      </c>
      <c r="B26" s="107" t="s">
        <v>62</v>
      </c>
      <c r="C26" s="110">
        <f t="shared" ref="C26:V26" si="17">IF(C7&gt;0,C7/$D$46*$J$41/(($D$47-$D$47*$K$41)/$D$42),0)</f>
        <v>0</v>
      </c>
      <c r="D26" s="110">
        <f t="shared" si="17"/>
        <v>3.0781706491455871</v>
      </c>
      <c r="E26" s="110">
        <f t="shared" si="17"/>
        <v>3086.3965546664531</v>
      </c>
      <c r="F26" s="110">
        <f t="shared" si="17"/>
        <v>6169.5323447464289</v>
      </c>
      <c r="G26" s="110">
        <f t="shared" si="17"/>
        <v>9252.4800630709542</v>
      </c>
      <c r="H26" s="110">
        <f t="shared" si="17"/>
        <v>12335.234067487363</v>
      </c>
      <c r="I26" s="110">
        <f t="shared" si="17"/>
        <v>15417.788546578417</v>
      </c>
      <c r="J26" s="110">
        <f t="shared" si="17"/>
        <v>18500.137514584345</v>
      </c>
      <c r="K26" s="110">
        <f t="shared" si="17"/>
        <v>21582.274806172605</v>
      </c>
      <c r="L26" s="110">
        <f t="shared" si="17"/>
        <v>24664.194071050661</v>
      </c>
      <c r="M26" s="110">
        <f t="shared" si="17"/>
        <v>27745.888768417211</v>
      </c>
      <c r="N26" s="110">
        <f t="shared" si="17"/>
        <v>30827.352161246905</v>
      </c>
      <c r="O26" s="110">
        <f t="shared" si="17"/>
        <v>33908.577310403627</v>
      </c>
      <c r="P26" s="110">
        <f t="shared" si="17"/>
        <v>36989.557068577211</v>
      </c>
      <c r="Q26" s="110">
        <f t="shared" si="17"/>
        <v>40070.284074038151</v>
      </c>
      <c r="R26" s="110">
        <f t="shared" si="17"/>
        <v>43150.750744205077</v>
      </c>
      <c r="S26" s="110">
        <f t="shared" si="17"/>
        <v>46230.949269019162</v>
      </c>
      <c r="T26" s="110">
        <f t="shared" si="17"/>
        <v>49310.871604119806</v>
      </c>
      <c r="U26" s="110">
        <f t="shared" si="17"/>
        <v>52390.509463815622</v>
      </c>
      <c r="V26" s="110">
        <f t="shared" si="17"/>
        <v>55469.854313844451</v>
      </c>
    </row>
    <row r="27" spans="1:26">
      <c r="A27" s="61"/>
      <c r="B27" s="107" t="s">
        <v>56</v>
      </c>
      <c r="C27" s="115">
        <f t="shared" ref="C27:D27" si="18">C26*3</f>
        <v>0</v>
      </c>
      <c r="D27" s="115">
        <f t="shared" si="18"/>
        <v>9.2345119474367614</v>
      </c>
      <c r="E27" s="115">
        <f t="shared" ref="E27:V27" si="19">3*E26+D27</f>
        <v>9268.4241759467968</v>
      </c>
      <c r="F27" s="115">
        <f t="shared" si="19"/>
        <v>27777.021210186082</v>
      </c>
      <c r="G27" s="115">
        <f t="shared" si="19"/>
        <v>55534.461399398948</v>
      </c>
      <c r="H27" s="115">
        <f t="shared" si="19"/>
        <v>92540.163601861044</v>
      </c>
      <c r="I27" s="115">
        <f t="shared" si="19"/>
        <v>138793.52924159629</v>
      </c>
      <c r="J27" s="115">
        <f t="shared" si="19"/>
        <v>194293.94178534934</v>
      </c>
      <c r="K27" s="115">
        <f t="shared" si="19"/>
        <v>259040.76620386716</v>
      </c>
      <c r="L27" s="115">
        <f t="shared" si="19"/>
        <v>333033.34841701912</v>
      </c>
      <c r="M27" s="115">
        <f t="shared" si="19"/>
        <v>416271.01472227077</v>
      </c>
      <c r="N27" s="115">
        <f t="shared" si="19"/>
        <v>508753.07120601146</v>
      </c>
      <c r="O27" s="115">
        <f t="shared" si="19"/>
        <v>610478.8031372223</v>
      </c>
      <c r="P27" s="115">
        <f t="shared" si="19"/>
        <v>721447.47434295388</v>
      </c>
      <c r="Q27" s="115">
        <f t="shared" si="19"/>
        <v>841658.32656506833</v>
      </c>
      <c r="R27" s="115">
        <f t="shared" si="19"/>
        <v>971110.57879768359</v>
      </c>
      <c r="S27" s="115">
        <f t="shared" si="19"/>
        <v>1109803.426604741</v>
      </c>
      <c r="T27" s="115">
        <f t="shared" si="19"/>
        <v>1257736.0414171005</v>
      </c>
      <c r="U27" s="115">
        <f t="shared" si="19"/>
        <v>1414907.5698085474</v>
      </c>
      <c r="V27" s="115">
        <f t="shared" si="19"/>
        <v>1581317.1327500807</v>
      </c>
    </row>
    <row r="28" spans="1:26">
      <c r="A28" s="61"/>
      <c r="B28" s="107" t="s">
        <v>68</v>
      </c>
      <c r="C28" s="119">
        <f t="shared" ref="C28:V28" si="20">C27/$J$41</f>
        <v>0</v>
      </c>
      <c r="D28" s="119">
        <f t="shared" si="20"/>
        <v>1.1689255629666786E-4</v>
      </c>
      <c r="E28" s="119">
        <f t="shared" si="20"/>
        <v>0.11732182501198476</v>
      </c>
      <c r="F28" s="119">
        <f t="shared" si="20"/>
        <v>0.35160786342007699</v>
      </c>
      <c r="G28" s="119">
        <f t="shared" si="20"/>
        <v>0.70296786581517656</v>
      </c>
      <c r="H28" s="119">
        <f t="shared" si="20"/>
        <v>1.1713944759729247</v>
      </c>
      <c r="I28" s="119">
        <f t="shared" si="20"/>
        <v>1.7568801169822315</v>
      </c>
      <c r="J28" s="119">
        <f t="shared" si="20"/>
        <v>2.4594169846246752</v>
      </c>
      <c r="K28" s="119">
        <f t="shared" si="20"/>
        <v>3.2789970405552804</v>
      </c>
      <c r="L28" s="119">
        <f t="shared" si="20"/>
        <v>4.2156120052787234</v>
      </c>
      <c r="M28" s="119">
        <f t="shared" si="20"/>
        <v>5.2692533509148198</v>
      </c>
      <c r="N28" s="119">
        <f t="shared" si="20"/>
        <v>6.4399122937469802</v>
      </c>
      <c r="O28" s="119">
        <f t="shared" si="20"/>
        <v>7.7275797865471176</v>
      </c>
      <c r="P28" s="119">
        <f t="shared" si="20"/>
        <v>9.1322465106703028</v>
      </c>
      <c r="Q28" s="119">
        <f t="shared" si="20"/>
        <v>10.653902867912258</v>
      </c>
      <c r="R28" s="119">
        <f t="shared" si="20"/>
        <v>12.292538972122577</v>
      </c>
      <c r="S28" s="119">
        <f t="shared" si="20"/>
        <v>14.048144640566342</v>
      </c>
      <c r="T28" s="119">
        <f t="shared" si="20"/>
        <v>15.920709385026589</v>
      </c>
      <c r="U28" s="119">
        <f t="shared" si="20"/>
        <v>17.910222402639839</v>
      </c>
      <c r="V28" s="119">
        <f t="shared" si="20"/>
        <v>20.016672566456716</v>
      </c>
    </row>
    <row r="29" spans="1:26" ht="12.75">
      <c r="A29" s="39"/>
    </row>
    <row r="30" spans="1:26" ht="12.7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>
      <c r="A31" s="121" t="s">
        <v>80</v>
      </c>
      <c r="B31" s="122" t="s">
        <v>62</v>
      </c>
      <c r="C31" s="123">
        <f t="shared" ref="C31:V31" si="21">IF(C7&gt;0,C7/$D$46*$J$42/(($D$47-$D$47*$K$42)/$D$42),0)</f>
        <v>0</v>
      </c>
      <c r="D31" s="123">
        <f t="shared" si="21"/>
        <v>8.6261836023761838</v>
      </c>
      <c r="E31" s="123">
        <f t="shared" si="21"/>
        <v>8649.2356613445481</v>
      </c>
      <c r="F31" s="123">
        <f t="shared" si="21"/>
        <v>17289.333442690502</v>
      </c>
      <c r="G31" s="123">
        <f t="shared" si="21"/>
        <v>25928.904176748365</v>
      </c>
      <c r="H31" s="123">
        <f t="shared" si="21"/>
        <v>34567.932052099473</v>
      </c>
      <c r="I31" s="123">
        <f t="shared" si="21"/>
        <v>43206.400782982651</v>
      </c>
      <c r="J31" s="123">
        <f t="shared" si="21"/>
        <v>51844.29359506382</v>
      </c>
      <c r="K31" s="123">
        <f t="shared" si="21"/>
        <v>60481.593210778956</v>
      </c>
      <c r="L31" s="123">
        <f t="shared" si="21"/>
        <v>69118.281834237059</v>
      </c>
      <c r="M31" s="123">
        <f t="shared" si="21"/>
        <v>77754.341135670431</v>
      </c>
      <c r="N31" s="123">
        <f t="shared" si="21"/>
        <v>86389.752235418331</v>
      </c>
      <c r="O31" s="123">
        <f t="shared" si="21"/>
        <v>95024.495687430172</v>
      </c>
      <c r="P31" s="123">
        <f t="shared" si="21"/>
        <v>103658.55146227388</v>
      </c>
      <c r="Q31" s="123">
        <f t="shared" si="21"/>
        <v>112291.89892963445</v>
      </c>
      <c r="R31" s="123">
        <f t="shared" si="21"/>
        <v>120924.51684028735</v>
      </c>
      <c r="S31" s="123">
        <f t="shared" si="21"/>
        <v>129556.38330753136</v>
      </c>
      <c r="T31" s="123">
        <f t="shared" si="21"/>
        <v>138187.47578806421</v>
      </c>
      <c r="U31" s="123">
        <f t="shared" si="21"/>
        <v>146817.77106228456</v>
      </c>
      <c r="V31" s="123">
        <f t="shared" si="21"/>
        <v>155447.24521400299</v>
      </c>
    </row>
    <row r="32" spans="1:26">
      <c r="A32" s="61"/>
      <c r="B32" s="122" t="s">
        <v>56</v>
      </c>
      <c r="C32" s="129">
        <f t="shared" ref="C32:D32" si="22">C31*3</f>
        <v>0</v>
      </c>
      <c r="D32" s="129">
        <f t="shared" si="22"/>
        <v>25.878550807128551</v>
      </c>
      <c r="E32" s="129">
        <f t="shared" ref="E32:V32" si="23">3*E31+D32</f>
        <v>25973.585534840771</v>
      </c>
      <c r="F32" s="129">
        <f t="shared" si="23"/>
        <v>77841.585862912267</v>
      </c>
      <c r="G32" s="129">
        <f t="shared" si="23"/>
        <v>155628.29839315737</v>
      </c>
      <c r="H32" s="129">
        <f t="shared" si="23"/>
        <v>259332.0945494558</v>
      </c>
      <c r="I32" s="129">
        <f t="shared" si="23"/>
        <v>388951.29689840379</v>
      </c>
      <c r="J32" s="129">
        <f t="shared" si="23"/>
        <v>544484.17768359522</v>
      </c>
      <c r="K32" s="129">
        <f t="shared" si="23"/>
        <v>725928.95731593203</v>
      </c>
      <c r="L32" s="129">
        <f t="shared" si="23"/>
        <v>933283.80281864316</v>
      </c>
      <c r="M32" s="129">
        <f t="shared" si="23"/>
        <v>1166546.8262256545</v>
      </c>
      <c r="N32" s="129">
        <f t="shared" si="23"/>
        <v>1425716.0829319095</v>
      </c>
      <c r="O32" s="129">
        <f t="shared" si="23"/>
        <v>1710789.5699942</v>
      </c>
      <c r="P32" s="129">
        <f t="shared" si="23"/>
        <v>2021765.2243810217</v>
      </c>
      <c r="Q32" s="129">
        <f t="shared" si="23"/>
        <v>2358640.921169925</v>
      </c>
      <c r="R32" s="129">
        <f t="shared" si="23"/>
        <v>2721414.471690787</v>
      </c>
      <c r="S32" s="129">
        <f t="shared" si="23"/>
        <v>3110083.621613381</v>
      </c>
      <c r="T32" s="129">
        <f t="shared" si="23"/>
        <v>3524646.0489775734</v>
      </c>
      <c r="U32" s="129">
        <f t="shared" si="23"/>
        <v>3965099.3621644271</v>
      </c>
      <c r="V32" s="129">
        <f t="shared" si="23"/>
        <v>4431441.097806436</v>
      </c>
    </row>
    <row r="33" spans="1:22">
      <c r="A33" s="61"/>
      <c r="B33" s="122" t="s">
        <v>68</v>
      </c>
      <c r="C33" s="130">
        <f t="shared" ref="C33:V33" si="24">C32/$J$42</f>
        <v>0</v>
      </c>
      <c r="D33" s="130">
        <f t="shared" si="24"/>
        <v>1.3004296888004298E-4</v>
      </c>
      <c r="E33" s="130">
        <f t="shared" si="24"/>
        <v>0.13052053032583302</v>
      </c>
      <c r="F33" s="130">
        <f t="shared" si="24"/>
        <v>0.3911637480548355</v>
      </c>
      <c r="G33" s="130">
        <f t="shared" si="24"/>
        <v>0.78205175071938371</v>
      </c>
      <c r="H33" s="130">
        <f t="shared" si="24"/>
        <v>1.3031763545198785</v>
      </c>
      <c r="I33" s="130">
        <f t="shared" si="24"/>
        <v>1.9545291301427326</v>
      </c>
      <c r="J33" s="130">
        <f t="shared" si="24"/>
        <v>2.7361013953949507</v>
      </c>
      <c r="K33" s="130">
        <f t="shared" si="24"/>
        <v>3.6478842076177487</v>
      </c>
      <c r="L33" s="130">
        <f t="shared" si="24"/>
        <v>4.6898683558725791</v>
      </c>
      <c r="M33" s="130">
        <f t="shared" si="24"/>
        <v>5.8620443528927364</v>
      </c>
      <c r="N33" s="130">
        <f t="shared" si="24"/>
        <v>7.1644024267935151</v>
      </c>
      <c r="O33" s="130">
        <f t="shared" si="24"/>
        <v>8.5969325125336677</v>
      </c>
      <c r="P33" s="130">
        <f t="shared" si="24"/>
        <v>10.159624243120712</v>
      </c>
      <c r="Q33" s="130">
        <f t="shared" si="24"/>
        <v>11.852466940552388</v>
      </c>
      <c r="R33" s="130">
        <f t="shared" si="24"/>
        <v>13.675449606486367</v>
      </c>
      <c r="S33" s="130">
        <f t="shared" si="24"/>
        <v>15.628560912630055</v>
      </c>
      <c r="T33" s="130">
        <f t="shared" si="24"/>
        <v>17.711789190842076</v>
      </c>
      <c r="U33" s="130">
        <f t="shared" si="24"/>
        <v>19.92512242293682</v>
      </c>
      <c r="V33" s="130">
        <f t="shared" si="24"/>
        <v>22.268548230183097</v>
      </c>
    </row>
    <row r="35" spans="1:22">
      <c r="C35" s="2"/>
      <c r="D35" s="2"/>
      <c r="E35" s="2"/>
    </row>
    <row r="36" spans="1:22">
      <c r="A36" s="131"/>
      <c r="B36" s="131" t="s">
        <v>1</v>
      </c>
      <c r="C36" s="2"/>
      <c r="D36" s="2"/>
      <c r="E36" s="2"/>
    </row>
    <row r="37" spans="1:22">
      <c r="A37" s="8"/>
      <c r="B37" s="132" t="s">
        <v>90</v>
      </c>
      <c r="C37" s="133"/>
      <c r="D37" s="133">
        <f>Investment!K2</f>
        <v>10000</v>
      </c>
      <c r="E37" s="2"/>
      <c r="I37" s="134"/>
      <c r="J37" s="135" t="s">
        <v>28</v>
      </c>
      <c r="K37" s="136" t="s">
        <v>29</v>
      </c>
      <c r="L37" s="135" t="s">
        <v>91</v>
      </c>
      <c r="M37" s="135" t="s">
        <v>92</v>
      </c>
      <c r="N37" s="135" t="s">
        <v>93</v>
      </c>
      <c r="O37" s="134"/>
    </row>
    <row r="38" spans="1:22">
      <c r="A38" s="8"/>
      <c r="B38" s="132" t="s">
        <v>36</v>
      </c>
      <c r="C38" s="133"/>
      <c r="D38" s="133">
        <f>Investment!K3</f>
        <v>5</v>
      </c>
      <c r="E38" s="2"/>
      <c r="I38" s="137" t="s">
        <v>33</v>
      </c>
      <c r="J38" s="138">
        <f>Investment!C3</f>
        <v>4900</v>
      </c>
      <c r="K38" s="139">
        <f>Investment!D3</f>
        <v>0.02</v>
      </c>
      <c r="L38" s="140">
        <f>V13</f>
        <v>18.178406718516815</v>
      </c>
      <c r="M38" s="141">
        <f>V12</f>
        <v>89074.192920732385</v>
      </c>
      <c r="N38" s="141">
        <f>AVERAGE(D11:V11)</f>
        <v>1562.7051389602175</v>
      </c>
      <c r="O38" s="134"/>
    </row>
    <row r="39" spans="1:22">
      <c r="A39" s="8"/>
      <c r="B39" s="132" t="s">
        <v>38</v>
      </c>
      <c r="C39" s="142"/>
      <c r="D39" s="142">
        <f>Investment!K4</f>
        <v>500</v>
      </c>
      <c r="E39" s="8"/>
      <c r="I39" s="143" t="s">
        <v>37</v>
      </c>
      <c r="J39" s="138">
        <f>Investment!C4</f>
        <v>19000</v>
      </c>
      <c r="K39" s="139">
        <f>Investment!D4</f>
        <v>0.05</v>
      </c>
      <c r="L39" s="140">
        <f>V18</f>
        <v>18.75246166752261</v>
      </c>
      <c r="M39" s="141">
        <f>V17</f>
        <v>356296.7716829296</v>
      </c>
      <c r="N39" s="141">
        <f>AVERAGE(D16:V16)</f>
        <v>6250.8205558408708</v>
      </c>
      <c r="O39" s="134"/>
    </row>
    <row r="40" spans="1:22">
      <c r="A40" s="8"/>
      <c r="B40" s="132" t="s">
        <v>41</v>
      </c>
      <c r="C40" s="144"/>
      <c r="D40" s="144">
        <f>Investment!K5</f>
        <v>2.2000000000000001E-3</v>
      </c>
      <c r="E40" s="2"/>
      <c r="I40" s="143" t="s">
        <v>40</v>
      </c>
      <c r="J40" s="138">
        <f>Investment!C5</f>
        <v>49000</v>
      </c>
      <c r="K40" s="139">
        <f>Investment!D5</f>
        <v>0.08</v>
      </c>
      <c r="L40" s="140">
        <f>V23</f>
        <v>19.363954982767911</v>
      </c>
      <c r="M40" s="141">
        <f>V22</f>
        <v>948833.79415562772</v>
      </c>
      <c r="N40" s="141">
        <f>AVERAGE(D21:V21)</f>
        <v>16646.206915011015</v>
      </c>
      <c r="O40" s="134"/>
    </row>
    <row r="41" spans="1:22">
      <c r="A41" s="8"/>
      <c r="B41" s="132" t="s">
        <v>94</v>
      </c>
      <c r="C41" s="133"/>
      <c r="D41" s="133">
        <f>Investment!K6</f>
        <v>150</v>
      </c>
      <c r="E41" s="2"/>
      <c r="I41" s="143" t="s">
        <v>42</v>
      </c>
      <c r="J41" s="138">
        <f>Investment!C6</f>
        <v>79000</v>
      </c>
      <c r="K41" s="139">
        <f>Investment!D6</f>
        <v>0.11</v>
      </c>
      <c r="L41" s="140">
        <f>V28</f>
        <v>20.016672566456716</v>
      </c>
      <c r="M41" s="141">
        <f>V27</f>
        <v>1581317.1327500807</v>
      </c>
      <c r="N41" s="141">
        <f>AVERAGE(D26:V26)</f>
        <v>27742.405837720715</v>
      </c>
      <c r="O41" s="134"/>
    </row>
    <row r="42" spans="1:22">
      <c r="A42" s="8"/>
      <c r="B42" s="39" t="s">
        <v>95</v>
      </c>
      <c r="D42" s="139">
        <f>Investment!K9</f>
        <v>0.2</v>
      </c>
      <c r="E42" s="2"/>
      <c r="I42" s="143" t="s">
        <v>44</v>
      </c>
      <c r="J42" s="138">
        <f>Investment!C7</f>
        <v>199000</v>
      </c>
      <c r="K42" s="139">
        <f>Investment!D7</f>
        <v>0.2</v>
      </c>
      <c r="L42" s="140">
        <f>V33</f>
        <v>22.268548230183097</v>
      </c>
      <c r="M42" s="141">
        <f>V32</f>
        <v>4431441.097806436</v>
      </c>
      <c r="N42" s="141">
        <f>AVERAGE(D31:V31)</f>
        <v>77744.580663270812</v>
      </c>
      <c r="O42" s="134"/>
    </row>
    <row r="43" spans="1:22" ht="12.75">
      <c r="A43" s="145"/>
    </row>
    <row r="45" spans="1:22" ht="12.75">
      <c r="A45" s="145"/>
      <c r="B45" s="39" t="s">
        <v>96</v>
      </c>
    </row>
    <row r="46" spans="1:22">
      <c r="B46" s="8" t="s">
        <v>97</v>
      </c>
      <c r="C46" s="146"/>
      <c r="D46" s="146">
        <f>Investment!D14</f>
        <v>888888888</v>
      </c>
    </row>
    <row r="47" spans="1:22" ht="15">
      <c r="B47" s="145" t="s">
        <v>98</v>
      </c>
      <c r="C47" s="147"/>
      <c r="D47" s="148">
        <f>Investment!D15</f>
        <v>0.08</v>
      </c>
    </row>
  </sheetData>
  <conditionalFormatting sqref="C7:V7">
    <cfRule type="cellIs" dxfId="3" priority="1" operator="lessThan">
      <formula>0</formula>
    </cfRule>
  </conditionalFormatting>
  <conditionalFormatting sqref="C7:V7">
    <cfRule type="cellIs" dxfId="2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7"/>
  <sheetViews>
    <sheetView workbookViewId="0"/>
  </sheetViews>
  <sheetFormatPr defaultColWidth="14.42578125" defaultRowHeight="15.75" customHeight="1"/>
  <cols>
    <col min="1" max="1" width="13" customWidth="1"/>
    <col min="2" max="2" width="44.85546875" customWidth="1"/>
    <col min="9" max="9" width="19.7109375" customWidth="1"/>
    <col min="10" max="10" width="17.42578125" customWidth="1"/>
    <col min="13" max="13" width="17.28515625" customWidth="1"/>
    <col min="14" max="14" width="16.85546875" customWidth="1"/>
  </cols>
  <sheetData>
    <row r="1" spans="1:23">
      <c r="A1" s="2"/>
      <c r="B1" s="2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3">
      <c r="A2" s="8"/>
      <c r="B2" s="8" t="s">
        <v>22</v>
      </c>
      <c r="C2" s="10">
        <v>2</v>
      </c>
      <c r="D2" s="10">
        <v>10</v>
      </c>
      <c r="E2" s="10">
        <f t="shared" ref="E2:V2" si="0">D2+$D$41</f>
        <v>160</v>
      </c>
      <c r="F2" s="10">
        <f t="shared" si="0"/>
        <v>310</v>
      </c>
      <c r="G2" s="10">
        <f t="shared" si="0"/>
        <v>460</v>
      </c>
      <c r="H2" s="10">
        <f t="shared" si="0"/>
        <v>610</v>
      </c>
      <c r="I2" s="10">
        <f t="shared" si="0"/>
        <v>760</v>
      </c>
      <c r="J2" s="10">
        <f t="shared" si="0"/>
        <v>910</v>
      </c>
      <c r="K2" s="10">
        <f t="shared" si="0"/>
        <v>1060</v>
      </c>
      <c r="L2" s="10">
        <f t="shared" si="0"/>
        <v>1210</v>
      </c>
      <c r="M2" s="10">
        <f t="shared" si="0"/>
        <v>1360</v>
      </c>
      <c r="N2" s="10">
        <f t="shared" si="0"/>
        <v>1510</v>
      </c>
      <c r="O2" s="10">
        <f t="shared" si="0"/>
        <v>1660</v>
      </c>
      <c r="P2" s="10">
        <f t="shared" si="0"/>
        <v>1810</v>
      </c>
      <c r="Q2" s="10">
        <f t="shared" si="0"/>
        <v>1960</v>
      </c>
      <c r="R2" s="10">
        <f t="shared" si="0"/>
        <v>2110</v>
      </c>
      <c r="S2" s="10">
        <f t="shared" si="0"/>
        <v>2260</v>
      </c>
      <c r="T2" s="10">
        <f t="shared" si="0"/>
        <v>2410</v>
      </c>
      <c r="U2" s="10">
        <f t="shared" si="0"/>
        <v>2560</v>
      </c>
      <c r="V2" s="10">
        <f t="shared" si="0"/>
        <v>2710</v>
      </c>
    </row>
    <row r="3" spans="1:23">
      <c r="A3" s="8"/>
      <c r="B3" s="8" t="s">
        <v>27</v>
      </c>
      <c r="C3" s="10">
        <f t="shared" ref="C3:V3" si="1">C2*$D$37</f>
        <v>30000</v>
      </c>
      <c r="D3" s="10">
        <f t="shared" si="1"/>
        <v>150000</v>
      </c>
      <c r="E3" s="10">
        <f t="shared" si="1"/>
        <v>2400000</v>
      </c>
      <c r="F3" s="10">
        <f t="shared" si="1"/>
        <v>4650000</v>
      </c>
      <c r="G3" s="10">
        <f t="shared" si="1"/>
        <v>6900000</v>
      </c>
      <c r="H3" s="10">
        <f t="shared" si="1"/>
        <v>9150000</v>
      </c>
      <c r="I3" s="10">
        <f t="shared" si="1"/>
        <v>11400000</v>
      </c>
      <c r="J3" s="10">
        <f t="shared" si="1"/>
        <v>13650000</v>
      </c>
      <c r="K3" s="10">
        <f t="shared" si="1"/>
        <v>15900000</v>
      </c>
      <c r="L3" s="10">
        <f t="shared" si="1"/>
        <v>18150000</v>
      </c>
      <c r="M3" s="10">
        <f t="shared" si="1"/>
        <v>20400000</v>
      </c>
      <c r="N3" s="10">
        <f t="shared" si="1"/>
        <v>22650000</v>
      </c>
      <c r="O3" s="10">
        <f t="shared" si="1"/>
        <v>24900000</v>
      </c>
      <c r="P3" s="10">
        <f t="shared" si="1"/>
        <v>27150000</v>
      </c>
      <c r="Q3" s="10">
        <f t="shared" si="1"/>
        <v>29400000</v>
      </c>
      <c r="R3" s="10">
        <f t="shared" si="1"/>
        <v>31650000</v>
      </c>
      <c r="S3" s="10">
        <f t="shared" si="1"/>
        <v>33900000</v>
      </c>
      <c r="T3" s="10">
        <f t="shared" si="1"/>
        <v>36150000</v>
      </c>
      <c r="U3" s="10">
        <f t="shared" si="1"/>
        <v>38400000</v>
      </c>
      <c r="V3" s="10">
        <f t="shared" si="1"/>
        <v>40650000</v>
      </c>
    </row>
    <row r="4" spans="1:23">
      <c r="A4" s="8"/>
      <c r="B4" s="8" t="s">
        <v>32</v>
      </c>
      <c r="C4" s="10">
        <f t="shared" ref="C4:V4" si="2">C3*$D$38*3/2</f>
        <v>270000</v>
      </c>
      <c r="D4" s="10">
        <f t="shared" si="2"/>
        <v>1350000</v>
      </c>
      <c r="E4" s="10">
        <f t="shared" si="2"/>
        <v>21600000</v>
      </c>
      <c r="F4" s="10">
        <f t="shared" si="2"/>
        <v>41850000</v>
      </c>
      <c r="G4" s="10">
        <f t="shared" si="2"/>
        <v>62100000</v>
      </c>
      <c r="H4" s="10">
        <f t="shared" si="2"/>
        <v>82350000</v>
      </c>
      <c r="I4" s="10">
        <f t="shared" si="2"/>
        <v>102600000</v>
      </c>
      <c r="J4" s="10">
        <f t="shared" si="2"/>
        <v>122850000</v>
      </c>
      <c r="K4" s="10">
        <f t="shared" si="2"/>
        <v>143100000</v>
      </c>
      <c r="L4" s="10">
        <f t="shared" si="2"/>
        <v>163350000</v>
      </c>
      <c r="M4" s="10">
        <f t="shared" si="2"/>
        <v>183600000</v>
      </c>
      <c r="N4" s="10">
        <f t="shared" si="2"/>
        <v>203850000</v>
      </c>
      <c r="O4" s="10">
        <f t="shared" si="2"/>
        <v>224100000</v>
      </c>
      <c r="P4" s="10">
        <f t="shared" si="2"/>
        <v>244350000</v>
      </c>
      <c r="Q4" s="10">
        <f t="shared" si="2"/>
        <v>264600000</v>
      </c>
      <c r="R4" s="10">
        <f t="shared" si="2"/>
        <v>284850000</v>
      </c>
      <c r="S4" s="10">
        <f t="shared" si="2"/>
        <v>305100000</v>
      </c>
      <c r="T4" s="10">
        <f t="shared" si="2"/>
        <v>325350000</v>
      </c>
      <c r="U4" s="10">
        <f t="shared" si="2"/>
        <v>345600000</v>
      </c>
      <c r="V4" s="10">
        <f t="shared" si="2"/>
        <v>365850000</v>
      </c>
    </row>
    <row r="5" spans="1:23">
      <c r="A5" s="8"/>
      <c r="B5" s="8" t="s">
        <v>34</v>
      </c>
      <c r="C5" s="25">
        <f t="shared" ref="C5:V5" si="3">C4*$D$39*$D$40</f>
        <v>702000</v>
      </c>
      <c r="D5" s="25">
        <f t="shared" si="3"/>
        <v>3510000</v>
      </c>
      <c r="E5" s="25">
        <f t="shared" si="3"/>
        <v>56160000</v>
      </c>
      <c r="F5" s="25">
        <f t="shared" si="3"/>
        <v>108810000</v>
      </c>
      <c r="G5" s="25">
        <f t="shared" si="3"/>
        <v>161460000</v>
      </c>
      <c r="H5" s="25">
        <f t="shared" si="3"/>
        <v>214110000</v>
      </c>
      <c r="I5" s="25">
        <f t="shared" si="3"/>
        <v>266760000</v>
      </c>
      <c r="J5" s="25">
        <f t="shared" si="3"/>
        <v>319410000</v>
      </c>
      <c r="K5" s="25">
        <f t="shared" si="3"/>
        <v>372060000</v>
      </c>
      <c r="L5" s="25">
        <f t="shared" si="3"/>
        <v>424710000</v>
      </c>
      <c r="M5" s="25">
        <f t="shared" si="3"/>
        <v>477360000</v>
      </c>
      <c r="N5" s="25">
        <f t="shared" si="3"/>
        <v>530010000</v>
      </c>
      <c r="O5" s="25">
        <f t="shared" si="3"/>
        <v>582660000</v>
      </c>
      <c r="P5" s="25">
        <f t="shared" si="3"/>
        <v>635310000</v>
      </c>
      <c r="Q5" s="25">
        <f t="shared" si="3"/>
        <v>687960000</v>
      </c>
      <c r="R5" s="25">
        <f t="shared" si="3"/>
        <v>740610000</v>
      </c>
      <c r="S5" s="25">
        <f t="shared" si="3"/>
        <v>793260000</v>
      </c>
      <c r="T5" s="25">
        <f t="shared" si="3"/>
        <v>845910000</v>
      </c>
      <c r="U5" s="25">
        <f t="shared" si="3"/>
        <v>898560000</v>
      </c>
      <c r="V5" s="25">
        <f t="shared" si="3"/>
        <v>951210000</v>
      </c>
    </row>
    <row r="6" spans="1:23">
      <c r="A6" s="8"/>
      <c r="B6" s="8" t="s">
        <v>39</v>
      </c>
      <c r="C6" s="32">
        <f>'Cost Breakdown'!B8</f>
        <v>789000</v>
      </c>
      <c r="D6" s="32">
        <f>'Cost Breakdown'!C8</f>
        <v>812670</v>
      </c>
      <c r="E6" s="32">
        <f>'Cost Breakdown'!D8</f>
        <v>837050.10000000009</v>
      </c>
      <c r="F6" s="32">
        <f>'Cost Breakdown'!E8</f>
        <v>862161.603</v>
      </c>
      <c r="G6" s="32">
        <f>'Cost Breakdown'!F8</f>
        <v>888026.45108999987</v>
      </c>
      <c r="H6" s="32">
        <f>'Cost Breakdown'!G8</f>
        <v>914667.24462269992</v>
      </c>
      <c r="I6" s="32">
        <f>'Cost Breakdown'!H8</f>
        <v>942107.26196138095</v>
      </c>
      <c r="J6" s="32">
        <f>'Cost Breakdown'!I8</f>
        <v>970370.47982022259</v>
      </c>
      <c r="K6" s="32">
        <f>'Cost Breakdown'!J8</f>
        <v>999481.59421482915</v>
      </c>
      <c r="L6" s="32">
        <f>'Cost Breakdown'!K8</f>
        <v>1029466.042041274</v>
      </c>
      <c r="M6" s="32">
        <f>'Cost Breakdown'!L8</f>
        <v>1060350.0233025122</v>
      </c>
      <c r="N6" s="32">
        <f>'Cost Breakdown'!M8</f>
        <v>1092160.5240015876</v>
      </c>
      <c r="O6" s="32">
        <f>'Cost Breakdown'!N8</f>
        <v>1124925.3397216352</v>
      </c>
      <c r="P6" s="32">
        <f>'Cost Breakdown'!O8</f>
        <v>1158673.0999132842</v>
      </c>
      <c r="Q6" s="32">
        <f>'Cost Breakdown'!P8</f>
        <v>1193433.2929106827</v>
      </c>
      <c r="R6" s="32">
        <f>'Cost Breakdown'!Q8</f>
        <v>1229236.2916980032</v>
      </c>
      <c r="S6" s="32">
        <f>'Cost Breakdown'!R8</f>
        <v>1266113.3804489435</v>
      </c>
      <c r="T6" s="32">
        <f>'Cost Breakdown'!S8</f>
        <v>1304096.7818624116</v>
      </c>
      <c r="U6" s="32">
        <f>'Cost Breakdown'!T8</f>
        <v>1343219.685318284</v>
      </c>
      <c r="V6" s="32">
        <f>'Cost Breakdown'!U8</f>
        <v>1383516.2758778324</v>
      </c>
    </row>
    <row r="7" spans="1:23">
      <c r="A7" s="8"/>
      <c r="B7" s="39" t="s">
        <v>46</v>
      </c>
      <c r="C7" s="32">
        <f t="shared" ref="C7:V7" si="4">C5-C6</f>
        <v>-87000</v>
      </c>
      <c r="D7" s="32">
        <f t="shared" si="4"/>
        <v>2697330</v>
      </c>
      <c r="E7" s="32">
        <f t="shared" si="4"/>
        <v>55322949.899999999</v>
      </c>
      <c r="F7" s="32">
        <f t="shared" si="4"/>
        <v>107947838.397</v>
      </c>
      <c r="G7" s="32">
        <f t="shared" si="4"/>
        <v>160571973.54890999</v>
      </c>
      <c r="H7" s="32">
        <f t="shared" si="4"/>
        <v>213195332.75537729</v>
      </c>
      <c r="I7" s="32">
        <f t="shared" si="4"/>
        <v>265817892.73803863</v>
      </c>
      <c r="J7" s="32">
        <f t="shared" si="4"/>
        <v>318439629.52017975</v>
      </c>
      <c r="K7" s="32">
        <f t="shared" si="4"/>
        <v>371060518.40578514</v>
      </c>
      <c r="L7" s="32">
        <f t="shared" si="4"/>
        <v>423680533.9579587</v>
      </c>
      <c r="M7" s="32">
        <f t="shared" si="4"/>
        <v>476299649.9766975</v>
      </c>
      <c r="N7" s="32">
        <f t="shared" si="4"/>
        <v>528917839.4759984</v>
      </c>
      <c r="O7" s="32">
        <f t="shared" si="4"/>
        <v>581535074.66027832</v>
      </c>
      <c r="P7" s="32">
        <f t="shared" si="4"/>
        <v>634151326.90008676</v>
      </c>
      <c r="Q7" s="32">
        <f t="shared" si="4"/>
        <v>686766566.7070893</v>
      </c>
      <c r="R7" s="32">
        <f t="shared" si="4"/>
        <v>739380763.70830202</v>
      </c>
      <c r="S7" s="32">
        <f t="shared" si="4"/>
        <v>791993886.61955106</v>
      </c>
      <c r="T7" s="32">
        <f t="shared" si="4"/>
        <v>844605903.21813762</v>
      </c>
      <c r="U7" s="32">
        <f t="shared" si="4"/>
        <v>897216780.31468177</v>
      </c>
      <c r="V7" s="32">
        <f t="shared" si="4"/>
        <v>949826483.72412217</v>
      </c>
    </row>
    <row r="8" spans="1:23">
      <c r="A8" s="8"/>
      <c r="B8" s="8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3">
      <c r="A9" s="8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 spans="1:23">
      <c r="B10" s="45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spans="1:23">
      <c r="A11" s="49" t="s">
        <v>33</v>
      </c>
      <c r="B11" s="49" t="s">
        <v>51</v>
      </c>
      <c r="C11" s="53">
        <f t="shared" ref="C11:V11" si="5">IF(C7&gt;0,C7/$D$46*$J$38/(($D$47-$D$47*$K$38)/$D$42),0)</f>
        <v>0</v>
      </c>
      <c r="D11" s="53">
        <f t="shared" si="5"/>
        <v>37.931203162931212</v>
      </c>
      <c r="E11" s="53">
        <f t="shared" si="5"/>
        <v>777.97898374672911</v>
      </c>
      <c r="F11" s="53">
        <f t="shared" si="5"/>
        <v>1518.0164789758292</v>
      </c>
      <c r="G11" s="53">
        <f t="shared" si="5"/>
        <v>2258.0433802895905</v>
      </c>
      <c r="H11" s="53">
        <f t="shared" si="5"/>
        <v>2998.0593698705525</v>
      </c>
      <c r="I11" s="53">
        <f t="shared" si="5"/>
        <v>3738.0641203667333</v>
      </c>
      <c r="J11" s="53">
        <f t="shared" si="5"/>
        <v>4478.0572946055854</v>
      </c>
      <c r="K11" s="53">
        <f t="shared" si="5"/>
        <v>5218.0385452993933</v>
      </c>
      <c r="L11" s="53">
        <f t="shared" si="5"/>
        <v>5958.0075147418029</v>
      </c>
      <c r="M11" s="53">
        <f t="shared" si="5"/>
        <v>6697.9638344952737</v>
      </c>
      <c r="N11" s="53">
        <f t="shared" si="5"/>
        <v>7437.9071250691359</v>
      </c>
      <c r="O11" s="53">
        <f t="shared" si="5"/>
        <v>8177.8369955880007</v>
      </c>
      <c r="P11" s="53">
        <f t="shared" si="5"/>
        <v>8917.7530434502241</v>
      </c>
      <c r="Q11" s="53">
        <f t="shared" si="5"/>
        <v>9657.6548539760988</v>
      </c>
      <c r="R11" s="53">
        <f t="shared" si="5"/>
        <v>10397.542000045541</v>
      </c>
      <c r="S11" s="53">
        <f t="shared" si="5"/>
        <v>11137.414041724853</v>
      </c>
      <c r="T11" s="53">
        <f t="shared" si="5"/>
        <v>11877.270525882332</v>
      </c>
      <c r="U11" s="53">
        <f t="shared" si="5"/>
        <v>12617.110985792324</v>
      </c>
      <c r="V11" s="53">
        <f t="shared" si="5"/>
        <v>13356.934940727404</v>
      </c>
    </row>
    <row r="12" spans="1:23">
      <c r="A12" s="61"/>
      <c r="B12" s="49" t="s">
        <v>56</v>
      </c>
      <c r="C12" s="63">
        <f t="shared" ref="C12:D12" si="6">C11*3</f>
        <v>0</v>
      </c>
      <c r="D12" s="63">
        <f t="shared" si="6"/>
        <v>113.79360948879363</v>
      </c>
      <c r="E12" s="63">
        <f t="shared" ref="E12:V12" si="7">3*E11+D12</f>
        <v>2447.7305607289809</v>
      </c>
      <c r="F12" s="63">
        <f t="shared" si="7"/>
        <v>7001.7799976564684</v>
      </c>
      <c r="G12" s="63">
        <f t="shared" si="7"/>
        <v>13775.91013852524</v>
      </c>
      <c r="H12" s="63">
        <f t="shared" si="7"/>
        <v>22770.088248136897</v>
      </c>
      <c r="I12" s="63">
        <f t="shared" si="7"/>
        <v>33984.280609237096</v>
      </c>
      <c r="J12" s="63">
        <f t="shared" si="7"/>
        <v>47418.452493053854</v>
      </c>
      <c r="K12" s="63">
        <f t="shared" si="7"/>
        <v>63072.568128952029</v>
      </c>
      <c r="L12" s="63">
        <f t="shared" si="7"/>
        <v>80946.590673177445</v>
      </c>
      <c r="M12" s="63">
        <f t="shared" si="7"/>
        <v>101040.48217666327</v>
      </c>
      <c r="N12" s="63">
        <f t="shared" si="7"/>
        <v>123354.20355187068</v>
      </c>
      <c r="O12" s="63">
        <f t="shared" si="7"/>
        <v>147887.7145386347</v>
      </c>
      <c r="P12" s="63">
        <f t="shared" si="7"/>
        <v>174640.97366898536</v>
      </c>
      <c r="Q12" s="63">
        <f t="shared" si="7"/>
        <v>203613.93823091366</v>
      </c>
      <c r="R12" s="63">
        <f t="shared" si="7"/>
        <v>234806.56423105029</v>
      </c>
      <c r="S12" s="63">
        <f t="shared" si="7"/>
        <v>268218.80635622481</v>
      </c>
      <c r="T12" s="63">
        <f t="shared" si="7"/>
        <v>303850.61793387181</v>
      </c>
      <c r="U12" s="63">
        <f t="shared" si="7"/>
        <v>341701.95089124877</v>
      </c>
      <c r="V12" s="63">
        <f t="shared" si="7"/>
        <v>381772.75571343099</v>
      </c>
    </row>
    <row r="13" spans="1:23">
      <c r="A13" s="61"/>
      <c r="B13" s="49" t="s">
        <v>58</v>
      </c>
      <c r="C13" s="69">
        <f t="shared" ref="C13:V13" si="8">C12/$J$38</f>
        <v>0</v>
      </c>
      <c r="D13" s="69">
        <f t="shared" si="8"/>
        <v>2.3223185609957883E-2</v>
      </c>
      <c r="E13" s="69">
        <f t="shared" si="8"/>
        <v>0.49953684912836344</v>
      </c>
      <c r="F13" s="69">
        <f t="shared" si="8"/>
        <v>1.4289346933992793</v>
      </c>
      <c r="G13" s="69">
        <f t="shared" si="8"/>
        <v>2.8114102323520895</v>
      </c>
      <c r="H13" s="69">
        <f t="shared" si="8"/>
        <v>4.6469567853340603</v>
      </c>
      <c r="I13" s="69">
        <f t="shared" si="8"/>
        <v>6.9355674712728765</v>
      </c>
      <c r="J13" s="69">
        <f t="shared" si="8"/>
        <v>9.6772352026640522</v>
      </c>
      <c r="K13" s="69">
        <f t="shared" si="8"/>
        <v>12.871952679377966</v>
      </c>
      <c r="L13" s="69">
        <f t="shared" si="8"/>
        <v>16.51971238228111</v>
      </c>
      <c r="M13" s="69">
        <f t="shared" si="8"/>
        <v>20.620506566665973</v>
      </c>
      <c r="N13" s="69">
        <f t="shared" si="8"/>
        <v>25.174327255483814</v>
      </c>
      <c r="O13" s="69">
        <f t="shared" si="8"/>
        <v>30.181166232374427</v>
      </c>
      <c r="P13" s="69">
        <f t="shared" si="8"/>
        <v>35.641015034486806</v>
      </c>
      <c r="Q13" s="69">
        <f t="shared" si="8"/>
        <v>41.55386494508442</v>
      </c>
      <c r="R13" s="69">
        <f t="shared" si="8"/>
        <v>47.919706985928627</v>
      </c>
      <c r="S13" s="69">
        <f t="shared" si="8"/>
        <v>54.738531909433632</v>
      </c>
      <c r="T13" s="69">
        <f t="shared" si="8"/>
        <v>62.010330190586082</v>
      </c>
      <c r="U13" s="69">
        <f t="shared" si="8"/>
        <v>69.735092018622197</v>
      </c>
      <c r="V13" s="69">
        <f t="shared" si="8"/>
        <v>77.912807288455298</v>
      </c>
    </row>
    <row r="14" spans="1:23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3">
      <c r="B15" s="45"/>
      <c r="C15" s="45"/>
      <c r="D15" s="45"/>
      <c r="E15" s="45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45"/>
    </row>
    <row r="16" spans="1:23">
      <c r="A16" s="74" t="s">
        <v>37</v>
      </c>
      <c r="B16" s="76" t="s">
        <v>62</v>
      </c>
      <c r="C16" s="78">
        <f t="shared" ref="C16:V16" si="9">IF(C7&gt;0,C7/$D$46*$J$39/(($D$47-$D$47*$K$39)/$D$42),0)</f>
        <v>0</v>
      </c>
      <c r="D16" s="78">
        <f t="shared" si="9"/>
        <v>151.72481265172485</v>
      </c>
      <c r="E16" s="78">
        <f t="shared" si="9"/>
        <v>3111.9159349869165</v>
      </c>
      <c r="F16" s="78">
        <f t="shared" si="9"/>
        <v>6072.0659159033175</v>
      </c>
      <c r="G16" s="78">
        <f t="shared" si="9"/>
        <v>9032.1735211583637</v>
      </c>
      <c r="H16" s="78">
        <f t="shared" si="9"/>
        <v>11992.237479482212</v>
      </c>
      <c r="I16" s="78">
        <f t="shared" si="9"/>
        <v>14952.256481466931</v>
      </c>
      <c r="J16" s="78">
        <f t="shared" si="9"/>
        <v>17912.229178422342</v>
      </c>
      <c r="K16" s="78">
        <f t="shared" si="9"/>
        <v>20872.154181197573</v>
      </c>
      <c r="L16" s="78">
        <f t="shared" si="9"/>
        <v>23832.030058967212</v>
      </c>
      <c r="M16" s="78">
        <f t="shared" si="9"/>
        <v>26791.855337981095</v>
      </c>
      <c r="N16" s="78">
        <f t="shared" si="9"/>
        <v>29751.62850027654</v>
      </c>
      <c r="O16" s="78">
        <f t="shared" si="9"/>
        <v>32711.347982352003</v>
      </c>
      <c r="P16" s="78">
        <f t="shared" si="9"/>
        <v>35671.012173800897</v>
      </c>
      <c r="Q16" s="78">
        <f t="shared" si="9"/>
        <v>38630.619415904395</v>
      </c>
      <c r="R16" s="78">
        <f t="shared" si="9"/>
        <v>41590.168000182166</v>
      </c>
      <c r="S16" s="78">
        <f t="shared" si="9"/>
        <v>44549.656166899411</v>
      </c>
      <c r="T16" s="78">
        <f t="shared" si="9"/>
        <v>47509.082103529334</v>
      </c>
      <c r="U16" s="78">
        <f t="shared" si="9"/>
        <v>50468.443943169295</v>
      </c>
      <c r="V16" s="78">
        <f t="shared" si="9"/>
        <v>53427.739762909616</v>
      </c>
    </row>
    <row r="17" spans="1:26">
      <c r="A17" s="61"/>
      <c r="B17" s="76" t="s">
        <v>56</v>
      </c>
      <c r="C17" s="82">
        <f t="shared" ref="C17:D17" si="10">C16*3</f>
        <v>0</v>
      </c>
      <c r="D17" s="82">
        <f t="shared" si="10"/>
        <v>455.17443795517454</v>
      </c>
      <c r="E17" s="82">
        <f t="shared" ref="E17:V17" si="11">3*E16+D17</f>
        <v>9790.9222429159236</v>
      </c>
      <c r="F17" s="82">
        <f t="shared" si="11"/>
        <v>28007.119990625877</v>
      </c>
      <c r="G17" s="82">
        <f t="shared" si="11"/>
        <v>55103.640554100966</v>
      </c>
      <c r="H17" s="82">
        <f t="shared" si="11"/>
        <v>91080.352992547603</v>
      </c>
      <c r="I17" s="82">
        <f t="shared" si="11"/>
        <v>135937.12243694841</v>
      </c>
      <c r="J17" s="82">
        <f t="shared" si="11"/>
        <v>189673.80997221544</v>
      </c>
      <c r="K17" s="82">
        <f t="shared" si="11"/>
        <v>252290.27251580817</v>
      </c>
      <c r="L17" s="82">
        <f t="shared" si="11"/>
        <v>323786.36269270978</v>
      </c>
      <c r="M17" s="82">
        <f t="shared" si="11"/>
        <v>404161.92870665307</v>
      </c>
      <c r="N17" s="82">
        <f t="shared" si="11"/>
        <v>493416.81420748268</v>
      </c>
      <c r="O17" s="82">
        <f t="shared" si="11"/>
        <v>591550.85815453867</v>
      </c>
      <c r="P17" s="82">
        <f t="shared" si="11"/>
        <v>698563.89467594132</v>
      </c>
      <c r="Q17" s="82">
        <f t="shared" si="11"/>
        <v>814455.75292365451</v>
      </c>
      <c r="R17" s="82">
        <f t="shared" si="11"/>
        <v>939226.25692420104</v>
      </c>
      <c r="S17" s="82">
        <f t="shared" si="11"/>
        <v>1072875.2254248993</v>
      </c>
      <c r="T17" s="82">
        <f t="shared" si="11"/>
        <v>1215402.4717354872</v>
      </c>
      <c r="U17" s="82">
        <f t="shared" si="11"/>
        <v>1366807.8035649951</v>
      </c>
      <c r="V17" s="82">
        <f t="shared" si="11"/>
        <v>1527091.022853724</v>
      </c>
    </row>
    <row r="18" spans="1:26">
      <c r="A18" s="61"/>
      <c r="B18" s="76" t="s">
        <v>58</v>
      </c>
      <c r="C18" s="86">
        <f t="shared" ref="C18:V18" si="12">C17/$J$39</f>
        <v>0</v>
      </c>
      <c r="D18" s="86">
        <f t="shared" si="12"/>
        <v>2.3956549366061817E-2</v>
      </c>
      <c r="E18" s="86">
        <f t="shared" si="12"/>
        <v>0.51531169699557489</v>
      </c>
      <c r="F18" s="86">
        <f t="shared" si="12"/>
        <v>1.4740589468750462</v>
      </c>
      <c r="G18" s="86">
        <f t="shared" si="12"/>
        <v>2.900191608110577</v>
      </c>
      <c r="H18" s="86">
        <f t="shared" si="12"/>
        <v>4.7937027890814532</v>
      </c>
      <c r="I18" s="86">
        <f t="shared" si="12"/>
        <v>7.1545853914183377</v>
      </c>
      <c r="J18" s="86">
        <f t="shared" si="12"/>
        <v>9.9828321038008134</v>
      </c>
      <c r="K18" s="86">
        <f t="shared" si="12"/>
        <v>13.278435395568851</v>
      </c>
      <c r="L18" s="86">
        <f t="shared" si="12"/>
        <v>17.04138751014262</v>
      </c>
      <c r="M18" s="86">
        <f t="shared" si="12"/>
        <v>21.271680458244898</v>
      </c>
      <c r="N18" s="86">
        <f t="shared" si="12"/>
        <v>25.969306010920143</v>
      </c>
      <c r="O18" s="86">
        <f t="shared" si="12"/>
        <v>31.134255692344141</v>
      </c>
      <c r="P18" s="86">
        <f t="shared" si="12"/>
        <v>36.766520772417962</v>
      </c>
      <c r="Q18" s="86">
        <f t="shared" si="12"/>
        <v>42.866092259139712</v>
      </c>
      <c r="R18" s="86">
        <f t="shared" si="12"/>
        <v>49.432960890747424</v>
      </c>
      <c r="S18" s="86">
        <f t="shared" si="12"/>
        <v>56.467117127626274</v>
      </c>
      <c r="T18" s="86">
        <f t="shared" si="12"/>
        <v>63.968551143973009</v>
      </c>
      <c r="U18" s="86">
        <f t="shared" si="12"/>
        <v>71.937252819210272</v>
      </c>
      <c r="V18" s="86">
        <f t="shared" si="12"/>
        <v>80.373211729143364</v>
      </c>
    </row>
    <row r="19" spans="1:26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6">
      <c r="A20" s="45"/>
      <c r="B20" s="45"/>
      <c r="C20" s="45"/>
      <c r="D20" s="45"/>
      <c r="E20" s="45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45"/>
      <c r="X20" s="45"/>
      <c r="Y20" s="45"/>
      <c r="Z20" s="45"/>
    </row>
    <row r="21" spans="1:26">
      <c r="A21" s="90" t="s">
        <v>40</v>
      </c>
      <c r="B21" s="91" t="s">
        <v>51</v>
      </c>
      <c r="C21" s="93">
        <f t="shared" ref="C21:V21" si="13">IF(C7&gt;0,C7/$D$46*$J$40/(($D$47-$D$47*$K$40)/$D$42),0)</f>
        <v>0</v>
      </c>
      <c r="D21" s="93">
        <f t="shared" si="13"/>
        <v>404.0497728225281</v>
      </c>
      <c r="E21" s="93">
        <f t="shared" si="13"/>
        <v>8287.1674355629821</v>
      </c>
      <c r="F21" s="93">
        <f t="shared" si="13"/>
        <v>16170.17553691644</v>
      </c>
      <c r="G21" s="93">
        <f t="shared" si="13"/>
        <v>24053.070790041285</v>
      </c>
      <c r="H21" s="93">
        <f t="shared" si="13"/>
        <v>31935.849809490664</v>
      </c>
      <c r="I21" s="93">
        <f t="shared" si="13"/>
        <v>39818.509108254329</v>
      </c>
      <c r="J21" s="93">
        <f t="shared" si="13"/>
        <v>47701.04509471167</v>
      </c>
      <c r="K21" s="93">
        <f t="shared" si="13"/>
        <v>55583.454069493528</v>
      </c>
      <c r="L21" s="93">
        <f t="shared" si="13"/>
        <v>63465.73222224963</v>
      </c>
      <c r="M21" s="93">
        <f t="shared" si="13"/>
        <v>71347.875628319205</v>
      </c>
      <c r="N21" s="93">
        <f t="shared" si="13"/>
        <v>79229.880245301654</v>
      </c>
      <c r="O21" s="93">
        <f t="shared" si="13"/>
        <v>87111.741909524353</v>
      </c>
      <c r="P21" s="93">
        <f t="shared" si="13"/>
        <v>94993.456332404545</v>
      </c>
      <c r="Q21" s="93">
        <f t="shared" si="13"/>
        <v>102875.01909670192</v>
      </c>
      <c r="R21" s="93">
        <f t="shared" si="13"/>
        <v>110756.42565265902</v>
      </c>
      <c r="S21" s="93">
        <f t="shared" si="13"/>
        <v>118637.67131402559</v>
      </c>
      <c r="T21" s="93">
        <f t="shared" si="13"/>
        <v>126518.75125396394</v>
      </c>
      <c r="U21" s="93">
        <f t="shared" si="13"/>
        <v>134399.66050083126</v>
      </c>
      <c r="V21" s="93">
        <f t="shared" si="13"/>
        <v>142280.39393383538</v>
      </c>
    </row>
    <row r="22" spans="1:26">
      <c r="A22" s="61"/>
      <c r="B22" s="91" t="s">
        <v>56</v>
      </c>
      <c r="C22" s="98">
        <f t="shared" ref="C22:D22" si="14">C21*3</f>
        <v>0</v>
      </c>
      <c r="D22" s="98">
        <f t="shared" si="14"/>
        <v>1212.1493184675842</v>
      </c>
      <c r="E22" s="98">
        <f t="shared" ref="E22:V22" si="15">3*E21+D22</f>
        <v>26073.651625156534</v>
      </c>
      <c r="F22" s="98">
        <f t="shared" si="15"/>
        <v>74584.178235905856</v>
      </c>
      <c r="G22" s="98">
        <f t="shared" si="15"/>
        <v>146743.39060602972</v>
      </c>
      <c r="H22" s="98">
        <f t="shared" si="15"/>
        <v>242550.94003450172</v>
      </c>
      <c r="I22" s="98">
        <f t="shared" si="15"/>
        <v>362006.46735926473</v>
      </c>
      <c r="J22" s="98">
        <f t="shared" si="15"/>
        <v>505109.60264339973</v>
      </c>
      <c r="K22" s="98">
        <f t="shared" si="15"/>
        <v>671859.96485188033</v>
      </c>
      <c r="L22" s="98">
        <f t="shared" si="15"/>
        <v>862257.16151862917</v>
      </c>
      <c r="M22" s="98">
        <f t="shared" si="15"/>
        <v>1076300.7884035867</v>
      </c>
      <c r="N22" s="98">
        <f t="shared" si="15"/>
        <v>1313990.4291394916</v>
      </c>
      <c r="O22" s="98">
        <f t="shared" si="15"/>
        <v>1575325.6548680647</v>
      </c>
      <c r="P22" s="98">
        <f t="shared" si="15"/>
        <v>1860306.0238652783</v>
      </c>
      <c r="Q22" s="98">
        <f t="shared" si="15"/>
        <v>2168931.081155384</v>
      </c>
      <c r="R22" s="98">
        <f t="shared" si="15"/>
        <v>2501200.3581133611</v>
      </c>
      <c r="S22" s="98">
        <f t="shared" si="15"/>
        <v>2857113.3720554379</v>
      </c>
      <c r="T22" s="98">
        <f t="shared" si="15"/>
        <v>3236669.6258173296</v>
      </c>
      <c r="U22" s="98">
        <f t="shared" si="15"/>
        <v>3639868.6073198235</v>
      </c>
      <c r="V22" s="98">
        <f t="shared" si="15"/>
        <v>4066709.7891213298</v>
      </c>
    </row>
    <row r="23" spans="1:26">
      <c r="A23" s="61"/>
      <c r="B23" s="91" t="s">
        <v>68</v>
      </c>
      <c r="C23" s="100">
        <f t="shared" ref="C23:V23" si="16">C22/$J$40</f>
        <v>0</v>
      </c>
      <c r="D23" s="100">
        <f t="shared" si="16"/>
        <v>2.4737741193216003E-2</v>
      </c>
      <c r="E23" s="100">
        <f t="shared" si="16"/>
        <v>0.53211533928890886</v>
      </c>
      <c r="F23" s="100">
        <f t="shared" si="16"/>
        <v>1.5221260864470583</v>
      </c>
      <c r="G23" s="100">
        <f t="shared" si="16"/>
        <v>2.9947630735924431</v>
      </c>
      <c r="H23" s="100">
        <f t="shared" si="16"/>
        <v>4.9500191843775863</v>
      </c>
      <c r="I23" s="100">
        <f t="shared" si="16"/>
        <v>7.387887088964586</v>
      </c>
      <c r="J23" s="100">
        <f t="shared" si="16"/>
        <v>10.308359237620403</v>
      </c>
      <c r="K23" s="100">
        <f t="shared" si="16"/>
        <v>13.711427854120007</v>
      </c>
      <c r="L23" s="100">
        <f t="shared" si="16"/>
        <v>17.597084928951617</v>
      </c>
      <c r="M23" s="100">
        <f t="shared" si="16"/>
        <v>21.965322212318096</v>
      </c>
      <c r="N23" s="100">
        <f t="shared" si="16"/>
        <v>26.8161312069284</v>
      </c>
      <c r="O23" s="100">
        <f t="shared" si="16"/>
        <v>32.149503160572749</v>
      </c>
      <c r="P23" s="100">
        <f t="shared" si="16"/>
        <v>37.965429058475067</v>
      </c>
      <c r="Q23" s="100">
        <f t="shared" si="16"/>
        <v>44.263899615416001</v>
      </c>
      <c r="R23" s="100">
        <f t="shared" si="16"/>
        <v>51.044905267619612</v>
      </c>
      <c r="S23" s="100">
        <f t="shared" si="16"/>
        <v>58.308436164396689</v>
      </c>
      <c r="T23" s="100">
        <f t="shared" si="16"/>
        <v>66.054482159537343</v>
      </c>
      <c r="U23" s="100">
        <f t="shared" si="16"/>
        <v>74.283032802445376</v>
      </c>
      <c r="V23" s="100">
        <f t="shared" si="16"/>
        <v>82.994077329006728</v>
      </c>
    </row>
    <row r="24" spans="1:26" ht="15.75" customHeight="1">
      <c r="A24" s="103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>
      <c r="A26" s="105" t="s">
        <v>42</v>
      </c>
      <c r="B26" s="107" t="s">
        <v>62</v>
      </c>
      <c r="C26" s="110">
        <f t="shared" ref="C26:V26" si="17">IF(C7&gt;0,C7/$D$46*$J$41/(($D$47-$D$47*$K$41)/$D$42),0)</f>
        <v>0</v>
      </c>
      <c r="D26" s="110">
        <f t="shared" si="17"/>
        <v>673.38540446552031</v>
      </c>
      <c r="E26" s="110">
        <f t="shared" si="17"/>
        <v>13811.312295728447</v>
      </c>
      <c r="F26" s="110">
        <f t="shared" si="17"/>
        <v>26949.056593054043</v>
      </c>
      <c r="G26" s="110">
        <f t="shared" si="17"/>
        <v>40086.612818624191</v>
      </c>
      <c r="H26" s="110">
        <f t="shared" si="17"/>
        <v>53223.975330286215</v>
      </c>
      <c r="I26" s="110">
        <f t="shared" si="17"/>
        <v>66361.138316622906</v>
      </c>
      <c r="J26" s="110">
        <f t="shared" si="17"/>
        <v>79498.095791874424</v>
      </c>
      <c r="K26" s="110">
        <f t="shared" si="17"/>
        <v>92634.841590708311</v>
      </c>
      <c r="L26" s="110">
        <f t="shared" si="17"/>
        <v>105771.36936283199</v>
      </c>
      <c r="M26" s="110">
        <f t="shared" si="17"/>
        <v>118907.67256744417</v>
      </c>
      <c r="N26" s="110">
        <f t="shared" si="17"/>
        <v>132043.74446751946</v>
      </c>
      <c r="O26" s="110">
        <f t="shared" si="17"/>
        <v>145179.57812392182</v>
      </c>
      <c r="P26" s="110">
        <f t="shared" si="17"/>
        <v>158315.16638934106</v>
      </c>
      <c r="Q26" s="110">
        <f t="shared" si="17"/>
        <v>171450.5019020476</v>
      </c>
      <c r="R26" s="110">
        <f t="shared" si="17"/>
        <v>184585.57707946014</v>
      </c>
      <c r="S26" s="110">
        <f t="shared" si="17"/>
        <v>197720.38411151982</v>
      </c>
      <c r="T26" s="110">
        <f t="shared" si="17"/>
        <v>210854.91495386607</v>
      </c>
      <c r="U26" s="110">
        <f t="shared" si="17"/>
        <v>223989.16132080756</v>
      </c>
      <c r="V26" s="110">
        <f t="shared" si="17"/>
        <v>237123.114678082</v>
      </c>
    </row>
    <row r="27" spans="1:26">
      <c r="A27" s="61"/>
      <c r="B27" s="107" t="s">
        <v>56</v>
      </c>
      <c r="C27" s="115">
        <f t="shared" ref="C27:D27" si="18">C26*3</f>
        <v>0</v>
      </c>
      <c r="D27" s="115">
        <f t="shared" si="18"/>
        <v>2020.1562133965608</v>
      </c>
      <c r="E27" s="115">
        <f t="shared" ref="E27:V27" si="19">3*E26+D27</f>
        <v>43454.0931005819</v>
      </c>
      <c r="F27" s="115">
        <f t="shared" si="19"/>
        <v>124301.26287974403</v>
      </c>
      <c r="G27" s="115">
        <f t="shared" si="19"/>
        <v>244561.10133561661</v>
      </c>
      <c r="H27" s="115">
        <f t="shared" si="19"/>
        <v>404233.02732647525</v>
      </c>
      <c r="I27" s="115">
        <f t="shared" si="19"/>
        <v>603316.44227634394</v>
      </c>
      <c r="J27" s="115">
        <f t="shared" si="19"/>
        <v>841810.72965196718</v>
      </c>
      <c r="K27" s="115">
        <f t="shared" si="19"/>
        <v>1119715.2544240921</v>
      </c>
      <c r="L27" s="115">
        <f t="shared" si="19"/>
        <v>1437029.362512588</v>
      </c>
      <c r="M27" s="115">
        <f t="shared" si="19"/>
        <v>1793752.3802149205</v>
      </c>
      <c r="N27" s="115">
        <f t="shared" si="19"/>
        <v>2189883.6136174789</v>
      </c>
      <c r="O27" s="115">
        <f t="shared" si="19"/>
        <v>2625422.3479892444</v>
      </c>
      <c r="P27" s="115">
        <f t="shared" si="19"/>
        <v>3100367.8471572674</v>
      </c>
      <c r="Q27" s="115">
        <f t="shared" si="19"/>
        <v>3614719.35286341</v>
      </c>
      <c r="R27" s="115">
        <f t="shared" si="19"/>
        <v>4168476.0841017906</v>
      </c>
      <c r="S27" s="115">
        <f t="shared" si="19"/>
        <v>4761637.2364363503</v>
      </c>
      <c r="T27" s="115">
        <f t="shared" si="19"/>
        <v>5394201.9812979484</v>
      </c>
      <c r="U27" s="115">
        <f t="shared" si="19"/>
        <v>6066169.4652603716</v>
      </c>
      <c r="V27" s="115">
        <f t="shared" si="19"/>
        <v>6777538.8092946177</v>
      </c>
    </row>
    <row r="28" spans="1:26">
      <c r="A28" s="61"/>
      <c r="B28" s="107" t="s">
        <v>68</v>
      </c>
      <c r="C28" s="119">
        <f t="shared" ref="C28:V28" si="20">C27/$J$41</f>
        <v>0</v>
      </c>
      <c r="D28" s="119">
        <f t="shared" si="20"/>
        <v>2.557159763793115E-2</v>
      </c>
      <c r="E28" s="119">
        <f t="shared" si="20"/>
        <v>0.55005181139977088</v>
      </c>
      <c r="F28" s="119">
        <f t="shared" si="20"/>
        <v>1.5734337073385321</v>
      </c>
      <c r="G28" s="119">
        <f t="shared" si="20"/>
        <v>3.0957101434888177</v>
      </c>
      <c r="H28" s="119">
        <f t="shared" si="20"/>
        <v>5.1168737636262689</v>
      </c>
      <c r="I28" s="119">
        <f t="shared" si="20"/>
        <v>7.6369169908397962</v>
      </c>
      <c r="J28" s="119">
        <f t="shared" si="20"/>
        <v>10.655832020910976</v>
      </c>
      <c r="K28" s="119">
        <f t="shared" si="20"/>
        <v>14.173610815494838</v>
      </c>
      <c r="L28" s="119">
        <f t="shared" si="20"/>
        <v>18.190245095096053</v>
      </c>
      <c r="M28" s="119">
        <f t="shared" si="20"/>
        <v>22.705726331834438</v>
      </c>
      <c r="N28" s="119">
        <f t="shared" si="20"/>
        <v>27.720045741993403</v>
      </c>
      <c r="O28" s="119">
        <f t="shared" si="20"/>
        <v>33.233194278344868</v>
      </c>
      <c r="P28" s="119">
        <f t="shared" si="20"/>
        <v>39.245162622243889</v>
      </c>
      <c r="Q28" s="119">
        <f t="shared" si="20"/>
        <v>45.7559411754862</v>
      </c>
      <c r="R28" s="119">
        <f t="shared" si="20"/>
        <v>52.765520051921399</v>
      </c>
      <c r="S28" s="119">
        <f t="shared" si="20"/>
        <v>60.273889068814562</v>
      </c>
      <c r="T28" s="119">
        <f t="shared" si="20"/>
        <v>68.281037737948708</v>
      </c>
      <c r="U28" s="119">
        <f t="shared" si="20"/>
        <v>76.786955256460402</v>
      </c>
      <c r="V28" s="119">
        <f t="shared" si="20"/>
        <v>85.79163049740022</v>
      </c>
    </row>
    <row r="29" spans="1:26" ht="12.75">
      <c r="A29" s="39"/>
    </row>
    <row r="30" spans="1:26" ht="12.7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>
      <c r="A31" s="121" t="s">
        <v>80</v>
      </c>
      <c r="B31" s="122" t="s">
        <v>62</v>
      </c>
      <c r="C31" s="123">
        <f t="shared" ref="C31:V31" si="21">IF(C7&gt;0,C7/$D$46*$J$42/(($D$47-$D$47*$K$42)/$D$42),0)</f>
        <v>0</v>
      </c>
      <c r="D31" s="123">
        <f t="shared" si="21"/>
        <v>1887.0773573558274</v>
      </c>
      <c r="E31" s="123">
        <f t="shared" si="21"/>
        <v>38704.454441399765</v>
      </c>
      <c r="F31" s="123">
        <f t="shared" si="21"/>
        <v>75521.319829047483</v>
      </c>
      <c r="G31" s="123">
        <f t="shared" si="21"/>
        <v>112337.65816940711</v>
      </c>
      <c r="H31" s="123">
        <f t="shared" si="21"/>
        <v>149153.45365105997</v>
      </c>
      <c r="I31" s="123">
        <f t="shared" si="21"/>
        <v>185968.68998824494</v>
      </c>
      <c r="J31" s="123">
        <f t="shared" si="21"/>
        <v>222783.35040662787</v>
      </c>
      <c r="K31" s="123">
        <f t="shared" si="21"/>
        <v>259597.41762864476</v>
      </c>
      <c r="L31" s="123">
        <f t="shared" si="21"/>
        <v>296410.87385840464</v>
      </c>
      <c r="M31" s="123">
        <f t="shared" si="21"/>
        <v>333223.70076613984</v>
      </c>
      <c r="N31" s="123">
        <f t="shared" si="21"/>
        <v>370035.87947218941</v>
      </c>
      <c r="O31" s="123">
        <f t="shared" si="21"/>
        <v>406847.39053050301</v>
      </c>
      <c r="P31" s="123">
        <f t="shared" si="21"/>
        <v>443658.21391164861</v>
      </c>
      <c r="Q31" s="123">
        <f t="shared" si="21"/>
        <v>480468.32898531092</v>
      </c>
      <c r="R31" s="123">
        <f t="shared" si="21"/>
        <v>517277.71450226562</v>
      </c>
      <c r="S31" s="123">
        <f t="shared" si="21"/>
        <v>554086.34857581137</v>
      </c>
      <c r="T31" s="123">
        <f t="shared" si="21"/>
        <v>590894.20866264589</v>
      </c>
      <c r="U31" s="123">
        <f t="shared" si="21"/>
        <v>627701.271543168</v>
      </c>
      <c r="V31" s="123">
        <f t="shared" si="21"/>
        <v>664507.51330118824</v>
      </c>
    </row>
    <row r="32" spans="1:26">
      <c r="A32" s="61"/>
      <c r="B32" s="122" t="s">
        <v>56</v>
      </c>
      <c r="C32" s="129">
        <f t="shared" ref="C32:D32" si="22">C31*3</f>
        <v>0</v>
      </c>
      <c r="D32" s="129">
        <f t="shared" si="22"/>
        <v>5661.2320720674825</v>
      </c>
      <c r="E32" s="129">
        <f t="shared" ref="E32:V32" si="23">3*E31+D32</f>
        <v>121774.59539626677</v>
      </c>
      <c r="F32" s="129">
        <f t="shared" si="23"/>
        <v>348338.55488340923</v>
      </c>
      <c r="G32" s="129">
        <f t="shared" si="23"/>
        <v>685351.52939163055</v>
      </c>
      <c r="H32" s="129">
        <f t="shared" si="23"/>
        <v>1132811.8903448104</v>
      </c>
      <c r="I32" s="129">
        <f t="shared" si="23"/>
        <v>1690717.9603095453</v>
      </c>
      <c r="J32" s="129">
        <f t="shared" si="23"/>
        <v>2359068.0115294289</v>
      </c>
      <c r="K32" s="129">
        <f t="shared" si="23"/>
        <v>3137860.2644153633</v>
      </c>
      <c r="L32" s="129">
        <f t="shared" si="23"/>
        <v>4027092.8859905773</v>
      </c>
      <c r="M32" s="129">
        <f t="shared" si="23"/>
        <v>5026763.9882889967</v>
      </c>
      <c r="N32" s="129">
        <f t="shared" si="23"/>
        <v>6136871.6267055646</v>
      </c>
      <c r="O32" s="129">
        <f t="shared" si="23"/>
        <v>7357413.7982970737</v>
      </c>
      <c r="P32" s="129">
        <f t="shared" si="23"/>
        <v>8688388.4400320202</v>
      </c>
      <c r="Q32" s="129">
        <f t="shared" si="23"/>
        <v>10129793.426987953</v>
      </c>
      <c r="R32" s="129">
        <f t="shared" si="23"/>
        <v>11681626.570494751</v>
      </c>
      <c r="S32" s="129">
        <f t="shared" si="23"/>
        <v>13343885.616222184</v>
      </c>
      <c r="T32" s="129">
        <f t="shared" si="23"/>
        <v>15116568.242210122</v>
      </c>
      <c r="U32" s="129">
        <f t="shared" si="23"/>
        <v>16999672.056839626</v>
      </c>
      <c r="V32" s="129">
        <f t="shared" si="23"/>
        <v>18993194.596743193</v>
      </c>
    </row>
    <row r="33" spans="1:22">
      <c r="A33" s="61"/>
      <c r="B33" s="122" t="s">
        <v>68</v>
      </c>
      <c r="C33" s="130">
        <f t="shared" ref="C33:V33" si="24">C32/$J$42</f>
        <v>0</v>
      </c>
      <c r="D33" s="130">
        <f t="shared" si="24"/>
        <v>2.8448402372198405E-2</v>
      </c>
      <c r="E33" s="130">
        <f t="shared" si="24"/>
        <v>0.61193264018224502</v>
      </c>
      <c r="F33" s="130">
        <f t="shared" si="24"/>
        <v>1.7504449994141167</v>
      </c>
      <c r="G33" s="130">
        <f t="shared" si="24"/>
        <v>3.4439775346313093</v>
      </c>
      <c r="H33" s="130">
        <f t="shared" si="24"/>
        <v>5.6925220620342234</v>
      </c>
      <c r="I33" s="130">
        <f t="shared" si="24"/>
        <v>8.4960701523092723</v>
      </c>
      <c r="J33" s="130">
        <f t="shared" si="24"/>
        <v>11.854613123263462</v>
      </c>
      <c r="K33" s="130">
        <f t="shared" si="24"/>
        <v>15.768142032238007</v>
      </c>
      <c r="L33" s="130">
        <f t="shared" si="24"/>
        <v>20.23664766829436</v>
      </c>
      <c r="M33" s="130">
        <f t="shared" si="24"/>
        <v>25.260120544165812</v>
      </c>
      <c r="N33" s="130">
        <f t="shared" si="24"/>
        <v>30.83855088796766</v>
      </c>
      <c r="O33" s="130">
        <f t="shared" si="24"/>
        <v>36.97192863465866</v>
      </c>
      <c r="P33" s="130">
        <f t="shared" si="24"/>
        <v>43.660243417246335</v>
      </c>
      <c r="Q33" s="130">
        <f t="shared" si="24"/>
        <v>50.903484557728412</v>
      </c>
      <c r="R33" s="130">
        <f t="shared" si="24"/>
        <v>58.701641057762565</v>
      </c>
      <c r="S33" s="130">
        <f t="shared" si="24"/>
        <v>67.054701589056208</v>
      </c>
      <c r="T33" s="130">
        <f t="shared" si="24"/>
        <v>75.962654483467944</v>
      </c>
      <c r="U33" s="130">
        <f t="shared" si="24"/>
        <v>85.425487722812193</v>
      </c>
      <c r="V33" s="130">
        <f t="shared" si="24"/>
        <v>95.443188928357756</v>
      </c>
    </row>
    <row r="35" spans="1:22">
      <c r="C35" s="2"/>
      <c r="D35" s="2"/>
      <c r="E35" s="2"/>
    </row>
    <row r="36" spans="1:22">
      <c r="A36" s="131"/>
      <c r="B36" s="131" t="s">
        <v>1</v>
      </c>
      <c r="C36" s="2"/>
      <c r="D36" s="2"/>
      <c r="E36" s="2"/>
    </row>
    <row r="37" spans="1:22">
      <c r="A37" s="8"/>
      <c r="B37" s="132" t="s">
        <v>90</v>
      </c>
      <c r="C37" s="133"/>
      <c r="D37" s="133">
        <f>Investment!L2</f>
        <v>15000</v>
      </c>
      <c r="E37" s="2"/>
      <c r="I37" s="134"/>
      <c r="J37" s="135" t="s">
        <v>28</v>
      </c>
      <c r="K37" s="136" t="s">
        <v>29</v>
      </c>
      <c r="L37" s="135" t="s">
        <v>91</v>
      </c>
      <c r="M37" s="135" t="s">
        <v>92</v>
      </c>
      <c r="N37" s="135" t="s">
        <v>93</v>
      </c>
      <c r="O37" s="134"/>
    </row>
    <row r="38" spans="1:22">
      <c r="A38" s="8"/>
      <c r="B38" s="132" t="s">
        <v>36</v>
      </c>
      <c r="C38" s="133"/>
      <c r="D38" s="133">
        <f>Investment!L3</f>
        <v>6</v>
      </c>
      <c r="E38" s="2"/>
      <c r="I38" s="137" t="s">
        <v>33</v>
      </c>
      <c r="J38" s="138">
        <f>Investment!C3</f>
        <v>4900</v>
      </c>
      <c r="K38" s="139">
        <f>Investment!D3</f>
        <v>0.02</v>
      </c>
      <c r="L38" s="140">
        <f>V13</f>
        <v>77.912807288455298</v>
      </c>
      <c r="M38" s="141">
        <f>V12</f>
        <v>381772.75571343099</v>
      </c>
      <c r="N38" s="141">
        <f>AVERAGE(D11:V11)</f>
        <v>6697.767644095281</v>
      </c>
      <c r="O38" s="134"/>
    </row>
    <row r="39" spans="1:22">
      <c r="A39" s="8"/>
      <c r="B39" s="132" t="s">
        <v>38</v>
      </c>
      <c r="C39" s="142"/>
      <c r="D39" s="142">
        <f>Investment!L4</f>
        <v>1000</v>
      </c>
      <c r="E39" s="8"/>
      <c r="I39" s="143" t="s">
        <v>37</v>
      </c>
      <c r="J39" s="138">
        <f>Investment!C4</f>
        <v>19000</v>
      </c>
      <c r="K39" s="139">
        <f>Investment!D4</f>
        <v>0.05</v>
      </c>
      <c r="L39" s="140">
        <f>V18</f>
        <v>80.373211729143364</v>
      </c>
      <c r="M39" s="141">
        <f>V17</f>
        <v>1527091.022853724</v>
      </c>
      <c r="N39" s="141">
        <f>AVERAGE(D16:V16)</f>
        <v>26791.070576381124</v>
      </c>
      <c r="O39" s="134"/>
    </row>
    <row r="40" spans="1:22">
      <c r="A40" s="8"/>
      <c r="B40" s="132" t="s">
        <v>41</v>
      </c>
      <c r="C40" s="144"/>
      <c r="D40" s="144">
        <f>Investment!L5</f>
        <v>2.5999999999999999E-3</v>
      </c>
      <c r="E40" s="2"/>
      <c r="I40" s="143" t="s">
        <v>40</v>
      </c>
      <c r="J40" s="138">
        <f>Investment!C5</f>
        <v>49000</v>
      </c>
      <c r="K40" s="139">
        <f>Investment!D5</f>
        <v>0.08</v>
      </c>
      <c r="L40" s="140">
        <f>V23</f>
        <v>82.994077329006728</v>
      </c>
      <c r="M40" s="141">
        <f>V22</f>
        <v>4066709.7891213298</v>
      </c>
      <c r="N40" s="141">
        <f>AVERAGE(D21:V21)</f>
        <v>71345.785774058415</v>
      </c>
      <c r="O40" s="134"/>
    </row>
    <row r="41" spans="1:22">
      <c r="A41" s="8"/>
      <c r="B41" s="132" t="s">
        <v>94</v>
      </c>
      <c r="C41" s="133"/>
      <c r="D41" s="133">
        <f>Investment!L6</f>
        <v>150</v>
      </c>
      <c r="E41" s="2"/>
      <c r="I41" s="143" t="s">
        <v>42</v>
      </c>
      <c r="J41" s="138">
        <f>Investment!C6</f>
        <v>79000</v>
      </c>
      <c r="K41" s="139">
        <f>Investment!D6</f>
        <v>0.11</v>
      </c>
      <c r="L41" s="140">
        <f>V28</f>
        <v>85.79163049740022</v>
      </c>
      <c r="M41" s="141">
        <f>V27</f>
        <v>6777538.8092946177</v>
      </c>
      <c r="N41" s="141">
        <f>AVERAGE(D26:V26)</f>
        <v>118904.18963674767</v>
      </c>
      <c r="O41" s="134"/>
    </row>
    <row r="42" spans="1:22">
      <c r="A42" s="8"/>
      <c r="B42" s="145" t="s">
        <v>95</v>
      </c>
      <c r="D42" s="166">
        <f>Investment!L9</f>
        <v>0.2</v>
      </c>
      <c r="E42" s="2"/>
      <c r="I42" s="143" t="s">
        <v>44</v>
      </c>
      <c r="J42" s="138">
        <f>Investment!C7</f>
        <v>199000</v>
      </c>
      <c r="K42" s="139">
        <f>Investment!D7</f>
        <v>0.2</v>
      </c>
      <c r="L42" s="140">
        <f>V33</f>
        <v>95.443188928357756</v>
      </c>
      <c r="M42" s="141">
        <f>V32</f>
        <v>18993194.596743193</v>
      </c>
      <c r="N42" s="141">
        <f>AVERAGE(D31:V31)</f>
        <v>333213.94029374019</v>
      </c>
      <c r="O42" s="134"/>
    </row>
    <row r="43" spans="1:22" ht="12.75">
      <c r="A43" s="145"/>
    </row>
    <row r="45" spans="1:22" ht="12.75">
      <c r="A45" s="145"/>
      <c r="B45" s="39" t="s">
        <v>96</v>
      </c>
    </row>
    <row r="46" spans="1:22">
      <c r="B46" s="8" t="s">
        <v>97</v>
      </c>
      <c r="C46" s="146"/>
      <c r="D46" s="146">
        <f>Investment!D14</f>
        <v>888888888</v>
      </c>
    </row>
    <row r="47" spans="1:22" ht="15">
      <c r="B47" s="145" t="s">
        <v>98</v>
      </c>
      <c r="C47" s="147"/>
      <c r="D47" s="148">
        <f>Investment!D15</f>
        <v>0.08</v>
      </c>
    </row>
  </sheetData>
  <conditionalFormatting sqref="C7:V7">
    <cfRule type="cellIs" dxfId="1" priority="1" operator="lessThan">
      <formula>0</formula>
    </cfRule>
  </conditionalFormatting>
  <conditionalFormatting sqref="C7:V7">
    <cfRule type="cellIs" dxfId="0" priority="2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62"/>
  <sheetViews>
    <sheetView topLeftCell="A3" workbookViewId="0">
      <selection activeCell="E25" sqref="E25"/>
    </sheetView>
  </sheetViews>
  <sheetFormatPr defaultColWidth="14.42578125" defaultRowHeight="15.75" customHeight="1"/>
  <cols>
    <col min="1" max="1" width="24.7109375" customWidth="1"/>
    <col min="2" max="3" width="16.28515625" customWidth="1"/>
    <col min="4" max="4" width="12.5703125" customWidth="1"/>
  </cols>
  <sheetData>
    <row r="1" spans="1:23" ht="15.75" customHeight="1">
      <c r="A1" s="145" t="s">
        <v>99</v>
      </c>
    </row>
    <row r="2" spans="1:23" ht="15.75" customHeight="1">
      <c r="A2" s="149" t="s">
        <v>100</v>
      </c>
      <c r="B2" s="150" t="str">
        <f>Worst!C1</f>
        <v>Q1 2019</v>
      </c>
      <c r="C2" s="150" t="str">
        <f>Worst!D1</f>
        <v>Q2 2019</v>
      </c>
      <c r="D2" s="150" t="str">
        <f>Worst!E1</f>
        <v>Q3 2019</v>
      </c>
      <c r="E2" s="150" t="str">
        <f>Worst!F1</f>
        <v>Q4 2019</v>
      </c>
      <c r="F2" s="150" t="str">
        <f>Worst!G1</f>
        <v>Q1 2020</v>
      </c>
      <c r="G2" s="150" t="str">
        <f>Worst!H1</f>
        <v>Q2 2020</v>
      </c>
      <c r="H2" s="150" t="str">
        <f>Worst!I1</f>
        <v>Q3 2020</v>
      </c>
      <c r="I2" s="150" t="str">
        <f>Worst!J1</f>
        <v>Q4 2020</v>
      </c>
      <c r="J2" s="150" t="str">
        <f>Worst!K1</f>
        <v>Q1 2021</v>
      </c>
      <c r="K2" s="150" t="str">
        <f>Worst!L1</f>
        <v>Q2 2021</v>
      </c>
      <c r="L2" s="150" t="str">
        <f>Worst!M1</f>
        <v>Q3 2021</v>
      </c>
      <c r="M2" s="150" t="str">
        <f>Worst!N1</f>
        <v>Q4 2021</v>
      </c>
      <c r="N2" s="150" t="str">
        <f>Worst!O1</f>
        <v>Q1 2022</v>
      </c>
      <c r="O2" s="150" t="str">
        <f>Worst!P1</f>
        <v>Q2 2022</v>
      </c>
      <c r="P2" s="150" t="str">
        <f>Worst!Q1</f>
        <v>Q3 2022</v>
      </c>
      <c r="Q2" s="150" t="str">
        <f>Worst!R1</f>
        <v>Q4 2022</v>
      </c>
      <c r="R2" s="150" t="str">
        <f>Worst!S1</f>
        <v>Q1 2023</v>
      </c>
      <c r="S2" s="150" t="str">
        <f>Worst!T1</f>
        <v>Q2 2023</v>
      </c>
      <c r="T2" s="150" t="str">
        <f>Worst!U1</f>
        <v>Q3 2023</v>
      </c>
      <c r="U2" s="150" t="str">
        <f>Worst!V1</f>
        <v>Q4 2023</v>
      </c>
      <c r="V2" s="150" t="e">
        <f>#REF!</f>
        <v>#REF!</v>
      </c>
      <c r="W2">
        <f>Worst!W1</f>
        <v>0</v>
      </c>
    </row>
    <row r="3" spans="1:23" ht="15.75" customHeight="1">
      <c r="A3" s="145" t="s">
        <v>101</v>
      </c>
      <c r="B3" s="151">
        <f>E25*3</f>
        <v>432000</v>
      </c>
      <c r="C3" s="152">
        <f t="shared" ref="C3:V3" si="0">B3*$B$9+B3</f>
        <v>444960</v>
      </c>
      <c r="D3" s="152">
        <f t="shared" si="0"/>
        <v>458308.8</v>
      </c>
      <c r="E3" s="152">
        <f t="shared" si="0"/>
        <v>472058.06400000001</v>
      </c>
      <c r="F3" s="152">
        <f t="shared" si="0"/>
        <v>486219.80592000001</v>
      </c>
      <c r="G3" s="152">
        <f t="shared" si="0"/>
        <v>500806.40009760001</v>
      </c>
      <c r="H3" s="152">
        <f t="shared" si="0"/>
        <v>515830.59210052801</v>
      </c>
      <c r="I3" s="152">
        <f t="shared" si="0"/>
        <v>531305.50986354391</v>
      </c>
      <c r="J3" s="152">
        <f t="shared" si="0"/>
        <v>547244.67515945027</v>
      </c>
      <c r="K3" s="152">
        <f t="shared" si="0"/>
        <v>563662.01541423379</v>
      </c>
      <c r="L3" s="152">
        <f t="shared" si="0"/>
        <v>580571.87587666081</v>
      </c>
      <c r="M3" s="152">
        <f t="shared" si="0"/>
        <v>597989.03215296066</v>
      </c>
      <c r="N3" s="152">
        <f t="shared" si="0"/>
        <v>615928.70311754942</v>
      </c>
      <c r="O3" s="152">
        <f t="shared" si="0"/>
        <v>634406.56421107589</v>
      </c>
      <c r="P3" s="152">
        <f t="shared" si="0"/>
        <v>653438.7611374082</v>
      </c>
      <c r="Q3" s="152">
        <f t="shared" si="0"/>
        <v>673041.9239715304</v>
      </c>
      <c r="R3" s="152">
        <f t="shared" si="0"/>
        <v>693233.18169067625</v>
      </c>
      <c r="S3" s="152">
        <f t="shared" si="0"/>
        <v>714030.17714139656</v>
      </c>
      <c r="T3" s="152">
        <f t="shared" si="0"/>
        <v>735451.08245563845</v>
      </c>
      <c r="U3" s="152">
        <f t="shared" si="0"/>
        <v>757514.6149293076</v>
      </c>
      <c r="V3" s="152">
        <f t="shared" si="0"/>
        <v>780240.05337718688</v>
      </c>
    </row>
    <row r="4" spans="1:23" ht="15.75" customHeight="1">
      <c r="A4" s="145" t="s">
        <v>102</v>
      </c>
      <c r="B4" s="151">
        <f>E35</f>
        <v>115000</v>
      </c>
      <c r="C4" s="152">
        <f t="shared" ref="C4:V4" si="1">B4*$B$9+B4</f>
        <v>118450</v>
      </c>
      <c r="D4" s="152">
        <f t="shared" si="1"/>
        <v>122003.5</v>
      </c>
      <c r="E4" s="152">
        <f t="shared" si="1"/>
        <v>125663.605</v>
      </c>
      <c r="F4" s="152">
        <f t="shared" si="1"/>
        <v>129433.51315</v>
      </c>
      <c r="G4" s="152">
        <f t="shared" si="1"/>
        <v>133316.5185445</v>
      </c>
      <c r="H4" s="152">
        <f t="shared" si="1"/>
        <v>137316.01410083499</v>
      </c>
      <c r="I4" s="152">
        <f t="shared" si="1"/>
        <v>141435.49452386005</v>
      </c>
      <c r="J4" s="152">
        <f t="shared" si="1"/>
        <v>145678.55935957585</v>
      </c>
      <c r="K4" s="152">
        <f t="shared" si="1"/>
        <v>150048.91614036314</v>
      </c>
      <c r="L4" s="152">
        <f t="shared" si="1"/>
        <v>154550.38362457405</v>
      </c>
      <c r="M4" s="152">
        <f t="shared" si="1"/>
        <v>159186.89513331128</v>
      </c>
      <c r="N4" s="152">
        <f t="shared" si="1"/>
        <v>163962.50198731062</v>
      </c>
      <c r="O4" s="152">
        <f t="shared" si="1"/>
        <v>168881.37704692993</v>
      </c>
      <c r="P4" s="152">
        <f t="shared" si="1"/>
        <v>173947.81835833783</v>
      </c>
      <c r="Q4" s="152">
        <f t="shared" si="1"/>
        <v>179166.25290908795</v>
      </c>
      <c r="R4" s="152">
        <f t="shared" si="1"/>
        <v>184541.24049636058</v>
      </c>
      <c r="S4" s="152">
        <f t="shared" si="1"/>
        <v>190077.47771125138</v>
      </c>
      <c r="T4" s="152">
        <f t="shared" si="1"/>
        <v>195779.80204258891</v>
      </c>
      <c r="U4" s="152">
        <f t="shared" si="1"/>
        <v>201653.19610386659</v>
      </c>
      <c r="V4" s="152">
        <f t="shared" si="1"/>
        <v>207702.7919869826</v>
      </c>
    </row>
    <row r="5" spans="1:23" ht="15.75" customHeight="1">
      <c r="A5" s="145" t="s">
        <v>103</v>
      </c>
      <c r="B5" s="151">
        <f>K23</f>
        <v>162000</v>
      </c>
      <c r="C5" s="152">
        <f t="shared" ref="C5:V5" si="2">B5*$B$9+B5</f>
        <v>166860</v>
      </c>
      <c r="D5" s="152">
        <f t="shared" si="2"/>
        <v>171865.8</v>
      </c>
      <c r="E5" s="152">
        <f t="shared" si="2"/>
        <v>177021.77399999998</v>
      </c>
      <c r="F5" s="152">
        <f t="shared" si="2"/>
        <v>182332.42721999998</v>
      </c>
      <c r="G5" s="152">
        <f t="shared" si="2"/>
        <v>187802.40003659998</v>
      </c>
      <c r="H5" s="152">
        <f t="shared" si="2"/>
        <v>193436.47203769797</v>
      </c>
      <c r="I5" s="152">
        <f t="shared" si="2"/>
        <v>199239.56619882892</v>
      </c>
      <c r="J5" s="152">
        <f t="shared" si="2"/>
        <v>205216.75318479378</v>
      </c>
      <c r="K5" s="152">
        <f t="shared" si="2"/>
        <v>211373.25578033758</v>
      </c>
      <c r="L5" s="152">
        <f t="shared" si="2"/>
        <v>217714.4534537477</v>
      </c>
      <c r="M5" s="152">
        <f t="shared" si="2"/>
        <v>224245.88705736015</v>
      </c>
      <c r="N5" s="152">
        <f t="shared" si="2"/>
        <v>230973.26366908094</v>
      </c>
      <c r="O5" s="152">
        <f t="shared" si="2"/>
        <v>237902.46157915337</v>
      </c>
      <c r="P5" s="152">
        <f t="shared" si="2"/>
        <v>245039.53542652796</v>
      </c>
      <c r="Q5" s="152">
        <f t="shared" si="2"/>
        <v>252390.7214893238</v>
      </c>
      <c r="R5" s="152">
        <f t="shared" si="2"/>
        <v>259962.44313400352</v>
      </c>
      <c r="S5" s="152">
        <f t="shared" si="2"/>
        <v>267761.31642802362</v>
      </c>
      <c r="T5" s="152">
        <f t="shared" si="2"/>
        <v>275794.15592086432</v>
      </c>
      <c r="U5" s="152">
        <f t="shared" si="2"/>
        <v>284067.98059849022</v>
      </c>
      <c r="V5" s="152">
        <f t="shared" si="2"/>
        <v>292590.02001644491</v>
      </c>
    </row>
    <row r="6" spans="1:23" ht="15.75" customHeight="1">
      <c r="A6" s="145" t="s">
        <v>104</v>
      </c>
      <c r="B6" s="151">
        <f>K33</f>
        <v>80000</v>
      </c>
      <c r="C6" s="152">
        <f t="shared" ref="C6:V6" si="3">B6*$B$9+B6</f>
        <v>82400</v>
      </c>
      <c r="D6" s="152">
        <f t="shared" si="3"/>
        <v>84872</v>
      </c>
      <c r="E6" s="152">
        <f t="shared" si="3"/>
        <v>87418.16</v>
      </c>
      <c r="F6" s="152">
        <f t="shared" si="3"/>
        <v>90040.704800000007</v>
      </c>
      <c r="G6" s="152">
        <f t="shared" si="3"/>
        <v>92741.925944000002</v>
      </c>
      <c r="H6" s="152">
        <f t="shared" si="3"/>
        <v>95524.183722319998</v>
      </c>
      <c r="I6" s="152">
        <f t="shared" si="3"/>
        <v>98389.909233989601</v>
      </c>
      <c r="J6" s="152">
        <f t="shared" si="3"/>
        <v>101341.60651100929</v>
      </c>
      <c r="K6" s="152">
        <f t="shared" si="3"/>
        <v>104381.85470633957</v>
      </c>
      <c r="L6" s="152">
        <f t="shared" si="3"/>
        <v>107513.31034752975</v>
      </c>
      <c r="M6" s="152">
        <f t="shared" si="3"/>
        <v>110738.70965795565</v>
      </c>
      <c r="N6" s="152">
        <f t="shared" si="3"/>
        <v>114060.87094769432</v>
      </c>
      <c r="O6" s="152">
        <f t="shared" si="3"/>
        <v>117482.69707612514</v>
      </c>
      <c r="P6" s="152">
        <f t="shared" si="3"/>
        <v>121007.17798840889</v>
      </c>
      <c r="Q6" s="152">
        <f t="shared" si="3"/>
        <v>124637.39332806115</v>
      </c>
      <c r="R6" s="152">
        <f t="shared" si="3"/>
        <v>128376.51512790298</v>
      </c>
      <c r="S6" s="152">
        <f t="shared" si="3"/>
        <v>132227.81058174008</v>
      </c>
      <c r="T6" s="152">
        <f t="shared" si="3"/>
        <v>136194.6448991923</v>
      </c>
      <c r="U6" s="152">
        <f t="shared" si="3"/>
        <v>140280.48424616805</v>
      </c>
      <c r="V6" s="152">
        <f t="shared" si="3"/>
        <v>144488.89877355308</v>
      </c>
    </row>
    <row r="8" spans="1:23" ht="15.75" customHeight="1">
      <c r="A8" s="153" t="s">
        <v>105</v>
      </c>
      <c r="B8" s="154">
        <f t="shared" ref="B8:V8" si="4">SUM(B3:B6)</f>
        <v>789000</v>
      </c>
      <c r="C8" s="154">
        <f t="shared" si="4"/>
        <v>812670</v>
      </c>
      <c r="D8" s="154">
        <f t="shared" si="4"/>
        <v>837050.10000000009</v>
      </c>
      <c r="E8" s="154">
        <f t="shared" si="4"/>
        <v>862161.603</v>
      </c>
      <c r="F8" s="154">
        <f t="shared" si="4"/>
        <v>888026.45108999987</v>
      </c>
      <c r="G8" s="154">
        <f t="shared" si="4"/>
        <v>914667.24462269992</v>
      </c>
      <c r="H8" s="154">
        <f t="shared" si="4"/>
        <v>942107.26196138095</v>
      </c>
      <c r="I8" s="154">
        <f t="shared" si="4"/>
        <v>970370.47982022259</v>
      </c>
      <c r="J8" s="154">
        <f t="shared" si="4"/>
        <v>999481.59421482915</v>
      </c>
      <c r="K8" s="154">
        <f t="shared" si="4"/>
        <v>1029466.042041274</v>
      </c>
      <c r="L8" s="154">
        <f t="shared" si="4"/>
        <v>1060350.0233025122</v>
      </c>
      <c r="M8" s="154">
        <f t="shared" si="4"/>
        <v>1092160.5240015876</v>
      </c>
      <c r="N8" s="154">
        <f t="shared" si="4"/>
        <v>1124925.3397216352</v>
      </c>
      <c r="O8" s="154">
        <f t="shared" si="4"/>
        <v>1158673.0999132842</v>
      </c>
      <c r="P8" s="154">
        <f t="shared" si="4"/>
        <v>1193433.2929106827</v>
      </c>
      <c r="Q8" s="154">
        <f t="shared" si="4"/>
        <v>1229236.2916980032</v>
      </c>
      <c r="R8" s="154">
        <f t="shared" si="4"/>
        <v>1266113.3804489435</v>
      </c>
      <c r="S8" s="154">
        <f t="shared" si="4"/>
        <v>1304096.7818624116</v>
      </c>
      <c r="T8" s="154">
        <f t="shared" si="4"/>
        <v>1343219.685318284</v>
      </c>
      <c r="U8" s="154">
        <f t="shared" si="4"/>
        <v>1383516.2758778324</v>
      </c>
      <c r="V8" s="154">
        <f t="shared" si="4"/>
        <v>1425021.7641541674</v>
      </c>
    </row>
    <row r="9" spans="1:23" ht="15.75" customHeight="1">
      <c r="A9" s="39" t="s">
        <v>50</v>
      </c>
      <c r="B9" s="155">
        <f>Investment!J8</f>
        <v>0.03</v>
      </c>
    </row>
    <row r="11" spans="1:23" ht="15.75" customHeight="1">
      <c r="A11" s="156" t="s">
        <v>101</v>
      </c>
      <c r="G11" s="156" t="s">
        <v>106</v>
      </c>
    </row>
    <row r="12" spans="1:23" ht="15.75" customHeight="1">
      <c r="A12" s="157" t="s">
        <v>107</v>
      </c>
      <c r="B12" s="158" t="s">
        <v>108</v>
      </c>
      <c r="C12" s="158" t="s">
        <v>109</v>
      </c>
      <c r="D12" s="158" t="s">
        <v>110</v>
      </c>
      <c r="E12" s="159" t="s">
        <v>111</v>
      </c>
      <c r="G12" s="157" t="s">
        <v>107</v>
      </c>
      <c r="H12" s="157" t="s">
        <v>108</v>
      </c>
      <c r="I12" s="157" t="s">
        <v>109</v>
      </c>
      <c r="J12" s="158" t="s">
        <v>110</v>
      </c>
      <c r="K12" s="157" t="s">
        <v>111</v>
      </c>
    </row>
    <row r="13" spans="1:23" ht="15.75" customHeight="1">
      <c r="A13" s="145" t="s">
        <v>112</v>
      </c>
      <c r="C13" s="151">
        <v>3000</v>
      </c>
      <c r="D13" s="145">
        <v>3</v>
      </c>
      <c r="E13" s="152">
        <f t="shared" ref="E13:E24" si="5">C13*D13</f>
        <v>9000</v>
      </c>
      <c r="G13" s="145" t="s">
        <v>113</v>
      </c>
      <c r="I13" s="151">
        <v>10000</v>
      </c>
      <c r="J13" s="145">
        <v>1</v>
      </c>
      <c r="K13" s="152">
        <f t="shared" ref="K13:K22" si="6">I13*J13</f>
        <v>10000</v>
      </c>
    </row>
    <row r="14" spans="1:23" ht="15.75" customHeight="1">
      <c r="A14" s="145" t="s">
        <v>114</v>
      </c>
      <c r="C14" s="151">
        <v>3000</v>
      </c>
      <c r="D14" s="145">
        <v>4</v>
      </c>
      <c r="E14" s="152">
        <f t="shared" si="5"/>
        <v>12000</v>
      </c>
      <c r="G14" s="145" t="s">
        <v>115</v>
      </c>
      <c r="I14" s="151">
        <v>20000</v>
      </c>
      <c r="J14" s="145">
        <v>1</v>
      </c>
      <c r="K14" s="152">
        <f t="shared" si="6"/>
        <v>20000</v>
      </c>
    </row>
    <row r="15" spans="1:23" ht="15.75" customHeight="1">
      <c r="A15" s="145" t="s">
        <v>116</v>
      </c>
      <c r="C15" s="151">
        <v>3000</v>
      </c>
      <c r="D15" s="145">
        <v>4</v>
      </c>
      <c r="E15" s="152">
        <f t="shared" si="5"/>
        <v>12000</v>
      </c>
      <c r="G15" s="145" t="s">
        <v>117</v>
      </c>
      <c r="I15" s="151">
        <v>20000</v>
      </c>
      <c r="J15" s="145">
        <v>1</v>
      </c>
      <c r="K15" s="152">
        <f t="shared" si="6"/>
        <v>20000</v>
      </c>
    </row>
    <row r="16" spans="1:23" ht="15.75" customHeight="1">
      <c r="A16" s="145" t="s">
        <v>118</v>
      </c>
      <c r="C16" s="151">
        <v>3000</v>
      </c>
      <c r="D16" s="145">
        <v>2</v>
      </c>
      <c r="E16" s="152">
        <f t="shared" si="5"/>
        <v>6000</v>
      </c>
      <c r="G16" s="145" t="s">
        <v>119</v>
      </c>
      <c r="I16" s="151">
        <v>20000</v>
      </c>
      <c r="J16" s="145">
        <v>1</v>
      </c>
      <c r="K16" s="152">
        <f t="shared" si="6"/>
        <v>20000</v>
      </c>
    </row>
    <row r="17" spans="1:11" ht="15.75" customHeight="1">
      <c r="A17" s="145" t="s">
        <v>120</v>
      </c>
      <c r="C17" s="151">
        <v>4000</v>
      </c>
      <c r="D17" s="145">
        <v>2</v>
      </c>
      <c r="E17" s="152">
        <f t="shared" si="5"/>
        <v>8000</v>
      </c>
      <c r="G17" s="145" t="s">
        <v>121</v>
      </c>
      <c r="I17" s="151">
        <v>4000</v>
      </c>
      <c r="J17" s="145">
        <v>2</v>
      </c>
      <c r="K17" s="152">
        <f t="shared" si="6"/>
        <v>8000</v>
      </c>
    </row>
    <row r="18" spans="1:11" ht="15.75" customHeight="1">
      <c r="A18" s="145" t="s">
        <v>122</v>
      </c>
      <c r="C18" s="151">
        <v>3000</v>
      </c>
      <c r="D18" s="145">
        <v>2</v>
      </c>
      <c r="E18" s="152">
        <f t="shared" si="5"/>
        <v>6000</v>
      </c>
      <c r="G18" s="145" t="s">
        <v>123</v>
      </c>
      <c r="I18" s="151">
        <v>2000</v>
      </c>
      <c r="J18" s="145">
        <v>15</v>
      </c>
      <c r="K18" s="152">
        <f t="shared" si="6"/>
        <v>30000</v>
      </c>
    </row>
    <row r="19" spans="1:11" ht="15.75" customHeight="1">
      <c r="A19" s="145" t="s">
        <v>124</v>
      </c>
      <c r="C19" s="151">
        <v>3000</v>
      </c>
      <c r="D19" s="145">
        <v>2</v>
      </c>
      <c r="E19" s="152">
        <f t="shared" si="5"/>
        <v>6000</v>
      </c>
      <c r="G19" s="145" t="s">
        <v>125</v>
      </c>
      <c r="I19" s="151">
        <v>4000</v>
      </c>
      <c r="J19" s="145">
        <v>1</v>
      </c>
      <c r="K19" s="152">
        <f t="shared" si="6"/>
        <v>4000</v>
      </c>
    </row>
    <row r="20" spans="1:11" ht="15.75" customHeight="1">
      <c r="A20" s="145" t="s">
        <v>126</v>
      </c>
      <c r="C20" s="151">
        <v>20000</v>
      </c>
      <c r="D20" s="145">
        <v>1</v>
      </c>
      <c r="E20" s="152">
        <f t="shared" si="5"/>
        <v>20000</v>
      </c>
      <c r="G20" s="145" t="s">
        <v>127</v>
      </c>
      <c r="I20" s="151">
        <v>15000</v>
      </c>
      <c r="J20" s="145">
        <v>1</v>
      </c>
      <c r="K20" s="152">
        <f t="shared" si="6"/>
        <v>15000</v>
      </c>
    </row>
    <row r="21" spans="1:11" ht="15.75" customHeight="1">
      <c r="A21" s="145" t="s">
        <v>128</v>
      </c>
      <c r="C21" s="151">
        <v>15000</v>
      </c>
      <c r="D21" s="145">
        <v>1</v>
      </c>
      <c r="E21" s="152">
        <f t="shared" si="5"/>
        <v>15000</v>
      </c>
      <c r="G21" s="145" t="s">
        <v>129</v>
      </c>
      <c r="I21" s="151">
        <v>2500</v>
      </c>
      <c r="J21" s="145">
        <v>6</v>
      </c>
      <c r="K21" s="152">
        <f t="shared" si="6"/>
        <v>15000</v>
      </c>
    </row>
    <row r="22" spans="1:11" ht="15.75" customHeight="1">
      <c r="A22" s="145" t="s">
        <v>130</v>
      </c>
      <c r="C22" s="151">
        <v>25000</v>
      </c>
      <c r="D22" s="145">
        <v>1</v>
      </c>
      <c r="E22" s="152">
        <f t="shared" si="5"/>
        <v>25000</v>
      </c>
      <c r="G22" s="145" t="s">
        <v>131</v>
      </c>
      <c r="I22" s="151">
        <v>20000</v>
      </c>
      <c r="J22" s="145">
        <v>1</v>
      </c>
      <c r="K22" s="152">
        <f t="shared" si="6"/>
        <v>20000</v>
      </c>
    </row>
    <row r="23" spans="1:11" ht="15.75" customHeight="1">
      <c r="A23" s="145" t="s">
        <v>132</v>
      </c>
      <c r="C23" s="151">
        <v>15000</v>
      </c>
      <c r="D23" s="145">
        <v>1</v>
      </c>
      <c r="E23" s="152">
        <f t="shared" si="5"/>
        <v>15000</v>
      </c>
      <c r="J23" s="160" t="s">
        <v>133</v>
      </c>
      <c r="K23" s="161">
        <f>SUM(K13:K22)</f>
        <v>162000</v>
      </c>
    </row>
    <row r="24" spans="1:11" ht="15.75" customHeight="1">
      <c r="A24" s="145" t="s">
        <v>134</v>
      </c>
      <c r="C24" s="151">
        <v>2000</v>
      </c>
      <c r="D24" s="145">
        <v>5</v>
      </c>
      <c r="E24" s="152">
        <f t="shared" si="5"/>
        <v>10000</v>
      </c>
    </row>
    <row r="25" spans="1:11" ht="15.75" customHeight="1">
      <c r="D25" s="90" t="s">
        <v>133</v>
      </c>
      <c r="E25" s="162">
        <f>SUM(E13:E24)</f>
        <v>144000</v>
      </c>
    </row>
    <row r="27" spans="1:11" ht="12.75">
      <c r="A27" s="156" t="s">
        <v>135</v>
      </c>
      <c r="G27" s="156" t="s">
        <v>136</v>
      </c>
      <c r="H27" s="156"/>
    </row>
    <row r="28" spans="1:11" ht="12.75">
      <c r="A28" s="157" t="s">
        <v>107</v>
      </c>
      <c r="B28" s="157" t="s">
        <v>108</v>
      </c>
      <c r="C28" s="157" t="s">
        <v>109</v>
      </c>
      <c r="D28" s="158" t="s">
        <v>110</v>
      </c>
      <c r="E28" s="157" t="s">
        <v>111</v>
      </c>
      <c r="G28" s="157" t="s">
        <v>107</v>
      </c>
      <c r="H28" s="157" t="s">
        <v>108</v>
      </c>
      <c r="I28" s="157" t="s">
        <v>109</v>
      </c>
      <c r="J28" s="158" t="s">
        <v>110</v>
      </c>
      <c r="K28" s="157" t="s">
        <v>111</v>
      </c>
    </row>
    <row r="29" spans="1:11" ht="12.75">
      <c r="A29" s="145" t="s">
        <v>137</v>
      </c>
      <c r="C29" s="151">
        <v>5000</v>
      </c>
      <c r="D29" s="145">
        <v>2</v>
      </c>
      <c r="E29" s="152">
        <f t="shared" ref="E29:E34" si="7">C29*D29</f>
        <v>10000</v>
      </c>
      <c r="G29" s="145" t="s">
        <v>138</v>
      </c>
      <c r="I29" s="151">
        <v>20000</v>
      </c>
      <c r="J29" s="145">
        <v>1</v>
      </c>
      <c r="K29" s="152">
        <f t="shared" ref="K29:K32" si="8">I29*J29</f>
        <v>20000</v>
      </c>
    </row>
    <row r="30" spans="1:11" ht="12.75">
      <c r="A30" s="145" t="s">
        <v>139</v>
      </c>
      <c r="C30" s="151">
        <v>5000</v>
      </c>
      <c r="D30" s="145">
        <v>3</v>
      </c>
      <c r="E30" s="152">
        <f t="shared" si="7"/>
        <v>15000</v>
      </c>
      <c r="G30" s="145" t="s">
        <v>140</v>
      </c>
      <c r="I30" s="151">
        <v>20000</v>
      </c>
      <c r="J30" s="145">
        <v>1</v>
      </c>
      <c r="K30" s="152">
        <f t="shared" si="8"/>
        <v>20000</v>
      </c>
    </row>
    <row r="31" spans="1:11" ht="12.75">
      <c r="A31" s="145" t="s">
        <v>141</v>
      </c>
      <c r="C31" s="151">
        <v>5000</v>
      </c>
      <c r="D31" s="145">
        <v>3</v>
      </c>
      <c r="E31" s="152">
        <f t="shared" si="7"/>
        <v>15000</v>
      </c>
      <c r="G31" s="145" t="s">
        <v>142</v>
      </c>
      <c r="I31" s="151">
        <v>20000</v>
      </c>
      <c r="J31" s="145">
        <v>1</v>
      </c>
      <c r="K31" s="152">
        <f t="shared" si="8"/>
        <v>20000</v>
      </c>
    </row>
    <row r="32" spans="1:11" ht="12.75">
      <c r="A32" s="145" t="s">
        <v>143</v>
      </c>
      <c r="C32" s="151">
        <v>20000</v>
      </c>
      <c r="D32" s="145">
        <v>1</v>
      </c>
      <c r="E32" s="152">
        <f t="shared" si="7"/>
        <v>20000</v>
      </c>
      <c r="G32" s="145" t="s">
        <v>144</v>
      </c>
      <c r="I32" s="151">
        <v>20000</v>
      </c>
      <c r="J32" s="145">
        <v>1</v>
      </c>
      <c r="K32" s="152">
        <f t="shared" si="8"/>
        <v>20000</v>
      </c>
    </row>
    <row r="33" spans="1:20" ht="12.75">
      <c r="A33" s="145" t="s">
        <v>145</v>
      </c>
      <c r="C33" s="151">
        <v>15000</v>
      </c>
      <c r="D33" s="145">
        <v>1</v>
      </c>
      <c r="E33" s="152">
        <f t="shared" si="7"/>
        <v>15000</v>
      </c>
      <c r="J33" s="90" t="s">
        <v>133</v>
      </c>
      <c r="K33" s="162">
        <f>SUM(K29:K32)</f>
        <v>80000</v>
      </c>
    </row>
    <row r="34" spans="1:20" ht="12.75">
      <c r="A34" s="145" t="s">
        <v>146</v>
      </c>
      <c r="C34" s="151">
        <v>20000</v>
      </c>
      <c r="D34" s="145">
        <v>2</v>
      </c>
      <c r="E34" s="152">
        <f t="shared" si="7"/>
        <v>40000</v>
      </c>
    </row>
    <row r="35" spans="1:20" ht="12.75">
      <c r="D35" s="90" t="s">
        <v>133</v>
      </c>
      <c r="E35" s="162">
        <f>SUM(E29:E34)</f>
        <v>115000</v>
      </c>
    </row>
    <row r="44" spans="1:20" ht="12.75">
      <c r="T44" s="163" t="s">
        <v>147</v>
      </c>
    </row>
    <row r="45" spans="1:20" ht="12.75">
      <c r="S45" s="145" t="s">
        <v>148</v>
      </c>
      <c r="T45" s="164">
        <v>40000</v>
      </c>
    </row>
    <row r="46" spans="1:20" ht="12.75">
      <c r="T46" s="165"/>
    </row>
    <row r="47" spans="1:20" ht="12.75">
      <c r="S47" s="145" t="s">
        <v>149</v>
      </c>
      <c r="T47" s="164">
        <v>100000</v>
      </c>
    </row>
    <row r="48" spans="1:20" ht="12.75">
      <c r="T48" s="165"/>
    </row>
    <row r="49" spans="19:20" ht="12.75">
      <c r="S49" s="145" t="s">
        <v>150</v>
      </c>
      <c r="T49" s="164">
        <v>20000</v>
      </c>
    </row>
    <row r="50" spans="19:20" ht="12.75">
      <c r="T50" s="165"/>
    </row>
    <row r="51" spans="19:20" ht="12.75">
      <c r="S51" s="145" t="s">
        <v>151</v>
      </c>
      <c r="T51" s="164">
        <v>20000</v>
      </c>
    </row>
    <row r="52" spans="19:20" ht="12.75">
      <c r="T52" s="165"/>
    </row>
    <row r="53" spans="19:20" ht="12.75">
      <c r="S53" s="145" t="s">
        <v>152</v>
      </c>
      <c r="T53" s="164" t="s">
        <v>153</v>
      </c>
    </row>
    <row r="54" spans="19:20" ht="12.75">
      <c r="T54" s="165"/>
    </row>
    <row r="55" spans="19:20" ht="12.75">
      <c r="S55" s="145" t="s">
        <v>154</v>
      </c>
      <c r="T55" s="164" t="s">
        <v>155</v>
      </c>
    </row>
    <row r="56" spans="19:20" ht="12.75">
      <c r="T56" s="165"/>
    </row>
    <row r="57" spans="19:20" ht="12.75">
      <c r="S57" s="145" t="s">
        <v>156</v>
      </c>
      <c r="T57" s="164" t="s">
        <v>157</v>
      </c>
    </row>
    <row r="58" spans="19:20" ht="12.75">
      <c r="S58" s="145" t="s">
        <v>158</v>
      </c>
      <c r="T58" s="164">
        <f>8%*SUM(T45:T56)*6</f>
        <v>86400</v>
      </c>
    </row>
    <row r="59" spans="19:20" ht="12.75">
      <c r="T59" s="165"/>
    </row>
    <row r="60" spans="19:20" ht="12.75">
      <c r="S60" s="145" t="s">
        <v>159</v>
      </c>
      <c r="T60" s="165">
        <f>SUM(T45:T59)*24</f>
        <v>6393600</v>
      </c>
    </row>
    <row r="62" spans="19:20" ht="12.75">
      <c r="S62" s="145" t="s">
        <v>160</v>
      </c>
      <c r="T62" s="152">
        <f>SUM(Worst!D7:K7)/2</f>
        <v>32980732.632645436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Investment</vt:lpstr>
      <vt:lpstr>Worst</vt:lpstr>
      <vt:lpstr>Mid</vt:lpstr>
      <vt:lpstr>Best</vt:lpstr>
      <vt:lpstr>Cost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shilan</dc:creator>
  <cp:lastModifiedBy>Windows User</cp:lastModifiedBy>
  <dcterms:created xsi:type="dcterms:W3CDTF">2018-10-22T19:24:27Z</dcterms:created>
  <dcterms:modified xsi:type="dcterms:W3CDTF">2018-10-22T19:24:27Z</dcterms:modified>
</cp:coreProperties>
</file>