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P" sheetId="1" r:id="rId4"/>
  </sheets>
  <definedNames/>
  <calcPr/>
  <extLst>
    <ext uri="GoogleSheetsCustomDataVersion1">
      <go:sheetsCustomData xmlns:go="http://customooxmlschemas.google.com/" r:id="rId5" roundtripDataSignature="AMtx7mh67iiES0BxCz/aASVnwC3jlKdCww=="/>
    </ext>
  </extLst>
</workbook>
</file>

<file path=xl/sharedStrings.xml><?xml version="1.0" encoding="utf-8"?>
<sst xmlns="http://schemas.openxmlformats.org/spreadsheetml/2006/main" count="219" uniqueCount="105">
  <si>
    <t xml:space="preserve">urutan -&gt; </t>
  </si>
  <si>
    <t>Req 2</t>
  </si>
  <si>
    <t>Req 1</t>
  </si>
  <si>
    <t>VALUE</t>
  </si>
  <si>
    <t>Req 6</t>
  </si>
  <si>
    <t>COST</t>
  </si>
  <si>
    <t>Req 7</t>
  </si>
  <si>
    <t>selisih 0 (sama)</t>
  </si>
  <si>
    <t>Req 5</t>
  </si>
  <si>
    <t>Kode Keb.</t>
  </si>
  <si>
    <t>SR</t>
  </si>
  <si>
    <t>R</t>
  </si>
  <si>
    <t>T</t>
  </si>
  <si>
    <t>ST</t>
  </si>
  <si>
    <t>Nilai</t>
  </si>
  <si>
    <t>selisih 1-4</t>
  </si>
  <si>
    <t>Req 3</t>
  </si>
  <si>
    <t>Req. 1</t>
  </si>
  <si>
    <t>selisih 1-2</t>
  </si>
  <si>
    <t>selisih 5-8</t>
  </si>
  <si>
    <t>Req 4</t>
  </si>
  <si>
    <t>Req. 2</t>
  </si>
  <si>
    <t>selisih 3-4</t>
  </si>
  <si>
    <t>selisih 9-12</t>
  </si>
  <si>
    <t>Req. 3</t>
  </si>
  <si>
    <t>selisih5-6</t>
  </si>
  <si>
    <t>selisih 13-16</t>
  </si>
  <si>
    <t>2,6</t>
  </si>
  <si>
    <t>2,1</t>
  </si>
  <si>
    <t>4,1</t>
  </si>
  <si>
    <t>Req. 4</t>
  </si>
  <si>
    <t>selisih 7-8</t>
  </si>
  <si>
    <t>2,2</t>
  </si>
  <si>
    <t>sama</t>
  </si>
  <si>
    <t>4,2</t>
  </si>
  <si>
    <t>Req. 5</t>
  </si>
  <si>
    <t>2,3</t>
  </si>
  <si>
    <t>4,3</t>
  </si>
  <si>
    <t>Req. 6</t>
  </si>
  <si>
    <t>2,4</t>
  </si>
  <si>
    <t>4,4</t>
  </si>
  <si>
    <t>Req. 7</t>
  </si>
  <si>
    <t>Req.7</t>
  </si>
  <si>
    <t>2,5</t>
  </si>
  <si>
    <t>4,5</t>
  </si>
  <si>
    <t>4,6</t>
  </si>
  <si>
    <t>MATRIKS</t>
  </si>
  <si>
    <t>req 1</t>
  </si>
  <si>
    <t>2,7</t>
  </si>
  <si>
    <t>4,7</t>
  </si>
  <si>
    <t>req 2</t>
  </si>
  <si>
    <t>1,1</t>
  </si>
  <si>
    <t>5,1</t>
  </si>
  <si>
    <t>req 3</t>
  </si>
  <si>
    <t>1,2</t>
  </si>
  <si>
    <t>5,2</t>
  </si>
  <si>
    <t>req 4</t>
  </si>
  <si>
    <t>1,3</t>
  </si>
  <si>
    <t>5,3</t>
  </si>
  <si>
    <t>req 5</t>
  </si>
  <si>
    <t>1,4</t>
  </si>
  <si>
    <t>5,4</t>
  </si>
  <si>
    <t>req 6</t>
  </si>
  <si>
    <t>1,5</t>
  </si>
  <si>
    <t>5,5</t>
  </si>
  <si>
    <t>req 7</t>
  </si>
  <si>
    <t>1,6</t>
  </si>
  <si>
    <t>5,6</t>
  </si>
  <si>
    <t>1,7</t>
  </si>
  <si>
    <t>5,7</t>
  </si>
  <si>
    <t xml:space="preserve">sama </t>
  </si>
  <si>
    <t>SUM</t>
  </si>
  <si>
    <t>3,1</t>
  </si>
  <si>
    <t>6,1</t>
  </si>
  <si>
    <t>3,2</t>
  </si>
  <si>
    <t>6,2</t>
  </si>
  <si>
    <t>3,3</t>
  </si>
  <si>
    <t>6,3</t>
  </si>
  <si>
    <t>3,4</t>
  </si>
  <si>
    <t>6,4</t>
  </si>
  <si>
    <t>NORMALISASI</t>
  </si>
  <si>
    <t xml:space="preserve">NORMALISASI </t>
  </si>
  <si>
    <t>3,5</t>
  </si>
  <si>
    <t>6,5</t>
  </si>
  <si>
    <t>Sum Row</t>
  </si>
  <si>
    <t>Sum Row/7</t>
  </si>
  <si>
    <t>3,6</t>
  </si>
  <si>
    <t>6,6</t>
  </si>
  <si>
    <t>3,7</t>
  </si>
  <si>
    <t>6,7</t>
  </si>
  <si>
    <t>7,1</t>
  </si>
  <si>
    <t>7,2</t>
  </si>
  <si>
    <t>7,3</t>
  </si>
  <si>
    <t>7,4</t>
  </si>
  <si>
    <t>7,5</t>
  </si>
  <si>
    <t>7,6</t>
  </si>
  <si>
    <t>7,7</t>
  </si>
  <si>
    <t>Kebutuhan</t>
  </si>
  <si>
    <t>Cost</t>
  </si>
  <si>
    <t>Value</t>
  </si>
  <si>
    <t>High Margin</t>
  </si>
  <si>
    <t>Low Margin</t>
  </si>
  <si>
    <t>High if ratio value/cost &gt;=2.2</t>
  </si>
  <si>
    <t>Medium if ratio falls between 1.9 to 2.2</t>
  </si>
  <si>
    <t>Otherwise,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</si>
</sst>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d/m"/>
  </numFmts>
  <fonts count="22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8.0"/>
      <color theme="1"/>
      <name val="Calibri"/>
    </font>
    <font>
      <b/>
      <sz val="22.0"/>
      <color theme="1"/>
      <name val="Calibri"/>
    </font>
    <font>
      <sz val="12.0"/>
      <color theme="1"/>
      <name val="Calibri"/>
    </font>
    <font>
      <b/>
      <sz val="11.0"/>
      <color theme="1"/>
    </font>
    <font>
      <sz val="11.0"/>
      <name val="Calibri"/>
    </font>
    <font>
      <b/>
      <sz val="12.0"/>
      <color theme="1"/>
      <name val="Calibri"/>
    </font>
    <font>
      <sz val="11.0"/>
      <color theme="1"/>
    </font>
    <font>
      <sz val="11.0"/>
      <color rgb="FF000000"/>
    </font>
    <font>
      <sz val="12.0"/>
      <color rgb="FFE7E6E6"/>
      <name val="Calibri"/>
    </font>
    <font>
      <sz val="11.0"/>
      <color rgb="FF000000"/>
      <name val="Calibri"/>
    </font>
    <font>
      <sz val="14.0"/>
      <color theme="1"/>
      <name val="Calibri"/>
    </font>
    <font/>
    <font>
      <sz val="12.0"/>
      <color rgb="FF000000"/>
    </font>
    <font>
      <sz val="12.0"/>
      <color theme="1"/>
    </font>
    <font>
      <b/>
    </font>
    <font>
      <b/>
      <sz val="14.0"/>
      <color theme="1"/>
      <name val="Calibri"/>
    </font>
    <font>
      <b/>
      <color theme="1"/>
      <name val="Calibri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theme="1"/>
        <bgColor theme="1"/>
      </patternFill>
    </fill>
    <fill>
      <patternFill patternType="solid">
        <fgColor rgb="FFF9CB9C"/>
        <bgColor rgb="FFF9CB9C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/>
    </xf>
    <xf borderId="1" fillId="3" fontId="4" numFmtId="0" xfId="0" applyBorder="1" applyFill="1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1" fillId="3" fontId="5" numFmtId="0" xfId="0" applyBorder="1" applyFont="1"/>
    <xf borderId="0" fillId="0" fontId="6" numFmtId="0" xfId="0" applyAlignment="1" applyFont="1">
      <alignment horizontal="center"/>
    </xf>
    <xf borderId="0" fillId="0" fontId="7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4" fontId="6" numFmtId="0" xfId="0" applyAlignment="1" applyBorder="1" applyFill="1" applyFont="1">
      <alignment horizontal="left"/>
    </xf>
    <xf borderId="2" fillId="4" fontId="6" numFmtId="1" xfId="0" applyAlignment="1" applyBorder="1" applyFont="1" applyNumberFormat="1">
      <alignment horizontal="left"/>
    </xf>
    <xf borderId="3" fillId="4" fontId="6" numFmtId="1" xfId="0" applyAlignment="1" applyBorder="1" applyFont="1" applyNumberFormat="1">
      <alignment horizontal="left"/>
    </xf>
    <xf borderId="3" fillId="5" fontId="2" numFmtId="0" xfId="0" applyBorder="1" applyFill="1" applyFont="1"/>
    <xf borderId="3" fillId="6" fontId="9" numFmtId="0" xfId="0" applyBorder="1" applyFill="1" applyFont="1"/>
    <xf borderId="3" fillId="5" fontId="10" numFmtId="0" xfId="0" applyAlignment="1" applyBorder="1" applyFont="1">
      <alignment horizontal="center"/>
    </xf>
    <xf borderId="0" fillId="0" fontId="11" numFmtId="0" xfId="0" applyAlignment="1" applyFont="1">
      <alignment readingOrder="0"/>
    </xf>
    <xf borderId="3" fillId="4" fontId="9" numFmtId="0" xfId="0" applyAlignment="1" applyBorder="1" applyFont="1">
      <alignment horizontal="left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/>
    </xf>
    <xf borderId="3" fillId="7" fontId="12" numFmtId="0" xfId="0" applyAlignment="1" applyBorder="1" applyFill="1" applyFont="1">
      <alignment horizontal="center" vertical="center"/>
    </xf>
    <xf borderId="1" fillId="2" fontId="2" numFmtId="0" xfId="0" applyBorder="1" applyFont="1"/>
    <xf borderId="4" fillId="4" fontId="9" numFmtId="0" xfId="0" applyAlignment="1" applyBorder="1" applyFont="1">
      <alignment horizontal="left"/>
    </xf>
    <xf borderId="0" fillId="0" fontId="1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4" numFmtId="0" xfId="0" applyFont="1"/>
    <xf borderId="0" fillId="0" fontId="11" numFmtId="0" xfId="0" applyAlignment="1" applyFont="1">
      <alignment horizontal="left" readingOrder="0"/>
    </xf>
    <xf borderId="0" fillId="0" fontId="2" numFmtId="2" xfId="0" applyFont="1" applyNumberFormat="1"/>
    <xf borderId="3" fillId="6" fontId="9" numFmtId="0" xfId="0" applyAlignment="1" applyBorder="1" applyFont="1">
      <alignment horizontal="left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1" fillId="4" fontId="9" numFmtId="0" xfId="0" applyAlignment="1" applyBorder="1" applyFont="1">
      <alignment horizontal="left"/>
    </xf>
    <xf borderId="0" fillId="0" fontId="6" numFmtId="0" xfId="0" applyFont="1"/>
    <xf borderId="0" fillId="0" fontId="6" numFmtId="2" xfId="0" applyFont="1" applyNumberFormat="1"/>
    <xf borderId="3" fillId="0" fontId="6" numFmtId="164" xfId="0" applyAlignment="1" applyBorder="1" applyFont="1" applyNumberFormat="1">
      <alignment horizontal="center" vertical="center"/>
    </xf>
    <xf borderId="3" fillId="4" fontId="9" numFmtId="0" xfId="0" applyBorder="1" applyFont="1"/>
    <xf borderId="3" fillId="0" fontId="6" numFmtId="2" xfId="0" applyAlignment="1" applyBorder="1" applyFont="1" applyNumberFormat="1">
      <alignment horizontal="center"/>
    </xf>
    <xf borderId="3" fillId="0" fontId="2" numFmtId="0" xfId="0" applyBorder="1" applyFont="1"/>
    <xf borderId="0" fillId="0" fontId="16" numFmtId="164" xfId="0" applyAlignment="1" applyFont="1" applyNumberFormat="1">
      <alignment horizontal="left" readingOrder="0" vertical="center"/>
    </xf>
    <xf borderId="3" fillId="0" fontId="6" numFmtId="0" xfId="0" applyAlignment="1" applyBorder="1" applyFont="1">
      <alignment horizontal="center"/>
    </xf>
    <xf borderId="0" fillId="0" fontId="10" numFmtId="0" xfId="0" applyFont="1"/>
    <xf borderId="0" fillId="0" fontId="13" numFmtId="0" xfId="0" applyAlignment="1" applyFont="1">
      <alignment horizontal="left" readingOrder="0"/>
    </xf>
    <xf borderId="0" fillId="0" fontId="17" numFmtId="164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16" numFmtId="165" xfId="0" applyAlignment="1" applyFont="1" applyNumberFormat="1">
      <alignment horizontal="center" readingOrder="0" vertical="center"/>
    </xf>
    <xf borderId="0" fillId="0" fontId="15" numFmtId="165" xfId="0" applyAlignment="1" applyFont="1" applyNumberFormat="1">
      <alignment readingOrder="0"/>
    </xf>
    <xf borderId="0" fillId="0" fontId="18" numFmtId="0" xfId="0" applyAlignment="1" applyFont="1">
      <alignment readingOrder="0"/>
    </xf>
    <xf borderId="3" fillId="5" fontId="2" numFmtId="0" xfId="0" applyAlignment="1" applyBorder="1" applyFont="1">
      <alignment horizontal="center"/>
    </xf>
    <xf borderId="3" fillId="4" fontId="9" numFmtId="2" xfId="0" applyBorder="1" applyFont="1" applyNumberFormat="1"/>
    <xf borderId="3" fillId="8" fontId="6" numFmtId="164" xfId="0" applyAlignment="1" applyBorder="1" applyFill="1" applyFont="1" applyNumberFormat="1">
      <alignment horizontal="center" vertical="center"/>
    </xf>
    <xf borderId="0" fillId="0" fontId="3" numFmtId="165" xfId="0" applyFont="1" applyNumberFormat="1"/>
    <xf borderId="3" fillId="4" fontId="6" numFmtId="2" xfId="0" applyAlignment="1" applyBorder="1" applyFont="1" applyNumberFormat="1">
      <alignment horizontal="center"/>
    </xf>
    <xf borderId="0" fillId="0" fontId="19" numFmtId="0" xfId="0" applyFont="1"/>
    <xf borderId="0" fillId="0" fontId="15" numFmtId="165" xfId="0" applyFont="1" applyNumberFormat="1"/>
    <xf borderId="0" fillId="0" fontId="20" numFmtId="0" xfId="0" applyFont="1"/>
    <xf borderId="3" fillId="6" fontId="1" numFmtId="0" xfId="0" applyBorder="1" applyFont="1"/>
    <xf borderId="3" fillId="0" fontId="2" numFmtId="2" xfId="0" applyBorder="1" applyFont="1" applyNumberFormat="1"/>
    <xf borderId="3" fillId="0" fontId="2" numFmtId="10" xfId="0" applyBorder="1" applyFont="1" applyNumberFormat="1"/>
    <xf borderId="3" fillId="0" fontId="6" numFmtId="0" xfId="0" applyBorder="1" applyFont="1"/>
    <xf borderId="3" fillId="0" fontId="6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21" numFmtId="164" xfId="0" applyAlignment="1" applyFont="1" applyNumberFormat="1">
      <alignment horizontal="left" readingOrder="0" vertical="center"/>
    </xf>
    <xf borderId="5" fillId="4" fontId="6" numFmtId="0" xfId="0" applyAlignment="1" applyBorder="1" applyFont="1">
      <alignment horizontal="center"/>
    </xf>
    <xf borderId="6" fillId="0" fontId="15" numFmtId="0" xfId="0" applyBorder="1" applyFont="1"/>
    <xf borderId="7" fillId="0" fontId="15" numFmtId="0" xfId="0" applyBorder="1" applyFont="1"/>
    <xf borderId="0" fillId="0" fontId="18" numFmtId="166" xfId="0" applyAlignment="1" applyFont="1" applyNumberFormat="1">
      <alignment readingOrder="0"/>
    </xf>
    <xf borderId="0" fillId="0" fontId="2" numFmtId="16" xfId="0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horizontal="right" shrinkToFit="0" wrapText="1"/>
    </xf>
    <xf borderId="3" fillId="4" fontId="1" numFmtId="0" xfId="0" applyAlignment="1" applyBorder="1" applyFont="1">
      <alignment horizontal="center"/>
    </xf>
    <xf borderId="3" fillId="4" fontId="2" numFmtId="0" xfId="0" applyBorder="1" applyFont="1"/>
    <xf borderId="3" fillId="0" fontId="2" numFmtId="10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Mapping ROI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AHP!$B$51:$B$57</c:f>
            </c:numRef>
          </c:xVal>
          <c:yVal>
            <c:numRef>
              <c:f>AHP!$C$51:$C$57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762627"/>
        <c:axId val="1266978137"/>
      </c:scatterChart>
      <c:valAx>
        <c:axId val="11617626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6978137"/>
      </c:valAx>
      <c:valAx>
        <c:axId val="1266978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176262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48</xdr:row>
      <xdr:rowOff>180975</xdr:rowOff>
    </xdr:from>
    <xdr:ext cx="9848850" cy="4286250"/>
    <xdr:graphicFrame>
      <xdr:nvGraphicFramePr>
        <xdr:cNvPr id="17946039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3" width="7.63"/>
    <col customWidth="1" min="4" max="4" width="10.5"/>
    <col customWidth="1" min="5" max="5" width="11.88"/>
    <col customWidth="1" min="6" max="8" width="7.63"/>
    <col customWidth="1" min="9" max="9" width="13.88"/>
    <col customWidth="1" min="10" max="10" width="14.13"/>
    <col customWidth="1" min="11" max="11" width="9.5"/>
    <col customWidth="1" min="12" max="13" width="7.63"/>
    <col customWidth="1" min="14" max="14" width="11.0"/>
    <col customWidth="1" min="15" max="15" width="7.63"/>
    <col customWidth="1" hidden="1" min="16" max="17" width="7.63"/>
    <col customWidth="1" min="18" max="18" width="7.63"/>
    <col customWidth="1" min="19" max="19" width="8.88"/>
    <col customWidth="1" min="20" max="26" width="7.63"/>
    <col customWidth="1" min="27" max="27" width="13.75"/>
    <col customWidth="1" min="28" max="28" width="12.0"/>
    <col customWidth="1" min="29" max="35" width="7.63"/>
    <col customWidth="1" min="36" max="36" width="12.63"/>
    <col customWidth="1" min="37" max="38" width="7.63"/>
  </cols>
  <sheetData>
    <row r="1">
      <c r="A1" s="1"/>
      <c r="J1" s="1"/>
      <c r="M1" s="2" t="s">
        <v>0</v>
      </c>
      <c r="N1" s="2" t="s">
        <v>1</v>
      </c>
      <c r="O1" s="3">
        <v>35.0</v>
      </c>
      <c r="P1" s="4">
        <v>1.0</v>
      </c>
    </row>
    <row r="2">
      <c r="B2" s="5"/>
      <c r="C2" s="5"/>
      <c r="D2" s="5"/>
      <c r="E2" s="5"/>
      <c r="K2" s="5"/>
      <c r="L2" s="5"/>
      <c r="M2" s="3"/>
      <c r="N2" s="2" t="s">
        <v>2</v>
      </c>
      <c r="O2" s="3">
        <v>34.0</v>
      </c>
    </row>
    <row r="3">
      <c r="A3" s="6" t="s">
        <v>3</v>
      </c>
      <c r="B3" s="5"/>
      <c r="C3" s="5"/>
      <c r="D3" s="5"/>
      <c r="E3" s="5"/>
      <c r="F3" s="5"/>
      <c r="G3" s="5"/>
      <c r="H3" s="5"/>
      <c r="I3" s="7"/>
      <c r="J3" s="8"/>
      <c r="K3" s="5"/>
      <c r="L3" s="9"/>
      <c r="M3" s="3"/>
      <c r="N3" s="2" t="s">
        <v>4</v>
      </c>
      <c r="O3" s="3">
        <v>34.0</v>
      </c>
      <c r="P3" s="7"/>
      <c r="Q3" s="7"/>
      <c r="R3" s="7"/>
      <c r="S3" s="10" t="s">
        <v>5</v>
      </c>
      <c r="T3" s="7"/>
      <c r="AB3" s="7"/>
      <c r="AC3" s="7"/>
    </row>
    <row r="4">
      <c r="B4" s="11"/>
      <c r="C4" s="11"/>
      <c r="D4" s="11"/>
      <c r="E4" s="11"/>
      <c r="F4" s="11"/>
      <c r="G4" s="7"/>
      <c r="H4" s="7"/>
      <c r="I4" s="7"/>
      <c r="J4" s="7"/>
      <c r="K4" s="5"/>
      <c r="L4" s="9"/>
      <c r="M4" s="3"/>
      <c r="N4" s="2" t="s">
        <v>6</v>
      </c>
      <c r="O4" s="3">
        <v>32.0</v>
      </c>
      <c r="P4" s="7">
        <v>2.0</v>
      </c>
      <c r="Q4" s="7"/>
      <c r="R4" s="7"/>
      <c r="S4" s="7"/>
      <c r="T4" s="12">
        <v>1.0</v>
      </c>
      <c r="U4" s="12">
        <v>2.0</v>
      </c>
      <c r="V4" s="12">
        <v>3.0</v>
      </c>
      <c r="W4" s="12">
        <v>4.0</v>
      </c>
      <c r="Z4" s="13"/>
      <c r="AB4" s="7"/>
      <c r="AC4" s="7"/>
      <c r="AE4" s="7"/>
      <c r="AG4" s="14"/>
      <c r="AH4" s="14"/>
      <c r="AI4" s="15"/>
      <c r="AJ4" s="15"/>
      <c r="AK4" s="15"/>
      <c r="AL4" s="14"/>
    </row>
    <row r="5">
      <c r="A5" s="16"/>
      <c r="B5" s="17">
        <v>1.0</v>
      </c>
      <c r="C5" s="17">
        <v>2.0</v>
      </c>
      <c r="D5" s="18">
        <v>3.0</v>
      </c>
      <c r="E5" s="18">
        <v>4.0</v>
      </c>
      <c r="F5" s="16"/>
      <c r="G5" s="7"/>
      <c r="H5" s="19">
        <v>1.0</v>
      </c>
      <c r="I5" s="19" t="s">
        <v>7</v>
      </c>
      <c r="J5" s="7"/>
      <c r="K5" s="5"/>
      <c r="L5" s="9"/>
      <c r="M5" s="3"/>
      <c r="N5" s="2" t="s">
        <v>8</v>
      </c>
      <c r="O5" s="3">
        <v>30.0</v>
      </c>
      <c r="P5" s="7"/>
      <c r="Q5" s="7"/>
      <c r="R5" s="7"/>
      <c r="S5" s="20" t="s">
        <v>9</v>
      </c>
      <c r="T5" s="20" t="s">
        <v>10</v>
      </c>
      <c r="U5" s="20" t="s">
        <v>11</v>
      </c>
      <c r="V5" s="20" t="s">
        <v>12</v>
      </c>
      <c r="W5" s="20" t="s">
        <v>13</v>
      </c>
      <c r="X5" s="20" t="s">
        <v>14</v>
      </c>
      <c r="Z5" s="21">
        <v>1.0</v>
      </c>
      <c r="AA5" s="19" t="s">
        <v>7</v>
      </c>
      <c r="AB5" s="22"/>
      <c r="AC5" s="7"/>
      <c r="AE5" s="7"/>
      <c r="AG5" s="14"/>
      <c r="AH5" s="14"/>
      <c r="AI5" s="15"/>
      <c r="AJ5" s="15"/>
      <c r="AK5" s="15"/>
      <c r="AL5" s="14"/>
    </row>
    <row r="6">
      <c r="A6" s="23" t="s">
        <v>9</v>
      </c>
      <c r="B6" s="23" t="s">
        <v>10</v>
      </c>
      <c r="C6" s="23" t="s">
        <v>11</v>
      </c>
      <c r="D6" s="23" t="s">
        <v>12</v>
      </c>
      <c r="E6" s="23" t="s">
        <v>13</v>
      </c>
      <c r="F6" s="23" t="s">
        <v>14</v>
      </c>
      <c r="G6" s="7"/>
      <c r="H6" s="19">
        <v>3.0</v>
      </c>
      <c r="I6" s="19" t="s">
        <v>15</v>
      </c>
      <c r="J6" s="7"/>
      <c r="K6" s="5"/>
      <c r="L6" s="9"/>
      <c r="M6" s="3"/>
      <c r="N6" s="2" t="s">
        <v>16</v>
      </c>
      <c r="O6" s="3">
        <v>27.0</v>
      </c>
      <c r="P6" s="7">
        <v>3.0</v>
      </c>
      <c r="Q6" s="7"/>
      <c r="R6" s="7"/>
      <c r="S6" s="20" t="s">
        <v>17</v>
      </c>
      <c r="T6" s="24">
        <v>0.0</v>
      </c>
      <c r="U6" s="24">
        <v>0.0</v>
      </c>
      <c r="V6" s="24">
        <v>0.0</v>
      </c>
      <c r="W6" s="24">
        <v>3.0</v>
      </c>
      <c r="X6" s="24">
        <f>(W6*W4)</f>
        <v>12</v>
      </c>
      <c r="Z6" s="21">
        <v>3.0</v>
      </c>
      <c r="AA6" s="19" t="s">
        <v>18</v>
      </c>
      <c r="AB6" s="22"/>
      <c r="AC6" s="7"/>
      <c r="AE6" s="7"/>
      <c r="AG6" s="14"/>
      <c r="AH6" s="14"/>
      <c r="AI6" s="15"/>
      <c r="AJ6" s="15"/>
      <c r="AK6" s="15"/>
      <c r="AL6" s="14"/>
    </row>
    <row r="7">
      <c r="A7" s="23" t="s">
        <v>17</v>
      </c>
      <c r="B7" s="25">
        <v>0.0</v>
      </c>
      <c r="C7" s="25">
        <v>0.0</v>
      </c>
      <c r="D7" s="25">
        <v>2.0</v>
      </c>
      <c r="E7" s="25">
        <v>7.0</v>
      </c>
      <c r="F7" s="25">
        <f>(D7*D5+E7*E5)</f>
        <v>34</v>
      </c>
      <c r="G7" s="7"/>
      <c r="H7" s="19">
        <v>5.0</v>
      </c>
      <c r="I7" s="19" t="s">
        <v>19</v>
      </c>
      <c r="J7" s="7"/>
      <c r="K7" s="5"/>
      <c r="L7" s="9"/>
      <c r="M7" s="3"/>
      <c r="N7" s="2" t="s">
        <v>20</v>
      </c>
      <c r="O7" s="3">
        <v>21.0</v>
      </c>
      <c r="P7" s="7"/>
      <c r="Q7" s="7"/>
      <c r="R7" s="7"/>
      <c r="S7" s="20" t="s">
        <v>21</v>
      </c>
      <c r="T7" s="24">
        <v>0.0</v>
      </c>
      <c r="U7" s="24">
        <v>0.0</v>
      </c>
      <c r="V7" s="24">
        <v>0.0</v>
      </c>
      <c r="W7" s="24">
        <v>3.0</v>
      </c>
      <c r="X7" s="24">
        <f>(W7*W4)</f>
        <v>12</v>
      </c>
      <c r="Z7" s="21">
        <v>5.0</v>
      </c>
      <c r="AA7" s="19" t="s">
        <v>22</v>
      </c>
      <c r="AB7" s="22"/>
      <c r="AC7" s="7"/>
      <c r="AE7" s="7"/>
      <c r="AG7" s="14"/>
      <c r="AH7" s="14"/>
      <c r="AI7" s="15"/>
      <c r="AJ7" s="15"/>
      <c r="AK7" s="15"/>
      <c r="AL7" s="14"/>
    </row>
    <row r="8">
      <c r="A8" s="23" t="s">
        <v>21</v>
      </c>
      <c r="B8" s="25">
        <v>0.0</v>
      </c>
      <c r="C8" s="25">
        <v>0.0</v>
      </c>
      <c r="D8" s="25">
        <v>1.0</v>
      </c>
      <c r="E8" s="25">
        <v>8.0</v>
      </c>
      <c r="F8" s="25">
        <f>(D8*D5+E8*E5)</f>
        <v>35</v>
      </c>
      <c r="G8" s="7"/>
      <c r="H8" s="19">
        <v>7.0</v>
      </c>
      <c r="I8" s="19" t="s">
        <v>23</v>
      </c>
      <c r="J8" s="7"/>
      <c r="K8" s="5"/>
      <c r="L8" s="5"/>
      <c r="M8" s="3"/>
      <c r="N8" s="3"/>
      <c r="O8" s="3"/>
      <c r="P8" s="7"/>
      <c r="Q8" s="7"/>
      <c r="R8" s="7"/>
      <c r="S8" s="20" t="s">
        <v>24</v>
      </c>
      <c r="T8" s="24">
        <v>0.0</v>
      </c>
      <c r="U8" s="24">
        <v>2.0</v>
      </c>
      <c r="V8" s="24">
        <v>1.0</v>
      </c>
      <c r="W8" s="24">
        <v>0.0</v>
      </c>
      <c r="X8" s="26">
        <f>(U8*U4+V8*V4)</f>
        <v>7</v>
      </c>
      <c r="Z8" s="21">
        <v>7.0</v>
      </c>
      <c r="AA8" s="19" t="s">
        <v>25</v>
      </c>
      <c r="AB8" s="22"/>
      <c r="AC8" s="7"/>
      <c r="AE8" s="7"/>
      <c r="AG8" s="14"/>
      <c r="AH8" s="14"/>
      <c r="AI8" s="15"/>
      <c r="AJ8" s="15"/>
      <c r="AK8" s="15"/>
      <c r="AL8" s="14"/>
    </row>
    <row r="9">
      <c r="A9" s="23" t="s">
        <v>24</v>
      </c>
      <c r="B9" s="25">
        <v>0.0</v>
      </c>
      <c r="C9" s="25">
        <v>1.0</v>
      </c>
      <c r="D9" s="25">
        <v>7.0</v>
      </c>
      <c r="E9" s="25">
        <v>1.0</v>
      </c>
      <c r="F9" s="25">
        <f>(C9*C5+D9*D5+E9*E5)</f>
        <v>27</v>
      </c>
      <c r="G9" s="7"/>
      <c r="H9" s="19">
        <v>9.0</v>
      </c>
      <c r="I9" s="19" t="s">
        <v>26</v>
      </c>
      <c r="J9" s="7"/>
      <c r="K9" s="7"/>
      <c r="L9" s="27" t="s">
        <v>27</v>
      </c>
      <c r="M9" s="2" t="s">
        <v>28</v>
      </c>
      <c r="N9" s="3">
        <v>1.0</v>
      </c>
      <c r="O9" s="3"/>
      <c r="P9" s="7" t="s">
        <v>29</v>
      </c>
      <c r="Q9" s="7">
        <f>21-34</f>
        <v>-13</v>
      </c>
      <c r="R9" s="7"/>
      <c r="S9" s="20" t="s">
        <v>30</v>
      </c>
      <c r="T9" s="24">
        <v>0.0</v>
      </c>
      <c r="U9" s="24">
        <v>1.0</v>
      </c>
      <c r="V9" s="24">
        <v>2.0</v>
      </c>
      <c r="W9" s="24">
        <v>0.0</v>
      </c>
      <c r="X9" s="26">
        <f>(T9*T4+U9*U4+V9*V4)</f>
        <v>8</v>
      </c>
      <c r="Z9" s="21">
        <v>9.0</v>
      </c>
      <c r="AA9" s="19" t="s">
        <v>31</v>
      </c>
      <c r="AB9" s="22"/>
      <c r="AC9" s="7"/>
      <c r="AE9" s="7"/>
      <c r="AG9" s="14"/>
      <c r="AH9" s="14"/>
      <c r="AI9" s="15"/>
      <c r="AJ9" s="15"/>
      <c r="AK9" s="15"/>
      <c r="AL9" s="14"/>
    </row>
    <row r="10">
      <c r="A10" s="28" t="s">
        <v>30</v>
      </c>
      <c r="B10" s="25">
        <v>1.0</v>
      </c>
      <c r="C10" s="25">
        <v>4.0</v>
      </c>
      <c r="D10" s="25">
        <v>4.0</v>
      </c>
      <c r="E10" s="25">
        <v>0.0</v>
      </c>
      <c r="F10" s="25">
        <f>(B10*B5+C10*C5+D10*D5+E10*E5)</f>
        <v>21</v>
      </c>
      <c r="G10" s="7"/>
      <c r="H10" s="7"/>
      <c r="I10" s="7"/>
      <c r="J10" s="7"/>
      <c r="K10" s="7"/>
      <c r="L10" s="7"/>
      <c r="M10" s="2" t="s">
        <v>32</v>
      </c>
      <c r="N10" s="3" t="s">
        <v>33</v>
      </c>
      <c r="O10" s="3"/>
      <c r="P10" s="7" t="s">
        <v>34</v>
      </c>
      <c r="Q10" s="7">
        <f>21-35</f>
        <v>-14</v>
      </c>
      <c r="R10" s="7"/>
      <c r="S10" s="20" t="s">
        <v>35</v>
      </c>
      <c r="T10" s="24">
        <v>0.0</v>
      </c>
      <c r="U10" s="24">
        <v>1.0</v>
      </c>
      <c r="V10" s="24">
        <v>1.0</v>
      </c>
      <c r="W10" s="24">
        <v>1.0</v>
      </c>
      <c r="X10" s="24">
        <f>(U10*U4+V10*V4+W10*W4)</f>
        <v>9</v>
      </c>
      <c r="AB10" s="7"/>
      <c r="AC10" s="7"/>
    </row>
    <row r="11">
      <c r="A11" s="28" t="s">
        <v>35</v>
      </c>
      <c r="B11" s="25">
        <v>0.0</v>
      </c>
      <c r="C11" s="25">
        <v>1.0</v>
      </c>
      <c r="D11" s="25">
        <v>4.0</v>
      </c>
      <c r="E11" s="25">
        <v>4.0</v>
      </c>
      <c r="F11" s="25">
        <f>(C11*C5+D11*D5+E11*E5)</f>
        <v>30</v>
      </c>
      <c r="G11" s="7"/>
      <c r="H11" s="7"/>
      <c r="I11" s="7"/>
      <c r="J11" s="8"/>
      <c r="K11" s="5"/>
      <c r="L11" s="5"/>
      <c r="M11" s="2" t="s">
        <v>36</v>
      </c>
      <c r="N11" s="3">
        <f>35-27</f>
        <v>8</v>
      </c>
      <c r="O11" s="3"/>
      <c r="P11" s="7" t="s">
        <v>37</v>
      </c>
      <c r="Q11" s="7">
        <f>21-27</f>
        <v>-6</v>
      </c>
      <c r="R11" s="7"/>
      <c r="S11" s="20" t="s">
        <v>38</v>
      </c>
      <c r="T11" s="24">
        <v>0.0</v>
      </c>
      <c r="U11" s="24">
        <v>0.0</v>
      </c>
      <c r="V11" s="24">
        <v>2.0</v>
      </c>
      <c r="W11" s="24">
        <v>1.0</v>
      </c>
      <c r="X11" s="24">
        <f>(V11*V4+W11*W4)</f>
        <v>10</v>
      </c>
      <c r="AF11" s="29"/>
      <c r="AG11" s="29"/>
      <c r="AH11" s="29"/>
      <c r="AI11" s="29"/>
      <c r="AJ11" s="29"/>
      <c r="AK11" s="29"/>
      <c r="AL11" s="29"/>
    </row>
    <row r="12">
      <c r="A12" s="28" t="s">
        <v>38</v>
      </c>
      <c r="B12" s="25">
        <v>0.0</v>
      </c>
      <c r="C12" s="25">
        <v>0.0</v>
      </c>
      <c r="D12" s="25">
        <v>2.0</v>
      </c>
      <c r="E12" s="25">
        <v>7.0</v>
      </c>
      <c r="F12" s="25">
        <f>(D12*D5+E12*E5)</f>
        <v>34</v>
      </c>
      <c r="G12" s="7"/>
      <c r="H12" s="7"/>
      <c r="I12" s="7"/>
      <c r="J12" s="7"/>
      <c r="K12" s="5"/>
      <c r="L12" s="5"/>
      <c r="M12" s="2" t="s">
        <v>39</v>
      </c>
      <c r="N12" s="3">
        <f>35-21</f>
        <v>14</v>
      </c>
      <c r="O12" s="3"/>
      <c r="P12" s="5" t="s">
        <v>40</v>
      </c>
      <c r="Q12" s="5" t="s">
        <v>33</v>
      </c>
      <c r="R12" s="7"/>
      <c r="S12" s="20" t="s">
        <v>41</v>
      </c>
      <c r="T12" s="24">
        <v>0.0</v>
      </c>
      <c r="U12" s="24">
        <v>1.0</v>
      </c>
      <c r="V12" s="24">
        <v>2.0</v>
      </c>
      <c r="W12" s="24">
        <v>0.0</v>
      </c>
      <c r="X12" s="24">
        <f>(U12*U4+V12*V4)</f>
        <v>8</v>
      </c>
      <c r="AF12" s="29"/>
      <c r="AG12" s="29"/>
      <c r="AH12" s="29"/>
      <c r="AI12" s="29"/>
      <c r="AJ12" s="29"/>
      <c r="AK12" s="29"/>
      <c r="AL12" s="29"/>
    </row>
    <row r="13">
      <c r="A13" s="28" t="s">
        <v>42</v>
      </c>
      <c r="B13" s="25">
        <v>0.0</v>
      </c>
      <c r="C13" s="25">
        <v>1.0</v>
      </c>
      <c r="D13" s="25">
        <v>2.0</v>
      </c>
      <c r="E13" s="25">
        <v>6.0</v>
      </c>
      <c r="F13" s="25">
        <f>(C13*C5+D13*D5+E13*E5)</f>
        <v>32</v>
      </c>
      <c r="G13" s="7"/>
      <c r="H13" s="7"/>
      <c r="I13" s="7"/>
      <c r="J13" s="7"/>
      <c r="K13" s="5"/>
      <c r="L13" s="5"/>
      <c r="M13" s="2" t="s">
        <v>43</v>
      </c>
      <c r="N13" s="3">
        <f>35-30</f>
        <v>5</v>
      </c>
      <c r="O13" s="3"/>
      <c r="P13" s="5" t="s">
        <v>44</v>
      </c>
      <c r="Q13" s="5">
        <f>21-30</f>
        <v>-9</v>
      </c>
      <c r="R13" s="7"/>
      <c r="S13" s="7"/>
      <c r="T13" s="7"/>
      <c r="AF13" s="30"/>
      <c r="AG13" s="30"/>
      <c r="AH13" s="30"/>
      <c r="AI13" s="30"/>
      <c r="AJ13" s="30"/>
      <c r="AK13" s="30"/>
      <c r="AL13" s="30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2" t="s">
        <v>27</v>
      </c>
      <c r="N14" s="3">
        <v>1.0</v>
      </c>
      <c r="O14" s="3"/>
      <c r="P14" s="5" t="s">
        <v>45</v>
      </c>
      <c r="Q14" s="5">
        <f>21-34</f>
        <v>-13</v>
      </c>
      <c r="R14" s="7"/>
      <c r="S14" s="31" t="s">
        <v>46</v>
      </c>
      <c r="T14" s="7"/>
      <c r="AD14" s="32" t="s">
        <v>47</v>
      </c>
      <c r="AE14" s="29">
        <v>12.0</v>
      </c>
      <c r="AF14" s="30"/>
      <c r="AG14" s="30"/>
      <c r="AH14" s="30"/>
      <c r="AI14" s="30"/>
      <c r="AJ14" s="30"/>
      <c r="AK14" s="30"/>
      <c r="AL14" s="30"/>
    </row>
    <row r="15">
      <c r="A15" s="7"/>
      <c r="B15" s="7"/>
      <c r="C15" s="7"/>
      <c r="D15" s="7"/>
      <c r="E15" s="7"/>
      <c r="F15" s="7"/>
      <c r="G15" s="33"/>
      <c r="H15" s="33"/>
      <c r="I15" s="7"/>
      <c r="J15" s="7"/>
      <c r="K15" s="5"/>
      <c r="L15" s="5"/>
      <c r="M15" s="2" t="s">
        <v>48</v>
      </c>
      <c r="N15" s="3">
        <f>35-32</f>
        <v>3</v>
      </c>
      <c r="O15" s="3"/>
      <c r="P15" s="5" t="s">
        <v>49</v>
      </c>
      <c r="Q15" s="5">
        <f>21-32</f>
        <v>-11</v>
      </c>
      <c r="R15" s="7"/>
      <c r="S15" s="34" t="s">
        <v>9</v>
      </c>
      <c r="T15" s="34" t="s">
        <v>17</v>
      </c>
      <c r="U15" s="34" t="s">
        <v>21</v>
      </c>
      <c r="V15" s="34" t="s">
        <v>24</v>
      </c>
      <c r="W15" s="34" t="s">
        <v>30</v>
      </c>
      <c r="X15" s="34" t="s">
        <v>35</v>
      </c>
      <c r="Y15" s="34" t="s">
        <v>38</v>
      </c>
      <c r="Z15" s="34" t="s">
        <v>41</v>
      </c>
      <c r="AD15" s="35" t="s">
        <v>50</v>
      </c>
      <c r="AF15" s="30"/>
      <c r="AG15" s="30"/>
      <c r="AH15" s="30"/>
      <c r="AI15" s="30"/>
      <c r="AJ15" s="30"/>
      <c r="AK15" s="36"/>
      <c r="AL15" s="36"/>
    </row>
    <row r="16">
      <c r="A16" s="37" t="s">
        <v>46</v>
      </c>
      <c r="B16" s="38"/>
      <c r="C16" s="38"/>
      <c r="D16" s="38"/>
      <c r="E16" s="38"/>
      <c r="F16" s="38"/>
      <c r="G16" s="39"/>
      <c r="H16" s="39"/>
      <c r="I16" s="7"/>
      <c r="J16" s="7"/>
      <c r="K16" s="5"/>
      <c r="L16" s="5"/>
      <c r="M16" s="2" t="s">
        <v>51</v>
      </c>
      <c r="N16" s="3" t="s">
        <v>33</v>
      </c>
      <c r="O16" s="3"/>
      <c r="P16" s="5" t="s">
        <v>52</v>
      </c>
      <c r="Q16" s="5">
        <f>30-34</f>
        <v>-4</v>
      </c>
      <c r="R16" s="7"/>
      <c r="S16" s="34" t="s">
        <v>17</v>
      </c>
      <c r="T16" s="40">
        <v>1.0</v>
      </c>
      <c r="U16" s="40">
        <v>1.0</v>
      </c>
      <c r="V16" s="40">
        <v>7.0</v>
      </c>
      <c r="W16" s="40">
        <v>5.0</v>
      </c>
      <c r="X16" s="40">
        <v>5.0</v>
      </c>
      <c r="Y16" s="40">
        <v>3.0</v>
      </c>
      <c r="Z16" s="40">
        <v>5.0</v>
      </c>
      <c r="AD16" s="35" t="s">
        <v>53</v>
      </c>
      <c r="AE16" s="36">
        <v>7.0</v>
      </c>
      <c r="AF16" s="30"/>
      <c r="AG16" s="30"/>
      <c r="AH16" s="30"/>
      <c r="AI16" s="30"/>
      <c r="AJ16" s="30"/>
      <c r="AK16" s="36"/>
      <c r="AL16" s="36"/>
    </row>
    <row r="17">
      <c r="A17" s="41" t="s">
        <v>9</v>
      </c>
      <c r="B17" s="41" t="s">
        <v>17</v>
      </c>
      <c r="C17" s="41" t="s">
        <v>21</v>
      </c>
      <c r="D17" s="41" t="s">
        <v>24</v>
      </c>
      <c r="E17" s="41" t="s">
        <v>30</v>
      </c>
      <c r="F17" s="41" t="s">
        <v>35</v>
      </c>
      <c r="G17" s="41" t="s">
        <v>38</v>
      </c>
      <c r="H17" s="41" t="s">
        <v>42</v>
      </c>
      <c r="I17" s="7"/>
      <c r="J17" s="7"/>
      <c r="K17" s="7"/>
      <c r="L17" s="7"/>
      <c r="M17" s="2" t="s">
        <v>54</v>
      </c>
      <c r="N17" s="3">
        <v>-1.0</v>
      </c>
      <c r="O17" s="3"/>
      <c r="P17" s="7" t="s">
        <v>55</v>
      </c>
      <c r="Q17" s="7">
        <v>-5.0</v>
      </c>
      <c r="R17" s="7"/>
      <c r="S17" s="34" t="s">
        <v>21</v>
      </c>
      <c r="T17" s="40">
        <v>1.0</v>
      </c>
      <c r="U17" s="40">
        <v>1.0</v>
      </c>
      <c r="V17" s="40">
        <v>7.0</v>
      </c>
      <c r="W17" s="40">
        <v>5.0</v>
      </c>
      <c r="X17" s="40">
        <v>5.0</v>
      </c>
      <c r="Y17" s="40">
        <v>3.0</v>
      </c>
      <c r="Z17" s="40">
        <v>5.0</v>
      </c>
      <c r="AD17" s="35" t="s">
        <v>56</v>
      </c>
      <c r="AE17" s="36">
        <v>8.0</v>
      </c>
      <c r="AF17" s="30"/>
      <c r="AG17" s="30"/>
      <c r="AH17" s="30"/>
      <c r="AI17" s="30"/>
      <c r="AJ17" s="30"/>
      <c r="AK17" s="36"/>
      <c r="AL17" s="36"/>
    </row>
    <row r="18">
      <c r="A18" s="41" t="s">
        <v>17</v>
      </c>
      <c r="B18" s="42">
        <v>1.0</v>
      </c>
      <c r="C18" s="42">
        <v>0.3333333333333333</v>
      </c>
      <c r="D18" s="42">
        <v>5.0</v>
      </c>
      <c r="E18" s="42">
        <v>9.0</v>
      </c>
      <c r="F18" s="42">
        <v>3.0</v>
      </c>
      <c r="G18" s="42">
        <v>1.0</v>
      </c>
      <c r="H18" s="42">
        <v>3.0</v>
      </c>
      <c r="I18" s="7"/>
      <c r="J18" s="1"/>
      <c r="K18" s="7"/>
      <c r="L18" s="7"/>
      <c r="M18" s="2" t="s">
        <v>57</v>
      </c>
      <c r="N18" s="3">
        <f>34-27</f>
        <v>7</v>
      </c>
      <c r="O18" s="3"/>
      <c r="P18" s="7" t="s">
        <v>58</v>
      </c>
      <c r="Q18" s="7">
        <v>3.0</v>
      </c>
      <c r="R18" s="7"/>
      <c r="S18" s="34" t="s">
        <v>24</v>
      </c>
      <c r="T18" s="40">
        <f t="shared" ref="T18:U18" si="1">1/7</f>
        <v>0.1428571429</v>
      </c>
      <c r="U18" s="40">
        <f t="shared" si="1"/>
        <v>0.1428571429</v>
      </c>
      <c r="V18" s="40">
        <v>1.0</v>
      </c>
      <c r="W18" s="40">
        <f>1/3</f>
        <v>0.3333333333</v>
      </c>
      <c r="X18" s="40">
        <v>0.3333333333333333</v>
      </c>
      <c r="Y18" s="40">
        <f>1/5</f>
        <v>0.2</v>
      </c>
      <c r="Z18" s="43">
        <f>1/3</f>
        <v>0.3333333333</v>
      </c>
      <c r="AD18" s="32" t="s">
        <v>59</v>
      </c>
      <c r="AE18" s="30">
        <v>9.0</v>
      </c>
    </row>
    <row r="19">
      <c r="A19" s="41" t="s">
        <v>21</v>
      </c>
      <c r="B19" s="42">
        <v>3.0</v>
      </c>
      <c r="C19" s="42">
        <v>1.0</v>
      </c>
      <c r="D19" s="42">
        <v>5.0</v>
      </c>
      <c r="E19" s="42">
        <v>9.0</v>
      </c>
      <c r="F19" s="42">
        <v>5.0</v>
      </c>
      <c r="G19" s="42">
        <v>3.0</v>
      </c>
      <c r="H19" s="42">
        <v>3.0</v>
      </c>
      <c r="I19" s="7"/>
      <c r="J19" s="5"/>
      <c r="K19" s="5"/>
      <c r="L19" s="5"/>
      <c r="M19" s="2" t="s">
        <v>60</v>
      </c>
      <c r="N19" s="3">
        <f>34-21</f>
        <v>13</v>
      </c>
      <c r="O19" s="3"/>
      <c r="P19" s="5" t="s">
        <v>61</v>
      </c>
      <c r="Q19" s="5">
        <v>9.0</v>
      </c>
      <c r="R19" s="5"/>
      <c r="S19" s="34" t="s">
        <v>30</v>
      </c>
      <c r="T19" s="40">
        <f t="shared" ref="T19:U19" si="2">1/5</f>
        <v>0.2</v>
      </c>
      <c r="U19" s="40">
        <f t="shared" si="2"/>
        <v>0.2</v>
      </c>
      <c r="V19" s="40">
        <v>3.0</v>
      </c>
      <c r="W19" s="40">
        <v>1.0</v>
      </c>
      <c r="X19" s="40">
        <v>0.3333333333333333</v>
      </c>
      <c r="Y19" s="40">
        <f t="shared" ref="Y19:Y20" si="5">1/3</f>
        <v>0.3333333333</v>
      </c>
      <c r="Z19" s="43">
        <v>1.0</v>
      </c>
      <c r="AD19" s="44" t="s">
        <v>62</v>
      </c>
      <c r="AE19" s="30">
        <v>10.0</v>
      </c>
    </row>
    <row r="20">
      <c r="A20" s="41" t="s">
        <v>24</v>
      </c>
      <c r="B20" s="42">
        <v>0.2</v>
      </c>
      <c r="C20" s="42">
        <f>1/5</f>
        <v>0.2</v>
      </c>
      <c r="D20" s="42">
        <v>1.0</v>
      </c>
      <c r="E20" s="42">
        <v>5.0</v>
      </c>
      <c r="F20" s="42">
        <f>1/3</f>
        <v>0.3333333333</v>
      </c>
      <c r="G20" s="45">
        <f t="shared" ref="G20:H20" si="3">1/5</f>
        <v>0.2</v>
      </c>
      <c r="H20" s="45">
        <f t="shared" si="3"/>
        <v>0.2</v>
      </c>
      <c r="I20" s="7"/>
      <c r="J20" s="7"/>
      <c r="K20" s="5"/>
      <c r="L20" s="5"/>
      <c r="M20" s="2" t="s">
        <v>63</v>
      </c>
      <c r="N20" s="3">
        <f>34-30</f>
        <v>4</v>
      </c>
      <c r="O20" s="3"/>
      <c r="P20" s="7" t="s">
        <v>64</v>
      </c>
      <c r="Q20" s="7" t="s">
        <v>33</v>
      </c>
      <c r="R20" s="7"/>
      <c r="S20" s="34" t="s">
        <v>35</v>
      </c>
      <c r="T20" s="40">
        <f t="shared" ref="T20:U20" si="4">1/5</f>
        <v>0.2</v>
      </c>
      <c r="U20" s="40">
        <f t="shared" si="4"/>
        <v>0.2</v>
      </c>
      <c r="V20" s="40">
        <v>3.0</v>
      </c>
      <c r="W20" s="40">
        <f>3</f>
        <v>3</v>
      </c>
      <c r="X20" s="40">
        <v>1.0</v>
      </c>
      <c r="Y20" s="40">
        <f t="shared" si="5"/>
        <v>0.3333333333</v>
      </c>
      <c r="Z20" s="43">
        <v>3.0</v>
      </c>
      <c r="AB20" s="46"/>
      <c r="AD20" s="47" t="s">
        <v>65</v>
      </c>
      <c r="AE20" s="30">
        <v>8.0</v>
      </c>
    </row>
    <row r="21" ht="15.75" customHeight="1">
      <c r="A21" s="41" t="s">
        <v>30</v>
      </c>
      <c r="B21" s="42">
        <f t="shared" ref="B21:C21" si="6">1/9</f>
        <v>0.1111111111</v>
      </c>
      <c r="C21" s="42">
        <f t="shared" si="6"/>
        <v>0.1111111111</v>
      </c>
      <c r="D21" s="42">
        <f>1/5</f>
        <v>0.2</v>
      </c>
      <c r="E21" s="42">
        <v>1.0</v>
      </c>
      <c r="F21" s="42">
        <f>1/7</f>
        <v>0.1428571429</v>
      </c>
      <c r="G21" s="45">
        <f>1/9</f>
        <v>0.1111111111</v>
      </c>
      <c r="H21" s="45">
        <f>1/7</f>
        <v>0.1428571429</v>
      </c>
      <c r="I21" s="7"/>
      <c r="J21" s="7"/>
      <c r="K21" s="5"/>
      <c r="L21" s="5"/>
      <c r="M21" s="2" t="s">
        <v>66</v>
      </c>
      <c r="N21" s="3" t="s">
        <v>33</v>
      </c>
      <c r="O21" s="3"/>
      <c r="P21" s="7" t="s">
        <v>67</v>
      </c>
      <c r="Q21" s="7">
        <f>30-34</f>
        <v>-4</v>
      </c>
      <c r="R21" s="7"/>
      <c r="S21" s="34" t="s">
        <v>38</v>
      </c>
      <c r="T21" s="40">
        <f t="shared" ref="T21:U21" si="7">1/3</f>
        <v>0.3333333333</v>
      </c>
      <c r="U21" s="40">
        <f t="shared" si="7"/>
        <v>0.3333333333</v>
      </c>
      <c r="V21" s="40">
        <v>5.0</v>
      </c>
      <c r="W21" s="40">
        <v>3.0</v>
      </c>
      <c r="X21" s="40">
        <v>3.0</v>
      </c>
      <c r="Y21" s="40">
        <v>1.0</v>
      </c>
      <c r="Z21" s="40">
        <v>3.0</v>
      </c>
      <c r="AB21" s="48"/>
      <c r="AD21" s="46"/>
      <c r="AF21" s="49"/>
      <c r="AG21" s="49"/>
      <c r="AH21" s="49"/>
      <c r="AI21" s="49"/>
      <c r="AJ21" s="49"/>
      <c r="AK21" s="48"/>
      <c r="AL21" s="48"/>
    </row>
    <row r="22" ht="15.75" customHeight="1">
      <c r="A22" s="41" t="s">
        <v>35</v>
      </c>
      <c r="B22" s="42">
        <f>1/3</f>
        <v>0.3333333333</v>
      </c>
      <c r="C22" s="42">
        <f>1/5</f>
        <v>0.2</v>
      </c>
      <c r="D22" s="42">
        <v>3.0</v>
      </c>
      <c r="E22" s="42">
        <v>7.0</v>
      </c>
      <c r="F22" s="42">
        <v>1.0</v>
      </c>
      <c r="G22" s="45">
        <f t="shared" ref="G22:H22" si="8">1/3</f>
        <v>0.3333333333</v>
      </c>
      <c r="H22" s="45">
        <f t="shared" si="8"/>
        <v>0.3333333333</v>
      </c>
      <c r="I22" s="7"/>
      <c r="J22" s="7"/>
      <c r="K22" s="5"/>
      <c r="L22" s="5"/>
      <c r="M22" s="2" t="s">
        <v>68</v>
      </c>
      <c r="N22" s="3">
        <f>34-32</f>
        <v>2</v>
      </c>
      <c r="O22" s="3"/>
      <c r="P22" s="7" t="s">
        <v>69</v>
      </c>
      <c r="Q22" s="7">
        <f>30-32</f>
        <v>-2</v>
      </c>
      <c r="R22" s="7"/>
      <c r="S22" s="34" t="s">
        <v>41</v>
      </c>
      <c r="T22" s="40">
        <f t="shared" ref="T22:U22" si="9">1/5</f>
        <v>0.2</v>
      </c>
      <c r="U22" s="40">
        <f t="shared" si="9"/>
        <v>0.2</v>
      </c>
      <c r="V22" s="40">
        <v>3.0</v>
      </c>
      <c r="W22" s="40">
        <v>1.0</v>
      </c>
      <c r="X22" s="40">
        <f t="shared" ref="X22:Y22" si="10">1/3</f>
        <v>0.3333333333</v>
      </c>
      <c r="Y22" s="40">
        <f t="shared" si="10"/>
        <v>0.3333333333</v>
      </c>
      <c r="Z22" s="40">
        <v>1.0</v>
      </c>
      <c r="AB22" s="48"/>
      <c r="AD22" s="50">
        <v>1.2</v>
      </c>
      <c r="AE22" s="51" t="s">
        <v>70</v>
      </c>
      <c r="AF22" s="52">
        <v>1.0</v>
      </c>
      <c r="AI22" s="53">
        <v>1.0</v>
      </c>
      <c r="AJ22" s="19" t="s">
        <v>7</v>
      </c>
    </row>
    <row r="23" ht="15.75" customHeight="1">
      <c r="A23" s="54" t="s">
        <v>38</v>
      </c>
      <c r="B23" s="42">
        <v>1.0</v>
      </c>
      <c r="C23" s="42">
        <f t="shared" ref="C23:C24" si="13">1/3</f>
        <v>0.3333333333</v>
      </c>
      <c r="D23" s="42">
        <v>5.0</v>
      </c>
      <c r="E23" s="42">
        <v>9.0</v>
      </c>
      <c r="F23" s="42">
        <v>3.0</v>
      </c>
      <c r="G23" s="42">
        <v>1.0</v>
      </c>
      <c r="H23" s="42">
        <v>3.0</v>
      </c>
      <c r="I23" s="7"/>
      <c r="J23" s="7"/>
      <c r="K23" s="5"/>
      <c r="L23" s="5"/>
      <c r="M23" s="3"/>
      <c r="N23" s="3"/>
      <c r="O23" s="3"/>
      <c r="P23" s="7"/>
      <c r="Q23" s="7"/>
      <c r="R23" s="7"/>
      <c r="S23" s="34" t="s">
        <v>71</v>
      </c>
      <c r="T23" s="55">
        <f t="shared" ref="T23:W23" si="11">sum(T16:T22)</f>
        <v>3.076190476</v>
      </c>
      <c r="U23" s="55">
        <f t="shared" si="11"/>
        <v>3.076190476</v>
      </c>
      <c r="V23" s="55">
        <f t="shared" si="11"/>
        <v>29</v>
      </c>
      <c r="W23" s="55">
        <f t="shared" si="11"/>
        <v>18.33333333</v>
      </c>
      <c r="X23" s="55">
        <f>sum(X15:X22)</f>
        <v>15</v>
      </c>
      <c r="Y23" s="55">
        <f t="shared" ref="Y23:Z23" si="12">SUM(Y16:Y22)</f>
        <v>8.2</v>
      </c>
      <c r="Z23" s="55">
        <f t="shared" si="12"/>
        <v>18.33333333</v>
      </c>
      <c r="AD23" s="51">
        <v>1.3</v>
      </c>
      <c r="AE23" s="56">
        <f>12-7</f>
        <v>5</v>
      </c>
      <c r="AF23" s="52">
        <v>7.0</v>
      </c>
      <c r="AI23" s="53">
        <v>3.0</v>
      </c>
      <c r="AJ23" s="19" t="s">
        <v>18</v>
      </c>
    </row>
    <row r="24" ht="15.75" customHeight="1">
      <c r="A24" s="54" t="s">
        <v>42</v>
      </c>
      <c r="B24" s="42">
        <v>0.3333333333333333</v>
      </c>
      <c r="C24" s="42">
        <f t="shared" si="13"/>
        <v>0.3333333333</v>
      </c>
      <c r="D24" s="42">
        <v>5.0</v>
      </c>
      <c r="E24" s="42">
        <v>7.0</v>
      </c>
      <c r="F24" s="42">
        <v>3.0</v>
      </c>
      <c r="G24" s="42">
        <f>1/3</f>
        <v>0.3333333333</v>
      </c>
      <c r="H24" s="42">
        <v>1.0</v>
      </c>
      <c r="I24" s="7"/>
      <c r="J24" s="7"/>
      <c r="K24" s="5"/>
      <c r="L24" s="5"/>
      <c r="M24" s="2" t="s">
        <v>72</v>
      </c>
      <c r="N24" s="3">
        <v>-7.0</v>
      </c>
      <c r="O24" s="3"/>
      <c r="P24" s="7" t="s">
        <v>73</v>
      </c>
      <c r="Q24" s="7" t="s">
        <v>33</v>
      </c>
      <c r="R24" s="7"/>
      <c r="S24" s="7"/>
      <c r="T24" s="7"/>
      <c r="AD24" s="51">
        <v>1.4</v>
      </c>
      <c r="AE24" s="56">
        <f>12-8</f>
        <v>4</v>
      </c>
      <c r="AF24" s="52">
        <v>5.0</v>
      </c>
      <c r="AI24" s="53">
        <v>5.0</v>
      </c>
      <c r="AJ24" s="19" t="s">
        <v>22</v>
      </c>
    </row>
    <row r="25" ht="15.75" customHeight="1">
      <c r="A25" s="41" t="s">
        <v>71</v>
      </c>
      <c r="B25" s="57">
        <f t="shared" ref="B25:H25" si="14">SUM(B18:B24)</f>
        <v>5.977777778</v>
      </c>
      <c r="C25" s="57">
        <f t="shared" si="14"/>
        <v>2.511111111</v>
      </c>
      <c r="D25" s="57">
        <f t="shared" si="14"/>
        <v>24.2</v>
      </c>
      <c r="E25" s="57">
        <f t="shared" si="14"/>
        <v>47</v>
      </c>
      <c r="F25" s="57">
        <f t="shared" si="14"/>
        <v>15.47619048</v>
      </c>
      <c r="G25" s="57">
        <f t="shared" si="14"/>
        <v>5.977777778</v>
      </c>
      <c r="H25" s="57">
        <f t="shared" si="14"/>
        <v>10.67619048</v>
      </c>
      <c r="I25" s="7"/>
      <c r="J25" s="7"/>
      <c r="K25" s="7"/>
      <c r="L25" s="7"/>
      <c r="M25" s="2" t="s">
        <v>74</v>
      </c>
      <c r="N25" s="3">
        <v>-8.0</v>
      </c>
      <c r="O25" s="3"/>
      <c r="P25" s="7" t="s">
        <v>75</v>
      </c>
      <c r="Q25" s="7">
        <v>-1.0</v>
      </c>
      <c r="R25" s="7"/>
      <c r="S25" s="7"/>
      <c r="T25" s="7"/>
      <c r="AD25" s="51">
        <v>1.5</v>
      </c>
      <c r="AE25" s="56">
        <f>12-9</f>
        <v>3</v>
      </c>
      <c r="AF25" s="52">
        <v>5.0</v>
      </c>
      <c r="AI25" s="53">
        <v>7.0</v>
      </c>
      <c r="AJ25" s="19" t="s">
        <v>25</v>
      </c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2" t="s">
        <v>76</v>
      </c>
      <c r="N26" s="3" t="s">
        <v>33</v>
      </c>
      <c r="O26" s="3"/>
      <c r="P26" s="7" t="s">
        <v>77</v>
      </c>
      <c r="Q26" s="7">
        <v>7.0</v>
      </c>
      <c r="R26" s="7"/>
      <c r="S26" s="7"/>
      <c r="T26" s="7"/>
      <c r="AD26" s="51">
        <v>1.6</v>
      </c>
      <c r="AE26" s="56">
        <f>12-10</f>
        <v>2</v>
      </c>
      <c r="AF26" s="52">
        <v>3.0</v>
      </c>
      <c r="AI26" s="53">
        <v>9.0</v>
      </c>
      <c r="AJ26" s="19" t="s">
        <v>31</v>
      </c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" t="s">
        <v>78</v>
      </c>
      <c r="N27" s="3">
        <f>27-21</f>
        <v>6</v>
      </c>
      <c r="O27" s="3"/>
      <c r="P27" s="7" t="s">
        <v>79</v>
      </c>
      <c r="Q27" s="7">
        <v>13.0</v>
      </c>
      <c r="R27" s="7"/>
      <c r="S27" s="58" t="s">
        <v>80</v>
      </c>
      <c r="T27" s="7"/>
      <c r="AD27" s="51">
        <v>1.7</v>
      </c>
      <c r="AE27" s="56">
        <f>12-8</f>
        <v>4</v>
      </c>
      <c r="AF27" s="52">
        <v>5.0</v>
      </c>
    </row>
    <row r="28" ht="15.75" customHeight="1">
      <c r="A28" s="58" t="s">
        <v>81</v>
      </c>
      <c r="B28" s="38"/>
      <c r="C28" s="38"/>
      <c r="D28" s="38"/>
      <c r="E28" s="38"/>
      <c r="F28" s="38"/>
      <c r="G28" s="38"/>
      <c r="H28" s="38"/>
      <c r="I28" s="38"/>
      <c r="J28" s="39"/>
      <c r="M28" s="2" t="s">
        <v>82</v>
      </c>
      <c r="N28" s="3">
        <f>27-30</f>
        <v>-3</v>
      </c>
      <c r="O28" s="3"/>
      <c r="P28" s="4" t="s">
        <v>83</v>
      </c>
      <c r="Q28" s="4">
        <v>4.0</v>
      </c>
      <c r="S28" s="20" t="s">
        <v>9</v>
      </c>
      <c r="T28" s="20" t="s">
        <v>17</v>
      </c>
      <c r="U28" s="20" t="s">
        <v>21</v>
      </c>
      <c r="V28" s="20" t="s">
        <v>24</v>
      </c>
      <c r="W28" s="20" t="s">
        <v>30</v>
      </c>
      <c r="X28" s="20" t="s">
        <v>35</v>
      </c>
      <c r="Y28" s="20" t="s">
        <v>38</v>
      </c>
      <c r="Z28" s="20" t="s">
        <v>42</v>
      </c>
      <c r="AA28" s="20" t="s">
        <v>84</v>
      </c>
      <c r="AB28" s="20" t="s">
        <v>85</v>
      </c>
      <c r="AD28" s="59"/>
      <c r="AE28" s="59"/>
      <c r="AF28" s="60"/>
    </row>
    <row r="29" ht="15.75" customHeight="1">
      <c r="A29" s="41" t="s">
        <v>9</v>
      </c>
      <c r="B29" s="41" t="s">
        <v>17</v>
      </c>
      <c r="C29" s="41" t="s">
        <v>21</v>
      </c>
      <c r="D29" s="41" t="s">
        <v>24</v>
      </c>
      <c r="E29" s="41" t="s">
        <v>30</v>
      </c>
      <c r="F29" s="41" t="s">
        <v>35</v>
      </c>
      <c r="G29" s="41" t="s">
        <v>38</v>
      </c>
      <c r="H29" s="41" t="s">
        <v>42</v>
      </c>
      <c r="I29" s="41" t="s">
        <v>84</v>
      </c>
      <c r="J29" s="54" t="s">
        <v>85</v>
      </c>
      <c r="M29" s="2" t="s">
        <v>86</v>
      </c>
      <c r="N29" s="3">
        <f>27-34</f>
        <v>-7</v>
      </c>
      <c r="O29" s="3"/>
      <c r="P29" s="4" t="s">
        <v>87</v>
      </c>
      <c r="Q29" s="4" t="s">
        <v>33</v>
      </c>
      <c r="S29" s="61" t="s">
        <v>17</v>
      </c>
      <c r="T29" s="62">
        <f t="shared" ref="T29:Y29" si="15">T16/T23</f>
        <v>0.3250773994</v>
      </c>
      <c r="U29" s="62">
        <f t="shared" si="15"/>
        <v>0.3250773994</v>
      </c>
      <c r="V29" s="62">
        <f t="shared" si="15"/>
        <v>0.2413793103</v>
      </c>
      <c r="W29" s="62">
        <f t="shared" si="15"/>
        <v>0.2727272727</v>
      </c>
      <c r="X29" s="62">
        <f t="shared" si="15"/>
        <v>0.3333333333</v>
      </c>
      <c r="Y29" s="62">
        <f t="shared" si="15"/>
        <v>0.3658536585</v>
      </c>
      <c r="Z29" s="62">
        <f t="shared" ref="Z29:Z35" si="18">Z16/$Z$23</f>
        <v>0.2727272727</v>
      </c>
      <c r="AA29" s="62">
        <f t="shared" ref="AA29:AA35" si="19">SUM(T29:Z29)</f>
        <v>2.136175646</v>
      </c>
      <c r="AB29" s="63">
        <f t="shared" ref="AB29:AB35" si="20">AA29/7</f>
        <v>0.3051679495</v>
      </c>
      <c r="AD29" s="51">
        <v>2.1</v>
      </c>
      <c r="AE29" s="51" t="s">
        <v>33</v>
      </c>
      <c r="AF29" s="52">
        <v>1.0</v>
      </c>
      <c r="AI29" s="47" t="s">
        <v>47</v>
      </c>
      <c r="AJ29" s="29">
        <v>12.0</v>
      </c>
    </row>
    <row r="30" ht="15.75" customHeight="1">
      <c r="A30" s="41" t="s">
        <v>17</v>
      </c>
      <c r="B30" s="64">
        <f t="shared" ref="B30:H30" si="16">B18/B25</f>
        <v>0.1672862454</v>
      </c>
      <c r="C30" s="64">
        <f t="shared" si="16"/>
        <v>0.1327433628</v>
      </c>
      <c r="D30" s="64">
        <f t="shared" si="16"/>
        <v>0.2066115702</v>
      </c>
      <c r="E30" s="64">
        <f t="shared" si="16"/>
        <v>0.1914893617</v>
      </c>
      <c r="F30" s="64">
        <f t="shared" si="16"/>
        <v>0.1938461538</v>
      </c>
      <c r="G30" s="64">
        <f t="shared" si="16"/>
        <v>0.1672862454</v>
      </c>
      <c r="H30" s="64">
        <f t="shared" si="16"/>
        <v>0.2809991079</v>
      </c>
      <c r="I30" s="64">
        <f t="shared" ref="I30:I36" si="22">SUM(B30:H30)</f>
        <v>1.340262047</v>
      </c>
      <c r="J30" s="65">
        <f t="shared" ref="J30:J36" si="23">I30/7</f>
        <v>0.1914660068</v>
      </c>
      <c r="M30" s="2" t="s">
        <v>88</v>
      </c>
      <c r="N30" s="3">
        <f>27-32</f>
        <v>-5</v>
      </c>
      <c r="O30" s="3"/>
      <c r="P30" s="4" t="s">
        <v>89</v>
      </c>
      <c r="Q30" s="4">
        <f>34-32</f>
        <v>2</v>
      </c>
      <c r="S30" s="61" t="s">
        <v>21</v>
      </c>
      <c r="T30" s="62">
        <f t="shared" ref="T30:Y30" si="17">T17/T23</f>
        <v>0.3250773994</v>
      </c>
      <c r="U30" s="62">
        <f t="shared" si="17"/>
        <v>0.3250773994</v>
      </c>
      <c r="V30" s="62">
        <f t="shared" si="17"/>
        <v>0.2413793103</v>
      </c>
      <c r="W30" s="62">
        <f t="shared" si="17"/>
        <v>0.2727272727</v>
      </c>
      <c r="X30" s="62">
        <f t="shared" si="17"/>
        <v>0.3333333333</v>
      </c>
      <c r="Y30" s="62">
        <f t="shared" si="17"/>
        <v>0.3658536585</v>
      </c>
      <c r="Z30" s="62">
        <f t="shared" si="18"/>
        <v>0.2727272727</v>
      </c>
      <c r="AA30" s="62">
        <f t="shared" si="19"/>
        <v>2.136175646</v>
      </c>
      <c r="AB30" s="63">
        <f t="shared" si="20"/>
        <v>0.3051679495</v>
      </c>
      <c r="AD30" s="51">
        <v>2.2</v>
      </c>
      <c r="AE30" s="51" t="s">
        <v>33</v>
      </c>
      <c r="AF30" s="52">
        <v>1.0</v>
      </c>
      <c r="AI30" s="66" t="s">
        <v>50</v>
      </c>
    </row>
    <row r="31" ht="15.75" customHeight="1">
      <c r="A31" s="41" t="s">
        <v>21</v>
      </c>
      <c r="B31" s="64">
        <f t="shared" ref="B31:H31" si="21">B19/B25</f>
        <v>0.5018587361</v>
      </c>
      <c r="C31" s="64">
        <f t="shared" si="21"/>
        <v>0.3982300885</v>
      </c>
      <c r="D31" s="64">
        <f t="shared" si="21"/>
        <v>0.2066115702</v>
      </c>
      <c r="E31" s="64">
        <f t="shared" si="21"/>
        <v>0.1914893617</v>
      </c>
      <c r="F31" s="64">
        <f t="shared" si="21"/>
        <v>0.3230769231</v>
      </c>
      <c r="G31" s="64">
        <f t="shared" si="21"/>
        <v>0.5018587361</v>
      </c>
      <c r="H31" s="64">
        <f t="shared" si="21"/>
        <v>0.2809991079</v>
      </c>
      <c r="I31" s="64">
        <f t="shared" si="22"/>
        <v>2.404124524</v>
      </c>
      <c r="J31" s="65">
        <f t="shared" si="23"/>
        <v>0.3434463605</v>
      </c>
      <c r="M31" s="3"/>
      <c r="N31" s="3"/>
      <c r="O31" s="3"/>
      <c r="S31" s="61" t="s">
        <v>24</v>
      </c>
      <c r="T31" s="62">
        <f t="shared" ref="T31:Y31" si="24">T18/T23</f>
        <v>0.04643962848</v>
      </c>
      <c r="U31" s="62">
        <f t="shared" si="24"/>
        <v>0.04643962848</v>
      </c>
      <c r="V31" s="62">
        <f t="shared" si="24"/>
        <v>0.03448275862</v>
      </c>
      <c r="W31" s="62">
        <f t="shared" si="24"/>
        <v>0.01818181818</v>
      </c>
      <c r="X31" s="62">
        <f t="shared" si="24"/>
        <v>0.02222222222</v>
      </c>
      <c r="Y31" s="62">
        <f t="shared" si="24"/>
        <v>0.0243902439</v>
      </c>
      <c r="Z31" s="62">
        <f t="shared" si="18"/>
        <v>0.01818181818</v>
      </c>
      <c r="AA31" s="62">
        <f t="shared" si="19"/>
        <v>0.2103381181</v>
      </c>
      <c r="AB31" s="63">
        <f t="shared" si="20"/>
        <v>0.03004830258</v>
      </c>
      <c r="AD31" s="51">
        <v>2.3</v>
      </c>
      <c r="AE31" s="56">
        <f>12-7</f>
        <v>5</v>
      </c>
      <c r="AF31" s="52">
        <v>7.0</v>
      </c>
      <c r="AI31" s="66" t="s">
        <v>53</v>
      </c>
      <c r="AJ31" s="30">
        <v>7.0</v>
      </c>
    </row>
    <row r="32" ht="15.75" customHeight="1">
      <c r="A32" s="41" t="s">
        <v>24</v>
      </c>
      <c r="B32" s="64">
        <f t="shared" ref="B32:H32" si="25">B20/B25</f>
        <v>0.03345724907</v>
      </c>
      <c r="C32" s="64">
        <f t="shared" si="25"/>
        <v>0.0796460177</v>
      </c>
      <c r="D32" s="64">
        <f t="shared" si="25"/>
        <v>0.04132231405</v>
      </c>
      <c r="E32" s="64">
        <f t="shared" si="25"/>
        <v>0.1063829787</v>
      </c>
      <c r="F32" s="64">
        <f t="shared" si="25"/>
        <v>0.02153846154</v>
      </c>
      <c r="G32" s="64">
        <f t="shared" si="25"/>
        <v>0.03345724907</v>
      </c>
      <c r="H32" s="64">
        <f t="shared" si="25"/>
        <v>0.01873327386</v>
      </c>
      <c r="I32" s="64">
        <f t="shared" si="22"/>
        <v>0.334537544</v>
      </c>
      <c r="J32" s="65">
        <f t="shared" si="23"/>
        <v>0.04779107772</v>
      </c>
      <c r="M32" s="2" t="s">
        <v>90</v>
      </c>
      <c r="N32" s="3">
        <v>-2.0</v>
      </c>
      <c r="O32" s="3"/>
      <c r="S32" s="61" t="s">
        <v>30</v>
      </c>
      <c r="T32" s="62">
        <f t="shared" ref="T32:Y32" si="26">T19/T23</f>
        <v>0.06501547988</v>
      </c>
      <c r="U32" s="62">
        <f t="shared" si="26"/>
        <v>0.06501547988</v>
      </c>
      <c r="V32" s="62">
        <f t="shared" si="26"/>
        <v>0.1034482759</v>
      </c>
      <c r="W32" s="62">
        <f t="shared" si="26"/>
        <v>0.05454545455</v>
      </c>
      <c r="X32" s="62">
        <f t="shared" si="26"/>
        <v>0.02222222222</v>
      </c>
      <c r="Y32" s="62">
        <f t="shared" si="26"/>
        <v>0.0406504065</v>
      </c>
      <c r="Z32" s="62">
        <f t="shared" si="18"/>
        <v>0.05454545455</v>
      </c>
      <c r="AA32" s="62">
        <f t="shared" si="19"/>
        <v>0.4054427734</v>
      </c>
      <c r="AB32" s="63">
        <f t="shared" si="20"/>
        <v>0.0579203962</v>
      </c>
      <c r="AD32" s="51">
        <v>2.4</v>
      </c>
      <c r="AE32" s="56">
        <f>12-8</f>
        <v>4</v>
      </c>
      <c r="AF32" s="52">
        <v>5.0</v>
      </c>
      <c r="AI32" s="66" t="s">
        <v>56</v>
      </c>
      <c r="AJ32" s="30">
        <v>8.0</v>
      </c>
    </row>
    <row r="33" ht="15.75" customHeight="1">
      <c r="A33" s="41" t="s">
        <v>30</v>
      </c>
      <c r="B33" s="64">
        <f t="shared" ref="B33:H33" si="27">B21/B25</f>
        <v>0.01858736059</v>
      </c>
      <c r="C33" s="64">
        <f t="shared" si="27"/>
        <v>0.04424778761</v>
      </c>
      <c r="D33" s="64">
        <f t="shared" si="27"/>
        <v>0.00826446281</v>
      </c>
      <c r="E33" s="64">
        <f t="shared" si="27"/>
        <v>0.02127659574</v>
      </c>
      <c r="F33" s="64">
        <f t="shared" si="27"/>
        <v>0.009230769231</v>
      </c>
      <c r="G33" s="64">
        <f t="shared" si="27"/>
        <v>0.01858736059</v>
      </c>
      <c r="H33" s="64">
        <f t="shared" si="27"/>
        <v>0.0133809099</v>
      </c>
      <c r="I33" s="64">
        <f t="shared" si="22"/>
        <v>0.1335752465</v>
      </c>
      <c r="J33" s="65">
        <f t="shared" si="23"/>
        <v>0.01908217807</v>
      </c>
      <c r="M33" s="2" t="s">
        <v>91</v>
      </c>
      <c r="N33" s="3">
        <v>-3.0</v>
      </c>
      <c r="O33" s="3"/>
      <c r="S33" s="61" t="s">
        <v>35</v>
      </c>
      <c r="T33" s="62">
        <f t="shared" ref="T33:Y33" si="28">T20/T23</f>
        <v>0.06501547988</v>
      </c>
      <c r="U33" s="62">
        <f t="shared" si="28"/>
        <v>0.06501547988</v>
      </c>
      <c r="V33" s="62">
        <f t="shared" si="28"/>
        <v>0.1034482759</v>
      </c>
      <c r="W33" s="62">
        <f t="shared" si="28"/>
        <v>0.1636363636</v>
      </c>
      <c r="X33" s="62">
        <f t="shared" si="28"/>
        <v>0.06666666667</v>
      </c>
      <c r="Y33" s="62">
        <f t="shared" si="28"/>
        <v>0.0406504065</v>
      </c>
      <c r="Z33" s="62">
        <f t="shared" si="18"/>
        <v>0.1636363636</v>
      </c>
      <c r="AA33" s="62">
        <f t="shared" si="19"/>
        <v>0.6680690361</v>
      </c>
      <c r="AB33" s="63">
        <f t="shared" si="20"/>
        <v>0.09543843372</v>
      </c>
      <c r="AD33" s="51">
        <v>2.5</v>
      </c>
      <c r="AE33" s="56">
        <f>12-9</f>
        <v>3</v>
      </c>
      <c r="AF33" s="52">
        <v>5.0</v>
      </c>
      <c r="AI33" s="47" t="s">
        <v>59</v>
      </c>
      <c r="AJ33" s="30">
        <v>9.0</v>
      </c>
    </row>
    <row r="34" ht="15.75" customHeight="1">
      <c r="A34" s="41" t="s">
        <v>35</v>
      </c>
      <c r="B34" s="64">
        <f t="shared" ref="B34:H34" si="29">B22/B25</f>
        <v>0.05576208178</v>
      </c>
      <c r="C34" s="64">
        <f t="shared" si="29"/>
        <v>0.0796460177</v>
      </c>
      <c r="D34" s="64">
        <f t="shared" si="29"/>
        <v>0.1239669421</v>
      </c>
      <c r="E34" s="64">
        <f t="shared" si="29"/>
        <v>0.1489361702</v>
      </c>
      <c r="F34" s="64">
        <f t="shared" si="29"/>
        <v>0.06461538462</v>
      </c>
      <c r="G34" s="64">
        <f t="shared" si="29"/>
        <v>0.05576208178</v>
      </c>
      <c r="H34" s="64">
        <f t="shared" si="29"/>
        <v>0.0312221231</v>
      </c>
      <c r="I34" s="64">
        <f t="shared" si="22"/>
        <v>0.5599108013</v>
      </c>
      <c r="J34" s="65">
        <f t="shared" si="23"/>
        <v>0.07998725734</v>
      </c>
      <c r="M34" s="2" t="s">
        <v>92</v>
      </c>
      <c r="N34" s="3">
        <v>5.0</v>
      </c>
      <c r="O34" s="3"/>
      <c r="S34" s="61" t="s">
        <v>38</v>
      </c>
      <c r="T34" s="62">
        <f t="shared" ref="T34:Y34" si="30">T21/T23</f>
        <v>0.1083591331</v>
      </c>
      <c r="U34" s="62">
        <f t="shared" si="30"/>
        <v>0.1083591331</v>
      </c>
      <c r="V34" s="62">
        <f t="shared" si="30"/>
        <v>0.1724137931</v>
      </c>
      <c r="W34" s="62">
        <f t="shared" si="30"/>
        <v>0.1636363636</v>
      </c>
      <c r="X34" s="62">
        <f t="shared" si="30"/>
        <v>0.2</v>
      </c>
      <c r="Y34" s="62">
        <f t="shared" si="30"/>
        <v>0.1219512195</v>
      </c>
      <c r="Z34" s="62">
        <f t="shared" si="18"/>
        <v>0.1636363636</v>
      </c>
      <c r="AA34" s="62">
        <f t="shared" si="19"/>
        <v>1.038356006</v>
      </c>
      <c r="AB34" s="63">
        <f t="shared" si="20"/>
        <v>0.1483365723</v>
      </c>
      <c r="AD34" s="51">
        <v>2.6</v>
      </c>
      <c r="AE34" s="56">
        <f>12-10</f>
        <v>2</v>
      </c>
      <c r="AF34" s="52">
        <v>3.0</v>
      </c>
      <c r="AI34" s="67" t="s">
        <v>62</v>
      </c>
      <c r="AJ34" s="30">
        <v>10.0</v>
      </c>
    </row>
    <row r="35" ht="15.75" customHeight="1">
      <c r="A35" s="41" t="s">
        <v>38</v>
      </c>
      <c r="B35" s="64">
        <f t="shared" ref="B35:H35" si="31">B23/B25</f>
        <v>0.1672862454</v>
      </c>
      <c r="C35" s="64">
        <f t="shared" si="31"/>
        <v>0.1327433628</v>
      </c>
      <c r="D35" s="64">
        <f t="shared" si="31"/>
        <v>0.2066115702</v>
      </c>
      <c r="E35" s="64">
        <f t="shared" si="31"/>
        <v>0.1914893617</v>
      </c>
      <c r="F35" s="64">
        <f t="shared" si="31"/>
        <v>0.1938461538</v>
      </c>
      <c r="G35" s="64">
        <f t="shared" si="31"/>
        <v>0.1672862454</v>
      </c>
      <c r="H35" s="64">
        <f t="shared" si="31"/>
        <v>0.2809991079</v>
      </c>
      <c r="I35" s="64">
        <f t="shared" si="22"/>
        <v>1.340262047</v>
      </c>
      <c r="J35" s="65">
        <f t="shared" si="23"/>
        <v>0.1914660068</v>
      </c>
      <c r="M35" s="2" t="s">
        <v>93</v>
      </c>
      <c r="N35" s="3">
        <v>11.0</v>
      </c>
      <c r="O35" s="3"/>
      <c r="S35" s="61" t="s">
        <v>41</v>
      </c>
      <c r="T35" s="62">
        <f t="shared" ref="T35:Y35" si="32">T22/T23</f>
        <v>0.06501547988</v>
      </c>
      <c r="U35" s="62">
        <f t="shared" si="32"/>
        <v>0.06501547988</v>
      </c>
      <c r="V35" s="62">
        <f t="shared" si="32"/>
        <v>0.1034482759</v>
      </c>
      <c r="W35" s="62">
        <f t="shared" si="32"/>
        <v>0.05454545455</v>
      </c>
      <c r="X35" s="62">
        <f t="shared" si="32"/>
        <v>0.02222222222</v>
      </c>
      <c r="Y35" s="62">
        <f t="shared" si="32"/>
        <v>0.0406504065</v>
      </c>
      <c r="Z35" s="62">
        <f t="shared" si="18"/>
        <v>0.05454545455</v>
      </c>
      <c r="AA35" s="62">
        <f t="shared" si="19"/>
        <v>0.4054427734</v>
      </c>
      <c r="AB35" s="63">
        <f t="shared" si="20"/>
        <v>0.0579203962</v>
      </c>
      <c r="AD35" s="51">
        <v>2.7</v>
      </c>
      <c r="AE35" s="56">
        <f>12-8</f>
        <v>4</v>
      </c>
      <c r="AF35" s="52">
        <v>5.0</v>
      </c>
      <c r="AI35" s="47" t="s">
        <v>65</v>
      </c>
      <c r="AJ35" s="30">
        <v>8.0</v>
      </c>
    </row>
    <row r="36" ht="15.75" customHeight="1">
      <c r="A36" s="41" t="s">
        <v>41</v>
      </c>
      <c r="B36" s="64">
        <f t="shared" ref="B36:H36" si="33">B24/B25</f>
        <v>0.05576208178</v>
      </c>
      <c r="C36" s="64">
        <f t="shared" si="33"/>
        <v>0.1327433628</v>
      </c>
      <c r="D36" s="64">
        <f t="shared" si="33"/>
        <v>0.2066115702</v>
      </c>
      <c r="E36" s="64">
        <f t="shared" si="33"/>
        <v>0.1489361702</v>
      </c>
      <c r="F36" s="64">
        <f t="shared" si="33"/>
        <v>0.1938461538</v>
      </c>
      <c r="G36" s="64">
        <f t="shared" si="33"/>
        <v>0.05576208178</v>
      </c>
      <c r="H36" s="64">
        <f t="shared" si="33"/>
        <v>0.09366636931</v>
      </c>
      <c r="I36" s="64">
        <f t="shared" si="22"/>
        <v>0.88732779</v>
      </c>
      <c r="J36" s="65">
        <f t="shared" si="23"/>
        <v>0.1267611129</v>
      </c>
      <c r="M36" s="2" t="s">
        <v>94</v>
      </c>
      <c r="N36" s="3">
        <v>2.0</v>
      </c>
      <c r="O36" s="3"/>
      <c r="T36" s="33"/>
      <c r="U36" s="33"/>
      <c r="V36" s="33"/>
      <c r="W36" s="33"/>
      <c r="X36" s="33"/>
      <c r="Y36" s="33"/>
      <c r="AF36" s="60"/>
    </row>
    <row r="37" ht="15.75" customHeight="1">
      <c r="A37" s="68"/>
      <c r="B37" s="69"/>
      <c r="C37" s="69"/>
      <c r="D37" s="69"/>
      <c r="E37" s="69"/>
      <c r="F37" s="69"/>
      <c r="G37" s="69"/>
      <c r="H37" s="69"/>
      <c r="I37" s="70"/>
      <c r="J37" s="65">
        <f>SUM(J30:J36)</f>
        <v>1</v>
      </c>
      <c r="M37" s="2" t="s">
        <v>95</v>
      </c>
      <c r="N37" s="3">
        <v>-2.0</v>
      </c>
      <c r="O37" s="3"/>
      <c r="AD37" s="30">
        <v>3.1</v>
      </c>
      <c r="AE37" s="4">
        <f t="shared" ref="AE37:AE38" si="34">7-12</f>
        <v>-5</v>
      </c>
      <c r="AF37" s="71">
        <v>44013.0</v>
      </c>
      <c r="AG37" s="30">
        <v>5.1</v>
      </c>
      <c r="AH37" s="4">
        <f t="shared" ref="AH37:AH38" si="35">9-12</f>
        <v>-3</v>
      </c>
      <c r="AI37" s="71">
        <v>43952.0</v>
      </c>
      <c r="AJ37" s="30">
        <v>7.1</v>
      </c>
      <c r="AK37" s="4">
        <f t="shared" ref="AK37:AK38" si="36">8-12</f>
        <v>-4</v>
      </c>
      <c r="AL37" s="71">
        <v>43952.0</v>
      </c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M38" s="2" t="s">
        <v>96</v>
      </c>
      <c r="N38" s="3" t="s">
        <v>33</v>
      </c>
      <c r="O38" s="3"/>
      <c r="AD38" s="30">
        <v>3.2</v>
      </c>
      <c r="AE38" s="4">
        <f t="shared" si="34"/>
        <v>-5</v>
      </c>
      <c r="AF38" s="71">
        <v>44013.0</v>
      </c>
      <c r="AG38" s="30">
        <v>5.2</v>
      </c>
      <c r="AH38" s="4">
        <f t="shared" si="35"/>
        <v>-3</v>
      </c>
      <c r="AI38" s="71">
        <v>43952.0</v>
      </c>
      <c r="AJ38" s="30">
        <v>7.2</v>
      </c>
      <c r="AK38" s="4">
        <f t="shared" si="36"/>
        <v>-4</v>
      </c>
      <c r="AL38" s="71">
        <v>43952.0</v>
      </c>
    </row>
    <row r="39" ht="15.75" customHeight="1">
      <c r="AD39" s="30">
        <v>3.3</v>
      </c>
      <c r="AE39" s="30" t="s">
        <v>33</v>
      </c>
      <c r="AF39" s="52">
        <v>1.0</v>
      </c>
      <c r="AG39" s="30">
        <v>5.3</v>
      </c>
      <c r="AH39" s="4">
        <f>9-7</f>
        <v>2</v>
      </c>
      <c r="AI39" s="52">
        <v>3.0</v>
      </c>
      <c r="AJ39" s="30">
        <v>7.3</v>
      </c>
      <c r="AK39" s="4">
        <f>8-7</f>
        <v>1</v>
      </c>
      <c r="AL39" s="52">
        <v>3.0</v>
      </c>
    </row>
    <row r="40" ht="15.75" customHeight="1">
      <c r="AD40" s="30">
        <v>3.4</v>
      </c>
      <c r="AE40" s="4">
        <f>7-8</f>
        <v>-1</v>
      </c>
      <c r="AF40" s="71">
        <v>43891.0</v>
      </c>
      <c r="AG40" s="30">
        <v>5.4</v>
      </c>
      <c r="AH40" s="4">
        <f>9-8</f>
        <v>1</v>
      </c>
      <c r="AI40" s="52">
        <v>3.0</v>
      </c>
      <c r="AJ40" s="30">
        <v>7.4</v>
      </c>
      <c r="AK40" s="30" t="s">
        <v>33</v>
      </c>
      <c r="AL40" s="52">
        <v>1.0</v>
      </c>
    </row>
    <row r="41" ht="15.75" customHeight="1">
      <c r="AD41" s="30">
        <v>3.5</v>
      </c>
      <c r="AE41" s="4">
        <f>7-9</f>
        <v>-2</v>
      </c>
      <c r="AF41" s="71">
        <v>43891.0</v>
      </c>
      <c r="AG41" s="30">
        <v>5.5</v>
      </c>
      <c r="AH41" s="30" t="s">
        <v>33</v>
      </c>
      <c r="AI41" s="52">
        <v>1.0</v>
      </c>
      <c r="AJ41" s="30">
        <v>7.5</v>
      </c>
      <c r="AK41" s="4">
        <f>8-9</f>
        <v>-1</v>
      </c>
      <c r="AL41" s="71">
        <v>43891.0</v>
      </c>
    </row>
    <row r="42" ht="15.75" customHeight="1">
      <c r="AD42" s="30">
        <v>3.6</v>
      </c>
      <c r="AE42" s="4">
        <f>7-10</f>
        <v>-3</v>
      </c>
      <c r="AF42" s="71">
        <v>43952.0</v>
      </c>
      <c r="AG42" s="30">
        <v>5.6</v>
      </c>
      <c r="AH42" s="4">
        <f>9-10</f>
        <v>-1</v>
      </c>
      <c r="AI42" s="71">
        <v>43891.0</v>
      </c>
      <c r="AJ42" s="30">
        <v>7.6</v>
      </c>
      <c r="AK42" s="4">
        <f>8-10</f>
        <v>-2</v>
      </c>
      <c r="AL42" s="71">
        <v>43891.0</v>
      </c>
    </row>
    <row r="43" ht="15.75" customHeight="1">
      <c r="O43" s="72"/>
      <c r="AD43" s="30">
        <v>3.7</v>
      </c>
      <c r="AE43" s="4">
        <f>7-8</f>
        <v>-1</v>
      </c>
      <c r="AF43" s="71">
        <v>43891.0</v>
      </c>
      <c r="AG43" s="30">
        <v>5.7</v>
      </c>
      <c r="AH43" s="4">
        <f>9-8</f>
        <v>1</v>
      </c>
      <c r="AI43" s="52">
        <v>3.0</v>
      </c>
      <c r="AJ43" s="30">
        <v>7.7</v>
      </c>
      <c r="AK43" s="30" t="s">
        <v>33</v>
      </c>
      <c r="AL43" s="52">
        <v>1.0</v>
      </c>
    </row>
    <row r="44" ht="15.75" customHeight="1">
      <c r="B44" s="73"/>
      <c r="C44" s="73"/>
      <c r="D44" s="73"/>
      <c r="E44" s="73"/>
      <c r="AF44" s="60"/>
      <c r="AI44" s="60"/>
      <c r="AL44" s="60"/>
    </row>
    <row r="45" ht="15.75" customHeight="1">
      <c r="B45" s="74"/>
      <c r="C45" s="74"/>
      <c r="D45" s="74"/>
      <c r="E45" s="74"/>
      <c r="AD45" s="30">
        <v>4.1</v>
      </c>
      <c r="AE45" s="4">
        <f t="shared" ref="AE45:AE46" si="37">8-12</f>
        <v>-4</v>
      </c>
      <c r="AF45" s="71">
        <v>43952.0</v>
      </c>
      <c r="AG45" s="30">
        <v>6.1</v>
      </c>
      <c r="AH45" s="4">
        <f t="shared" ref="AH45:AH46" si="38">10-12</f>
        <v>-2</v>
      </c>
      <c r="AI45" s="71">
        <v>43891.0</v>
      </c>
    </row>
    <row r="46" ht="15.75" customHeight="1">
      <c r="B46" s="74"/>
      <c r="C46" s="74"/>
      <c r="D46" s="74"/>
      <c r="E46" s="74"/>
      <c r="AD46" s="30">
        <v>4.2</v>
      </c>
      <c r="AE46" s="4">
        <f t="shared" si="37"/>
        <v>-4</v>
      </c>
      <c r="AF46" s="71">
        <v>43952.0</v>
      </c>
      <c r="AG46" s="30">
        <v>6.2</v>
      </c>
      <c r="AH46" s="4">
        <f t="shared" si="38"/>
        <v>-2</v>
      </c>
      <c r="AI46" s="71">
        <v>43891.0</v>
      </c>
    </row>
    <row r="47" ht="15.75" customHeight="1">
      <c r="B47" s="74"/>
      <c r="C47" s="74"/>
      <c r="D47" s="74"/>
      <c r="E47" s="74"/>
      <c r="AD47" s="30">
        <v>4.3</v>
      </c>
      <c r="AE47" s="4">
        <f>8-7</f>
        <v>1</v>
      </c>
      <c r="AF47" s="52">
        <v>3.0</v>
      </c>
      <c r="AG47" s="30">
        <v>6.3</v>
      </c>
      <c r="AH47" s="4">
        <f>10-7</f>
        <v>3</v>
      </c>
      <c r="AI47" s="52">
        <v>5.0</v>
      </c>
    </row>
    <row r="48" ht="15.75" customHeight="1">
      <c r="B48" s="74"/>
      <c r="C48" s="74"/>
      <c r="D48" s="74"/>
      <c r="E48" s="74"/>
      <c r="AD48" s="30">
        <v>4.4</v>
      </c>
      <c r="AE48" s="30" t="s">
        <v>33</v>
      </c>
      <c r="AF48" s="52">
        <v>1.0</v>
      </c>
      <c r="AG48" s="30">
        <v>6.4</v>
      </c>
      <c r="AH48" s="4">
        <f>10-8</f>
        <v>2</v>
      </c>
      <c r="AI48" s="52">
        <v>3.0</v>
      </c>
    </row>
    <row r="49" ht="15.75" customHeight="1">
      <c r="A49" s="75" t="s">
        <v>97</v>
      </c>
      <c r="B49" s="75" t="s">
        <v>98</v>
      </c>
      <c r="C49" s="75" t="s">
        <v>99</v>
      </c>
      <c r="D49" s="75" t="s">
        <v>100</v>
      </c>
      <c r="E49" s="75" t="s">
        <v>101</v>
      </c>
      <c r="AD49" s="30">
        <v>4.5</v>
      </c>
      <c r="AE49" s="4">
        <f>8-9</f>
        <v>-1</v>
      </c>
      <c r="AF49" s="71">
        <v>43891.0</v>
      </c>
      <c r="AG49" s="30">
        <v>6.5</v>
      </c>
      <c r="AH49" s="4">
        <f>10-9</f>
        <v>1</v>
      </c>
      <c r="AI49" s="52">
        <v>3.0</v>
      </c>
    </row>
    <row r="50" ht="15.75" customHeight="1">
      <c r="A50" s="75"/>
      <c r="B50" s="75">
        <v>0.0</v>
      </c>
      <c r="C50" s="75"/>
      <c r="D50" s="75">
        <v>0.0</v>
      </c>
      <c r="E50" s="75">
        <v>0.0</v>
      </c>
      <c r="AD50" s="30">
        <v>4.6</v>
      </c>
      <c r="AE50" s="4">
        <f>8-10</f>
        <v>-2</v>
      </c>
      <c r="AF50" s="71">
        <v>43891.0</v>
      </c>
      <c r="AG50" s="30">
        <v>6.6</v>
      </c>
      <c r="AH50" s="30" t="s">
        <v>33</v>
      </c>
      <c r="AI50" s="52">
        <v>1.0</v>
      </c>
    </row>
    <row r="51" ht="15.75" customHeight="1">
      <c r="A51" s="76" t="s">
        <v>17</v>
      </c>
      <c r="B51" s="77">
        <f t="shared" ref="B51:B57" si="39">AB29</f>
        <v>0.3051679495</v>
      </c>
      <c r="C51" s="77">
        <v>0.1915</v>
      </c>
      <c r="D51" s="77">
        <f t="shared" ref="D51:D57" si="40">B51*2.2</f>
        <v>0.6713694889</v>
      </c>
      <c r="E51" s="77">
        <f t="shared" ref="E51:E57" si="41">B51/1.9</f>
        <v>0.1606147103</v>
      </c>
      <c r="AD51" s="30">
        <v>4.7</v>
      </c>
      <c r="AE51" s="30" t="s">
        <v>33</v>
      </c>
      <c r="AF51" s="52">
        <v>1.0</v>
      </c>
      <c r="AG51" s="30">
        <v>6.7</v>
      </c>
      <c r="AH51" s="4">
        <f>10-8</f>
        <v>2</v>
      </c>
      <c r="AI51" s="52">
        <v>3.0</v>
      </c>
    </row>
    <row r="52" ht="15.75" customHeight="1">
      <c r="A52" s="76" t="s">
        <v>21</v>
      </c>
      <c r="B52" s="77">
        <f t="shared" si="39"/>
        <v>0.3051679495</v>
      </c>
      <c r="C52" s="77">
        <v>0.3434</v>
      </c>
      <c r="D52" s="77">
        <f t="shared" si="40"/>
        <v>0.6713694889</v>
      </c>
      <c r="E52" s="77">
        <f t="shared" si="41"/>
        <v>0.1606147103</v>
      </c>
    </row>
    <row r="53" ht="15.75" customHeight="1">
      <c r="A53" s="76" t="s">
        <v>24</v>
      </c>
      <c r="B53" s="77">
        <f t="shared" si="39"/>
        <v>0.03004830258</v>
      </c>
      <c r="C53" s="77">
        <v>0.0478</v>
      </c>
      <c r="D53" s="77">
        <f t="shared" si="40"/>
        <v>0.06610626568</v>
      </c>
      <c r="E53" s="77">
        <f t="shared" si="41"/>
        <v>0.0158148961</v>
      </c>
    </row>
    <row r="54" ht="15.75" customHeight="1">
      <c r="A54" s="76" t="s">
        <v>30</v>
      </c>
      <c r="B54" s="77">
        <f t="shared" si="39"/>
        <v>0.0579203962</v>
      </c>
      <c r="C54" s="77">
        <v>0.0191</v>
      </c>
      <c r="D54" s="77">
        <f t="shared" si="40"/>
        <v>0.1274248716</v>
      </c>
      <c r="E54" s="77">
        <f t="shared" si="41"/>
        <v>0.03048441906</v>
      </c>
    </row>
    <row r="55" ht="15.75" customHeight="1">
      <c r="A55" s="76" t="s">
        <v>35</v>
      </c>
      <c r="B55" s="77">
        <f t="shared" si="39"/>
        <v>0.09543843372</v>
      </c>
      <c r="C55" s="77">
        <v>0.08</v>
      </c>
      <c r="D55" s="77">
        <f t="shared" si="40"/>
        <v>0.2099645542</v>
      </c>
      <c r="E55" s="77">
        <f t="shared" si="41"/>
        <v>0.05023075459</v>
      </c>
    </row>
    <row r="56" ht="15.75" customHeight="1">
      <c r="A56" s="76" t="s">
        <v>38</v>
      </c>
      <c r="B56" s="77">
        <f t="shared" si="39"/>
        <v>0.1483365723</v>
      </c>
      <c r="C56" s="77">
        <v>0.1915</v>
      </c>
      <c r="D56" s="77">
        <f t="shared" si="40"/>
        <v>0.3263404591</v>
      </c>
      <c r="E56" s="77">
        <f t="shared" si="41"/>
        <v>0.07807188016</v>
      </c>
    </row>
    <row r="57" ht="15.75" customHeight="1">
      <c r="A57" s="76" t="s">
        <v>41</v>
      </c>
      <c r="B57" s="77">
        <f t="shared" si="39"/>
        <v>0.0579203962</v>
      </c>
      <c r="C57" s="77">
        <v>0.1268</v>
      </c>
      <c r="D57" s="77">
        <f t="shared" si="40"/>
        <v>0.1274248716</v>
      </c>
      <c r="E57" s="77">
        <f t="shared" si="41"/>
        <v>0.03048441906</v>
      </c>
    </row>
    <row r="58" ht="15.75" customHeight="1"/>
    <row r="59" ht="15.75" customHeight="1">
      <c r="B59" s="4" t="s">
        <v>102</v>
      </c>
    </row>
    <row r="60" ht="15.75" customHeight="1">
      <c r="B60" s="4" t="s">
        <v>103</v>
      </c>
    </row>
    <row r="61" ht="15.75" customHeight="1">
      <c r="B61" s="4" t="s">
        <v>104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7:I37"/>
    <mergeCell ref="AE14:AE15"/>
    <mergeCell ref="AJ29:AJ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2018-03-22T01:35:10Z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