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tables/table2.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1.xml" ContentType="application/vnd.openxmlformats-officedocument.spreadsheetml.query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User\Desktop\Training\2. Excel\3. projects(Excel)\Net Revenue Management\Solution\"/>
    </mc:Choice>
  </mc:AlternateContent>
  <xr:revisionPtr revIDLastSave="0" documentId="13_ncr:1_{2030B6F2-95DD-48EF-85D7-1D517E13F726}" xr6:coauthVersionLast="36" xr6:coauthVersionMax="47" xr10:uidLastSave="{00000000-0000-0000-0000-000000000000}"/>
  <bookViews>
    <workbookView xWindow="0" yWindow="0" windowWidth="20490" windowHeight="7005" activeTab="1" xr2:uid="{5BBF3846-4C6D-4871-B649-C959D40EA238}"/>
  </bookViews>
  <sheets>
    <sheet name="Brands per Supplier" sheetId="3" r:id="rId1"/>
    <sheet name="HealthMax Growth" sheetId="4" r:id="rId2"/>
    <sheet name="MAT Value Total Category" sheetId="6" r:id="rId3"/>
    <sheet name="Market Share" sheetId="7" r:id="rId4"/>
    <sheet name="Promotion Graph" sheetId="14" r:id="rId5"/>
    <sheet name="Forecast 2024" sheetId="19" r:id="rId6"/>
    <sheet name="Sales until 2022" sheetId="16" r:id="rId7"/>
    <sheet name="External Data" sheetId="2" r:id="rId8"/>
    <sheet name="Profitability Matrix" sheetId="9" r:id="rId9"/>
    <sheet name="Internal Sales Data" sheetId="8" r:id="rId10"/>
    <sheet name="New Category Opportunity" sheetId="10" r:id="rId11"/>
    <sheet name="Organic Shampoo Launch" sheetId="11" r:id="rId12"/>
    <sheet name="50ml Shampoo 2024" sheetId="13" r:id="rId13"/>
    <sheet name="Promotion Analysis" sheetId="15" r:id="rId14"/>
    <sheet name="Waterfall" sheetId="20" r:id="rId15"/>
  </sheets>
  <definedNames>
    <definedName name="_xlchart.v1.0" hidden="1">Waterfall!$A$1:$E$1</definedName>
    <definedName name="_xlchart.v1.1" hidden="1">Waterfall!$A$2:$E$2</definedName>
    <definedName name="_xlchart.v1.2" hidden="1">Waterfall!$A$1:$E$1</definedName>
    <definedName name="_xlchart.v1.3" hidden="1">Waterfall!$A$2:$E$2</definedName>
    <definedName name="ExternalData_1" localSheetId="13" hidden="1">'Promotion Analysis'!$A$1:$J$4</definedName>
    <definedName name="Slicer_Region">#N/A</definedName>
  </definedNames>
  <calcPr calcId="191029"/>
  <pivotCaches>
    <pivotCache cacheId="0" r:id="rId16"/>
    <pivotCache cacheId="7"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20" l="1"/>
  <c r="B2" i="20"/>
  <c r="A2" i="20"/>
  <c r="D2" i="20"/>
  <c r="C2" i="20"/>
  <c r="F8" i="19" l="1"/>
  <c r="F7" i="19"/>
  <c r="G6" i="19"/>
  <c r="F6" i="19"/>
  <c r="J2" i="15"/>
  <c r="J3" i="15"/>
  <c r="J4" i="15"/>
  <c r="H3" i="15"/>
  <c r="H4" i="15"/>
  <c r="H2" i="15"/>
  <c r="F3" i="15"/>
  <c r="F4" i="15"/>
  <c r="F2" i="15"/>
  <c r="H12" i="13"/>
  <c r="I12" i="13" s="1"/>
  <c r="E12" i="13"/>
  <c r="M12" i="13" s="1"/>
  <c r="J12" i="13"/>
  <c r="L12" i="13" s="1"/>
  <c r="M2" i="13"/>
  <c r="M3" i="13"/>
  <c r="M4" i="13"/>
  <c r="M5" i="13"/>
  <c r="M6" i="13"/>
  <c r="M7" i="13"/>
  <c r="M8" i="13"/>
  <c r="M9" i="13"/>
  <c r="M10" i="13"/>
  <c r="M11" i="13"/>
  <c r="C8" i="19"/>
  <c r="C7" i="19"/>
  <c r="G3" i="15"/>
  <c r="G4" i="15"/>
  <c r="G2" i="15"/>
  <c r="K12" i="13" l="1"/>
  <c r="D7" i="19"/>
  <c r="E8" i="19"/>
  <c r="D8" i="19"/>
  <c r="E7" i="19"/>
  <c r="J11" i="13" l="1"/>
  <c r="L11" i="13" s="1"/>
  <c r="I11" i="13"/>
  <c r="J10" i="13"/>
  <c r="L10" i="13" s="1"/>
  <c r="I10" i="13"/>
  <c r="J9" i="13"/>
  <c r="K9" i="13" s="1"/>
  <c r="I9" i="13"/>
  <c r="J8" i="13"/>
  <c r="L8" i="13" s="1"/>
  <c r="I8" i="13"/>
  <c r="J7" i="13"/>
  <c r="K7" i="13" s="1"/>
  <c r="I7" i="13"/>
  <c r="J6" i="13"/>
  <c r="L6" i="13" s="1"/>
  <c r="I6" i="13"/>
  <c r="J5" i="13"/>
  <c r="K5" i="13" s="1"/>
  <c r="I5" i="13"/>
  <c r="J4" i="13"/>
  <c r="L4" i="13" s="1"/>
  <c r="I4" i="13"/>
  <c r="J3" i="13"/>
  <c r="L3" i="13" s="1"/>
  <c r="I3" i="13"/>
  <c r="J2" i="13"/>
  <c r="K2" i="13" s="1"/>
  <c r="I2" i="13"/>
  <c r="L2" i="13" l="1"/>
  <c r="L5" i="13"/>
  <c r="K6" i="13"/>
  <c r="K10" i="13"/>
  <c r="L9" i="13"/>
  <c r="K4" i="13"/>
  <c r="L7" i="13"/>
  <c r="K3" i="13"/>
  <c r="K11" i="13"/>
  <c r="K8" i="13"/>
  <c r="I3" i="11" l="1"/>
  <c r="I2" i="11"/>
  <c r="H3" i="11"/>
  <c r="H2" i="11"/>
  <c r="G3" i="11"/>
  <c r="G2" i="11"/>
  <c r="E3" i="11"/>
  <c r="E2" i="11"/>
  <c r="C3" i="11"/>
  <c r="C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K11" i="8" l="1"/>
  <c r="L9" i="8"/>
  <c r="K8" i="8"/>
  <c r="K7" i="8"/>
  <c r="L6" i="8"/>
  <c r="K3" i="8"/>
  <c r="L5" i="8"/>
  <c r="L2" i="8"/>
  <c r="L10" i="8"/>
  <c r="K12" i="8"/>
  <c r="L12" i="8" s="1"/>
  <c r="I1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DA6396-FBBA-490C-999F-374CB66A89AA}" keepAlive="1" name="Query - internal_sales_data" description="Connection to the 'internal_sales_data' query in the workbook." type="5" refreshedVersion="6" background="1">
    <dbPr connection="Provider=Microsoft.Mashup.OleDb.1;Data Source=$Workbook$;Location=internal_sales_data;Extended Properties=&quot;&quot;" command="SELECT * FROM [internal_sales_data]"/>
  </connection>
  <connection id="2" xr16:uid="{96852C16-787A-42AD-8086-08AEB75D742E}" keepAlive="1" name="Query - promotion_analysis" description="Connection to the 'promotion_analysis' query in the workbook." type="5" refreshedVersion="6"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<sst xmlns="http://schemas.openxmlformats.org/spreadsheetml/2006/main" count="22412" uniqueCount="128">
  <si>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</si>
  <si>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</si>
  <si>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</si>
  <si>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</si>
  <si>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</si>
  <si>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</si>
  <si>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</si>
  <si>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</si>
  <si>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</si>
  <si>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</si>
  <si>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</si>
  <si>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</si>
  <si>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</si>
  <si>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</si>
  <si>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</si>
  <si>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</si>
  <si>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</si>
  <si>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</si>
  <si>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</si>
  <si>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</si>
  <si>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</si>
  <si>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</si>
  <si>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</si>
  <si>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</si>
  <si>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</si>
  <si>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</si>
  <si>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</si>
  <si>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</si>
  <si>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</si>
  <si>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</si>
  <si>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</si>
  <si>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</si>
  <si>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</si>
  <si>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</si>
  <si>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</si>
  <si>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</si>
  <si>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</si>
  <si>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</si>
  <si>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</si>
  <si>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</si>
  <si>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</si>
  <si>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</si>
  <si>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</si>
  <si>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</si>
  <si>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</si>
  <si>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</si>
  <si>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</si>
  <si>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</si>
  <si>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</si>
  <si>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</si>
  <si>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</si>
  <si>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</si>
  <si>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</si>
  <si>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</si>
  <si>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</si>
  <si>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</si>
  <si>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</si>
  <si>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</si>
  <si>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</si>
  <si>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</si>
  <si>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</si>
  <si>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</si>
  <si>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</si>
  <si>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</si>
  <si>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</si>
  <si>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</si>
  <si>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</si>
  <si>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</si>
  <si>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</si>
  <si>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</si>
  <si>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</si>
  <si>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</si>
  <si>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</si>
  <si>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</si>
  <si>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</si>
  <si>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</si>
  <si>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</si>
  <si>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</si>
  <si>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</si>
  <si>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</si>
  <si>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</si>
  <si>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</si>
  <si>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</si>
  <si>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</si>
  <si>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</si>
  <si>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</si>
  <si>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</si>
  <si>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</si>
  <si>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</si>
  <si>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</si>
  <si>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</si>
  <si>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</si>
  <si>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</si>
  <si>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</si>
  <si>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</si>
  <si>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</si>
  <si>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</si>
  <si>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</si>
  <si>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</si>
  <si>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</si>
  <si>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</si>
  <si>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</si>
  <si>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Net Sales 2022</t>
  </si>
  <si>
    <t>HerbEssentials</t>
  </si>
  <si>
    <t>Herbashine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</si>
  <si>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</si>
  <si>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</si>
  <si>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</si>
  <si>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</si>
  <si>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</si>
  <si>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</si>
  <si>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</si>
  <si>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</si>
  <si>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</si>
  <si>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</si>
  <si>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</si>
  <si>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</si>
  <si>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Timeline</t>
  </si>
  <si>
    <t>Values</t>
  </si>
  <si>
    <t>Forecast</t>
  </si>
  <si>
    <t>Lower Confidence Bound</t>
  </si>
  <si>
    <t>Upper Confidence Bound</t>
  </si>
  <si>
    <t>Ratio</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</si>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</sst>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0.000%"/>
    <numFmt numFmtId="176" formatCode="&quot;$&quot;#,##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0" fontId="0" fillId="0" borderId="0" xfId="0" applyNumberFormat="1"/>
    <xf numFmtId="164" fontId="0" fillId="0" borderId="0" xfId="1" applyFont="1"/>
    <xf numFmtId="167" fontId="0" fillId="0" borderId="0" xfId="2" applyNumberFormat="1" applyFont="1"/>
    <xf numFmtId="0" fontId="0" fillId="0" borderId="0" xfId="0" applyNumberFormat="1" applyFont="1"/>
    <xf numFmtId="167" fontId="0" fillId="0" borderId="0" xfId="0" applyNumberFormat="1" applyFont="1"/>
    <xf numFmtId="168" fontId="0" fillId="0" borderId="0" xfId="0" applyNumberFormat="1"/>
    <xf numFmtId="169" fontId="0" fillId="0" borderId="0" xfId="1" applyNumberFormat="1" applyFont="1"/>
    <xf numFmtId="169" fontId="0" fillId="0" borderId="0" xfId="0" applyNumberFormat="1" applyFont="1"/>
    <xf numFmtId="166" fontId="0" fillId="0" borderId="0" xfId="0" applyNumberFormat="1" applyFon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67" fontId="0" fillId="0" borderId="0" xfId="0" applyNumberFormat="1"/>
    <xf numFmtId="169" fontId="0" fillId="0" borderId="0" xfId="0" applyNumberFormat="1"/>
    <xf numFmtId="171" fontId="0" fillId="0" borderId="0" xfId="0" applyNumberFormat="1"/>
    <xf numFmtId="171" fontId="0" fillId="0" borderId="0" xfId="3" applyNumberFormat="1" applyFont="1"/>
    <xf numFmtId="176" fontId="0" fillId="0" borderId="0" xfId="0" applyNumberFormat="1"/>
  </cellXfs>
  <cellStyles count="4">
    <cellStyle name="Comma" xfId="2" builtinId="3"/>
    <cellStyle name="Currency" xfId="1" builtinId="4"/>
    <cellStyle name="Normal" xfId="0" builtinId="0"/>
    <cellStyle name="Percent" xfId="3" builtinId="5"/>
  </cellStyles>
  <dxfs count="76">
    <dxf>
      <numFmt numFmtId="176" formatCode="&quot;$&quot;#,##0"/>
    </dxf>
    <dxf>
      <numFmt numFmtId="176" formatCode="&quot;$&quot;#,##0"/>
    </dxf>
    <dxf>
      <numFmt numFmtId="176" formatCode="&quot;$&quot;#,##0"/>
    </dxf>
    <dxf>
      <numFmt numFmtId="176" formatCode="&quot;$&quot;#,##0"/>
    </dxf>
    <dxf>
      <numFmt numFmtId="176" formatCode="&quot;$&quot;#,##0"/>
    </dxf>
    <dxf>
      <numFmt numFmtId="176" formatCode="&quot;$&quot;#,##0"/>
    </dxf>
    <dxf>
      <numFmt numFmtId="0" formatCode="General"/>
    </dxf>
    <dxf>
      <numFmt numFmtId="176" formatCode="&quot;$&quot;#,##0"/>
    </dxf>
    <dxf>
      <numFmt numFmtId="13" formatCode="0%"/>
    </dxf>
    <dxf>
      <numFmt numFmtId="176" formatCode="&quot;$&quot;#,##0"/>
    </dxf>
    <dxf>
      <numFmt numFmtId="176" formatCode="&quot;$&quot;#,##0"/>
    </dxf>
    <dxf>
      <numFmt numFmtId="176" formatCode="&quot;$&quot;#,##0"/>
    </dxf>
    <dxf>
      <numFmt numFmtId="176" formatCode="&quot;$&quot;#,##0"/>
    </dxf>
    <dxf>
      <numFmt numFmtId="0" formatCode="General"/>
    </dxf>
    <dxf>
      <numFmt numFmtId="0" formatCode="General"/>
    </dxf>
    <dxf>
      <numFmt numFmtId="176" formatCode="&quot;$&quot;#,##0"/>
    </dxf>
    <dxf>
      <font>
        <b val="0"/>
        <i val="0"/>
        <strike val="0"/>
        <condense val="0"/>
        <extend val="0"/>
        <outline val="0"/>
        <shadow val="0"/>
        <u val="none"/>
        <vertAlign val="baseline"/>
        <sz val="11"/>
        <color theme="1"/>
        <name val="Calibri"/>
        <family val="2"/>
        <scheme val="minor"/>
      </font>
      <numFmt numFmtId="171" formatCode="0.000%"/>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70" formatCode="0.0%"/>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3" formatCode="0%"/>
    </dxf>
    <dxf>
      <numFmt numFmtId="14" formatCode="0.00%"/>
    </dxf>
    <dxf>
      <numFmt numFmtId="167" formatCode="_ * #,##0_ ;_ * \-#,##0_ ;_ * &quot;-&quot;??_ ;_ @_ "/>
    </dxf>
    <dxf>
      <numFmt numFmtId="13" formatCode="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Management (HelthMax Company).xlsx]Market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
        <c:idx val="13"/>
        <c:spPr>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pivotFmt>
      <c:pivotFmt>
        <c:idx val="15"/>
        <c:spPr>
          <a:ln w="28575" cap="rnd">
            <a:solidFill>
              <a:schemeClr val="accent1"/>
            </a:solidFill>
            <a:round/>
          </a:ln>
          <a:effectLst/>
        </c:spPr>
        <c:marker>
          <c:symbol val="none"/>
        </c:marker>
      </c:pivotFmt>
      <c:pivotFmt>
        <c:idx val="16"/>
        <c:spPr>
          <a:ln w="28575" cap="rnd">
            <a:solidFill>
              <a:schemeClr val="accent1"/>
            </a:solidFill>
            <a:round/>
          </a:ln>
          <a:effectLst/>
        </c:spPr>
        <c:marker>
          <c:symbol val="none"/>
        </c:marker>
      </c:pivotFmt>
      <c:pivotFmt>
        <c:idx val="17"/>
        <c:spPr>
          <a:ln w="28575" cap="rnd">
            <a:solidFill>
              <a:schemeClr val="accent1"/>
            </a:solidFill>
            <a:round/>
          </a:ln>
          <a:effectLst/>
        </c:spPr>
        <c:marker>
          <c:symbol val="none"/>
        </c:marker>
      </c:pivotFmt>
      <c:pivotFmt>
        <c:idx val="18"/>
        <c:spPr>
          <a:ln w="28575" cap="rnd">
            <a:solidFill>
              <a:schemeClr val="accent1"/>
            </a:solidFill>
            <a:round/>
          </a:ln>
          <a:effectLst/>
        </c:spPr>
        <c:marker>
          <c:symbol val="none"/>
        </c:marker>
      </c:pivotFmt>
      <c:pivotFmt>
        <c:idx val="19"/>
        <c:spPr>
          <a:ln w="28575" cap="rnd">
            <a:solidFill>
              <a:schemeClr val="accent1"/>
            </a:solidFill>
            <a:round/>
          </a:ln>
          <a:effectLst/>
        </c:spPr>
        <c:marker>
          <c:symbol val="none"/>
        </c:marker>
      </c:pivotFmt>
      <c:pivotFmt>
        <c:idx val="20"/>
        <c:spPr>
          <a:ln w="28575" cap="rnd">
            <a:solidFill>
              <a:schemeClr val="accent1"/>
            </a:solidFill>
            <a:round/>
          </a:ln>
          <a:effectLst/>
        </c:spPr>
        <c:marker>
          <c:symbol val="none"/>
        </c:marker>
      </c:pivotFmt>
      <c:pivotFmt>
        <c:idx val="21"/>
        <c:spPr>
          <a:ln w="28575" cap="rnd">
            <a:solidFill>
              <a:schemeClr val="accent1"/>
            </a:solidFill>
            <a:round/>
          </a:ln>
          <a:effectLst/>
        </c:spPr>
        <c:marker>
          <c:symbol val="none"/>
        </c:marker>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pivotFmt>
      <c:pivotFmt>
        <c:idx val="24"/>
        <c:spPr>
          <a:ln w="28575" cap="rnd">
            <a:solidFill>
              <a:schemeClr val="accent1"/>
            </a:solidFill>
            <a:round/>
          </a:ln>
          <a:effectLst/>
        </c:spPr>
        <c:marker>
          <c:symbol val="none"/>
        </c:marker>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Management (HelthMax Company).xlsx]Promotion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"$"#,##0</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BDA1-4FE2-A576-60EB4DB12964}"/>
            </c:ext>
          </c:extLst>
        </c:ser>
        <c:dLbls>
          <c:showLegendKey val="0"/>
          <c:showVal val="0"/>
          <c:showCatName val="0"/>
          <c:showSerName val="0"/>
          <c:showPercent val="0"/>
          <c:showBubbleSize val="0"/>
        </c:dLbls>
        <c:smooth val="0"/>
        <c:axId val="641755176"/>
        <c:axId val="996134520"/>
      </c:lineChart>
      <c:catAx>
        <c:axId val="641755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134520"/>
        <c:crosses val="autoZero"/>
        <c:auto val="1"/>
        <c:lblAlgn val="ctr"/>
        <c:lblOffset val="100"/>
        <c:noMultiLvlLbl val="0"/>
      </c:catAx>
      <c:valAx>
        <c:axId val="9961345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755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Values</c:v>
                </c:pt>
              </c:strCache>
            </c:strRef>
          </c:tx>
          <c:spPr>
            <a:ln w="28575" cap="rnd">
              <a:solidFill>
                <a:schemeClr val="accent1"/>
              </a:solidFill>
              <a:round/>
            </a:ln>
            <a:effectLst/>
          </c:spPr>
          <c:marker>
            <c:symbol val="none"/>
          </c:marker>
          <c:val>
            <c:numRef>
              <c:f>'Forecast 2024'!$B$2:$B$8</c:f>
              <c:numCache>
                <c:formatCode>"$"#,##0</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FD78-4ADB-B677-0CE5B8D10111}"/>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31442892</c:v>
                </c:pt>
                <c:pt idx="5" formatCode="&quot;$&quot;#,##0">
                  <c:v>31635324.071610071</c:v>
                </c:pt>
                <c:pt idx="6" formatCode="&quot;$&quot;#,##0">
                  <c:v>31946447.752088487</c:v>
                </c:pt>
              </c:numCache>
            </c:numRef>
          </c:val>
          <c:smooth val="0"/>
          <c:extLst>
            <c:ext xmlns:c16="http://schemas.microsoft.com/office/drawing/2014/chart" uri="{C3380CC4-5D6E-409C-BE32-E72D297353CC}">
              <c16:uniqueId val="{00000001-FD78-4ADB-B677-0CE5B8D10111}"/>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31442892</c:v>
                </c:pt>
                <c:pt idx="5" formatCode="&quot;$&quot;#,##0">
                  <c:v>30014004.36554271</c:v>
                </c:pt>
                <c:pt idx="6" formatCode="&quot;$&quot;#,##0">
                  <c:v>30274835.684028216</c:v>
                </c:pt>
              </c:numCache>
            </c:numRef>
          </c:val>
          <c:smooth val="0"/>
          <c:extLst>
            <c:ext xmlns:c16="http://schemas.microsoft.com/office/drawing/2014/chart" uri="{C3380CC4-5D6E-409C-BE32-E72D297353CC}">
              <c16:uniqueId val="{00000002-FD78-4ADB-B677-0CE5B8D10111}"/>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31442892</c:v>
                </c:pt>
                <c:pt idx="5" formatCode="&quot;$&quot;#,##0">
                  <c:v>33256643.777677432</c:v>
                </c:pt>
                <c:pt idx="6" formatCode="&quot;$&quot;#,##0">
                  <c:v>33618059.820148759</c:v>
                </c:pt>
              </c:numCache>
            </c:numRef>
          </c:val>
          <c:smooth val="0"/>
          <c:extLst>
            <c:ext xmlns:c16="http://schemas.microsoft.com/office/drawing/2014/chart" uri="{C3380CC4-5D6E-409C-BE32-E72D297353CC}">
              <c16:uniqueId val="{00000003-FD78-4ADB-B677-0CE5B8D10111}"/>
            </c:ext>
          </c:extLst>
        </c:ser>
        <c:dLbls>
          <c:showLegendKey val="0"/>
          <c:showVal val="0"/>
          <c:showCatName val="0"/>
          <c:showSerName val="0"/>
          <c:showPercent val="0"/>
          <c:showBubbleSize val="0"/>
        </c:dLbls>
        <c:smooth val="0"/>
        <c:axId val="999027864"/>
        <c:axId val="999026552"/>
      </c:lineChart>
      <c:catAx>
        <c:axId val="999027864"/>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026552"/>
        <c:crosses val="autoZero"/>
        <c:auto val="1"/>
        <c:lblAlgn val="ctr"/>
        <c:lblOffset val="100"/>
        <c:noMultiLvlLbl val="0"/>
      </c:catAx>
      <c:valAx>
        <c:axId val="9990265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0278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_xlchart.v1.2</cx:f>
      </cx:strDim>
      <cx:numDim type="val">
        <cx:f dir="row">_xlchart.v1.3</cx:f>
      </cx:numDim>
    </cx:data>
  </cx:chartData>
  <cx:chart>
    <cx:title pos="t" align="ctr" overlay="0">
      <cx:tx>
        <cx:rich>
          <a:bodyPr spcFirstLastPara="1" vertOverflow="ellipsis" horzOverflow="overflow" wrap="square" lIns="0" tIns="0" rIns="0" bIns="0" anchor="ctr" anchorCtr="1"/>
          <a:lstStyle/>
          <a:p>
            <a:pPr algn="ctr" rtl="0">
              <a:defRPr/>
            </a:pPr>
            <a:r>
              <a:rPr lang="en-US"/>
              <a:t>Estimated net sales 2024</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C1ABCF90-7D71-4554-9062-A0D92069E290}">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14286</xdr:colOff>
      <xdr:row>1</xdr:row>
      <xdr:rowOff>0</xdr:rowOff>
    </xdr:from>
    <xdr:to>
      <xdr:col>12</xdr:col>
      <xdr:colOff>0</xdr:colOff>
      <xdr:row>19</xdr:row>
      <xdr:rowOff>0</xdr:rowOff>
    </xdr:to>
    <xdr:graphicFrame macro="">
      <xdr:nvGraphicFramePr>
        <xdr:cNvPr id="2" name="Chart 1">
          <a:extLst>
            <a:ext uri="{FF2B5EF4-FFF2-40B4-BE49-F238E27FC236}">
              <a16:creationId xmlns:a16="http://schemas.microsoft.com/office/drawing/2014/main" id="{2B4D4FBF-316D-4C67-97F9-EBD0B45230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4762</xdr:colOff>
      <xdr:row>8</xdr:row>
      <xdr:rowOff>185737</xdr:rowOff>
    </xdr:from>
    <xdr:to>
      <xdr:col>11</xdr:col>
      <xdr:colOff>600075</xdr:colOff>
      <xdr:row>24</xdr:row>
      <xdr:rowOff>71437</xdr:rowOff>
    </xdr:to>
    <xdr:graphicFrame macro="">
      <xdr:nvGraphicFramePr>
        <xdr:cNvPr id="2" name="Chart 1">
          <a:extLst>
            <a:ext uri="{FF2B5EF4-FFF2-40B4-BE49-F238E27FC236}">
              <a16:creationId xmlns:a16="http://schemas.microsoft.com/office/drawing/2014/main" id="{9E542B65-AFB0-4ECA-A3AD-9C95F10872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466724</xdr:colOff>
      <xdr:row>3</xdr:row>
      <xdr:rowOff>0</xdr:rowOff>
    </xdr:from>
    <xdr:to>
      <xdr:col>8</xdr:col>
      <xdr:colOff>590549</xdr:colOff>
      <xdr:row>18</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2606CE5-9AD6-4FAD-AD89-CD38F5A0B4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962274" y="571500"/>
              <a:ext cx="5514975" cy="2857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7"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3:A23" firstHeaderRow="1" firstDataRow="1" firstDataCol="1"/>
  <pivotFields count="13">
    <pivotField showAll="0"/>
    <pivotField showAll="0"/>
    <pivotField axis="axisRow" showAll="0">
      <items count="18">
        <item sd="0" x="0"/>
        <item sd="0" x="1"/>
        <item sd="0" x="14"/>
        <item sd="0" x="5"/>
        <item sd="0" x="15"/>
        <item sd="0" x="6"/>
        <item sd="0" x="10"/>
        <item sd="0" x="2"/>
        <item x="3"/>
        <item sd="0" x="7"/>
        <item sd="0" x="8"/>
        <item sd="0" x="11"/>
        <item sd="0" x="12"/>
        <item sd="0" x="13"/>
        <item sd="0" x="4"/>
        <item sd="0" x="16"/>
        <item sd="0" x="9"/>
        <item t="default" sd="0"/>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20">
    <i>
      <x/>
    </i>
    <i>
      <x v="1"/>
    </i>
    <i>
      <x v="2"/>
    </i>
    <i>
      <x v="3"/>
    </i>
    <i>
      <x v="4"/>
    </i>
    <i>
      <x v="5"/>
    </i>
    <i>
      <x v="6"/>
    </i>
    <i>
      <x v="7"/>
    </i>
    <i>
      <x v="8"/>
    </i>
    <i r="1">
      <x v="18"/>
    </i>
    <i r="1">
      <x v="19"/>
    </i>
    <i>
      <x v="9"/>
    </i>
    <i>
      <x v="10"/>
    </i>
    <i>
      <x v="11"/>
    </i>
    <i>
      <x v="12"/>
    </i>
    <i>
      <x v="13"/>
    </i>
    <i>
      <x v="14"/>
    </i>
    <i>
      <x v="15"/>
    </i>
    <i>
      <x v="1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7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74">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654EC2F-DB03-4C61-A640-4BF729F56E1E}"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76"/>
  </dataFields>
  <formats count="1">
    <format dxfId="15">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10CFFA7-1C67-4616-8EE4-37C3BC9A1102}" name="PivotTable2" cacheId="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76"/>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6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44">
      <pivotArea outline="0" fieldPosition="0">
        <references count="1">
          <reference field="4294967294" count="1">
            <x v="0"/>
          </reference>
        </references>
      </pivotArea>
    </format>
    <format dxfId="43">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46">
      <pivotArea outline="0" collapsedLevelsAreSubtotals="1" fieldPosition="0">
        <references count="1">
          <reference field="5" count="1" selected="0">
            <x v="4"/>
          </reference>
        </references>
      </pivotArea>
    </format>
    <format dxfId="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93F125DA-A985-49B1-A353-C1FF40CDB7A1}"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_rels/table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464F798-604D-43B9-AC89-A17520F8D574}" name="Table9" displayName="Table9" ref="A1:G8" totalsRowShown="0">
  <autoFilter ref="A1:G8" xr:uid="{A2BD0EC8-A366-4E19-9D03-77403A96447C}"/>
  <tableColumns count="7">
    <tableColumn id="1" xr3:uid="{384F75EC-D2B4-4739-BFB1-71C4C41A45F1}" name="Timeline" dataDxfId="6"/>
    <tableColumn id="2" xr3:uid="{BF6C29EC-26D9-4AB3-BBAA-04F5C210E452}" name="Values" dataDxfId="5"/>
    <tableColumn id="3" xr3:uid="{DC36A27B-C3BC-4903-AA56-581CB1F2F71C}" name="Forecast" dataDxfId="4"/>
    <tableColumn id="4" xr3:uid="{B83194A5-F04C-4F10-9BD6-F944966AD317}" name="Lower Confidence Bound" dataDxfId="3"/>
    <tableColumn id="5" xr3:uid="{EEFDD13D-18F9-4D74-8C91-01E5E3950DB9}" name="Upper Confidence Bound" dataDxfId="2"/>
    <tableColumn id="6" xr3:uid="{1050DE43-3DCD-4399-AC1F-E978B9D0884D}" name="Net Sales" dataDxfId="1">
      <calculatedColumnFormula>internal_sales_data[[#Totals],[Net Sales 2022]]</calculatedColumnFormula>
    </tableColumn>
    <tableColumn id="7" xr3:uid="{586FFE68-D2C1-4347-9D1D-59A90AF97882}" name="Ratio" dataDxfId="0">
      <calculatedColumnFormula>Table9[[#This Row],[Net Sales]]/Table9[[#This Row],[Values]]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73"/>
    <tableColumn id="2" xr3:uid="{E62B3F1F-9A15-44B4-B1DD-CAF27CF3C747}" name="Subcategory" dataDxfId="72"/>
    <tableColumn id="3" xr3:uid="{FA4BBA42-4CD5-4FEC-99C8-F3DEA363596F}" name="Supplier" dataDxfId="71"/>
    <tableColumn id="4" xr3:uid="{363950AD-92F1-4B62-BAD5-6C6ED9D314C8}" name="Brand" dataDxfId="70"/>
    <tableColumn id="5" xr3:uid="{278D3098-9E4F-422C-8E1A-9941BBC3EF43}" name="Region" dataDxfId="69"/>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68"/>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67"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66">
      <calculatedColumnFormula>dataset_shampoo[[#This Row],[Values YTD]]+SUMIFS(I:I,D:D,dataset_shampoo[[#This Row],[Brand]],E:E,dataset_shampoo[[#This Row],[Region]],F:F,dataset_shampoo[[#This Row],[Year]]-1,G:G,"&gt;"&amp;dataset_shampoo[[#This Row],[Month]])</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64"/>
    <tableColumn id="2" xr3:uid="{025C4312-31D3-409B-B984-DBF4AEFE2FA6}" name="Product" dataDxfId="63"/>
    <tableColumn id="3" xr3:uid="{D40B8F72-DA12-4584-B326-495AA00C251F}" name="Pack Size (ml)"/>
    <tableColumn id="4" xr3:uid="{E106DA15-1281-4518-AE4A-C358C1924FEA}" name="ProductID" dataDxfId="62"/>
    <tableColumn id="5" xr3:uid="{AE844CDE-AAF3-4312-96B5-E0534EF567F3}" name="Retail Price" dataDxfId="61" totalsRowDxfId="60" dataCellStyle="Currency"/>
    <tableColumn id="6" xr3:uid="{732BB0A7-0D20-404F-B2AF-EC6A28C2A71A}" name="Net Price" dataDxfId="59" totalsRowDxfId="58" dataCellStyle="Currency"/>
    <tableColumn id="7" xr3:uid="{BB7F7A5B-FAB9-4038-AD33-08EE0D4766AD}" name="COGS" dataDxfId="57" totalsRowDxfId="56" dataCellStyle="Currency"/>
    <tableColumn id="8" xr3:uid="{CCF364DE-01EF-4200-AB41-ED9058D076B5}" name="Volume 2022" totalsRowFunction="sum" dataDxfId="55" totalsRowDxfId="54" dataCellStyle="Comma"/>
    <tableColumn id="10" xr3:uid="{08E3A2F7-3C74-49D9-91B9-79AD4050A4A7}" name="Net Sales 2022" totalsRowFunction="sum" dataDxfId="53" totalsRowDxfId="52" dataCellStyle="Currency">
      <calculatedColumnFormula>internal_sales_data[[#This Row],[Volume 2022]]*internal_sales_data[[#This Row],[Net Price]]</calculatedColumnFormula>
    </tableColumn>
    <tableColumn id="9" xr3:uid="{3C283A83-C2B7-4006-B2BA-AFEDB11C31BE}" name="Gross Profit per unit" dataDxfId="51" totalsRowDxfId="50" dataCellStyle="Currency">
      <calculatedColumnFormula>internal_sales_data[[#This Row],[Net Price]]-internal_sales_data[[#This Row],[COGS]]</calculatedColumnFormula>
    </tableColumn>
    <tableColumn id="11" xr3:uid="{7C588C62-85DC-41E9-81C4-648DF71F5B17}" name="Gross Profit per product" totalsRowFunction="sum" dataDxfId="49" totalsRowDxfId="48" dataCellStyle="Currency">
      <calculatedColumnFormula>internal_sales_data[[#This Row],[Gross Profit per unit]]*internal_sales_data[[#This Row],[Volume 2022]]</calculatedColumnFormula>
    </tableColumn>
    <tableColumn id="12" xr3:uid="{2911D992-F8E1-40DE-AFC8-9AF339130FCA}" name="Gross Margin" totalsRowFunction="custom" totalsRowDxfId="47"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42"/>
    <tableColumn id="2" xr3:uid="{6AE352D5-6C16-4164-8AC0-45FA1FF286BF}" name="Estimated Unit Market Share" dataCellStyle="Percent"/>
    <tableColumn id="3" xr3:uid="{31AA58DE-DB16-4AD7-9EE2-3FBD593D8486}" name="Estimated units sold 2024" dataDxfId="41" dataCellStyle="Comma">
      <calculatedColumnFormula>new_product_launch[[#This Row],[Estimated Unit Market Share]]*'New Category Opportunity'!$B$18</calculatedColumnFormula>
    </tableColumn>
    <tableColumn id="4" xr3:uid="{983BA861-9FD5-40BD-BAD6-5572FA3B9563}" name="Net Price" dataDxfId="40"/>
    <tableColumn id="5" xr3:uid="{8197C623-3CF8-4E81-AD27-88ADB9A58EE4}" name="Net Sales" dataDxfId="39">
      <calculatedColumnFormula>new_product_launch[[#This Row],[Net Price]]*new_product_launch[[#This Row],[Estimated units sold 2024]]</calculatedColumnFormula>
    </tableColumn>
    <tableColumn id="6" xr3:uid="{0813BA88-04DC-44D1-BBDD-F8260333BD3F}" name="COGS" dataDxfId="38"/>
    <tableColumn id="7" xr3:uid="{0BDC181A-386D-45F3-8640-F0B86C17865D}" name="Gross Profit per unit" dataDxfId="37">
      <calculatedColumnFormula>new_product_launch[[#This Row],[Net Price]]-new_product_launch[[#This Row],[COGS]]</calculatedColumnFormula>
    </tableColumn>
    <tableColumn id="8" xr3:uid="{C9FE25C5-9CBC-4262-8F58-9FAD1AFE1F38}" name="Gross Profit per product" dataDxfId="36" dataCellStyle="Comma">
      <calculatedColumnFormula>new_product_launch[[#This Row],[Gross Profit per unit]]*new_product_launch[[#This Row],[Estimated units sold 2024]]</calculatedColumnFormula>
    </tableColumn>
    <tableColumn id="9" xr3:uid="{7B898487-076D-4DC9-AC86-FE42D0850365}" name="Gross Margin" dataDxfId="35">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A365BA3-A5F7-4BA6-B5B6-BC2701B62804}" name="internal_sales_data6" displayName="internal_sales_data6" ref="A1:M12">
  <autoFilter ref="A1:M12" xr:uid="{04364B77-531F-4E7F-8C97-717C91709596}"/>
  <tableColumns count="13">
    <tableColumn id="1" xr3:uid="{2D9C77DA-7C5B-4FFB-8B50-316FDFD103CC}" name="Brand" totalsRowLabel="Total" dataDxfId="25"/>
    <tableColumn id="2" xr3:uid="{9C70CAF3-303A-4FEE-833C-EDCEB060492A}" name="Product" dataDxfId="26"/>
    <tableColumn id="3" xr3:uid="{5F311219-4725-467E-A558-55E3FBE04292}" name="Pack Size (ml)"/>
    <tableColumn id="4" xr3:uid="{C92C8D39-CA1F-40C9-B213-11C2ACAD1ED4}" name="ProductID" dataDxfId="27"/>
    <tableColumn id="5" xr3:uid="{BA0A3123-DA44-448B-B826-EE4A24541685}" name="Retail Price" dataDxfId="28" totalsRowDxfId="17" dataCellStyle="Currency"/>
    <tableColumn id="6" xr3:uid="{8937A311-495B-45C5-B203-A020B3039EB3}" name="Net Price" dataDxfId="29" totalsRowDxfId="18" dataCellStyle="Currency"/>
    <tableColumn id="7" xr3:uid="{4A22D43B-58BF-41F5-998C-F1BB8C9ACA28}" name="COGS" dataDxfId="30" totalsRowDxfId="19" dataCellStyle="Currency"/>
    <tableColumn id="8" xr3:uid="{0D5FA801-A072-43C3-869E-67D997BEAAC4}" name="Volume 2022" totalsRowFunction="sum" dataDxfId="31" totalsRowDxfId="20" dataCellStyle="Comma"/>
    <tableColumn id="10" xr3:uid="{05061563-3D5F-45A7-A78E-FFDE7320B48F}" name="Net Sales 2022" totalsRowFunction="sum" dataDxfId="32" totalsRowDxfId="21" dataCellStyle="Currency">
      <calculatedColumnFormula>internal_sales_data6[[#This Row],[Volume 2022]]*internal_sales_data6[[#This Row],[Net Price]]</calculatedColumnFormula>
    </tableColumn>
    <tableColumn id="9" xr3:uid="{511FE2B7-10F1-4F35-B574-DAD4F09D3B6C}" name="Gross Profit per unit" dataDxfId="33" totalsRowDxfId="22" dataCellStyle="Currency">
      <calculatedColumnFormula>internal_sales_data6[[#This Row],[Net Price]]-internal_sales_data6[[#This Row],[COGS]]</calculatedColumnFormula>
    </tableColumn>
    <tableColumn id="11" xr3:uid="{A0E6E216-54ED-4731-855A-CA0655E5359A}" name="Gross Profit per product" totalsRowFunction="sum" dataDxfId="34" totalsRowDxfId="23" dataCellStyle="Currency">
      <calculatedColumnFormula>internal_sales_data6[[#This Row],[Gross Profit per unit]]*internal_sales_data6[[#This Row],[Volume 2022]]</calculatedColumnFormula>
    </tableColumn>
    <tableColumn id="12" xr3:uid="{5B72F326-90D3-456D-B41B-78B307465845}" name="Gross Margin" totalsRowFunction="custom" totalsRowDxfId="24" dataCellStyle="Percent">
      <calculatedColumnFormula>internal_sales_data6[[#This Row],[Gross Profit per unit]]/internal_sales_data6[[#This Row],[Net Price]]</calculatedColumnFormula>
      <totalsRowFormula>internal_sales_data6[[#Totals],[Gross Profit per product]]/internal_sales_data6[[#Totals],[Net Sales 2022]]</totalsRowFormula>
    </tableColumn>
    <tableColumn id="13" xr3:uid="{FD81FF1F-A22A-448F-9A31-E55835F5705D}" name="Price per ml" dataDxfId="16" dataCellStyle="Percent">
      <calculatedColumnFormula>internal_sales_data6[[#This Row],[Retail Price]]/internal_sales_data6[[#This Row],[Pack Size (ml)]]</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B9AD619-F0FA-4015-8271-50F6C2762A0B}" name="promotion_analysis" displayName="promotion_analysis" ref="A1:J4" tableType="queryTable" totalsRowShown="0">
  <autoFilter ref="A1:J4" xr:uid="{5C4A433D-8FBD-410A-AF4A-B4331018A93A}"/>
  <tableColumns count="10">
    <tableColumn id="1" xr3:uid="{60FDA42E-F4DF-485B-BAC9-99EB01F9B281}" uniqueName="1" name="Promotion " queryTableFieldId="1"/>
    <tableColumn id="2" xr3:uid="{5A074C2A-9423-454D-852E-22E0A042D808}" uniqueName="2" name="Mechanism" queryTableFieldId="2" dataDxfId="14"/>
    <tableColumn id="3" xr3:uid="{1E57A0D7-F980-4F59-B61B-2843859B90DC}" uniqueName="3" name="Brand" queryTableFieldId="3" dataDxfId="13"/>
    <tableColumn id="4" xr3:uid="{2658AEE7-FC1C-4958-91AD-26F6A12FCCB3}" uniqueName="4" name="Year" queryTableFieldId="4"/>
    <tableColumn id="5" xr3:uid="{C34967A5-EDBB-4F07-B992-5B467CCC93AB}" uniqueName="5" name="Month" queryTableFieldId="5"/>
    <tableColumn id="6" xr3:uid="{AE6CA835-9463-4D78-8116-29E1B6309B8D}" uniqueName="6" name="Value sales" queryTableFieldId="6" dataDxfId="12"/>
    <tableColumn id="7" xr3:uid="{B19E238E-B9F6-4878-BF6D-01F1600177BB}" uniqueName="7" name="Baseline sales " queryTableFieldId="7" dataDxfId="11"/>
    <tableColumn id="8" xr3:uid="{79C767CE-2F93-465E-903A-EF2C4CA36247}" uniqueName="8" name="Uplift" queryTableFieldId="8" dataDxfId="10"/>
    <tableColumn id="9" xr3:uid="{4B426E1F-C096-4169-BF05-B6D8BBEDDB44}" uniqueName="9" name="Costs" queryTableFieldId="9" dataDxfId="9"/>
    <tableColumn id="10" xr3:uid="{F67460F3-5936-4151-8CC0-F6D7E3A44EE3}" uniqueName="10" name="ROI" queryTableFieldId="10" dataDxfId="8"/>
  </tableColumns>
  <tableStyleInfo name="TableStyleMedium7"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23"/>
  <sheetViews>
    <sheetView workbookViewId="0">
      <selection activeCell="A12" sqref="A12"/>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3" t="s">
        <v>14</v>
      </c>
    </row>
    <row r="6" spans="1:1" x14ac:dyDescent="0.25">
      <c r="A6" s="3" t="s">
        <v>49</v>
      </c>
    </row>
    <row r="7" spans="1:1" x14ac:dyDescent="0.25">
      <c r="A7" s="3" t="s">
        <v>28</v>
      </c>
    </row>
    <row r="8" spans="1:1" x14ac:dyDescent="0.25">
      <c r="A8" s="3" t="s">
        <v>31</v>
      </c>
    </row>
    <row r="9" spans="1:1" x14ac:dyDescent="0.25">
      <c r="A9" s="3" t="s">
        <v>33</v>
      </c>
    </row>
    <row r="10" spans="1:1" x14ac:dyDescent="0.25">
      <c r="A10" s="3" t="s">
        <v>42</v>
      </c>
    </row>
    <row r="11" spans="1:1" x14ac:dyDescent="0.25">
      <c r="A11" s="3" t="s">
        <v>16</v>
      </c>
    </row>
    <row r="12" spans="1:1" x14ac:dyDescent="0.25">
      <c r="A12" s="3" t="s">
        <v>21</v>
      </c>
    </row>
    <row r="13" spans="1:1" x14ac:dyDescent="0.25">
      <c r="A13" s="4" t="s">
        <v>22</v>
      </c>
    </row>
    <row r="14" spans="1:1" x14ac:dyDescent="0.25">
      <c r="A14" s="4" t="s">
        <v>57</v>
      </c>
    </row>
    <row r="15" spans="1:1" x14ac:dyDescent="0.25">
      <c r="A15" s="3" t="s">
        <v>35</v>
      </c>
    </row>
    <row r="16" spans="1:1" x14ac:dyDescent="0.25">
      <c r="A16" s="3" t="s">
        <v>37</v>
      </c>
    </row>
    <row r="17" spans="1:1" x14ac:dyDescent="0.25">
      <c r="A17" s="3" t="s">
        <v>19</v>
      </c>
    </row>
    <row r="18" spans="1:1" x14ac:dyDescent="0.25">
      <c r="A18" s="3" t="s">
        <v>44</v>
      </c>
    </row>
    <row r="19" spans="1:1" x14ac:dyDescent="0.25">
      <c r="A19" s="3" t="s">
        <v>46</v>
      </c>
    </row>
    <row r="20" spans="1:1" x14ac:dyDescent="0.25">
      <c r="A20" s="3" t="s">
        <v>23</v>
      </c>
    </row>
    <row r="21" spans="1:1" x14ac:dyDescent="0.25">
      <c r="A21" s="3" t="s">
        <v>53</v>
      </c>
    </row>
    <row r="22" spans="1:1" x14ac:dyDescent="0.25">
      <c r="A22" s="3" t="s">
        <v>39</v>
      </c>
    </row>
    <row r="23" spans="1:1" x14ac:dyDescent="0.25">
      <c r="A23"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tabSelected="1" workbookViewId="0">
      <selection activeCell="F6" sqref="F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309-D472-4A9B-9B41-C716C42C91F1}">
  <dimension ref="A1:B17"/>
  <sheetViews>
    <sheetView workbookViewId="0">
      <selection activeCell="B7" sqref="B7"/>
    </sheetView>
  </sheetViews>
  <sheetFormatPr defaultRowHeight="15" x14ac:dyDescent="0.25"/>
  <cols>
    <col min="1" max="1" width="13.140625" bestFit="1" customWidth="1"/>
    <col min="2" max="2" width="20.28515625" bestFit="1" customWidth="1"/>
    <col min="3" max="3" width="11.2851562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25">
        <v>849590</v>
      </c>
    </row>
    <row r="6" spans="1:2" x14ac:dyDescent="0.25">
      <c r="A6" s="3">
        <v>2</v>
      </c>
      <c r="B6" s="25">
        <v>822290</v>
      </c>
    </row>
    <row r="7" spans="1:2" x14ac:dyDescent="0.25">
      <c r="A7" s="3">
        <v>3</v>
      </c>
      <c r="B7" s="25">
        <v>827649</v>
      </c>
    </row>
    <row r="8" spans="1:2" x14ac:dyDescent="0.25">
      <c r="A8" s="3">
        <v>4</v>
      </c>
      <c r="B8" s="25">
        <v>1445626</v>
      </c>
    </row>
    <row r="9" spans="1:2" x14ac:dyDescent="0.25">
      <c r="A9" s="3">
        <v>5</v>
      </c>
      <c r="B9" s="25">
        <v>874089</v>
      </c>
    </row>
    <row r="10" spans="1:2" x14ac:dyDescent="0.25">
      <c r="A10" s="3">
        <v>6</v>
      </c>
      <c r="B10" s="25">
        <v>876087</v>
      </c>
    </row>
    <row r="11" spans="1:2" x14ac:dyDescent="0.25">
      <c r="A11" s="3">
        <v>7</v>
      </c>
      <c r="B11" s="25">
        <v>842454</v>
      </c>
    </row>
    <row r="12" spans="1:2" x14ac:dyDescent="0.25">
      <c r="A12" s="3">
        <v>8</v>
      </c>
      <c r="B12" s="25">
        <v>1198708</v>
      </c>
    </row>
    <row r="13" spans="1:2" x14ac:dyDescent="0.25">
      <c r="A13" s="3">
        <v>9</v>
      </c>
      <c r="B13" s="25">
        <v>853650</v>
      </c>
    </row>
    <row r="14" spans="1:2" x14ac:dyDescent="0.25">
      <c r="A14" s="3">
        <v>10</v>
      </c>
      <c r="B14" s="25">
        <v>816480</v>
      </c>
    </row>
    <row r="15" spans="1:2" x14ac:dyDescent="0.25">
      <c r="A15" s="3">
        <v>11</v>
      </c>
      <c r="B15" s="25">
        <v>1413646</v>
      </c>
    </row>
    <row r="16" spans="1:2" x14ac:dyDescent="0.25">
      <c r="A16" s="3">
        <v>12</v>
      </c>
      <c r="B16" s="25">
        <v>805231</v>
      </c>
    </row>
    <row r="17" spans="1:2" x14ac:dyDescent="0.25">
      <c r="A17" s="3" t="s">
        <v>59</v>
      </c>
      <c r="B17" s="25">
        <v>11625500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62B33-ED89-4D64-9FEC-1285E28DB4C8}">
  <dimension ref="A1:G8"/>
  <sheetViews>
    <sheetView workbookViewId="0">
      <selection activeCell="F7" sqref="F7"/>
    </sheetView>
  </sheetViews>
  <sheetFormatPr defaultRowHeight="15" x14ac:dyDescent="0.25"/>
  <cols>
    <col min="1" max="1" width="11" customWidth="1"/>
    <col min="2" max="3" width="11.140625" bestFit="1" customWidth="1"/>
    <col min="4" max="4" width="25.28515625" customWidth="1"/>
    <col min="5" max="7" width="25.42578125" customWidth="1"/>
  </cols>
  <sheetData>
    <row r="1" spans="1:7" x14ac:dyDescent="0.25">
      <c r="A1" t="s">
        <v>117</v>
      </c>
      <c r="B1" t="s">
        <v>118</v>
      </c>
      <c r="C1" t="s">
        <v>119</v>
      </c>
      <c r="D1" t="s">
        <v>120</v>
      </c>
      <c r="E1" t="s">
        <v>121</v>
      </c>
      <c r="F1" t="s">
        <v>101</v>
      </c>
      <c r="G1" t="s">
        <v>122</v>
      </c>
    </row>
    <row r="2" spans="1:7" x14ac:dyDescent="0.25">
      <c r="A2" s="8">
        <v>2018</v>
      </c>
      <c r="B2" s="25">
        <v>30685269</v>
      </c>
      <c r="F2" s="25"/>
      <c r="G2" s="25"/>
    </row>
    <row r="3" spans="1:7" x14ac:dyDescent="0.25">
      <c r="A3" s="8">
        <v>2019</v>
      </c>
      <c r="B3" s="25">
        <v>29261549</v>
      </c>
      <c r="F3" s="25"/>
      <c r="G3" s="25"/>
    </row>
    <row r="4" spans="1:7" x14ac:dyDescent="0.25">
      <c r="A4" s="8">
        <v>2020</v>
      </c>
      <c r="B4" s="25">
        <v>30370933</v>
      </c>
      <c r="F4" s="25"/>
      <c r="G4" s="25"/>
    </row>
    <row r="5" spans="1:7" x14ac:dyDescent="0.25">
      <c r="A5" s="8">
        <v>2021</v>
      </c>
      <c r="B5" s="25">
        <v>30710796</v>
      </c>
      <c r="F5" s="25"/>
      <c r="G5" s="25"/>
    </row>
    <row r="6" spans="1:7" x14ac:dyDescent="0.25">
      <c r="A6" s="8">
        <v>2022</v>
      </c>
      <c r="B6" s="25">
        <v>31442892</v>
      </c>
      <c r="C6" s="25">
        <v>31442892</v>
      </c>
      <c r="D6" s="25">
        <v>31442892</v>
      </c>
      <c r="E6" s="25">
        <v>31442892</v>
      </c>
      <c r="F6" s="25">
        <f>internal_sales_data[[#Totals],[Net Sales 2022]]</f>
        <v>20480714.900000002</v>
      </c>
      <c r="G6" s="7">
        <f>Table9[[#This Row],[Net Sales]]/Table9[[#This Row],[Values]]</f>
        <v>0.65136231425531732</v>
      </c>
    </row>
    <row r="7" spans="1:7" x14ac:dyDescent="0.25">
      <c r="A7" s="8">
        <v>2023</v>
      </c>
      <c r="C7" s="25">
        <f>_xlfn.FORECAST.ETS(A7,$B$2:$B$6,$A$2:$A$6,1,1)</f>
        <v>31635324.071610071</v>
      </c>
      <c r="D7" s="25">
        <f>C7-_xlfn.FORECAST.ETS.CONFINT(A7,$B$2:$B$6,$A$2:$A$6,0.95,1,1)</f>
        <v>30014004.36554271</v>
      </c>
      <c r="E7" s="25">
        <f>C7+_xlfn.FORECAST.ETS.CONFINT(A7,$B$2:$B$6,$A$2:$A$6,0.95,1,1)</f>
        <v>33256643.777677432</v>
      </c>
      <c r="F7" s="25">
        <f>Table9[[#This Row],[Forecast]]*$G$6</f>
        <v>20606057.899500884</v>
      </c>
      <c r="G7" s="25"/>
    </row>
    <row r="8" spans="1:7" x14ac:dyDescent="0.25">
      <c r="A8" s="8">
        <v>2024</v>
      </c>
      <c r="C8" s="25">
        <f>_xlfn.FORECAST.ETS(A8,$B$2:$B$6,$A$2:$A$6,1,1)</f>
        <v>31946447.752088487</v>
      </c>
      <c r="D8" s="25">
        <f>C8-_xlfn.FORECAST.ETS.CONFINT(A8,$B$2:$B$6,$A$2:$A$6,0.95,1,1)</f>
        <v>30274835.684028216</v>
      </c>
      <c r="E8" s="25">
        <f>C8+_xlfn.FORECAST.ETS.CONFINT(A8,$B$2:$B$6,$A$2:$A$6,0.95,1,1)</f>
        <v>33618059.820148759</v>
      </c>
      <c r="F8" s="25">
        <f>Table9[[#This Row],[Forecast]]*$G$6</f>
        <v>20808712.140036937</v>
      </c>
      <c r="G8" s="25"/>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95C5E-A6C0-464B-BFEA-ACC80B77D2EE}">
  <dimension ref="A1:B8"/>
  <sheetViews>
    <sheetView workbookViewId="0">
      <selection activeCell="A4" sqref="A4:B8"/>
    </sheetView>
  </sheetViews>
  <sheetFormatPr defaultRowHeight="15" x14ac:dyDescent="0.25"/>
  <cols>
    <col min="1" max="1" width="13.140625" bestFit="1" customWidth="1"/>
    <col min="2" max="2" width="20.28515625" bestFit="1" customWidth="1"/>
  </cols>
  <sheetData>
    <row r="1" spans="1:2" x14ac:dyDescent="0.25">
      <c r="A1" s="2" t="s">
        <v>1</v>
      </c>
      <c r="B1" t="s">
        <v>21</v>
      </c>
    </row>
    <row r="3" spans="1:2" x14ac:dyDescent="0.25">
      <c r="A3" s="2" t="s">
        <v>58</v>
      </c>
      <c r="B3" t="s">
        <v>61</v>
      </c>
    </row>
    <row r="4" spans="1:2" x14ac:dyDescent="0.25">
      <c r="A4" s="3">
        <v>2018</v>
      </c>
      <c r="B4" s="25">
        <v>30685269</v>
      </c>
    </row>
    <row r="5" spans="1:2" x14ac:dyDescent="0.25">
      <c r="A5" s="3">
        <v>2019</v>
      </c>
      <c r="B5" s="25">
        <v>29261549</v>
      </c>
    </row>
    <row r="6" spans="1:2" x14ac:dyDescent="0.25">
      <c r="A6" s="3">
        <v>2020</v>
      </c>
      <c r="B6" s="25">
        <v>30370933</v>
      </c>
    </row>
    <row r="7" spans="1:2" x14ac:dyDescent="0.25">
      <c r="A7" s="3">
        <v>2021</v>
      </c>
      <c r="B7" s="25">
        <v>30710796</v>
      </c>
    </row>
    <row r="8" spans="1:2" x14ac:dyDescent="0.25">
      <c r="A8" s="3">
        <v>2022</v>
      </c>
      <c r="B8" s="25">
        <v>31442892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F5" sqref="F5"/>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B10" sqref="B10"/>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9" t="s">
        <v>58</v>
      </c>
      <c r="B17" s="20">
        <v>0.64285714285714279</v>
      </c>
      <c r="C17" s="20">
        <v>0.64864864864864868</v>
      </c>
      <c r="D17" s="20">
        <v>0.65714285714285714</v>
      </c>
      <c r="E17" s="20">
        <v>0.67142857142857149</v>
      </c>
      <c r="F17" s="20">
        <v>0.67241379310344829</v>
      </c>
      <c r="G17" s="20">
        <v>0.69411764705882362</v>
      </c>
      <c r="H17" s="20">
        <v>0.7</v>
      </c>
      <c r="I17" s="20">
        <v>0.70588235294117641</v>
      </c>
      <c r="J17" s="20">
        <v>0.70967741935483875</v>
      </c>
      <c r="K17" s="20">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topLeftCell="C1" workbookViewId="0">
      <selection activeCell="I1" sqref="I1"/>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9" bestFit="1" customWidth="1"/>
    <col min="6" max="6" width="12.28515625" style="9" bestFit="1" customWidth="1"/>
    <col min="7" max="7" width="9.140625" style="9" bestFit="1" customWidth="1"/>
    <col min="8" max="8" width="15.7109375" style="10"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9" t="s">
        <v>71</v>
      </c>
      <c r="F1" s="9" t="s">
        <v>72</v>
      </c>
      <c r="G1" s="9" t="s">
        <v>73</v>
      </c>
      <c r="H1" s="10" t="s">
        <v>74</v>
      </c>
      <c r="I1" t="s">
        <v>102</v>
      </c>
      <c r="J1" t="s">
        <v>94</v>
      </c>
      <c r="K1" t="s">
        <v>90</v>
      </c>
      <c r="L1" t="s">
        <v>91</v>
      </c>
      <c r="M1" t="s">
        <v>92</v>
      </c>
    </row>
    <row r="2" spans="1:13" x14ac:dyDescent="0.25">
      <c r="A2" s="8" t="s">
        <v>57</v>
      </c>
      <c r="B2" s="8" t="s">
        <v>75</v>
      </c>
      <c r="C2">
        <v>100</v>
      </c>
      <c r="D2" s="8" t="s">
        <v>76</v>
      </c>
      <c r="E2" s="14">
        <v>5</v>
      </c>
      <c r="F2" s="14">
        <v>3.1</v>
      </c>
      <c r="G2" s="14">
        <v>0.9</v>
      </c>
      <c r="H2" s="10">
        <v>1156348</v>
      </c>
      <c r="I2" s="6">
        <f>internal_sales_data[[#This Row],[Volume 2022]]*internal_sales_data[[#This Row],[Net Price]]</f>
        <v>3584678.8000000003</v>
      </c>
      <c r="J2" s="14">
        <f>internal_sales_data[[#This Row],[Net Price]]-internal_sales_data[[#This Row],[COGS]]</f>
        <v>2.2000000000000002</v>
      </c>
      <c r="K2" s="6">
        <f>internal_sales_data[[#This Row],[Gross Profit per unit]]*internal_sales_data[[#This Row],[Volume 2022]]</f>
        <v>2543965.6</v>
      </c>
      <c r="L2" s="17">
        <f>internal_sales_data[[#This Row],[Gross Profit per unit]]/internal_sales_data[[#This Row],[Net Price]]</f>
        <v>0.70967741935483875</v>
      </c>
      <c r="M2" s="17">
        <f>internal_sales_data[[#This Row],[Net Sales 2022]]/internal_sales_data[[#Totals],[Net Sales 2022]]</f>
        <v>0.17502703482289086</v>
      </c>
    </row>
    <row r="3" spans="1:13" x14ac:dyDescent="0.25">
      <c r="A3" s="8" t="s">
        <v>57</v>
      </c>
      <c r="B3" s="8" t="s">
        <v>77</v>
      </c>
      <c r="C3">
        <v>100</v>
      </c>
      <c r="D3" s="8" t="s">
        <v>78</v>
      </c>
      <c r="E3" s="14">
        <v>5</v>
      </c>
      <c r="F3" s="14">
        <v>2.9</v>
      </c>
      <c r="G3" s="14">
        <v>0.95</v>
      </c>
      <c r="H3" s="10">
        <v>693809</v>
      </c>
      <c r="I3" s="6">
        <f>internal_sales_data[[#This Row],[Volume 2022]]*internal_sales_data[[#This Row],[Net Price]]</f>
        <v>2012046.0999999999</v>
      </c>
      <c r="J3" s="14">
        <f>internal_sales_data[[#This Row],[Net Price]]-internal_sales_data[[#This Row],[COGS]]</f>
        <v>1.95</v>
      </c>
      <c r="K3" s="6">
        <f>internal_sales_data[[#This Row],[Gross Profit per unit]]*internal_sales_data[[#This Row],[Volume 2022]]</f>
        <v>1352927.55</v>
      </c>
      <c r="L3" s="17">
        <f>internal_sales_data[[#This Row],[Gross Profit per unit]]/internal_sales_data[[#This Row],[Net Price]]</f>
        <v>0.67241379310344829</v>
      </c>
      <c r="M3" s="17">
        <f>internal_sales_data[[#This Row],[Net Sales 2022]]/internal_sales_data[[#Totals],[Net Sales 2022]]</f>
        <v>9.8241009155398171E-2</v>
      </c>
    </row>
    <row r="4" spans="1:13" x14ac:dyDescent="0.25">
      <c r="A4" s="8" t="s">
        <v>57</v>
      </c>
      <c r="B4" s="8" t="s">
        <v>79</v>
      </c>
      <c r="C4">
        <v>100</v>
      </c>
      <c r="D4" s="8" t="s">
        <v>80</v>
      </c>
      <c r="E4" s="14">
        <v>5</v>
      </c>
      <c r="F4" s="14">
        <v>2.8</v>
      </c>
      <c r="G4" s="14">
        <v>1</v>
      </c>
      <c r="H4" s="10">
        <v>346904</v>
      </c>
      <c r="I4" s="6">
        <f>internal_sales_data[[#This Row],[Volume 2022]]*internal_sales_data[[#This Row],[Net Price]]</f>
        <v>971331.2</v>
      </c>
      <c r="J4" s="14">
        <f>internal_sales_data[[#This Row],[Net Price]]-internal_sales_data[[#This Row],[COGS]]</f>
        <v>1.7999999999999998</v>
      </c>
      <c r="K4" s="6">
        <f>internal_sales_data[[#This Row],[Gross Profit per unit]]*internal_sales_data[[#This Row],[Volume 2022]]</f>
        <v>624427.19999999995</v>
      </c>
      <c r="L4" s="17">
        <f>internal_sales_data[[#This Row],[Gross Profit per unit]]/internal_sales_data[[#This Row],[Net Price]]</f>
        <v>0.64285714285714279</v>
      </c>
      <c r="M4" s="17">
        <f>internal_sales_data[[#This Row],[Net Sales 2022]]/internal_sales_data[[#Totals],[Net Sales 2022]]</f>
        <v>4.7426625718030961E-2</v>
      </c>
    </row>
    <row r="5" spans="1:13" x14ac:dyDescent="0.25">
      <c r="A5" s="8" t="s">
        <v>57</v>
      </c>
      <c r="B5" s="8" t="s">
        <v>75</v>
      </c>
      <c r="C5">
        <v>150</v>
      </c>
      <c r="D5" s="8" t="s">
        <v>81</v>
      </c>
      <c r="E5" s="14">
        <v>7</v>
      </c>
      <c r="F5" s="14">
        <v>3.5</v>
      </c>
      <c r="G5" s="14">
        <v>1.2</v>
      </c>
      <c r="H5" s="10">
        <v>693809</v>
      </c>
      <c r="I5" s="6">
        <f>internal_sales_data[[#This Row],[Volume 2022]]*internal_sales_data[[#This Row],[Net Price]]</f>
        <v>2428331.5</v>
      </c>
      <c r="J5" s="14">
        <f>internal_sales_data[[#This Row],[Net Price]]-internal_sales_data[[#This Row],[COGS]]</f>
        <v>2.2999999999999998</v>
      </c>
      <c r="K5" s="6">
        <f>internal_sales_data[[#This Row],[Gross Profit per unit]]*internal_sales_data[[#This Row],[Volume 2022]]</f>
        <v>1595760.7</v>
      </c>
      <c r="L5" s="17">
        <f>internal_sales_data[[#This Row],[Gross Profit per unit]]/internal_sales_data[[#This Row],[Net Price]]</f>
        <v>0.65714285714285714</v>
      </c>
      <c r="M5" s="17">
        <f>internal_sales_data[[#This Row],[Net Sales 2022]]/internal_sales_data[[#Totals],[Net Sales 2022]]</f>
        <v>0.11856673518754952</v>
      </c>
    </row>
    <row r="6" spans="1:13" x14ac:dyDescent="0.25">
      <c r="A6" s="8" t="s">
        <v>57</v>
      </c>
      <c r="B6" s="8" t="s">
        <v>79</v>
      </c>
      <c r="C6">
        <v>150</v>
      </c>
      <c r="D6" s="8" t="s">
        <v>82</v>
      </c>
      <c r="E6" s="14">
        <v>7.25</v>
      </c>
      <c r="F6" s="14">
        <v>3.7</v>
      </c>
      <c r="G6" s="14">
        <v>1.3</v>
      </c>
      <c r="H6" s="10">
        <v>231270</v>
      </c>
      <c r="I6" s="6">
        <f>internal_sales_data[[#This Row],[Volume 2022]]*internal_sales_data[[#This Row],[Net Price]]</f>
        <v>855699</v>
      </c>
      <c r="J6" s="14">
        <f>internal_sales_data[[#This Row],[Net Price]]-internal_sales_data[[#This Row],[COGS]]</f>
        <v>2.4000000000000004</v>
      </c>
      <c r="K6" s="6">
        <f>internal_sales_data[[#This Row],[Gross Profit per unit]]*internal_sales_data[[#This Row],[Volume 2022]]</f>
        <v>555048.00000000012</v>
      </c>
      <c r="L6" s="17">
        <f>internal_sales_data[[#This Row],[Gross Profit per unit]]/internal_sales_data[[#This Row],[Net Price]]</f>
        <v>0.64864864864864868</v>
      </c>
      <c r="M6" s="17">
        <f>internal_sales_data[[#This Row],[Net Sales 2022]]/internal_sales_data[[#Totals],[Net Sales 2022]]</f>
        <v>4.178071928534096E-2</v>
      </c>
    </row>
    <row r="7" spans="1:13" x14ac:dyDescent="0.25">
      <c r="A7" s="8" t="s">
        <v>57</v>
      </c>
      <c r="B7" s="8" t="s">
        <v>75</v>
      </c>
      <c r="C7">
        <v>200</v>
      </c>
      <c r="D7" s="8" t="s">
        <v>83</v>
      </c>
      <c r="E7" s="14">
        <v>9</v>
      </c>
      <c r="F7" s="14">
        <v>5</v>
      </c>
      <c r="G7" s="14">
        <v>1.5</v>
      </c>
      <c r="H7" s="10">
        <v>289087</v>
      </c>
      <c r="I7" s="6">
        <f>internal_sales_data[[#This Row],[Volume 2022]]*internal_sales_data[[#This Row],[Net Price]]</f>
        <v>1445435</v>
      </c>
      <c r="J7" s="14">
        <f>internal_sales_data[[#This Row],[Net Price]]-internal_sales_data[[#This Row],[COGS]]</f>
        <v>3.5</v>
      </c>
      <c r="K7" s="6">
        <f>internal_sales_data[[#This Row],[Gross Profit per unit]]*internal_sales_data[[#This Row],[Volume 2022]]</f>
        <v>1011804.5</v>
      </c>
      <c r="L7" s="17">
        <f>internal_sales_data[[#This Row],[Gross Profit per unit]]/internal_sales_data[[#This Row],[Net Price]]</f>
        <v>0.7</v>
      </c>
      <c r="M7" s="17">
        <f>internal_sales_data[[#This Row],[Net Sales 2022]]/internal_sales_data[[#Totals],[Net Sales 2022]]</f>
        <v>7.0575417267294702E-2</v>
      </c>
    </row>
    <row r="8" spans="1:13" x14ac:dyDescent="0.25">
      <c r="A8" s="8" t="s">
        <v>22</v>
      </c>
      <c r="B8" s="8" t="s">
        <v>84</v>
      </c>
      <c r="C8">
        <v>100</v>
      </c>
      <c r="D8" s="8" t="s">
        <v>85</v>
      </c>
      <c r="E8" s="14">
        <v>6</v>
      </c>
      <c r="F8" s="14">
        <v>3.5</v>
      </c>
      <c r="G8" s="14">
        <v>1.1499999999999999</v>
      </c>
      <c r="H8" s="10">
        <v>1089532</v>
      </c>
      <c r="I8" s="6">
        <f>internal_sales_data[[#This Row],[Volume 2022]]*internal_sales_data[[#This Row],[Net Price]]</f>
        <v>3813362</v>
      </c>
      <c r="J8" s="14">
        <f>internal_sales_data[[#This Row],[Net Price]]-internal_sales_data[[#This Row],[COGS]]</f>
        <v>2.35</v>
      </c>
      <c r="K8" s="6">
        <f>internal_sales_data[[#This Row],[Gross Profit per unit]]*internal_sales_data[[#This Row],[Volume 2022]]</f>
        <v>2560400.2000000002</v>
      </c>
      <c r="L8" s="17">
        <f>internal_sales_data[[#This Row],[Gross Profit per unit]]/internal_sales_data[[#This Row],[Net Price]]</f>
        <v>0.67142857142857149</v>
      </c>
      <c r="M8" s="17">
        <f>internal_sales_data[[#This Row],[Net Sales 2022]]/internal_sales_data[[#Totals],[Net Sales 2022]]</f>
        <v>0.18619281693140505</v>
      </c>
    </row>
    <row r="9" spans="1:13" x14ac:dyDescent="0.25">
      <c r="A9" s="8" t="s">
        <v>22</v>
      </c>
      <c r="B9" s="8" t="s">
        <v>84</v>
      </c>
      <c r="C9">
        <v>125</v>
      </c>
      <c r="D9" s="8" t="s">
        <v>86</v>
      </c>
      <c r="E9" s="14">
        <v>7</v>
      </c>
      <c r="F9" s="14">
        <v>4.25</v>
      </c>
      <c r="G9" s="14">
        <v>1.3</v>
      </c>
      <c r="H9" s="10">
        <v>466942</v>
      </c>
      <c r="I9" s="6">
        <f>internal_sales_data[[#This Row],[Volume 2022]]*internal_sales_data[[#This Row],[Net Price]]</f>
        <v>1984503.5</v>
      </c>
      <c r="J9" s="14">
        <f>internal_sales_data[[#This Row],[Net Price]]-internal_sales_data[[#This Row],[COGS]]</f>
        <v>2.95</v>
      </c>
      <c r="K9" s="6">
        <f>internal_sales_data[[#This Row],[Gross Profit per unit]]*internal_sales_data[[#This Row],[Volume 2022]]</f>
        <v>1377478.9000000001</v>
      </c>
      <c r="L9" s="17">
        <f>internal_sales_data[[#This Row],[Gross Profit per unit]]/internal_sales_data[[#This Row],[Net Price]]</f>
        <v>0.69411764705882362</v>
      </c>
      <c r="M9" s="17">
        <f>internal_sales_data[[#This Row],[Net Sales 2022]]/internal_sales_data[[#Totals],[Net Sales 2022]]</f>
        <v>9.6896202583240873E-2</v>
      </c>
    </row>
    <row r="10" spans="1:13" x14ac:dyDescent="0.25">
      <c r="A10" s="8" t="s">
        <v>22</v>
      </c>
      <c r="B10" s="8" t="s">
        <v>84</v>
      </c>
      <c r="C10">
        <v>150</v>
      </c>
      <c r="D10" s="8" t="s">
        <v>87</v>
      </c>
      <c r="E10" s="14">
        <v>8</v>
      </c>
      <c r="F10" s="14">
        <v>5.0999999999999996</v>
      </c>
      <c r="G10" s="14">
        <v>1.5</v>
      </c>
      <c r="H10" s="10">
        <v>389118</v>
      </c>
      <c r="I10" s="6">
        <f>internal_sales_data[[#This Row],[Volume 2022]]*internal_sales_data[[#This Row],[Net Price]]</f>
        <v>1984501.7999999998</v>
      </c>
      <c r="J10" s="14">
        <f>internal_sales_data[[#This Row],[Net Price]]-internal_sales_data[[#This Row],[COGS]]</f>
        <v>3.5999999999999996</v>
      </c>
      <c r="K10" s="6">
        <f>internal_sales_data[[#This Row],[Gross Profit per unit]]*internal_sales_data[[#This Row],[Volume 2022]]</f>
        <v>1400824.7999999998</v>
      </c>
      <c r="L10" s="17">
        <f>internal_sales_data[[#This Row],[Gross Profit per unit]]/internal_sales_data[[#This Row],[Net Price]]</f>
        <v>0.70588235294117641</v>
      </c>
      <c r="M10" s="17">
        <f>internal_sales_data[[#This Row],[Net Sales 2022]]/internal_sales_data[[#Totals],[Net Sales 2022]]</f>
        <v>9.6896119578325834E-2</v>
      </c>
    </row>
    <row r="11" spans="1:13" x14ac:dyDescent="0.25">
      <c r="A11" s="8" t="s">
        <v>22</v>
      </c>
      <c r="B11" s="8" t="s">
        <v>84</v>
      </c>
      <c r="C11">
        <v>200</v>
      </c>
      <c r="D11" s="8" t="s">
        <v>88</v>
      </c>
      <c r="E11" s="14">
        <v>10</v>
      </c>
      <c r="F11" s="14">
        <v>6</v>
      </c>
      <c r="G11" s="14">
        <v>1.7</v>
      </c>
      <c r="H11" s="10">
        <v>233471</v>
      </c>
      <c r="I11" s="6">
        <f>internal_sales_data[[#This Row],[Volume 2022]]*internal_sales_data[[#This Row],[Net Price]]</f>
        <v>1400826</v>
      </c>
      <c r="J11" s="14">
        <f>internal_sales_data[[#This Row],[Net Price]]-internal_sales_data[[#This Row],[COGS]]</f>
        <v>4.3</v>
      </c>
      <c r="K11" s="6">
        <f>internal_sales_data[[#This Row],[Gross Profit per unit]]*internal_sales_data[[#This Row],[Volume 2022]]</f>
        <v>1003925.2999999999</v>
      </c>
      <c r="L11" s="17">
        <f>internal_sales_data[[#This Row],[Gross Profit per unit]]/internal_sales_data[[#This Row],[Net Price]]</f>
        <v>0.71666666666666667</v>
      </c>
      <c r="M11" s="17">
        <f>internal_sales_data[[#This Row],[Net Sales 2022]]/internal_sales_data[[#Totals],[Net Sales 2022]]</f>
        <v>6.8397319470522966E-2</v>
      </c>
    </row>
    <row r="12" spans="1:13" x14ac:dyDescent="0.25">
      <c r="A12" t="s">
        <v>89</v>
      </c>
      <c r="E12" s="11"/>
      <c r="F12" s="11"/>
      <c r="G12" s="11"/>
      <c r="H12" s="12">
        <f>SUBTOTAL(109,internal_sales_data[Volume 2022])</f>
        <v>5590290</v>
      </c>
      <c r="I12" s="16">
        <f>SUBTOTAL(109,internal_sales_data[Net Sales 2022])</f>
        <v>20480714.900000002</v>
      </c>
      <c r="J12" s="15"/>
      <c r="K12" s="1">
        <f>SUBTOTAL(109,internal_sales_data[Gross Profit per product])</f>
        <v>14026562.75</v>
      </c>
      <c r="L12" s="18">
        <f>internal_sales_data[[#Totals],[Gross Profit per product]]/internal_sales_data[[#Totals],[Net Sales 2022]]</f>
        <v>0.68486685247495915</v>
      </c>
    </row>
    <row r="13" spans="1:13" x14ac:dyDescent="0.25">
      <c r="I13" s="13"/>
    </row>
    <row r="23" spans="9:9" x14ac:dyDescent="0.25">
      <c r="I23" s="22"/>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18" sqref="B18"/>
    </sheetView>
  </sheetViews>
  <sheetFormatPr defaultRowHeight="15" x14ac:dyDescent="0.25"/>
  <cols>
    <col min="1" max="1" width="39.7109375" bestFit="1" customWidth="1"/>
    <col min="2" max="2" width="16.28515625"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21">
        <v>850749</v>
      </c>
    </row>
    <row r="18" spans="1:2" x14ac:dyDescent="0.25">
      <c r="A18" t="s">
        <v>96</v>
      </c>
      <c r="B18" s="10">
        <f>GETPIVOTDATA("Units MAT",$A$15,"Subcategory","Organic")*(1+20%)</f>
        <v>1020898.7999999999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workbookViewId="0">
      <selection activeCell="E3" sqref="E3"/>
    </sheetView>
  </sheetViews>
  <sheetFormatPr defaultRowHeight="15" x14ac:dyDescent="0.25"/>
  <cols>
    <col min="1" max="1" width="10.140625" bestFit="1" customWidth="1"/>
    <col min="2" max="2" width="29.28515625" bestFit="1" customWidth="1"/>
    <col min="3" max="3" width="26" bestFit="1" customWidth="1"/>
    <col min="4" max="4" width="11.42578125" bestFit="1" customWidth="1"/>
    <col min="5" max="5" width="12.28515625" bestFit="1" customWidth="1"/>
    <col min="6" max="6" width="8.28515625" bestFit="1" customWidth="1"/>
    <col min="7" max="7" width="21.42578125" bestFit="1" customWidth="1"/>
    <col min="8" max="8" width="24.85546875" bestFit="1" customWidth="1"/>
    <col min="9" max="9" width="15" bestFit="1" customWidth="1"/>
  </cols>
  <sheetData>
    <row r="1" spans="1:9" x14ac:dyDescent="0.25">
      <c r="A1" t="s">
        <v>68</v>
      </c>
      <c r="B1" t="s">
        <v>99</v>
      </c>
      <c r="C1" t="s">
        <v>100</v>
      </c>
      <c r="D1" t="s">
        <v>72</v>
      </c>
      <c r="E1" t="s">
        <v>101</v>
      </c>
      <c r="F1" t="s">
        <v>73</v>
      </c>
      <c r="G1" t="s">
        <v>94</v>
      </c>
      <c r="H1" t="s">
        <v>90</v>
      </c>
      <c r="I1" t="s">
        <v>91</v>
      </c>
    </row>
    <row r="2" spans="1:9" x14ac:dyDescent="0.25">
      <c r="A2" s="8" t="s">
        <v>103</v>
      </c>
      <c r="B2" s="17">
        <v>0.1</v>
      </c>
      <c r="C2" s="10">
        <f>new_product_launch[[#This Row],[Estimated Unit Market Share]]*'New Category Opportunity'!$B$18</f>
        <v>102089.88</v>
      </c>
      <c r="D2" s="22">
        <v>3.5</v>
      </c>
      <c r="E2" s="1">
        <f>new_product_launch[[#This Row],[Net Price]]*new_product_launch[[#This Row],[Estimated units sold 2024]]</f>
        <v>357314.58</v>
      </c>
      <c r="F2" s="22">
        <v>1.35</v>
      </c>
      <c r="G2" s="22">
        <f>new_product_launch[[#This Row],[Net Price]]-new_product_launch[[#This Row],[COGS]]</f>
        <v>2.15</v>
      </c>
      <c r="H2" s="10">
        <f>new_product_launch[[#This Row],[Gross Profit per unit]]*new_product_launch[[#This Row],[Estimated units sold 2024]]</f>
        <v>219493.242</v>
      </c>
      <c r="I2" s="17">
        <f>new_product_launch[[#This Row],[Gross Profit per product]]/new_product_launch[[#This Row],[Net Sales]]</f>
        <v>0.61428571428571421</v>
      </c>
    </row>
    <row r="3" spans="1:9" x14ac:dyDescent="0.25">
      <c r="A3" s="8" t="s">
        <v>104</v>
      </c>
      <c r="B3" s="17">
        <v>0.12</v>
      </c>
      <c r="C3" s="10">
        <f>new_product_launch[[#This Row],[Estimated Unit Market Share]]*'New Category Opportunity'!$B$18</f>
        <v>122507.85599999999</v>
      </c>
      <c r="D3" s="22">
        <v>2.75</v>
      </c>
      <c r="E3" s="1">
        <f>new_product_launch[[#This Row],[Net Price]]*new_product_launch[[#This Row],[Estimated units sold 2024]]</f>
        <v>336896.60399999993</v>
      </c>
      <c r="F3" s="22">
        <v>0.9</v>
      </c>
      <c r="G3" s="22">
        <f>new_product_launch[[#This Row],[Net Price]]-new_product_launch[[#This Row],[COGS]]</f>
        <v>1.85</v>
      </c>
      <c r="H3" s="10">
        <f>new_product_launch[[#This Row],[Gross Profit per unit]]*new_product_launch[[#This Row],[Estimated units sold 2024]]</f>
        <v>226639.5336</v>
      </c>
      <c r="I3" s="17">
        <f>new_product_launch[[#This Row],[Gross Profit per product]]/new_product_launch[[#This Row],[Net Sales]]</f>
        <v>0.67272727272727284</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E74E9-F445-42FB-9D17-A576DD2445BB}">
  <dimension ref="A1:M22"/>
  <sheetViews>
    <sheetView workbookViewId="0">
      <selection activeCell="K14" sqref="K14"/>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9" bestFit="1" customWidth="1"/>
    <col min="6" max="6" width="12.28515625" style="9" bestFit="1" customWidth="1"/>
    <col min="7" max="7" width="9.140625" style="9" bestFit="1" customWidth="1"/>
    <col min="8" max="8" width="15.7109375" style="10" bestFit="1" customWidth="1"/>
    <col min="9" max="9" width="16.140625" bestFit="1" customWidth="1"/>
    <col min="10" max="10" width="21.42578125" bestFit="1" customWidth="1"/>
    <col min="11" max="11" width="24.85546875" bestFit="1" customWidth="1"/>
    <col min="12" max="12" width="15" bestFit="1" customWidth="1"/>
    <col min="13" max="13" width="15" style="23" customWidth="1"/>
  </cols>
  <sheetData>
    <row r="1" spans="1:13" x14ac:dyDescent="0.25">
      <c r="A1" t="s">
        <v>2</v>
      </c>
      <c r="B1" t="s">
        <v>68</v>
      </c>
      <c r="C1" t="s">
        <v>69</v>
      </c>
      <c r="D1" t="s">
        <v>70</v>
      </c>
      <c r="E1" s="9" t="s">
        <v>71</v>
      </c>
      <c r="F1" s="9" t="s">
        <v>72</v>
      </c>
      <c r="G1" s="9" t="s">
        <v>73</v>
      </c>
      <c r="H1" s="10" t="s">
        <v>74</v>
      </c>
      <c r="I1" t="s">
        <v>102</v>
      </c>
      <c r="J1" t="s">
        <v>94</v>
      </c>
      <c r="K1" t="s">
        <v>90</v>
      </c>
      <c r="L1" t="s">
        <v>91</v>
      </c>
      <c r="M1" s="23" t="s">
        <v>105</v>
      </c>
    </row>
    <row r="2" spans="1:13" x14ac:dyDescent="0.25">
      <c r="A2" s="8" t="s">
        <v>57</v>
      </c>
      <c r="B2" s="8" t="s">
        <v>75</v>
      </c>
      <c r="C2">
        <v>100</v>
      </c>
      <c r="D2" s="8" t="s">
        <v>76</v>
      </c>
      <c r="E2" s="14">
        <v>5</v>
      </c>
      <c r="F2" s="14">
        <v>3.1</v>
      </c>
      <c r="G2" s="14">
        <v>0.9</v>
      </c>
      <c r="H2" s="10">
        <v>1156348</v>
      </c>
      <c r="I2" s="6">
        <f>internal_sales_data6[[#This Row],[Volume 2022]]*internal_sales_data6[[#This Row],[Net Price]]</f>
        <v>3584678.8000000003</v>
      </c>
      <c r="J2" s="14">
        <f>internal_sales_data6[[#This Row],[Net Price]]-internal_sales_data6[[#This Row],[COGS]]</f>
        <v>2.2000000000000002</v>
      </c>
      <c r="K2" s="6">
        <f>internal_sales_data6[[#This Row],[Gross Profit per unit]]*internal_sales_data6[[#This Row],[Volume 2022]]</f>
        <v>2543965.6</v>
      </c>
      <c r="L2" s="17">
        <f>internal_sales_data6[[#This Row],[Gross Profit per unit]]/internal_sales_data6[[#This Row],[Net Price]]</f>
        <v>0.70967741935483875</v>
      </c>
      <c r="M2" s="24">
        <f>internal_sales_data6[[#This Row],[Retail Price]]/internal_sales_data6[[#This Row],[Pack Size (ml)]]</f>
        <v>0.05</v>
      </c>
    </row>
    <row r="3" spans="1:13" x14ac:dyDescent="0.25">
      <c r="A3" s="8" t="s">
        <v>57</v>
      </c>
      <c r="B3" s="8" t="s">
        <v>77</v>
      </c>
      <c r="C3">
        <v>100</v>
      </c>
      <c r="D3" s="8" t="s">
        <v>78</v>
      </c>
      <c r="E3" s="14">
        <v>5</v>
      </c>
      <c r="F3" s="14">
        <v>2.9</v>
      </c>
      <c r="G3" s="14">
        <v>0.95</v>
      </c>
      <c r="H3" s="10">
        <v>693809</v>
      </c>
      <c r="I3" s="6">
        <f>internal_sales_data6[[#This Row],[Volume 2022]]*internal_sales_data6[[#This Row],[Net Price]]</f>
        <v>2012046.0999999999</v>
      </c>
      <c r="J3" s="14">
        <f>internal_sales_data6[[#This Row],[Net Price]]-internal_sales_data6[[#This Row],[COGS]]</f>
        <v>1.95</v>
      </c>
      <c r="K3" s="6">
        <f>internal_sales_data6[[#This Row],[Gross Profit per unit]]*internal_sales_data6[[#This Row],[Volume 2022]]</f>
        <v>1352927.55</v>
      </c>
      <c r="L3" s="17">
        <f>internal_sales_data6[[#This Row],[Gross Profit per unit]]/internal_sales_data6[[#This Row],[Net Price]]</f>
        <v>0.67241379310344829</v>
      </c>
      <c r="M3" s="24">
        <f>internal_sales_data6[[#This Row],[Retail Price]]/internal_sales_data6[[#This Row],[Pack Size (ml)]]</f>
        <v>0.05</v>
      </c>
    </row>
    <row r="4" spans="1:13" x14ac:dyDescent="0.25">
      <c r="A4" s="8" t="s">
        <v>57</v>
      </c>
      <c r="B4" s="8" t="s">
        <v>79</v>
      </c>
      <c r="C4">
        <v>100</v>
      </c>
      <c r="D4" s="8" t="s">
        <v>80</v>
      </c>
      <c r="E4" s="14">
        <v>5</v>
      </c>
      <c r="F4" s="14">
        <v>2.8</v>
      </c>
      <c r="G4" s="14">
        <v>1</v>
      </c>
      <c r="H4" s="10">
        <v>346904</v>
      </c>
      <c r="I4" s="6">
        <f>internal_sales_data6[[#This Row],[Volume 2022]]*internal_sales_data6[[#This Row],[Net Price]]</f>
        <v>971331.2</v>
      </c>
      <c r="J4" s="14">
        <f>internal_sales_data6[[#This Row],[Net Price]]-internal_sales_data6[[#This Row],[COGS]]</f>
        <v>1.7999999999999998</v>
      </c>
      <c r="K4" s="6">
        <f>internal_sales_data6[[#This Row],[Gross Profit per unit]]*internal_sales_data6[[#This Row],[Volume 2022]]</f>
        <v>624427.19999999995</v>
      </c>
      <c r="L4" s="17">
        <f>internal_sales_data6[[#This Row],[Gross Profit per unit]]/internal_sales_data6[[#This Row],[Net Price]]</f>
        <v>0.64285714285714279</v>
      </c>
      <c r="M4" s="24">
        <f>internal_sales_data6[[#This Row],[Retail Price]]/internal_sales_data6[[#This Row],[Pack Size (ml)]]</f>
        <v>0.05</v>
      </c>
    </row>
    <row r="5" spans="1:13" x14ac:dyDescent="0.25">
      <c r="A5" s="8" t="s">
        <v>57</v>
      </c>
      <c r="B5" s="8" t="s">
        <v>75</v>
      </c>
      <c r="C5">
        <v>150</v>
      </c>
      <c r="D5" s="8" t="s">
        <v>81</v>
      </c>
      <c r="E5" s="14">
        <v>7</v>
      </c>
      <c r="F5" s="14">
        <v>3.5</v>
      </c>
      <c r="G5" s="14">
        <v>1.2</v>
      </c>
      <c r="H5" s="10">
        <v>693809</v>
      </c>
      <c r="I5" s="6">
        <f>internal_sales_data6[[#This Row],[Volume 2022]]*internal_sales_data6[[#This Row],[Net Price]]</f>
        <v>2428331.5</v>
      </c>
      <c r="J5" s="14">
        <f>internal_sales_data6[[#This Row],[Net Price]]-internal_sales_data6[[#This Row],[COGS]]</f>
        <v>2.2999999999999998</v>
      </c>
      <c r="K5" s="6">
        <f>internal_sales_data6[[#This Row],[Gross Profit per unit]]*internal_sales_data6[[#This Row],[Volume 2022]]</f>
        <v>1595760.7</v>
      </c>
      <c r="L5" s="17">
        <f>internal_sales_data6[[#This Row],[Gross Profit per unit]]/internal_sales_data6[[#This Row],[Net Price]]</f>
        <v>0.65714285714285714</v>
      </c>
      <c r="M5" s="24">
        <f>internal_sales_data6[[#This Row],[Retail Price]]/internal_sales_data6[[#This Row],[Pack Size (ml)]]</f>
        <v>4.6666666666666669E-2</v>
      </c>
    </row>
    <row r="6" spans="1:13" x14ac:dyDescent="0.25">
      <c r="A6" s="8" t="s">
        <v>57</v>
      </c>
      <c r="B6" s="8" t="s">
        <v>79</v>
      </c>
      <c r="C6">
        <v>150</v>
      </c>
      <c r="D6" s="8" t="s">
        <v>82</v>
      </c>
      <c r="E6" s="14">
        <v>7.25</v>
      </c>
      <c r="F6" s="14">
        <v>3.7</v>
      </c>
      <c r="G6" s="14">
        <v>1.3</v>
      </c>
      <c r="H6" s="10">
        <v>231270</v>
      </c>
      <c r="I6" s="6">
        <f>internal_sales_data6[[#This Row],[Volume 2022]]*internal_sales_data6[[#This Row],[Net Price]]</f>
        <v>855699</v>
      </c>
      <c r="J6" s="14">
        <f>internal_sales_data6[[#This Row],[Net Price]]-internal_sales_data6[[#This Row],[COGS]]</f>
        <v>2.4000000000000004</v>
      </c>
      <c r="K6" s="6">
        <f>internal_sales_data6[[#This Row],[Gross Profit per unit]]*internal_sales_data6[[#This Row],[Volume 2022]]</f>
        <v>555048.00000000012</v>
      </c>
      <c r="L6" s="17">
        <f>internal_sales_data6[[#This Row],[Gross Profit per unit]]/internal_sales_data6[[#This Row],[Net Price]]</f>
        <v>0.64864864864864868</v>
      </c>
      <c r="M6" s="24">
        <f>internal_sales_data6[[#This Row],[Retail Price]]/internal_sales_data6[[#This Row],[Pack Size (ml)]]</f>
        <v>4.8333333333333332E-2</v>
      </c>
    </row>
    <row r="7" spans="1:13" x14ac:dyDescent="0.25">
      <c r="A7" s="8" t="s">
        <v>57</v>
      </c>
      <c r="B7" s="8" t="s">
        <v>75</v>
      </c>
      <c r="C7">
        <v>200</v>
      </c>
      <c r="D7" s="8" t="s">
        <v>83</v>
      </c>
      <c r="E7" s="14">
        <v>9</v>
      </c>
      <c r="F7" s="14">
        <v>5</v>
      </c>
      <c r="G7" s="14">
        <v>1.5</v>
      </c>
      <c r="H7" s="10">
        <v>289087</v>
      </c>
      <c r="I7" s="6">
        <f>internal_sales_data6[[#This Row],[Volume 2022]]*internal_sales_data6[[#This Row],[Net Price]]</f>
        <v>1445435</v>
      </c>
      <c r="J7" s="14">
        <f>internal_sales_data6[[#This Row],[Net Price]]-internal_sales_data6[[#This Row],[COGS]]</f>
        <v>3.5</v>
      </c>
      <c r="K7" s="6">
        <f>internal_sales_data6[[#This Row],[Gross Profit per unit]]*internal_sales_data6[[#This Row],[Volume 2022]]</f>
        <v>1011804.5</v>
      </c>
      <c r="L7" s="17">
        <f>internal_sales_data6[[#This Row],[Gross Profit per unit]]/internal_sales_data6[[#This Row],[Net Price]]</f>
        <v>0.7</v>
      </c>
      <c r="M7" s="24">
        <f>internal_sales_data6[[#This Row],[Retail Price]]/internal_sales_data6[[#This Row],[Pack Size (ml)]]</f>
        <v>4.4999999999999998E-2</v>
      </c>
    </row>
    <row r="8" spans="1:13" x14ac:dyDescent="0.25">
      <c r="A8" s="8" t="s">
        <v>22</v>
      </c>
      <c r="B8" s="8" t="s">
        <v>84</v>
      </c>
      <c r="C8">
        <v>100</v>
      </c>
      <c r="D8" s="8" t="s">
        <v>85</v>
      </c>
      <c r="E8" s="14">
        <v>6</v>
      </c>
      <c r="F8" s="14">
        <v>3.5</v>
      </c>
      <c r="G8" s="14">
        <v>1.1499999999999999</v>
      </c>
      <c r="H8" s="10">
        <v>1089532</v>
      </c>
      <c r="I8" s="6">
        <f>internal_sales_data6[[#This Row],[Volume 2022]]*internal_sales_data6[[#This Row],[Net Price]]</f>
        <v>3813362</v>
      </c>
      <c r="J8" s="14">
        <f>internal_sales_data6[[#This Row],[Net Price]]-internal_sales_data6[[#This Row],[COGS]]</f>
        <v>2.35</v>
      </c>
      <c r="K8" s="6">
        <f>internal_sales_data6[[#This Row],[Gross Profit per unit]]*internal_sales_data6[[#This Row],[Volume 2022]]</f>
        <v>2560400.2000000002</v>
      </c>
      <c r="L8" s="17">
        <f>internal_sales_data6[[#This Row],[Gross Profit per unit]]/internal_sales_data6[[#This Row],[Net Price]]</f>
        <v>0.67142857142857149</v>
      </c>
      <c r="M8" s="24">
        <f>internal_sales_data6[[#This Row],[Retail Price]]/internal_sales_data6[[#This Row],[Pack Size (ml)]]</f>
        <v>0.06</v>
      </c>
    </row>
    <row r="9" spans="1:13" x14ac:dyDescent="0.25">
      <c r="A9" s="8" t="s">
        <v>22</v>
      </c>
      <c r="B9" s="8" t="s">
        <v>84</v>
      </c>
      <c r="C9">
        <v>125</v>
      </c>
      <c r="D9" s="8" t="s">
        <v>86</v>
      </c>
      <c r="E9" s="14">
        <v>7</v>
      </c>
      <c r="F9" s="14">
        <v>4.25</v>
      </c>
      <c r="G9" s="14">
        <v>1.3</v>
      </c>
      <c r="H9" s="10">
        <v>466942</v>
      </c>
      <c r="I9" s="6">
        <f>internal_sales_data6[[#This Row],[Volume 2022]]*internal_sales_data6[[#This Row],[Net Price]]</f>
        <v>1984503.5</v>
      </c>
      <c r="J9" s="14">
        <f>internal_sales_data6[[#This Row],[Net Price]]-internal_sales_data6[[#This Row],[COGS]]</f>
        <v>2.95</v>
      </c>
      <c r="K9" s="6">
        <f>internal_sales_data6[[#This Row],[Gross Profit per unit]]*internal_sales_data6[[#This Row],[Volume 2022]]</f>
        <v>1377478.9000000001</v>
      </c>
      <c r="L9" s="17">
        <f>internal_sales_data6[[#This Row],[Gross Profit per unit]]/internal_sales_data6[[#This Row],[Net Price]]</f>
        <v>0.69411764705882362</v>
      </c>
      <c r="M9" s="24">
        <f>internal_sales_data6[[#This Row],[Retail Price]]/internal_sales_data6[[#This Row],[Pack Size (ml)]]</f>
        <v>5.6000000000000001E-2</v>
      </c>
    </row>
    <row r="10" spans="1:13" x14ac:dyDescent="0.25">
      <c r="A10" s="8" t="s">
        <v>22</v>
      </c>
      <c r="B10" s="8" t="s">
        <v>84</v>
      </c>
      <c r="C10">
        <v>150</v>
      </c>
      <c r="D10" s="8" t="s">
        <v>87</v>
      </c>
      <c r="E10" s="14">
        <v>8</v>
      </c>
      <c r="F10" s="14">
        <v>5.0999999999999996</v>
      </c>
      <c r="G10" s="14">
        <v>1.5</v>
      </c>
      <c r="H10" s="10">
        <v>389118</v>
      </c>
      <c r="I10" s="6">
        <f>internal_sales_data6[[#This Row],[Volume 2022]]*internal_sales_data6[[#This Row],[Net Price]]</f>
        <v>1984501.7999999998</v>
      </c>
      <c r="J10" s="14">
        <f>internal_sales_data6[[#This Row],[Net Price]]-internal_sales_data6[[#This Row],[COGS]]</f>
        <v>3.5999999999999996</v>
      </c>
      <c r="K10" s="6">
        <f>internal_sales_data6[[#This Row],[Gross Profit per unit]]*internal_sales_data6[[#This Row],[Volume 2022]]</f>
        <v>1400824.7999999998</v>
      </c>
      <c r="L10" s="17">
        <f>internal_sales_data6[[#This Row],[Gross Profit per unit]]/internal_sales_data6[[#This Row],[Net Price]]</f>
        <v>0.70588235294117641</v>
      </c>
      <c r="M10" s="24">
        <f>internal_sales_data6[[#This Row],[Retail Price]]/internal_sales_data6[[#This Row],[Pack Size (ml)]]</f>
        <v>5.3333333333333337E-2</v>
      </c>
    </row>
    <row r="11" spans="1:13" x14ac:dyDescent="0.25">
      <c r="A11" s="8" t="s">
        <v>22</v>
      </c>
      <c r="B11" s="8" t="s">
        <v>84</v>
      </c>
      <c r="C11">
        <v>200</v>
      </c>
      <c r="D11" s="8" t="s">
        <v>88</v>
      </c>
      <c r="E11" s="14">
        <v>10</v>
      </c>
      <c r="F11" s="14">
        <v>6</v>
      </c>
      <c r="G11" s="14">
        <v>1.7</v>
      </c>
      <c r="H11" s="10">
        <v>233471</v>
      </c>
      <c r="I11" s="6">
        <f>internal_sales_data6[[#This Row],[Volume 2022]]*internal_sales_data6[[#This Row],[Net Price]]</f>
        <v>1400826</v>
      </c>
      <c r="J11" s="14">
        <f>internal_sales_data6[[#This Row],[Net Price]]-internal_sales_data6[[#This Row],[COGS]]</f>
        <v>4.3</v>
      </c>
      <c r="K11" s="6">
        <f>internal_sales_data6[[#This Row],[Gross Profit per unit]]*internal_sales_data6[[#This Row],[Volume 2022]]</f>
        <v>1003925.2999999999</v>
      </c>
      <c r="L11" s="17">
        <f>internal_sales_data6[[#This Row],[Gross Profit per unit]]/internal_sales_data6[[#This Row],[Net Price]]</f>
        <v>0.71666666666666667</v>
      </c>
      <c r="M11" s="24">
        <f>internal_sales_data6[[#This Row],[Retail Price]]/internal_sales_data6[[#This Row],[Pack Size (ml)]]</f>
        <v>0.05</v>
      </c>
    </row>
    <row r="12" spans="1:13" x14ac:dyDescent="0.25">
      <c r="A12" s="8" t="s">
        <v>57</v>
      </c>
      <c r="B12" s="8" t="s">
        <v>75</v>
      </c>
      <c r="C12">
        <v>50</v>
      </c>
      <c r="D12" s="8" t="s">
        <v>106</v>
      </c>
      <c r="E12" s="14">
        <f>internal_sales_data6[[#This Row],[Pack Size (ml)]]*M2*(1+50%)</f>
        <v>3.75</v>
      </c>
      <c r="F12" s="14">
        <v>2.2999999999999998</v>
      </c>
      <c r="G12" s="14">
        <v>0.7</v>
      </c>
      <c r="H12" s="10">
        <f>H2*10%</f>
        <v>115634.8</v>
      </c>
      <c r="I12" s="6">
        <f>internal_sales_data6[[#This Row],[Volume 2022]]*internal_sales_data6[[#This Row],[Net Price]]</f>
        <v>265960.03999999998</v>
      </c>
      <c r="J12" s="14">
        <f>internal_sales_data6[[#This Row],[Net Price]]-internal_sales_data6[[#This Row],[COGS]]</f>
        <v>1.5999999999999999</v>
      </c>
      <c r="K12" s="6">
        <f>internal_sales_data6[[#This Row],[Gross Profit per unit]]*internal_sales_data6[[#This Row],[Volume 2022]]</f>
        <v>185015.67999999999</v>
      </c>
      <c r="L12" s="17">
        <f>internal_sales_data6[[#This Row],[Gross Profit per unit]]/internal_sales_data6[[#This Row],[Net Price]]</f>
        <v>0.69565217391304346</v>
      </c>
      <c r="M12" s="24">
        <f>internal_sales_data6[[#This Row],[Retail Price]]/internal_sales_data6[[#This Row],[Pack Size (ml)]]</f>
        <v>7.4999999999999997E-2</v>
      </c>
    </row>
    <row r="22" spans="9:9" x14ac:dyDescent="0.25">
      <c r="I22" s="22"/>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D0406-61C1-42D6-8BFF-37EE65C800EC}">
  <dimension ref="A1:J4"/>
  <sheetViews>
    <sheetView workbookViewId="0">
      <selection activeCell="J1" sqref="J1:J1048576"/>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3.28515625" style="25" bestFit="1" customWidth="1"/>
    <col min="7" max="7" width="16.28515625" style="25" bestFit="1" customWidth="1"/>
    <col min="8" max="9" width="11.140625" style="25" bestFit="1" customWidth="1"/>
    <col min="10" max="10" width="7.140625" style="7" bestFit="1" customWidth="1"/>
  </cols>
  <sheetData>
    <row r="1" spans="1:10" x14ac:dyDescent="0.25">
      <c r="A1" t="s">
        <v>107</v>
      </c>
      <c r="B1" t="s">
        <v>108</v>
      </c>
      <c r="C1" t="s">
        <v>2</v>
      </c>
      <c r="D1" t="s">
        <v>4</v>
      </c>
      <c r="E1" t="s">
        <v>5</v>
      </c>
      <c r="F1" s="25" t="s">
        <v>109</v>
      </c>
      <c r="G1" s="25" t="s">
        <v>110</v>
      </c>
      <c r="H1" s="25" t="s">
        <v>111</v>
      </c>
      <c r="I1" s="25" t="s">
        <v>112</v>
      </c>
      <c r="J1" s="7" t="s">
        <v>113</v>
      </c>
    </row>
    <row r="2" spans="1:10" x14ac:dyDescent="0.25">
      <c r="A2">
        <v>1</v>
      </c>
      <c r="B2" s="8" t="s">
        <v>114</v>
      </c>
      <c r="C2" s="8" t="s">
        <v>22</v>
      </c>
      <c r="D2">
        <v>2022</v>
      </c>
      <c r="E2">
        <v>4</v>
      </c>
      <c r="F2" s="25">
        <f>VLOOKUP(promotion_analysis[[#This Row],[Month]],'Promotion Graph'!$A$5:$B$16,2,FALSE)</f>
        <v>1445626</v>
      </c>
      <c r="G2" s="25">
        <f>AVERAGE('Promotion Graph'!$B$5:$B$7,'Promotion Graph'!$B$9:$B$11,'Promotion Graph'!$B$13:$B$14,GETPIVOTDATA("Values Month",'Promotion Graph'!$A$4,"Month",12))</f>
        <v>840835.5555555555</v>
      </c>
      <c r="H2" s="25">
        <f>promotion_analysis[[#This Row],[Value sales]]-promotion_analysis[[#This Row],[Baseline sales ]]</f>
        <v>604790.4444444445</v>
      </c>
      <c r="I2" s="25">
        <v>620000</v>
      </c>
      <c r="J2" s="7">
        <f>(promotion_analysis[[#This Row],[Uplift]]-promotion_analysis[[#This Row],[Costs]])/promotion_analysis[[#This Row],[Costs]]</f>
        <v>-2.453154121863791E-2</v>
      </c>
    </row>
    <row r="3" spans="1:10" x14ac:dyDescent="0.25">
      <c r="A3">
        <v>2</v>
      </c>
      <c r="B3" s="8" t="s">
        <v>115</v>
      </c>
      <c r="C3" s="8" t="s">
        <v>22</v>
      </c>
      <c r="D3">
        <v>2022</v>
      </c>
      <c r="E3">
        <v>8</v>
      </c>
      <c r="F3" s="25">
        <f>VLOOKUP(promotion_analysis[[#This Row],[Month]],'Promotion Graph'!$A$5:$B$16,2,FALSE)</f>
        <v>1198708</v>
      </c>
      <c r="G3" s="25">
        <f>AVERAGE('Promotion Graph'!$B$5:$B$7,'Promotion Graph'!$B$9:$B$11,'Promotion Graph'!$B$13:$B$14,GETPIVOTDATA("Values Month",'Promotion Graph'!$A$4,"Month",12))</f>
        <v>840835.5555555555</v>
      </c>
      <c r="H3" s="25">
        <f>promotion_analysis[[#This Row],[Value sales]]-promotion_analysis[[#This Row],[Baseline sales ]]</f>
        <v>357872.4444444445</v>
      </c>
      <c r="I3" s="25">
        <v>320000</v>
      </c>
      <c r="J3" s="7">
        <f>(promotion_analysis[[#This Row],[Uplift]]-promotion_analysis[[#This Row],[Costs]])/promotion_analysis[[#This Row],[Costs]]</f>
        <v>0.11835138888888905</v>
      </c>
    </row>
    <row r="4" spans="1:10" x14ac:dyDescent="0.25">
      <c r="A4">
        <v>3</v>
      </c>
      <c r="B4" s="8" t="s">
        <v>116</v>
      </c>
      <c r="C4" s="8" t="s">
        <v>22</v>
      </c>
      <c r="D4">
        <v>2022</v>
      </c>
      <c r="E4">
        <v>11</v>
      </c>
      <c r="F4" s="25">
        <f>VLOOKUP(promotion_analysis[[#This Row],[Month]],'Promotion Graph'!$A$5:$B$16,2,FALSE)</f>
        <v>1413646</v>
      </c>
      <c r="G4" s="25">
        <f>AVERAGE('Promotion Graph'!$B$5:$B$7,'Promotion Graph'!$B$9:$B$11,'Promotion Graph'!$B$13:$B$14,GETPIVOTDATA("Values Month",'Promotion Graph'!$A$4,"Month",12))</f>
        <v>840835.5555555555</v>
      </c>
      <c r="H4" s="25">
        <f>promotion_analysis[[#This Row],[Value sales]]-promotion_analysis[[#This Row],[Baseline sales ]]</f>
        <v>572810.4444444445</v>
      </c>
      <c r="I4" s="25">
        <v>540000</v>
      </c>
      <c r="J4" s="7">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2036E-194E-4980-82A3-C4B45B0925E7}">
  <dimension ref="A1:E2"/>
  <sheetViews>
    <sheetView workbookViewId="0">
      <selection activeCell="B8" sqref="B8"/>
    </sheetView>
  </sheetViews>
  <sheetFormatPr defaultRowHeight="15" x14ac:dyDescent="0.25"/>
  <cols>
    <col min="1" max="1" width="23" bestFit="1" customWidth="1"/>
    <col min="2" max="2" width="14.42578125" bestFit="1" customWidth="1"/>
    <col min="3" max="3" width="16.42578125" style="25" bestFit="1" customWidth="1"/>
    <col min="4" max="4" width="14" style="25" bestFit="1" customWidth="1"/>
    <col min="5" max="5" width="23" bestFit="1" customWidth="1"/>
  </cols>
  <sheetData>
    <row r="1" spans="1:5" x14ac:dyDescent="0.25">
      <c r="A1" t="s">
        <v>123</v>
      </c>
      <c r="B1" t="s">
        <v>124</v>
      </c>
      <c r="C1" s="25" t="s">
        <v>125</v>
      </c>
      <c r="D1" s="25" t="s">
        <v>126</v>
      </c>
      <c r="E1" t="s">
        <v>127</v>
      </c>
    </row>
    <row r="2" spans="1:5" x14ac:dyDescent="0.25">
      <c r="A2" s="25">
        <f>'Forecast 2024'!F7</f>
        <v>20606057.899500884</v>
      </c>
      <c r="B2" s="25">
        <f>'Forecast 2024'!F8-'Forecast 2024'!F7</f>
        <v>202654.24053605273</v>
      </c>
      <c r="C2" s="25">
        <f>'Organic Shampoo Launch'!E3</f>
        <v>336896.60399999993</v>
      </c>
      <c r="D2" s="25">
        <f>'50ml Shampoo 2024'!I12</f>
        <v>265960.03999999998</v>
      </c>
      <c r="E2" s="25">
        <f>SUM(A2:D2)</f>
        <v>21411568.784036934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Promotion Graph</vt:lpstr>
      <vt:lpstr>Forecast 2024</vt:lpstr>
      <vt:lpstr>Sales until 2022</vt:lpstr>
      <vt:lpstr>External Data</vt:lpstr>
      <vt:lpstr>Profitability Matrix</vt:lpstr>
      <vt:lpstr>Internal Sales Data</vt:lpstr>
      <vt:lpstr>New Category Opportunity</vt:lpstr>
      <vt:lpstr>Organic Shampoo Launch</vt:lpstr>
      <vt:lpstr>50ml Shampoo 2024</vt:lpstr>
      <vt:lpstr>Promotion Analysis</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User</cp:lastModifiedBy>
  <dcterms:created xsi:type="dcterms:W3CDTF">2022-06-08T14:08:07Z</dcterms:created>
  <dcterms:modified xsi:type="dcterms:W3CDTF">2025-03-03T12:38:14Z</dcterms:modified>
</cp:coreProperties>
</file>