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zain/Documents/crypto dashboard/"/>
    </mc:Choice>
  </mc:AlternateContent>
  <xr:revisionPtr revIDLastSave="0" documentId="13_ncr:1_{AEC6F235-E5E1-434E-87D5-2671957F6EF9}" xr6:coauthVersionLast="47" xr6:coauthVersionMax="47" xr10:uidLastSave="{00000000-0000-0000-0000-000000000000}"/>
  <bookViews>
    <workbookView xWindow="4020" yWindow="980" windowWidth="29100" windowHeight="19060" activeTab="1" xr2:uid="{00000000-000D-0000-FFFF-FFFF00000000}"/>
  </bookViews>
  <sheets>
    <sheet name="Crypto" sheetId="1" r:id="rId1"/>
    <sheet name="dashboard" sheetId="12" r:id="rId2"/>
    <sheet name="cryptodata" sheetId="2" r:id="rId3"/>
    <sheet name="NEAR Import" sheetId="6" r:id="rId4"/>
    <sheet name="Chainlink Import" sheetId="7" r:id="rId5"/>
    <sheet name="Holoride Import" sheetId="8" r:id="rId6"/>
    <sheet name="EGLD Import" sheetId="9" r:id="rId7"/>
    <sheet name="Binance" sheetId="10" r:id="rId8"/>
    <sheet name="FLOW Import" sheetId="1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2" i="9" l="1"/>
  <c r="U2" i="9" s="1"/>
  <c r="V968" i="2"/>
  <c r="V169" i="2"/>
  <c r="A2" i="2"/>
  <c r="C218" i="1"/>
  <c r="I218" i="1" s="1"/>
  <c r="F217" i="1"/>
  <c r="E217" i="1" s="1"/>
  <c r="F216" i="1"/>
  <c r="F218" i="1" s="1"/>
  <c r="C212" i="1"/>
  <c r="F211" i="1"/>
  <c r="H210" i="1"/>
  <c r="E210" i="1"/>
  <c r="H209" i="1"/>
  <c r="F209" i="1"/>
  <c r="H208" i="1"/>
  <c r="F208" i="1"/>
  <c r="H207" i="1"/>
  <c r="F207" i="1"/>
  <c r="F206" i="1"/>
  <c r="H205" i="1"/>
  <c r="F205" i="1"/>
  <c r="J207" i="1" s="1"/>
  <c r="K207" i="1" s="1"/>
  <c r="J204" i="1"/>
  <c r="K204" i="1" s="1"/>
  <c r="J205" i="1" s="1"/>
  <c r="K205" i="1" s="1"/>
  <c r="H204" i="1"/>
  <c r="F204" i="1"/>
  <c r="F203" i="1"/>
  <c r="F202" i="1"/>
  <c r="E201" i="1"/>
  <c r="F200" i="1"/>
  <c r="F199" i="1"/>
  <c r="F195" i="1"/>
  <c r="H195" i="1" s="1"/>
  <c r="C195" i="1"/>
  <c r="T22" i="1" s="1"/>
  <c r="F194" i="1"/>
  <c r="F193" i="1"/>
  <c r="C189" i="1"/>
  <c r="H187" i="1"/>
  <c r="F187" i="1"/>
  <c r="H186" i="1"/>
  <c r="F186" i="1"/>
  <c r="H185" i="1"/>
  <c r="F185" i="1"/>
  <c r="H184" i="1"/>
  <c r="F184" i="1"/>
  <c r="H183" i="1"/>
  <c r="F183" i="1"/>
  <c r="J183" i="1" s="1"/>
  <c r="K183" i="1" s="1"/>
  <c r="H182" i="1"/>
  <c r="F182" i="1"/>
  <c r="H181" i="1"/>
  <c r="F181" i="1"/>
  <c r="J186" i="1" s="1"/>
  <c r="K186" i="1" s="1"/>
  <c r="J187" i="1" s="1"/>
  <c r="J180" i="1"/>
  <c r="H180" i="1"/>
  <c r="K180" i="1" s="1"/>
  <c r="F180" i="1"/>
  <c r="C176" i="1"/>
  <c r="F175" i="1"/>
  <c r="F174" i="1"/>
  <c r="F176" i="1" s="1"/>
  <c r="H176" i="1" s="1"/>
  <c r="F170" i="1"/>
  <c r="H170" i="1" s="1"/>
  <c r="C170" i="1"/>
  <c r="T19" i="1" s="1"/>
  <c r="F169" i="1"/>
  <c r="F168" i="1"/>
  <c r="F164" i="1"/>
  <c r="H164" i="1" s="1"/>
  <c r="Q6" i="1" s="1"/>
  <c r="C164" i="1"/>
  <c r="F163" i="1"/>
  <c r="F162" i="1"/>
  <c r="F158" i="1"/>
  <c r="H158" i="1" s="1"/>
  <c r="C158" i="1"/>
  <c r="F157" i="1"/>
  <c r="H153" i="1"/>
  <c r="F153" i="1"/>
  <c r="C153" i="1"/>
  <c r="F152" i="1"/>
  <c r="F147" i="1"/>
  <c r="F146" i="1"/>
  <c r="C145" i="1"/>
  <c r="C142" i="1"/>
  <c r="F141" i="1"/>
  <c r="F140" i="1"/>
  <c r="F139" i="1"/>
  <c r="F142" i="1" s="1"/>
  <c r="H142" i="1" s="1"/>
  <c r="Q10" i="1" s="1"/>
  <c r="E139" i="1"/>
  <c r="C136" i="1"/>
  <c r="E134" i="1"/>
  <c r="F134" i="1" s="1"/>
  <c r="F136" i="1" s="1"/>
  <c r="H136" i="1" s="1"/>
  <c r="Q9" i="1" s="1"/>
  <c r="F130" i="1"/>
  <c r="H130" i="1" s="1"/>
  <c r="Q11" i="1" s="1"/>
  <c r="C130" i="1"/>
  <c r="F129" i="1"/>
  <c r="F128" i="1"/>
  <c r="O123" i="1"/>
  <c r="F122" i="1"/>
  <c r="F121" i="1"/>
  <c r="F120" i="1"/>
  <c r="F119" i="1"/>
  <c r="E119" i="1"/>
  <c r="P118" i="1"/>
  <c r="O125" i="1" s="1"/>
  <c r="E118" i="1"/>
  <c r="C118" i="1"/>
  <c r="F118" i="1" s="1"/>
  <c r="H117" i="1"/>
  <c r="F117" i="1"/>
  <c r="E117" i="1"/>
  <c r="H116" i="1"/>
  <c r="F116" i="1"/>
  <c r="E116" i="1"/>
  <c r="E115" i="1"/>
  <c r="F115" i="1" s="1"/>
  <c r="F114" i="1"/>
  <c r="F113" i="1"/>
  <c r="J116" i="1" s="1"/>
  <c r="K116" i="1" s="1"/>
  <c r="F109" i="1"/>
  <c r="C109" i="1"/>
  <c r="F108" i="1"/>
  <c r="F107" i="1"/>
  <c r="C103" i="1"/>
  <c r="F102" i="1"/>
  <c r="F101" i="1"/>
  <c r="M98" i="1"/>
  <c r="C96" i="1"/>
  <c r="F95" i="1"/>
  <c r="E95" i="1" s="1"/>
  <c r="F93" i="1"/>
  <c r="F92" i="1"/>
  <c r="C87" i="1"/>
  <c r="C88" i="1" s="1"/>
  <c r="G86" i="1"/>
  <c r="F86" i="1"/>
  <c r="G85" i="1"/>
  <c r="F85" i="1"/>
  <c r="F84" i="1"/>
  <c r="G84" i="1" s="1"/>
  <c r="G83" i="1"/>
  <c r="F83" i="1"/>
  <c r="F82" i="1"/>
  <c r="G82" i="1" s="1"/>
  <c r="H81" i="1"/>
  <c r="G81" i="1"/>
  <c r="F81" i="1"/>
  <c r="H80" i="1"/>
  <c r="F80" i="1"/>
  <c r="G80" i="1" s="1"/>
  <c r="H79" i="1"/>
  <c r="F75" i="1"/>
  <c r="C75" i="1"/>
  <c r="F74" i="1"/>
  <c r="O70" i="1"/>
  <c r="C69" i="1"/>
  <c r="I69" i="1" s="1"/>
  <c r="Q68" i="1"/>
  <c r="G68" i="1"/>
  <c r="F68" i="1"/>
  <c r="Q67" i="1"/>
  <c r="G67" i="1"/>
  <c r="F67" i="1"/>
  <c r="C67" i="1"/>
  <c r="Q66" i="1"/>
  <c r="G66" i="1"/>
  <c r="F66" i="1"/>
  <c r="Q65" i="1"/>
  <c r="G65" i="1"/>
  <c r="F65" i="1"/>
  <c r="D65" i="1"/>
  <c r="Q64" i="1"/>
  <c r="Q70" i="1" s="1"/>
  <c r="O72" i="1" s="1"/>
  <c r="G64" i="1"/>
  <c r="F64" i="1"/>
  <c r="Q63" i="1"/>
  <c r="F63" i="1"/>
  <c r="G63" i="1" s="1"/>
  <c r="Q62" i="1"/>
  <c r="G62" i="1"/>
  <c r="F62" i="1"/>
  <c r="G61" i="1"/>
  <c r="F61" i="1"/>
  <c r="G60" i="1"/>
  <c r="F60" i="1"/>
  <c r="F59" i="1"/>
  <c r="G59" i="1" s="1"/>
  <c r="G58" i="1"/>
  <c r="F58" i="1"/>
  <c r="G57" i="1"/>
  <c r="F57" i="1"/>
  <c r="G56" i="1"/>
  <c r="F56" i="1"/>
  <c r="E55" i="1"/>
  <c r="C55" i="1"/>
  <c r="E54" i="1"/>
  <c r="C54" i="1"/>
  <c r="F54" i="1" s="1"/>
  <c r="N50" i="1"/>
  <c r="C50" i="1"/>
  <c r="E49" i="1"/>
  <c r="F49" i="1" s="1"/>
  <c r="C49" i="1"/>
  <c r="N48" i="1"/>
  <c r="F48" i="1"/>
  <c r="E48" i="1"/>
  <c r="N47" i="1"/>
  <c r="F47" i="1"/>
  <c r="E47" i="1"/>
  <c r="F46" i="1"/>
  <c r="E46" i="1"/>
  <c r="M45" i="1"/>
  <c r="F45" i="1"/>
  <c r="E45" i="1"/>
  <c r="W43" i="1"/>
  <c r="W46" i="1" s="1"/>
  <c r="W47" i="1" s="1"/>
  <c r="H43" i="1"/>
  <c r="E43" i="1"/>
  <c r="C43" i="1"/>
  <c r="M42" i="1"/>
  <c r="C42" i="1"/>
  <c r="H42" i="1" s="1"/>
  <c r="W41" i="1"/>
  <c r="H41" i="1"/>
  <c r="F41" i="1"/>
  <c r="H40" i="1"/>
  <c r="F40" i="1"/>
  <c r="M39" i="1"/>
  <c r="H39" i="1"/>
  <c r="F39" i="1"/>
  <c r="C39" i="1"/>
  <c r="H38" i="1"/>
  <c r="F38" i="1"/>
  <c r="H37" i="1"/>
  <c r="F37" i="1"/>
  <c r="H36" i="1"/>
  <c r="E36" i="1"/>
  <c r="M35" i="1"/>
  <c r="M37" i="1" s="1"/>
  <c r="H35" i="1"/>
  <c r="E35" i="1"/>
  <c r="H34" i="1"/>
  <c r="E34" i="1"/>
  <c r="H33" i="1"/>
  <c r="E33" i="1"/>
  <c r="F32" i="1"/>
  <c r="F31" i="1"/>
  <c r="F30" i="1"/>
  <c r="X29" i="1"/>
  <c r="R29" i="1"/>
  <c r="F29" i="1"/>
  <c r="S28" i="1"/>
  <c r="R28" i="1"/>
  <c r="S27" i="1"/>
  <c r="R27" i="1"/>
  <c r="X26" i="1"/>
  <c r="R26" i="1"/>
  <c r="F24" i="1"/>
  <c r="U23" i="1"/>
  <c r="S23" i="1" a="1"/>
  <c r="S23" i="1" s="1"/>
  <c r="R23" i="1" a="1"/>
  <c r="R23" i="1" s="1"/>
  <c r="P23" i="1" a="1"/>
  <c r="P23" i="1" s="1"/>
  <c r="H23" i="1"/>
  <c r="S22" i="1" a="1"/>
  <c r="S22" i="1" s="1"/>
  <c r="R22" i="1" a="1"/>
  <c r="R22" i="1" s="1"/>
  <c r="P22" i="1" a="1"/>
  <c r="P22" i="1" s="1"/>
  <c r="E22" i="1"/>
  <c r="C22" i="1"/>
  <c r="C25" i="1" s="1"/>
  <c r="T2" i="1" s="1"/>
  <c r="W33" i="1" s="1"/>
  <c r="T21" i="1"/>
  <c r="S21" i="1" a="1"/>
  <c r="S21" i="1" s="1"/>
  <c r="R21" i="1" a="1"/>
  <c r="R21" i="1" s="1"/>
  <c r="P21" i="1" a="1"/>
  <c r="P21" i="1" s="1"/>
  <c r="H21" i="1"/>
  <c r="F21" i="1"/>
  <c r="E21" i="1"/>
  <c r="V20" i="1"/>
  <c r="T20" i="1"/>
  <c r="S20" i="1" a="1"/>
  <c r="S20" i="1" s="1"/>
  <c r="R20" i="1" a="1"/>
  <c r="R20" i="1" s="1"/>
  <c r="P20" i="1" a="1"/>
  <c r="P20" i="1" s="1"/>
  <c r="H20" i="1"/>
  <c r="F20" i="1"/>
  <c r="E20" i="1"/>
  <c r="V19" i="1"/>
  <c r="S19" i="1" a="1"/>
  <c r="S19" i="1" s="1"/>
  <c r="R19" i="1" a="1"/>
  <c r="R19" i="1" s="1"/>
  <c r="P19" i="1" a="1"/>
  <c r="P19" i="1" s="1"/>
  <c r="H19" i="1"/>
  <c r="F19" i="1"/>
  <c r="E19" i="1"/>
  <c r="V18" i="1"/>
  <c r="T18" i="1"/>
  <c r="S18" i="1" a="1"/>
  <c r="S18" i="1" s="1"/>
  <c r="R18" i="1" a="1"/>
  <c r="R18" i="1"/>
  <c r="P18" i="1" a="1"/>
  <c r="P18" i="1" s="1"/>
  <c r="H18" i="1"/>
  <c r="E18" i="1"/>
  <c r="F18" i="1" s="1"/>
  <c r="T17" i="1"/>
  <c r="S17" i="1" a="1"/>
  <c r="S17" i="1" s="1"/>
  <c r="R17" i="1" a="1"/>
  <c r="R17" i="1" s="1"/>
  <c r="P17" i="1" a="1"/>
  <c r="P17" i="1" s="1"/>
  <c r="H17" i="1"/>
  <c r="E17" i="1"/>
  <c r="J17" i="1" s="1"/>
  <c r="X16" i="1"/>
  <c r="S16" i="1" a="1"/>
  <c r="S16" i="1" s="1"/>
  <c r="R16" i="1" a="1"/>
  <c r="R16" i="1" s="1"/>
  <c r="P16" i="1" a="1"/>
  <c r="P16" i="1"/>
  <c r="H16" i="1"/>
  <c r="E16" i="1"/>
  <c r="F16" i="1" s="1"/>
  <c r="U15" i="1"/>
  <c r="I153" i="1" s="1"/>
  <c r="T15" i="1"/>
  <c r="P15" i="1" a="1"/>
  <c r="P15" i="1" s="1"/>
  <c r="F15" i="1"/>
  <c r="T14" i="1"/>
  <c r="U14" i="1" s="1"/>
  <c r="I158" i="1" s="1"/>
  <c r="P14" i="1" a="1"/>
  <c r="P14" i="1"/>
  <c r="F14" i="1"/>
  <c r="S13" i="1" a="1"/>
  <c r="S13" i="1"/>
  <c r="R13" i="1" a="1"/>
  <c r="R13" i="1" s="1"/>
  <c r="P13" i="1" a="1"/>
  <c r="P13" i="1"/>
  <c r="F13" i="1"/>
  <c r="T12" i="1"/>
  <c r="S12" i="1" a="1"/>
  <c r="S12" i="1" s="1"/>
  <c r="R12" i="1" a="1"/>
  <c r="R12" i="1"/>
  <c r="P12" i="1" a="1"/>
  <c r="P12" i="1"/>
  <c r="F12" i="1"/>
  <c r="T11" i="1"/>
  <c r="S11" i="1" a="1"/>
  <c r="S11" i="1" s="1"/>
  <c r="R11" i="1" a="1"/>
  <c r="R11" i="1"/>
  <c r="P11" i="1" a="1"/>
  <c r="P11" i="1"/>
  <c r="F11" i="1"/>
  <c r="T10" i="1"/>
  <c r="S10" i="1" a="1"/>
  <c r="S10" i="1"/>
  <c r="R10" i="1" a="1"/>
  <c r="R10" i="1" s="1"/>
  <c r="P10" i="1" a="1"/>
  <c r="P10" i="1"/>
  <c r="F10" i="1"/>
  <c r="T9" i="1"/>
  <c r="S9" i="1" a="1"/>
  <c r="S9" i="1"/>
  <c r="R9" i="1" a="1"/>
  <c r="R9" i="1" s="1"/>
  <c r="P9" i="1" a="1"/>
  <c r="P9" i="1" s="1"/>
  <c r="F9" i="1"/>
  <c r="S8" i="1" a="1"/>
  <c r="S8" i="1" s="1"/>
  <c r="R8" i="1" a="1"/>
  <c r="R8" i="1" s="1"/>
  <c r="P8" i="1" a="1"/>
  <c r="P8" i="1"/>
  <c r="F8" i="1"/>
  <c r="J16" i="1" s="1"/>
  <c r="K16" i="1" s="1"/>
  <c r="T7" i="1"/>
  <c r="S7" i="1" a="1"/>
  <c r="S7" i="1" s="1"/>
  <c r="R7" i="1" a="1"/>
  <c r="R7" i="1" s="1"/>
  <c r="Q7" i="1"/>
  <c r="T6" i="1"/>
  <c r="T5" i="1"/>
  <c r="W30" i="1" s="1"/>
  <c r="S5" i="1" a="1"/>
  <c r="S5" i="1"/>
  <c r="R5" i="1" a="1"/>
  <c r="R5" i="1"/>
  <c r="P5" i="1"/>
  <c r="S4" i="1" a="1"/>
  <c r="S4" i="1" s="1"/>
  <c r="R4" i="1" a="1"/>
  <c r="R4" i="1"/>
  <c r="P4" i="1"/>
  <c r="T3" i="1"/>
  <c r="W36" i="1" s="1"/>
  <c r="S3" i="1" a="1"/>
  <c r="S3" i="1" s="1"/>
  <c r="R3" i="1" a="1"/>
  <c r="R3" i="1" s="1"/>
  <c r="P3" i="1"/>
  <c r="S2" i="1" a="1"/>
  <c r="S2" i="1"/>
  <c r="R2" i="1" a="1"/>
  <c r="R2" i="1"/>
  <c r="P2" i="1"/>
  <c r="K2" i="1"/>
  <c r="J2" i="1"/>
  <c r="I2" i="1"/>
  <c r="I1" i="1"/>
  <c r="O3" i="1" l="1"/>
  <c r="G46" i="1" s="1"/>
  <c r="O9" i="1"/>
  <c r="I136" i="1" s="1"/>
  <c r="O20" i="1"/>
  <c r="I176" i="1" s="1"/>
  <c r="K176" i="1" s="1"/>
  <c r="O17" i="1"/>
  <c r="I96" i="1" s="1"/>
  <c r="O13" i="1"/>
  <c r="I103" i="1" s="1"/>
  <c r="O10" i="1"/>
  <c r="I142" i="1" s="1"/>
  <c r="O18" i="1"/>
  <c r="O21" i="1"/>
  <c r="G207" i="1" s="1"/>
  <c r="O6" i="1"/>
  <c r="I4" i="1" s="1"/>
  <c r="O11" i="1"/>
  <c r="I130" i="1" s="1"/>
  <c r="O2" i="1"/>
  <c r="G12" i="1" s="1"/>
  <c r="O22" i="1"/>
  <c r="G163" i="1" s="1"/>
  <c r="O8" i="1"/>
  <c r="G122" i="1" s="1"/>
  <c r="O19" i="1"/>
  <c r="I170" i="1" s="1"/>
  <c r="K170" i="1" s="1"/>
  <c r="O16" i="1"/>
  <c r="G146" i="1" s="1"/>
  <c r="O23" i="1"/>
  <c r="G217" i="1" s="1"/>
  <c r="O12" i="1"/>
  <c r="V12" i="1" s="1"/>
  <c r="K218" i="1"/>
  <c r="J182" i="1"/>
  <c r="J181" i="1"/>
  <c r="K181" i="1" s="1"/>
  <c r="J117" i="1"/>
  <c r="J218" i="1"/>
  <c r="V23" i="1" s="1"/>
  <c r="H218" i="1"/>
  <c r="J21" i="1"/>
  <c r="K21" i="1" s="1"/>
  <c r="G54" i="1"/>
  <c r="K158" i="1"/>
  <c r="J158" i="1"/>
  <c r="K117" i="1"/>
  <c r="K182" i="1"/>
  <c r="J209" i="1"/>
  <c r="K209" i="1" s="1"/>
  <c r="J208" i="1"/>
  <c r="J185" i="1"/>
  <c r="K185" i="1" s="1"/>
  <c r="J184" i="1"/>
  <c r="K184" i="1" s="1"/>
  <c r="T4" i="1"/>
  <c r="W27" i="1" s="1"/>
  <c r="W37" i="1" s="1"/>
  <c r="I88" i="1"/>
  <c r="K153" i="1"/>
  <c r="J153" i="1"/>
  <c r="K23" i="1"/>
  <c r="K208" i="1"/>
  <c r="U5" i="1"/>
  <c r="J210" i="1"/>
  <c r="K210" i="1" s="1"/>
  <c r="K17" i="1"/>
  <c r="K187" i="1"/>
  <c r="G134" i="1"/>
  <c r="J33" i="1"/>
  <c r="K33" i="1" s="1"/>
  <c r="M25" i="1"/>
  <c r="C123" i="1"/>
  <c r="T8" i="1" s="1"/>
  <c r="C148" i="1"/>
  <c r="F23" i="1"/>
  <c r="F123" i="1"/>
  <c r="H123" i="1" s="1"/>
  <c r="J18" i="1"/>
  <c r="K18" i="1" s="1"/>
  <c r="J19" i="1" s="1"/>
  <c r="K19" i="1" s="1"/>
  <c r="E42" i="1"/>
  <c r="F55" i="1"/>
  <c r="G55" i="1" s="1"/>
  <c r="E94" i="1"/>
  <c r="F94" i="1" s="1"/>
  <c r="F189" i="1"/>
  <c r="H189" i="1" s="1"/>
  <c r="F17" i="1"/>
  <c r="J20" i="1"/>
  <c r="K20" i="1" s="1"/>
  <c r="O7" i="1"/>
  <c r="U7" i="1" s="1"/>
  <c r="I75" i="1" s="1"/>
  <c r="F210" i="1"/>
  <c r="F212" i="1" s="1"/>
  <c r="H22" i="1"/>
  <c r="J22" i="1"/>
  <c r="K22" i="1" s="1"/>
  <c r="J23" i="1" s="1"/>
  <c r="F36" i="1"/>
  <c r="J37" i="1" s="1"/>
  <c r="K37" i="1" s="1"/>
  <c r="E79" i="1"/>
  <c r="F79" i="1" s="1"/>
  <c r="E44" i="1"/>
  <c r="F44" i="1" s="1"/>
  <c r="E100" i="1"/>
  <c r="F100" i="1" s="1"/>
  <c r="F103" i="1" s="1"/>
  <c r="H103" i="1" s="1"/>
  <c r="Q13" i="1" s="1"/>
  <c r="F87" i="1"/>
  <c r="G87" i="1" s="1"/>
  <c r="F145" i="1"/>
  <c r="F148" i="1" s="1"/>
  <c r="H148" i="1" s="1"/>
  <c r="F25" i="1"/>
  <c r="W6" i="1" l="1"/>
  <c r="G33" i="1"/>
  <c r="G45" i="1"/>
  <c r="I50" i="1"/>
  <c r="U3" i="1" s="1"/>
  <c r="G32" i="1"/>
  <c r="G49" i="1"/>
  <c r="U6" i="1"/>
  <c r="I164" i="1" s="1"/>
  <c r="J164" i="1" s="1"/>
  <c r="G31" i="1"/>
  <c r="X35" i="1"/>
  <c r="G48" i="1"/>
  <c r="G35" i="1"/>
  <c r="G47" i="1"/>
  <c r="G34" i="1"/>
  <c r="G43" i="1"/>
  <c r="G40" i="1"/>
  <c r="G29" i="1"/>
  <c r="G38" i="1"/>
  <c r="G41" i="1"/>
  <c r="G37" i="1"/>
  <c r="G44" i="1"/>
  <c r="G30" i="1"/>
  <c r="G39" i="1"/>
  <c r="G42" i="1"/>
  <c r="G205" i="1"/>
  <c r="G211" i="1"/>
  <c r="V6" i="1"/>
  <c r="G147" i="1"/>
  <c r="G17" i="1"/>
  <c r="G102" i="1"/>
  <c r="G92" i="1"/>
  <c r="F50" i="1"/>
  <c r="H50" i="1" s="1"/>
  <c r="G9" i="1"/>
  <c r="G108" i="1"/>
  <c r="X32" i="1"/>
  <c r="G100" i="1"/>
  <c r="G101" i="1"/>
  <c r="G199" i="1"/>
  <c r="G94" i="1"/>
  <c r="G200" i="1"/>
  <c r="G20" i="1"/>
  <c r="G19" i="1"/>
  <c r="G208" i="1"/>
  <c r="G202" i="1"/>
  <c r="G201" i="1"/>
  <c r="G23" i="1"/>
  <c r="I25" i="1"/>
  <c r="U2" i="1" s="1"/>
  <c r="G203" i="1"/>
  <c r="W13" i="1"/>
  <c r="G209" i="1"/>
  <c r="V13" i="1"/>
  <c r="G204" i="1"/>
  <c r="I189" i="1"/>
  <c r="K189" i="1" s="1"/>
  <c r="G10" i="1"/>
  <c r="G210" i="1"/>
  <c r="G128" i="1"/>
  <c r="G118" i="1"/>
  <c r="I212" i="1"/>
  <c r="J212" i="1" s="1"/>
  <c r="V21" i="1" s="1"/>
  <c r="G113" i="1"/>
  <c r="G119" i="1"/>
  <c r="G140" i="1"/>
  <c r="G115" i="1"/>
  <c r="G93" i="1"/>
  <c r="W11" i="1"/>
  <c r="G116" i="1"/>
  <c r="G129" i="1"/>
  <c r="G114" i="1"/>
  <c r="G139" i="1"/>
  <c r="G120" i="1"/>
  <c r="G74" i="1"/>
  <c r="I123" i="1"/>
  <c r="K123" i="1" s="1"/>
  <c r="G117" i="1"/>
  <c r="G16" i="1"/>
  <c r="F96" i="1"/>
  <c r="J96" i="1" s="1"/>
  <c r="G22" i="1"/>
  <c r="G206" i="1"/>
  <c r="G107" i="1"/>
  <c r="G162" i="1"/>
  <c r="G216" i="1"/>
  <c r="G21" i="1"/>
  <c r="G193" i="1"/>
  <c r="G157" i="1"/>
  <c r="G152" i="1"/>
  <c r="G194" i="1"/>
  <c r="G141" i="1"/>
  <c r="G121" i="1"/>
  <c r="G11" i="1"/>
  <c r="I109" i="1"/>
  <c r="K109" i="1" s="1"/>
  <c r="G24" i="1"/>
  <c r="G14" i="1"/>
  <c r="G18" i="1"/>
  <c r="I195" i="1"/>
  <c r="K195" i="1" s="1"/>
  <c r="W10" i="1"/>
  <c r="G15" i="1"/>
  <c r="G8" i="1"/>
  <c r="G13" i="1"/>
  <c r="J39" i="1"/>
  <c r="K39" i="1" s="1"/>
  <c r="J38" i="1"/>
  <c r="K38" i="1" s="1"/>
  <c r="K75" i="1"/>
  <c r="J75" i="1"/>
  <c r="J189" i="1"/>
  <c r="F69" i="1"/>
  <c r="J35" i="1"/>
  <c r="K35" i="1" s="1"/>
  <c r="J34" i="1"/>
  <c r="K34" i="1" s="1"/>
  <c r="V7" i="1"/>
  <c r="H25" i="1"/>
  <c r="Q2" i="1" s="1"/>
  <c r="W2" i="1" s="1"/>
  <c r="B2" i="1"/>
  <c r="U9" i="1"/>
  <c r="K136" i="1"/>
  <c r="W9" i="1" s="1"/>
  <c r="J136" i="1"/>
  <c r="V9" i="1" s="1"/>
  <c r="T23" i="1"/>
  <c r="T16" i="1"/>
  <c r="G36" i="1"/>
  <c r="J40" i="1"/>
  <c r="K40" i="1" s="1"/>
  <c r="K142" i="1"/>
  <c r="J142" i="1"/>
  <c r="V10" i="1" s="1"/>
  <c r="U10" i="1"/>
  <c r="I3" i="1"/>
  <c r="I5" i="1" s="1"/>
  <c r="G73" i="1"/>
  <c r="E73" i="1"/>
  <c r="J42" i="1"/>
  <c r="K42" i="1" s="1"/>
  <c r="I148" i="1"/>
  <c r="J36" i="1"/>
  <c r="K36" i="1" s="1"/>
  <c r="U4" i="1"/>
  <c r="J88" i="1"/>
  <c r="V4" i="1" s="1"/>
  <c r="K130" i="1"/>
  <c r="J130" i="1"/>
  <c r="V11" i="1" s="1"/>
  <c r="U11" i="1"/>
  <c r="G145" i="1"/>
  <c r="F88" i="1"/>
  <c r="H88" i="1" s="1"/>
  <c r="J79" i="1"/>
  <c r="K79" i="1" s="1"/>
  <c r="G79" i="1"/>
  <c r="D66" i="1"/>
  <c r="D67" i="1" s="1"/>
  <c r="H124" i="1"/>
  <c r="Q8" i="1"/>
  <c r="W8" i="1" s="1"/>
  <c r="V17" i="1"/>
  <c r="K103" i="1"/>
  <c r="J103" i="1"/>
  <c r="U13" i="1"/>
  <c r="K164" i="1" l="1"/>
  <c r="K50" i="1"/>
  <c r="J50" i="1"/>
  <c r="V3" i="1" s="1"/>
  <c r="K25" i="1"/>
  <c r="B3" i="1"/>
  <c r="B4" i="1" s="1"/>
  <c r="J25" i="1"/>
  <c r="V2" i="1" s="1"/>
  <c r="K212" i="1"/>
  <c r="U8" i="1"/>
  <c r="K96" i="1"/>
  <c r="J123" i="1"/>
  <c r="V8" i="1" s="1"/>
  <c r="J195" i="1"/>
  <c r="V22" i="1" s="1"/>
  <c r="U12" i="1"/>
  <c r="J109" i="1"/>
  <c r="J43" i="1"/>
  <c r="K43" i="1" s="1"/>
  <c r="J41" i="1"/>
  <c r="K41" i="1" s="1"/>
  <c r="K148" i="1"/>
  <c r="J148" i="1"/>
  <c r="V16" i="1" s="1"/>
  <c r="H69" i="1"/>
  <c r="Q5" i="1" s="1"/>
  <c r="W5" i="1" s="1"/>
  <c r="J69" i="1"/>
  <c r="V5" i="1" s="1"/>
  <c r="K69" i="1"/>
  <c r="J81" i="1"/>
  <c r="K81" i="1" s="1"/>
  <c r="J80" i="1"/>
  <c r="K80" i="1" s="1"/>
  <c r="K88" i="1"/>
  <c r="B5" i="1" l="1"/>
  <c r="E4" i="1"/>
  <c r="E2" i="1"/>
  <c r="E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T3" authorId="0" shapeId="0" xr:uid="{00000000-0006-0000-0000-000001000000}">
      <text>
        <r>
          <rPr>
            <sz val="10"/>
            <color rgb="FF000000"/>
            <rFont val="Arial"/>
            <scheme val="minor"/>
          </rPr>
          <t>3 ETH are locked in Nu for 6 months
	-Nabeel Ansari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" authorId="0" shapeId="0" xr:uid="{78955CDD-E79C-3544-9BA4-DE382945897E}">
      <text>
        <r>
          <rPr>
            <sz val="10"/>
            <color rgb="FF000000"/>
            <rFont val="Arial"/>
            <scheme val="minor"/>
          </rPr>
          <t>3 ETH are locked in Nu for 6 months
	-Nabeel Ansari</t>
        </r>
      </text>
    </comment>
  </commentList>
</comments>
</file>

<file path=xl/sharedStrings.xml><?xml version="1.0" encoding="utf-8"?>
<sst xmlns="http://schemas.openxmlformats.org/spreadsheetml/2006/main" count="1119" uniqueCount="200">
  <si>
    <t xml:space="preserve">Enhanced </t>
  </si>
  <si>
    <t>EGLD</t>
  </si>
  <si>
    <t>Crypto</t>
  </si>
  <si>
    <t>Price (£)</t>
  </si>
  <si>
    <t>Price ($)</t>
  </si>
  <si>
    <t>BE (£)</t>
  </si>
  <si>
    <t>Change (24h)</t>
  </si>
  <si>
    <t>Change (1m)</t>
  </si>
  <si>
    <t>Holding</t>
  </si>
  <si>
    <t>Current Value</t>
  </si>
  <si>
    <t>P&amp;L (£)</t>
  </si>
  <si>
    <t>% Gain/Loss</t>
  </si>
  <si>
    <t>Original Stake</t>
  </si>
  <si>
    <t>NA Post CGT</t>
  </si>
  <si>
    <t>NEAR</t>
  </si>
  <si>
    <t>BTC</t>
  </si>
  <si>
    <t>AK Post CGT</t>
  </si>
  <si>
    <t>MEX</t>
  </si>
  <si>
    <t>ETH</t>
  </si>
  <si>
    <t>-</t>
  </si>
  <si>
    <t>N/A</t>
  </si>
  <si>
    <t>$ Value P&amp;L</t>
  </si>
  <si>
    <t>RIDE</t>
  </si>
  <si>
    <t>P&amp;L (%)</t>
  </si>
  <si>
    <t>Date</t>
  </si>
  <si>
    <t>Quantity</t>
  </si>
  <si>
    <t>Price</t>
  </si>
  <si>
    <t>Value</t>
  </si>
  <si>
    <t>P&amp;L</t>
  </si>
  <si>
    <t>Breakeven</t>
  </si>
  <si>
    <t>£</t>
  </si>
  <si>
    <t>%</t>
  </si>
  <si>
    <t>14/02/2020</t>
  </si>
  <si>
    <t>DIA</t>
  </si>
  <si>
    <t>16/02/2020</t>
  </si>
  <si>
    <t>IDEA</t>
  </si>
  <si>
    <t>20/02/2020</t>
  </si>
  <si>
    <t>FLOW</t>
  </si>
  <si>
    <t>27/02/2020</t>
  </si>
  <si>
    <t>GRT</t>
  </si>
  <si>
    <t>Nu</t>
  </si>
  <si>
    <t>13/03/2020</t>
  </si>
  <si>
    <t>CSPR</t>
  </si>
  <si>
    <t>Para</t>
  </si>
  <si>
    <t>22/05/2020</t>
  </si>
  <si>
    <t>Sky</t>
  </si>
  <si>
    <t>SOL</t>
  </si>
  <si>
    <t>UNI</t>
  </si>
  <si>
    <t>USDT</t>
  </si>
  <si>
    <t>LINK</t>
  </si>
  <si>
    <t>EOS</t>
  </si>
  <si>
    <t>XRP</t>
  </si>
  <si>
    <t>18/09/2020</t>
  </si>
  <si>
    <t>VET</t>
  </si>
  <si>
    <t>18/09/2021</t>
  </si>
  <si>
    <t>VRX</t>
  </si>
  <si>
    <t>Locked</t>
  </si>
  <si>
    <t>Market</t>
  </si>
  <si>
    <t>% Change</t>
  </si>
  <si>
    <t>NEAR Simulator</t>
  </si>
  <si>
    <t>Multiplier</t>
  </si>
  <si>
    <t>Near</t>
  </si>
  <si>
    <t>12m (Sep21)</t>
  </si>
  <si>
    <t>USD/GBP</t>
  </si>
  <si>
    <t>Target Price</t>
  </si>
  <si>
    <t>6m (Apr21)</t>
  </si>
  <si>
    <t>S&amp;P 500</t>
  </si>
  <si>
    <t>FTSE 100</t>
  </si>
  <si>
    <t>EGLD Simulator</t>
  </si>
  <si>
    <t>EUR/GBP</t>
  </si>
  <si>
    <t>26/02/2020</t>
  </si>
  <si>
    <t>BTC Simulator</t>
  </si>
  <si>
    <t>14/08/2020</t>
  </si>
  <si>
    <t>ETH Simulator</t>
  </si>
  <si>
    <t>Early Retirement Goal</t>
  </si>
  <si>
    <t>14/02/2021</t>
  </si>
  <si>
    <t>Net Income p/a</t>
  </si>
  <si>
    <t>Net Income p/m</t>
  </si>
  <si>
    <t>Years</t>
  </si>
  <si>
    <t>Living Exp Goal</t>
  </si>
  <si>
    <t>14/10/2021</t>
  </si>
  <si>
    <t>-Mtg + House</t>
  </si>
  <si>
    <t>21/10/2021</t>
  </si>
  <si>
    <t>-Cars</t>
  </si>
  <si>
    <t>22/10/2021</t>
  </si>
  <si>
    <t>Required Amount</t>
  </si>
  <si>
    <t>Gross Amount Req</t>
  </si>
  <si>
    <t>27/10/2021</t>
  </si>
  <si>
    <t>28/10/2021</t>
  </si>
  <si>
    <t>ERD</t>
  </si>
  <si>
    <t>17/09/2020</t>
  </si>
  <si>
    <t>26/09/2020</t>
  </si>
  <si>
    <t>31/01/2020</t>
  </si>
  <si>
    <t>On-Going</t>
  </si>
  <si>
    <t>DEX</t>
  </si>
  <si>
    <t>xx</t>
  </si>
  <si>
    <t>31/12/2020</t>
  </si>
  <si>
    <t>26/12/2022</t>
  </si>
  <si>
    <t>Staking</t>
  </si>
  <si>
    <t>NU</t>
  </si>
  <si>
    <t>19/08/2020</t>
  </si>
  <si>
    <t>22/08/2020</t>
  </si>
  <si>
    <t>23/08/2020</t>
  </si>
  <si>
    <t>25/08/2020</t>
  </si>
  <si>
    <t>16/09/2021</t>
  </si>
  <si>
    <t>SKY</t>
  </si>
  <si>
    <t>PARA</t>
  </si>
  <si>
    <t>Tether</t>
  </si>
  <si>
    <t>31/10/2021</t>
  </si>
  <si>
    <t>17/02/2020</t>
  </si>
  <si>
    <t>19/04/2020</t>
  </si>
  <si>
    <t>Timstamp (UTC)</t>
  </si>
  <si>
    <t>Asset Traded</t>
  </si>
  <si>
    <t>Amount Traded</t>
  </si>
  <si>
    <t>Asset Received</t>
  </si>
  <si>
    <t>Amount Received</t>
  </si>
  <si>
    <t>USD</t>
  </si>
  <si>
    <t>Unstaked</t>
  </si>
  <si>
    <t>Kept unstaked</t>
  </si>
  <si>
    <t>GBP</t>
  </si>
  <si>
    <t>Timestamp (UTC)</t>
  </si>
  <si>
    <t>Type</t>
  </si>
  <si>
    <t>Base Currency</t>
  </si>
  <si>
    <t>Base Amount</t>
  </si>
  <si>
    <t>Quote Currency (Optional)</t>
  </si>
  <si>
    <t>Quote Amount (Optional)</t>
  </si>
  <si>
    <t>Fee Currency (Optional)</t>
  </si>
  <si>
    <t>Fee Amount (Optional)</t>
  </si>
  <si>
    <t>From (Optional)</t>
  </si>
  <si>
    <t>To (Optional)</t>
  </si>
  <si>
    <t>ID (Optional)</t>
  </si>
  <si>
    <t>Description (Optional)</t>
  </si>
  <si>
    <t>transfer-in</t>
  </si>
  <si>
    <t>29/10/2021</t>
  </si>
  <si>
    <t>30/04/2023</t>
  </si>
  <si>
    <t>Total Staking Reward</t>
  </si>
  <si>
    <t>Period (days)</t>
  </si>
  <si>
    <t>30/10/21 - 30/04/23</t>
  </si>
  <si>
    <t>Reward per day</t>
  </si>
  <si>
    <t>Total Reward (GBP)</t>
  </si>
  <si>
    <t>Deposit</t>
  </si>
  <si>
    <t>Fee</t>
  </si>
  <si>
    <t>Buy</t>
  </si>
  <si>
    <t>Sell</t>
  </si>
  <si>
    <t>24/08/2020 21:22</t>
  </si>
  <si>
    <t>24/08/2020 21:35</t>
  </si>
  <si>
    <t>31/08/2020 17:39</t>
  </si>
  <si>
    <t>Distribution</t>
  </si>
  <si>
    <t>Staking Rewards</t>
  </si>
  <si>
    <t>VTHO</t>
  </si>
  <si>
    <t>17/09/2020 15:45</t>
  </si>
  <si>
    <t>17/09/2020 18:33</t>
  </si>
  <si>
    <t>17/09/2020 18:34</t>
  </si>
  <si>
    <t>17/09/2020 18:41</t>
  </si>
  <si>
    <t>17/09/2020 18:44</t>
  </si>
  <si>
    <t>18/09/2020 10:12</t>
  </si>
  <si>
    <t>Withdraw</t>
  </si>
  <si>
    <t>26/09/2020 13:18</t>
  </si>
  <si>
    <t>26/09/2020 13:25</t>
  </si>
  <si>
    <t>26/09/2020 13:51</t>
  </si>
  <si>
    <t>14/10/2020 20:24</t>
  </si>
  <si>
    <t>22/11/2020 14:47</t>
  </si>
  <si>
    <t>18/12/2020 06:24</t>
  </si>
  <si>
    <t>28/12/2020 12:05</t>
  </si>
  <si>
    <t>28/12/2020 12:08</t>
  </si>
  <si>
    <t>30/12/2020 20:14</t>
  </si>
  <si>
    <t>30/12/2020 20:16</t>
  </si>
  <si>
    <t>31/12/2020 18:37</t>
  </si>
  <si>
    <t>31/12/2020 19:30</t>
  </si>
  <si>
    <t>25/01/2021 08:39</t>
  </si>
  <si>
    <t>BUSD</t>
  </si>
  <si>
    <t>31/01/2021 10:26</t>
  </si>
  <si>
    <t>31/01/2021 15:34</t>
  </si>
  <si>
    <t>14/02/2021 13:36</t>
  </si>
  <si>
    <t>14/02/2021 13:37</t>
  </si>
  <si>
    <t>14/02/2021 13:46</t>
  </si>
  <si>
    <t>31/10/2021 19:37</t>
  </si>
  <si>
    <t>Transaction Revenue</t>
  </si>
  <si>
    <t>Transaction Fee</t>
  </si>
  <si>
    <t>Transaction Sold</t>
  </si>
  <si>
    <t>31/10/2021 19:48</t>
  </si>
  <si>
    <t>31/10/2021 19:58</t>
  </si>
  <si>
    <t>31/10/2021 20:28</t>
  </si>
  <si>
    <t>Transaction Buy</t>
  </si>
  <si>
    <t>Transaction Spend</t>
  </si>
  <si>
    <t>26/12/2021 12:51</t>
  </si>
  <si>
    <t>Commission Rebate</t>
  </si>
  <si>
    <t>26/12/2021 13:49</t>
  </si>
  <si>
    <t>26/12/2021 14:13</t>
  </si>
  <si>
    <t>26/12/2021 18:00</t>
  </si>
  <si>
    <t>31/12/2021 13:45</t>
  </si>
  <si>
    <t>Small Assets Exchange BNB</t>
  </si>
  <si>
    <t>BNB</t>
  </si>
  <si>
    <t>31/12/2021 13:51</t>
  </si>
  <si>
    <t>31/12/2021 18:02</t>
  </si>
  <si>
    <t>31/12/2021 18:03</t>
  </si>
  <si>
    <t>Binance Convert</t>
  </si>
  <si>
    <t>31/12/2021 18:10</t>
  </si>
  <si>
    <t>Fiat Withdraw</t>
  </si>
  <si>
    <t>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</si>
</sst>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164" formatCode="[$£]#,##0.00"/>
    <numFmt numFmtId="165" formatCode="[$$]#,##0.0000"/>
    <numFmt numFmtId="166" formatCode="&quot;$&quot;#,##0.00"/>
    <numFmt numFmtId="167" formatCode="#,##0.000"/>
    <numFmt numFmtId="168" formatCode="[$$]#,##0.00"/>
    <numFmt numFmtId="169" formatCode="[$£]#,##0.000000"/>
    <numFmt numFmtId="170" formatCode="&quot;$&quot;#,##0.000000"/>
    <numFmt numFmtId="171" formatCode="0.00000000"/>
    <numFmt numFmtId="172" formatCode="[$£]#,##0"/>
    <numFmt numFmtId="173" formatCode="[$£]#,##0.000"/>
    <numFmt numFmtId="174" formatCode="mm/dd/yyyy"/>
    <numFmt numFmtId="175" formatCode="#,##0.00000"/>
    <numFmt numFmtId="176" formatCode="0.0000"/>
    <numFmt numFmtId="177" formatCode="[$£]#,##0.00000"/>
    <numFmt numFmtId="178" formatCode="m/d/yyyy"/>
    <numFmt numFmtId="179" formatCode="0.000"/>
    <numFmt numFmtId="180" formatCode="[$£]#,##0.0000"/>
    <numFmt numFmtId="181" formatCode="mm/dd/yy"/>
    <numFmt numFmtId="182" formatCode="yyyy\-mm\-dd\ h:mm:ss"/>
    <numFmt numFmtId="183" formatCode="m/d/yyyy\ h:mm:ss"/>
  </numFmts>
  <fonts count="30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name val="Arial"/>
    </font>
    <font>
      <sz val="11"/>
      <color theme="1"/>
      <name val="Arial"/>
      <scheme val="minor"/>
    </font>
    <font>
      <i/>
      <sz val="11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i/>
      <sz val="11"/>
      <color theme="1"/>
      <name val="Arial"/>
      <scheme val="minor"/>
    </font>
    <font>
      <i/>
      <sz val="10"/>
      <color theme="1"/>
      <name val="Arial"/>
      <scheme val="minor"/>
    </font>
    <font>
      <i/>
      <sz val="10"/>
      <color theme="1"/>
      <name val="Arial"/>
    </font>
    <font>
      <b/>
      <sz val="10"/>
      <color theme="1"/>
      <name val="Arial"/>
    </font>
    <font>
      <sz val="10"/>
      <color rgb="FF050F19"/>
      <name val="Graphik"/>
    </font>
    <font>
      <i/>
      <sz val="10"/>
      <color theme="1"/>
      <name val="Arial"/>
    </font>
    <font>
      <b/>
      <sz val="11"/>
      <color rgb="FF6AA84F"/>
      <name val="Arial"/>
      <scheme val="minor"/>
    </font>
    <font>
      <sz val="9"/>
      <color rgb="FF000000"/>
      <name val="-apple-system"/>
    </font>
    <font>
      <sz val="12"/>
      <color rgb="FF000000"/>
      <name val="Inconsolata"/>
    </font>
    <font>
      <b/>
      <sz val="10"/>
      <color rgb="FF000000"/>
      <name val="Arial"/>
      <scheme val="minor"/>
    </font>
    <font>
      <b/>
      <sz val="10"/>
      <color rgb="FFCCCCCC"/>
      <name val="Arial"/>
      <scheme val="minor"/>
    </font>
    <font>
      <sz val="10"/>
      <color rgb="FFB7B7B7"/>
      <name val="Arial"/>
      <scheme val="minor"/>
    </font>
    <font>
      <b/>
      <sz val="10"/>
      <color rgb="FFB7B7B7"/>
      <name val="Arial"/>
      <scheme val="minor"/>
    </font>
    <font>
      <b/>
      <sz val="10"/>
      <color rgb="FFB7B7B7"/>
      <name val="Arial"/>
    </font>
    <font>
      <sz val="10"/>
      <color theme="5"/>
      <name val="Arial"/>
      <scheme val="minor"/>
    </font>
    <font>
      <sz val="10"/>
      <color rgb="FFFF0000"/>
      <name val="Arial"/>
      <scheme val="minor"/>
    </font>
    <font>
      <sz val="11"/>
      <color rgb="FF00C08B"/>
      <name val="Inter"/>
    </font>
    <font>
      <sz val="11"/>
      <color rgb="FF777777"/>
      <name val="ABCDiatype"/>
    </font>
    <font>
      <b/>
      <sz val="11"/>
      <color rgb="FF111111"/>
      <name val="ABCDiatype"/>
    </font>
    <font>
      <sz val="10"/>
      <color rgb="FF333333"/>
      <name val="&quot;source code pro&quot;"/>
    </font>
    <font>
      <sz val="11"/>
      <color rgb="FF000000"/>
      <name val="Calibri"/>
    </font>
    <font>
      <sz val="11"/>
      <color rgb="FF000000"/>
      <name val="&quot;Aptos Narrow&quot;"/>
    </font>
    <font>
      <sz val="10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AFAFA"/>
        <bgColor rgb="FFFAFAFA"/>
      </patternFill>
    </fill>
    <fill>
      <patternFill patternType="solid">
        <fgColor theme="6"/>
        <bgColor theme="6"/>
      </patternFill>
    </fill>
    <fill>
      <patternFill patternType="solid">
        <fgColor rgb="FFEFEFEF"/>
        <bgColor rgb="FFEFEFEF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4F4F4"/>
        <bgColor rgb="FFF4F4F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6">
    <xf numFmtId="0" fontId="0" fillId="0" borderId="0" xfId="0"/>
    <xf numFmtId="0" fontId="3" fillId="0" borderId="0" xfId="0" applyFont="1"/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4" fontId="5" fillId="0" borderId="0" xfId="0" applyNumberFormat="1" applyFont="1"/>
    <xf numFmtId="164" fontId="1" fillId="0" borderId="0" xfId="0" applyNumberFormat="1" applyFont="1" applyAlignment="1">
      <alignment horizontal="center"/>
    </xf>
    <xf numFmtId="0" fontId="1" fillId="4" borderId="3" xfId="0" applyFont="1" applyFill="1" applyBorder="1" applyAlignment="1">
      <alignment horizontal="center"/>
    </xf>
    <xf numFmtId="164" fontId="1" fillId="4" borderId="3" xfId="0" applyNumberFormat="1" applyFont="1" applyFill="1" applyBorder="1" applyAlignment="1">
      <alignment horizontal="center"/>
    </xf>
    <xf numFmtId="4" fontId="1" fillId="4" borderId="3" xfId="0" applyNumberFormat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2" borderId="3" xfId="0" applyFont="1" applyFill="1" applyBorder="1" applyAlignment="1">
      <alignment horizontal="left"/>
    </xf>
    <xf numFmtId="164" fontId="1" fillId="3" borderId="3" xfId="0" applyNumberFormat="1" applyFont="1" applyFill="1" applyBorder="1" applyAlignment="1">
      <alignment horizontal="center"/>
    </xf>
    <xf numFmtId="0" fontId="8" fillId="0" borderId="0" xfId="0" applyFont="1"/>
    <xf numFmtId="164" fontId="9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6" fillId="4" borderId="3" xfId="0" applyFont="1" applyFill="1" applyBorder="1" applyAlignment="1">
      <alignment horizontal="center"/>
    </xf>
    <xf numFmtId="164" fontId="6" fillId="3" borderId="3" xfId="0" applyNumberFormat="1" applyFont="1" applyFill="1" applyBorder="1" applyAlignment="1">
      <alignment horizontal="center"/>
    </xf>
    <xf numFmtId="166" fontId="10" fillId="3" borderId="4" xfId="0" applyNumberFormat="1" applyFont="1" applyFill="1" applyBorder="1" applyAlignment="1">
      <alignment horizontal="center"/>
    </xf>
    <xf numFmtId="10" fontId="6" fillId="3" borderId="3" xfId="0" applyNumberFormat="1" applyFont="1" applyFill="1" applyBorder="1" applyAlignment="1">
      <alignment horizontal="center"/>
    </xf>
    <xf numFmtId="167" fontId="6" fillId="3" borderId="3" xfId="0" applyNumberFormat="1" applyFont="1" applyFill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0" fontId="11" fillId="3" borderId="0" xfId="0" applyFont="1" applyFill="1"/>
    <xf numFmtId="0" fontId="5" fillId="0" borderId="0" xfId="0" applyFont="1"/>
    <xf numFmtId="0" fontId="1" fillId="3" borderId="3" xfId="0" applyFont="1" applyFill="1" applyBorder="1" applyAlignment="1">
      <alignment horizontal="center"/>
    </xf>
    <xf numFmtId="2" fontId="6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/>
    </xf>
    <xf numFmtId="164" fontId="12" fillId="0" borderId="0" xfId="0" applyNumberFormat="1" applyFont="1" applyAlignment="1">
      <alignment horizontal="center"/>
    </xf>
    <xf numFmtId="168" fontId="5" fillId="0" borderId="0" xfId="0" applyNumberFormat="1" applyFont="1"/>
    <xf numFmtId="169" fontId="5" fillId="0" borderId="0" xfId="0" applyNumberFormat="1" applyFont="1"/>
    <xf numFmtId="164" fontId="6" fillId="0" borderId="0" xfId="0" applyNumberFormat="1" applyFont="1" applyAlignment="1">
      <alignment horizontal="center"/>
    </xf>
    <xf numFmtId="4" fontId="6" fillId="3" borderId="3" xfId="0" applyNumberFormat="1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10" fontId="5" fillId="0" borderId="0" xfId="0" applyNumberFormat="1" applyFont="1" applyAlignment="1">
      <alignment horizontal="center"/>
    </xf>
    <xf numFmtId="0" fontId="13" fillId="3" borderId="3" xfId="0" applyFont="1" applyFill="1" applyBorder="1" applyAlignment="1">
      <alignment horizontal="center"/>
    </xf>
    <xf numFmtId="168" fontId="8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166" fontId="14" fillId="5" borderId="0" xfId="0" applyNumberFormat="1" applyFont="1" applyFill="1"/>
    <xf numFmtId="10" fontId="13" fillId="3" borderId="3" xfId="0" applyNumberFormat="1" applyFont="1" applyFill="1" applyBorder="1" applyAlignment="1">
      <alignment horizontal="center"/>
    </xf>
    <xf numFmtId="164" fontId="6" fillId="0" borderId="0" xfId="0" applyNumberFormat="1" applyFont="1"/>
    <xf numFmtId="166" fontId="15" fillId="3" borderId="0" xfId="0" applyNumberFormat="1" applyFont="1" applyFill="1"/>
    <xf numFmtId="3" fontId="6" fillId="3" borderId="3" xfId="0" applyNumberFormat="1" applyFont="1" applyFill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164" fontId="6" fillId="6" borderId="3" xfId="0" applyNumberFormat="1" applyFont="1" applyFill="1" applyBorder="1" applyAlignment="1">
      <alignment horizontal="center"/>
    </xf>
    <xf numFmtId="166" fontId="10" fillId="0" borderId="4" xfId="0" applyNumberFormat="1" applyFont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0" fontId="6" fillId="0" borderId="3" xfId="0" applyFont="1" applyBorder="1" applyAlignment="1">
      <alignment horizontal="center"/>
    </xf>
    <xf numFmtId="169" fontId="16" fillId="6" borderId="3" xfId="0" applyNumberFormat="1" applyFont="1" applyFill="1" applyBorder="1" applyAlignment="1">
      <alignment horizontal="center"/>
    </xf>
    <xf numFmtId="170" fontId="10" fillId="3" borderId="4" xfId="0" applyNumberFormat="1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171" fontId="5" fillId="0" borderId="6" xfId="0" applyNumberFormat="1" applyFont="1" applyBorder="1" applyAlignment="1">
      <alignment horizontal="center"/>
    </xf>
    <xf numFmtId="172" fontId="5" fillId="0" borderId="6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168" fontId="6" fillId="0" borderId="0" xfId="0" applyNumberFormat="1" applyFont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171" fontId="5" fillId="0" borderId="0" xfId="0" applyNumberFormat="1" applyFont="1" applyAlignment="1">
      <alignment horizontal="center"/>
    </xf>
    <xf numFmtId="172" fontId="5" fillId="0" borderId="0" xfId="0" applyNumberFormat="1" applyFont="1" applyAlignment="1">
      <alignment horizontal="center"/>
    </xf>
    <xf numFmtId="0" fontId="5" fillId="0" borderId="9" xfId="0" applyFont="1" applyBorder="1" applyAlignment="1">
      <alignment horizontal="center"/>
    </xf>
    <xf numFmtId="164" fontId="17" fillId="3" borderId="3" xfId="0" applyNumberFormat="1" applyFont="1" applyFill="1" applyBorder="1" applyAlignment="1">
      <alignment horizontal="center"/>
    </xf>
    <xf numFmtId="173" fontId="16" fillId="3" borderId="3" xfId="0" applyNumberFormat="1" applyFont="1" applyFill="1" applyBorder="1" applyAlignment="1">
      <alignment horizontal="center"/>
    </xf>
    <xf numFmtId="3" fontId="16" fillId="3" borderId="3" xfId="0" applyNumberFormat="1" applyFont="1" applyFill="1" applyBorder="1" applyAlignment="1">
      <alignment horizontal="center"/>
    </xf>
    <xf numFmtId="174" fontId="5" fillId="7" borderId="8" xfId="0" applyNumberFormat="1" applyFont="1" applyFill="1" applyBorder="1" applyAlignment="1">
      <alignment horizontal="center"/>
    </xf>
    <xf numFmtId="0" fontId="5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/>
    </xf>
    <xf numFmtId="172" fontId="5" fillId="7" borderId="0" xfId="0" applyNumberFormat="1" applyFont="1" applyFill="1" applyAlignment="1">
      <alignment horizontal="center"/>
    </xf>
    <xf numFmtId="164" fontId="5" fillId="7" borderId="0" xfId="0" applyNumberFormat="1" applyFont="1" applyFill="1" applyAlignment="1">
      <alignment horizontal="center"/>
    </xf>
    <xf numFmtId="164" fontId="16" fillId="6" borderId="3" xfId="0" applyNumberFormat="1" applyFont="1" applyFill="1" applyBorder="1" applyAlignment="1">
      <alignment horizontal="center"/>
    </xf>
    <xf numFmtId="0" fontId="17" fillId="3" borderId="3" xfId="0" applyFont="1" applyFill="1" applyBorder="1" applyAlignment="1">
      <alignment horizontal="center"/>
    </xf>
    <xf numFmtId="10" fontId="18" fillId="0" borderId="0" xfId="0" applyNumberFormat="1" applyFont="1" applyAlignment="1">
      <alignment horizontal="center"/>
    </xf>
    <xf numFmtId="0" fontId="6" fillId="0" borderId="0" xfId="0" applyFont="1"/>
    <xf numFmtId="0" fontId="5" fillId="7" borderId="8" xfId="0" applyFont="1" applyFill="1" applyBorder="1" applyAlignment="1">
      <alignment horizontal="center"/>
    </xf>
    <xf numFmtId="172" fontId="5" fillId="0" borderId="9" xfId="0" applyNumberFormat="1" applyFont="1" applyBorder="1" applyAlignment="1">
      <alignment horizontal="center"/>
    </xf>
    <xf numFmtId="0" fontId="19" fillId="4" borderId="3" xfId="0" applyFont="1" applyFill="1" applyBorder="1" applyAlignment="1">
      <alignment horizontal="center"/>
    </xf>
    <xf numFmtId="166" fontId="20" fillId="3" borderId="4" xfId="0" applyNumberFormat="1" applyFont="1" applyFill="1" applyBorder="1" applyAlignment="1">
      <alignment horizontal="center"/>
    </xf>
    <xf numFmtId="3" fontId="19" fillId="3" borderId="3" xfId="0" applyNumberFormat="1" applyFont="1" applyFill="1" applyBorder="1" applyAlignment="1">
      <alignment horizontal="center"/>
    </xf>
    <xf numFmtId="166" fontId="18" fillId="0" borderId="0" xfId="0" applyNumberFormat="1" applyFont="1" applyAlignment="1">
      <alignment horizontal="center"/>
    </xf>
    <xf numFmtId="172" fontId="21" fillId="0" borderId="9" xfId="0" applyNumberFormat="1" applyFont="1" applyBorder="1" applyAlignment="1">
      <alignment horizontal="center"/>
    </xf>
    <xf numFmtId="10" fontId="19" fillId="3" borderId="3" xfId="0" applyNumberFormat="1" applyFont="1" applyFill="1" applyBorder="1" applyAlignment="1">
      <alignment horizontal="center"/>
    </xf>
    <xf numFmtId="0" fontId="19" fillId="3" borderId="3" xfId="0" applyFont="1" applyFill="1" applyBorder="1" applyAlignment="1">
      <alignment horizontal="center"/>
    </xf>
    <xf numFmtId="10" fontId="6" fillId="0" borderId="9" xfId="0" applyNumberFormat="1" applyFont="1" applyBorder="1" applyAlignment="1">
      <alignment horizontal="center"/>
    </xf>
    <xf numFmtId="171" fontId="6" fillId="0" borderId="10" xfId="0" applyNumberFormat="1" applyFont="1" applyBorder="1" applyAlignment="1">
      <alignment horizontal="center"/>
    </xf>
    <xf numFmtId="164" fontId="6" fillId="0" borderId="10" xfId="0" applyNumberFormat="1" applyFont="1" applyBorder="1" applyAlignment="1">
      <alignment horizontal="center"/>
    </xf>
    <xf numFmtId="166" fontId="5" fillId="0" borderId="3" xfId="0" applyNumberFormat="1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166" fontId="5" fillId="0" borderId="12" xfId="0" applyNumberFormat="1" applyFont="1" applyBorder="1" applyAlignment="1">
      <alignment horizontal="center"/>
    </xf>
    <xf numFmtId="164" fontId="6" fillId="0" borderId="12" xfId="0" applyNumberFormat="1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175" fontId="6" fillId="3" borderId="3" xfId="0" applyNumberFormat="1" applyFont="1" applyFill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3" xfId="0" applyFont="1" applyBorder="1" applyAlignment="1">
      <alignment horizontal="left"/>
    </xf>
    <xf numFmtId="164" fontId="5" fillId="0" borderId="3" xfId="0" applyNumberFormat="1" applyFont="1" applyBorder="1" applyAlignment="1">
      <alignment horizontal="center"/>
    </xf>
    <xf numFmtId="4" fontId="5" fillId="0" borderId="3" xfId="0" applyNumberFormat="1" applyFont="1" applyBorder="1" applyAlignment="1">
      <alignment horizontal="center"/>
    </xf>
    <xf numFmtId="164" fontId="6" fillId="0" borderId="6" xfId="0" applyNumberFormat="1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4" fontId="5" fillId="0" borderId="0" xfId="0" applyNumberFormat="1" applyFont="1" applyAlignment="1">
      <alignment horizontal="center"/>
    </xf>
    <xf numFmtId="4" fontId="6" fillId="3" borderId="0" xfId="0" applyNumberFormat="1" applyFont="1" applyFill="1" applyAlignment="1">
      <alignment horizontal="center"/>
    </xf>
    <xf numFmtId="10" fontId="6" fillId="3" borderId="0" xfId="0" applyNumberFormat="1" applyFont="1" applyFill="1" applyAlignment="1">
      <alignment horizontal="center"/>
    </xf>
    <xf numFmtId="174" fontId="5" fillId="0" borderId="8" xfId="0" applyNumberFormat="1" applyFont="1" applyBorder="1" applyAlignment="1">
      <alignment horizontal="center"/>
    </xf>
    <xf numFmtId="164" fontId="6" fillId="3" borderId="0" xfId="0" applyNumberFormat="1" applyFont="1" applyFill="1" applyAlignment="1">
      <alignment horizontal="center"/>
    </xf>
    <xf numFmtId="164" fontId="21" fillId="0" borderId="9" xfId="0" applyNumberFormat="1" applyFont="1" applyBorder="1" applyAlignment="1">
      <alignment horizontal="center"/>
    </xf>
    <xf numFmtId="2" fontId="5" fillId="7" borderId="0" xfId="0" applyNumberFormat="1" applyFont="1" applyFill="1" applyAlignment="1">
      <alignment horizontal="center"/>
    </xf>
    <xf numFmtId="2" fontId="5" fillId="0" borderId="0" xfId="0" applyNumberFormat="1" applyFont="1" applyAlignment="1">
      <alignment horizontal="center"/>
    </xf>
    <xf numFmtId="164" fontId="8" fillId="0" borderId="3" xfId="0" applyNumberFormat="1" applyFont="1" applyBorder="1" applyAlignment="1">
      <alignment horizontal="center"/>
    </xf>
    <xf numFmtId="0" fontId="5" fillId="0" borderId="14" xfId="0" applyFont="1" applyBorder="1" applyAlignment="1">
      <alignment horizontal="left"/>
    </xf>
    <xf numFmtId="164" fontId="8" fillId="0" borderId="14" xfId="0" applyNumberFormat="1" applyFont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3" xfId="0" applyFont="1" applyBorder="1" applyAlignment="1">
      <alignment horizontal="left"/>
    </xf>
    <xf numFmtId="176" fontId="6" fillId="0" borderId="10" xfId="0" applyNumberFormat="1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164" fontId="5" fillId="0" borderId="12" xfId="0" applyNumberFormat="1" applyFont="1" applyBorder="1" applyAlignment="1">
      <alignment horizontal="center"/>
    </xf>
    <xf numFmtId="10" fontId="6" fillId="0" borderId="13" xfId="0" applyNumberFormat="1" applyFont="1" applyBorder="1" applyAlignment="1">
      <alignment horizontal="center"/>
    </xf>
    <xf numFmtId="177" fontId="6" fillId="0" borderId="0" xfId="0" applyNumberFormat="1" applyFont="1" applyAlignment="1">
      <alignment horizontal="center"/>
    </xf>
    <xf numFmtId="178" fontId="5" fillId="7" borderId="8" xfId="0" applyNumberFormat="1" applyFont="1" applyFill="1" applyBorder="1" applyAlignment="1">
      <alignment horizontal="center"/>
    </xf>
    <xf numFmtId="179" fontId="5" fillId="0" borderId="0" xfId="0" applyNumberFormat="1" applyFont="1" applyAlignment="1">
      <alignment horizontal="center"/>
    </xf>
    <xf numFmtId="0" fontId="6" fillId="0" borderId="10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173" fontId="5" fillId="0" borderId="0" xfId="0" applyNumberFormat="1" applyFont="1" applyAlignment="1">
      <alignment horizontal="center"/>
    </xf>
    <xf numFmtId="180" fontId="5" fillId="7" borderId="0" xfId="0" applyNumberFormat="1" applyFont="1" applyFill="1" applyAlignment="1">
      <alignment horizontal="center"/>
    </xf>
    <xf numFmtId="180" fontId="5" fillId="0" borderId="0" xfId="0" applyNumberFormat="1" applyFont="1" applyAlignment="1">
      <alignment horizontal="center"/>
    </xf>
    <xf numFmtId="180" fontId="21" fillId="0" borderId="0" xfId="0" applyNumberFormat="1" applyFont="1" applyAlignment="1">
      <alignment horizontal="center"/>
    </xf>
    <xf numFmtId="3" fontId="5" fillId="7" borderId="0" xfId="0" applyNumberFormat="1" applyFont="1" applyFill="1" applyAlignment="1">
      <alignment horizontal="center"/>
    </xf>
    <xf numFmtId="164" fontId="21" fillId="0" borderId="0" xfId="0" applyNumberFormat="1" applyFont="1" applyAlignment="1">
      <alignment horizontal="center"/>
    </xf>
    <xf numFmtId="164" fontId="5" fillId="9" borderId="0" xfId="0" applyNumberFormat="1" applyFont="1" applyFill="1" applyAlignment="1">
      <alignment horizontal="center"/>
    </xf>
    <xf numFmtId="4" fontId="5" fillId="0" borderId="12" xfId="0" applyNumberFormat="1" applyFont="1" applyBorder="1" applyAlignment="1">
      <alignment horizontal="center"/>
    </xf>
    <xf numFmtId="0" fontId="23" fillId="3" borderId="0" xfId="0" applyFont="1" applyFill="1" applyAlignment="1">
      <alignment horizontal="right"/>
    </xf>
    <xf numFmtId="0" fontId="6" fillId="0" borderId="11" xfId="0" applyFont="1" applyBorder="1" applyAlignment="1">
      <alignment horizontal="center"/>
    </xf>
    <xf numFmtId="179" fontId="5" fillId="7" borderId="0" xfId="0" applyNumberFormat="1" applyFont="1" applyFill="1" applyAlignment="1">
      <alignment horizontal="center"/>
    </xf>
    <xf numFmtId="0" fontId="24" fillId="3" borderId="0" xfId="0" applyFont="1" applyFill="1"/>
    <xf numFmtId="0" fontId="21" fillId="0" borderId="0" xfId="0" applyFont="1" applyAlignment="1">
      <alignment horizontal="center"/>
    </xf>
    <xf numFmtId="0" fontId="25" fillId="3" borderId="0" xfId="0" applyFont="1" applyFill="1" applyAlignment="1">
      <alignment horizontal="right"/>
    </xf>
    <xf numFmtId="1" fontId="5" fillId="7" borderId="0" xfId="0" applyNumberFormat="1" applyFont="1" applyFill="1" applyAlignment="1">
      <alignment horizontal="center"/>
    </xf>
    <xf numFmtId="1" fontId="6" fillId="0" borderId="10" xfId="0" applyNumberFormat="1" applyFont="1" applyBorder="1" applyAlignment="1">
      <alignment horizontal="center"/>
    </xf>
    <xf numFmtId="1" fontId="6" fillId="0" borderId="0" xfId="0" applyNumberFormat="1" applyFont="1" applyAlignment="1">
      <alignment horizontal="center"/>
    </xf>
    <xf numFmtId="181" fontId="5" fillId="0" borderId="8" xfId="0" applyNumberFormat="1" applyFont="1" applyBorder="1" applyAlignment="1">
      <alignment horizontal="center"/>
    </xf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174" fontId="5" fillId="0" borderId="5" xfId="0" applyNumberFormat="1" applyFont="1" applyBorder="1" applyAlignment="1">
      <alignment horizontal="center"/>
    </xf>
    <xf numFmtId="180" fontId="5" fillId="0" borderId="6" xfId="0" applyNumberFormat="1" applyFont="1" applyBorder="1" applyAlignment="1">
      <alignment horizontal="center"/>
    </xf>
    <xf numFmtId="0" fontId="6" fillId="7" borderId="3" xfId="0" applyFont="1" applyFill="1" applyBorder="1" applyAlignment="1">
      <alignment horizontal="center"/>
    </xf>
    <xf numFmtId="174" fontId="22" fillId="7" borderId="8" xfId="0" applyNumberFormat="1" applyFont="1" applyFill="1" applyBorder="1" applyAlignment="1">
      <alignment horizontal="center"/>
    </xf>
    <xf numFmtId="0" fontId="22" fillId="7" borderId="0" xfId="0" applyFont="1" applyFill="1" applyAlignment="1">
      <alignment horizontal="center"/>
    </xf>
    <xf numFmtId="164" fontId="22" fillId="7" borderId="0" xfId="0" applyNumberFormat="1" applyFont="1" applyFill="1" applyAlignment="1">
      <alignment horizontal="center"/>
    </xf>
    <xf numFmtId="0" fontId="5" fillId="7" borderId="9" xfId="0" applyFont="1" applyFill="1" applyBorder="1" applyAlignment="1">
      <alignment horizontal="center"/>
    </xf>
    <xf numFmtId="0" fontId="22" fillId="7" borderId="8" xfId="0" applyFont="1" applyFill="1" applyBorder="1" applyAlignment="1">
      <alignment horizontal="center"/>
    </xf>
    <xf numFmtId="0" fontId="6" fillId="7" borderId="0" xfId="0" applyFont="1" applyFill="1" applyAlignment="1">
      <alignment horizontal="center"/>
    </xf>
    <xf numFmtId="164" fontId="6" fillId="7" borderId="0" xfId="0" applyNumberFormat="1" applyFont="1" applyFill="1" applyAlignment="1">
      <alignment horizontal="center"/>
    </xf>
    <xf numFmtId="10" fontId="6" fillId="7" borderId="9" xfId="0" applyNumberFormat="1" applyFont="1" applyFill="1" applyBorder="1" applyAlignment="1">
      <alignment horizontal="center"/>
    </xf>
    <xf numFmtId="0" fontId="6" fillId="7" borderId="10" xfId="0" applyFont="1" applyFill="1" applyBorder="1" applyAlignment="1">
      <alignment horizontal="center"/>
    </xf>
    <xf numFmtId="164" fontId="6" fillId="7" borderId="10" xfId="0" applyNumberFormat="1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164" fontId="5" fillId="7" borderId="12" xfId="0" applyNumberFormat="1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180" fontId="22" fillId="7" borderId="0" xfId="0" applyNumberFormat="1" applyFont="1" applyFill="1" applyAlignment="1">
      <alignment horizontal="center"/>
    </xf>
    <xf numFmtId="0" fontId="5" fillId="4" borderId="0" xfId="0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180" fontId="5" fillId="4" borderId="0" xfId="0" applyNumberFormat="1" applyFont="1" applyFill="1" applyAlignment="1">
      <alignment horizontal="center"/>
    </xf>
    <xf numFmtId="180" fontId="21" fillId="4" borderId="0" xfId="0" applyNumberFormat="1" applyFont="1" applyFill="1" applyAlignment="1">
      <alignment horizontal="center"/>
    </xf>
    <xf numFmtId="0" fontId="6" fillId="7" borderId="14" xfId="0" applyFont="1" applyFill="1" applyBorder="1" applyAlignment="1">
      <alignment horizontal="center"/>
    </xf>
    <xf numFmtId="174" fontId="5" fillId="7" borderId="5" xfId="0" applyNumberFormat="1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180" fontId="5" fillId="7" borderId="6" xfId="0" applyNumberFormat="1" applyFont="1" applyFill="1" applyBorder="1" applyAlignment="1">
      <alignment horizontal="center"/>
    </xf>
    <xf numFmtId="164" fontId="5" fillId="7" borderId="6" xfId="0" applyNumberFormat="1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7" borderId="11" xfId="0" applyFont="1" applyFill="1" applyBorder="1"/>
    <xf numFmtId="0" fontId="5" fillId="7" borderId="12" xfId="0" applyFont="1" applyFill="1" applyBorder="1"/>
    <xf numFmtId="0" fontId="5" fillId="7" borderId="13" xfId="0" applyFont="1" applyFill="1" applyBorder="1"/>
    <xf numFmtId="174" fontId="5" fillId="7" borderId="3" xfId="0" applyNumberFormat="1" applyFont="1" applyFill="1" applyBorder="1" applyAlignment="1">
      <alignment horizontal="center"/>
    </xf>
    <xf numFmtId="0" fontId="5" fillId="7" borderId="14" xfId="0" applyFont="1" applyFill="1" applyBorder="1" applyAlignment="1">
      <alignment horizontal="center" vertical="center"/>
    </xf>
    <xf numFmtId="4" fontId="5" fillId="7" borderId="3" xfId="0" applyNumberFormat="1" applyFont="1" applyFill="1" applyBorder="1" applyAlignment="1">
      <alignment horizontal="center"/>
    </xf>
    <xf numFmtId="180" fontId="5" fillId="7" borderId="3" xfId="0" applyNumberFormat="1" applyFont="1" applyFill="1" applyBorder="1" applyAlignment="1">
      <alignment horizontal="center"/>
    </xf>
    <xf numFmtId="0" fontId="6" fillId="7" borderId="9" xfId="0" applyFont="1" applyFill="1" applyBorder="1" applyAlignment="1">
      <alignment horizontal="center"/>
    </xf>
    <xf numFmtId="0" fontId="5" fillId="7" borderId="15" xfId="0" applyFont="1" applyFill="1" applyBorder="1" applyAlignment="1">
      <alignment horizontal="center" vertical="center"/>
    </xf>
    <xf numFmtId="164" fontId="5" fillId="7" borderId="3" xfId="0" applyNumberFormat="1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180" fontId="6" fillId="7" borderId="0" xfId="0" applyNumberFormat="1" applyFont="1" applyFill="1" applyAlignment="1">
      <alignment horizontal="center"/>
    </xf>
    <xf numFmtId="4" fontId="5" fillId="7" borderId="0" xfId="0" applyNumberFormat="1" applyFont="1" applyFill="1" applyAlignment="1">
      <alignment horizontal="center"/>
    </xf>
    <xf numFmtId="0" fontId="22" fillId="7" borderId="3" xfId="0" applyFont="1" applyFill="1" applyBorder="1" applyAlignment="1">
      <alignment horizontal="center"/>
    </xf>
    <xf numFmtId="0" fontId="22" fillId="7" borderId="15" xfId="0" applyFont="1" applyFill="1" applyBorder="1" applyAlignment="1">
      <alignment horizontal="center" vertical="center"/>
    </xf>
    <xf numFmtId="4" fontId="22" fillId="7" borderId="3" xfId="0" applyNumberFormat="1" applyFont="1" applyFill="1" applyBorder="1" applyAlignment="1">
      <alignment horizontal="center"/>
    </xf>
    <xf numFmtId="180" fontId="22" fillId="7" borderId="3" xfId="0" applyNumberFormat="1" applyFont="1" applyFill="1" applyBorder="1" applyAlignment="1">
      <alignment horizontal="center"/>
    </xf>
    <xf numFmtId="164" fontId="22" fillId="7" borderId="3" xfId="0" applyNumberFormat="1" applyFont="1" applyFill="1" applyBorder="1" applyAlignment="1">
      <alignment horizontal="center"/>
    </xf>
    <xf numFmtId="164" fontId="21" fillId="7" borderId="0" xfId="0" applyNumberFormat="1" applyFont="1" applyFill="1" applyAlignment="1">
      <alignment horizontal="center"/>
    </xf>
    <xf numFmtId="174" fontId="22" fillId="7" borderId="3" xfId="0" applyNumberFormat="1" applyFont="1" applyFill="1" applyBorder="1" applyAlignment="1">
      <alignment horizontal="center"/>
    </xf>
    <xf numFmtId="0" fontId="22" fillId="7" borderId="4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10" fontId="6" fillId="7" borderId="0" xfId="0" applyNumberFormat="1" applyFont="1" applyFill="1" applyAlignment="1">
      <alignment horizontal="center"/>
    </xf>
    <xf numFmtId="4" fontId="6" fillId="7" borderId="10" xfId="0" applyNumberFormat="1" applyFont="1" applyFill="1" applyBorder="1" applyAlignment="1">
      <alignment horizontal="center"/>
    </xf>
    <xf numFmtId="4" fontId="6" fillId="7" borderId="0" xfId="0" applyNumberFormat="1" applyFont="1" applyFill="1" applyAlignment="1">
      <alignment horizontal="center"/>
    </xf>
    <xf numFmtId="164" fontId="6" fillId="7" borderId="12" xfId="0" applyNumberFormat="1" applyFont="1" applyFill="1" applyBorder="1" applyAlignment="1">
      <alignment horizontal="center"/>
    </xf>
    <xf numFmtId="0" fontId="6" fillId="7" borderId="13" xfId="0" applyFont="1" applyFill="1" applyBorder="1" applyAlignment="1">
      <alignment horizontal="center"/>
    </xf>
    <xf numFmtId="0" fontId="6" fillId="7" borderId="12" xfId="0" applyFont="1" applyFill="1" applyBorder="1" applyAlignment="1">
      <alignment horizontal="center"/>
    </xf>
    <xf numFmtId="10" fontId="6" fillId="7" borderId="13" xfId="0" applyNumberFormat="1" applyFont="1" applyFill="1" applyBorder="1" applyAlignment="1">
      <alignment horizontal="center"/>
    </xf>
    <xf numFmtId="0" fontId="26" fillId="10" borderId="0" xfId="0" applyFont="1" applyFill="1"/>
    <xf numFmtId="4" fontId="5" fillId="0" borderId="0" xfId="0" applyNumberFormat="1" applyFont="1"/>
    <xf numFmtId="0" fontId="27" fillId="0" borderId="0" xfId="0" applyFont="1"/>
    <xf numFmtId="182" fontId="27" fillId="0" borderId="0" xfId="0" applyNumberFormat="1" applyFont="1" applyAlignment="1">
      <alignment horizontal="right"/>
    </xf>
    <xf numFmtId="183" fontId="27" fillId="0" borderId="0" xfId="0" applyNumberFormat="1" applyFont="1" applyAlignment="1">
      <alignment horizontal="right"/>
    </xf>
    <xf numFmtId="0" fontId="27" fillId="0" borderId="0" xfId="0" applyFont="1" applyAlignment="1">
      <alignment horizontal="right"/>
    </xf>
    <xf numFmtId="0" fontId="28" fillId="0" borderId="0" xfId="0" applyFont="1"/>
    <xf numFmtId="0" fontId="29" fillId="0" borderId="0" xfId="0" applyFont="1" applyAlignment="1">
      <alignment horizontal="right"/>
    </xf>
    <xf numFmtId="0" fontId="28" fillId="0" borderId="0" xfId="0" applyFont="1" applyAlignment="1">
      <alignment horizontal="right"/>
    </xf>
    <xf numFmtId="182" fontId="28" fillId="0" borderId="0" xfId="0" applyNumberFormat="1" applyFont="1" applyAlignment="1">
      <alignment horizontal="right"/>
    </xf>
    <xf numFmtId="4" fontId="28" fillId="0" borderId="0" xfId="0" applyNumberFormat="1" applyFont="1" applyAlignment="1">
      <alignment horizontal="right"/>
    </xf>
    <xf numFmtId="0" fontId="22" fillId="7" borderId="0" xfId="0" applyFont="1" applyFill="1" applyAlignment="1">
      <alignment horizontal="center" vertical="center"/>
    </xf>
    <xf numFmtId="0" fontId="0" fillId="0" borderId="0" xfId="0"/>
    <xf numFmtId="0" fontId="22" fillId="7" borderId="0" xfId="0" applyFont="1" applyFill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6" fillId="4" borderId="1" xfId="0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6" fillId="8" borderId="1" xfId="0" applyFont="1" applyFill="1" applyBorder="1" applyAlignment="1">
      <alignment horizontal="center"/>
    </xf>
  </cellXfs>
  <cellStyles count="1">
    <cellStyle name="Normal" xfId="0" builtinId="0"/>
  </cellStyles>
  <dxfs count="12">
    <dxf>
      <font>
        <color rgb="FF6AA84F"/>
      </font>
      <fill>
        <patternFill patternType="none"/>
      </fill>
    </dxf>
    <dxf>
      <font>
        <color rgb="FFFFFFFF"/>
      </font>
      <fill>
        <patternFill patternType="none"/>
      </fill>
    </dxf>
    <dxf>
      <font>
        <color rgb="FF6AA84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6AA84F"/>
      </font>
      <fill>
        <patternFill patternType="none"/>
      </fill>
    </dxf>
    <dxf>
      <font>
        <color rgb="FFFF0000"/>
      </font>
      <fill>
        <patternFill patternType="solid">
          <fgColor rgb="FFFFFFFF"/>
          <bgColor rgb="FFFFFFFF"/>
        </patternFill>
      </fill>
    </dxf>
    <dxf>
      <font>
        <color rgb="FF6AA84F"/>
      </font>
      <fill>
        <patternFill patternType="solid">
          <fgColor rgb="FFFFFFFF"/>
          <bgColor rgb="FFFFFFFF"/>
        </patternFill>
      </fill>
    </dxf>
    <dxf>
      <font>
        <color rgb="FFFF0000"/>
      </font>
      <fill>
        <patternFill patternType="none"/>
      </fill>
    </dxf>
    <dxf>
      <font>
        <color rgb="FF6AA84F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theme="7"/>
      </font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GB" b="0">
                <a:solidFill>
                  <a:srgbClr val="757575"/>
                </a:solidFill>
                <a:latin typeface="+mn-lt"/>
              </a:rPr>
              <a:t>Portfolio Breakdown</a:t>
            </a:r>
          </a:p>
        </c:rich>
      </c:tx>
      <c:overlay val="0"/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rgbClr val="4285F4"/>
              </a:solidFill>
            </c:spPr>
            <c:extLst>
              <c:ext xmlns:c16="http://schemas.microsoft.com/office/drawing/2014/chart" uri="{C3380CC4-5D6E-409C-BE32-E72D297353CC}">
                <c16:uniqueId val="{00000001-123C-40D6-87FC-8490AE8401F2}"/>
              </c:ext>
            </c:extLst>
          </c:dPt>
          <c:dPt>
            <c:idx val="1"/>
            <c:bubble3D val="0"/>
            <c:spPr>
              <a:solidFill>
                <a:srgbClr val="EA4335"/>
              </a:solidFill>
            </c:spPr>
            <c:extLst>
              <c:ext xmlns:c16="http://schemas.microsoft.com/office/drawing/2014/chart" uri="{C3380CC4-5D6E-409C-BE32-E72D297353CC}">
                <c16:uniqueId val="{00000003-123C-40D6-87FC-8490AE8401F2}"/>
              </c:ext>
            </c:extLst>
          </c:dPt>
          <c:dPt>
            <c:idx val="2"/>
            <c:bubble3D val="0"/>
            <c:spPr>
              <a:solidFill>
                <a:srgbClr val="FBBC04"/>
              </a:solidFill>
            </c:spPr>
            <c:extLst>
              <c:ext xmlns:c16="http://schemas.microsoft.com/office/drawing/2014/chart" uri="{C3380CC4-5D6E-409C-BE32-E72D297353CC}">
                <c16:uniqueId val="{00000005-123C-40D6-87FC-8490AE8401F2}"/>
              </c:ext>
            </c:extLst>
          </c:dPt>
          <c:dPt>
            <c:idx val="3"/>
            <c:bubble3D val="0"/>
            <c:spPr>
              <a:solidFill>
                <a:srgbClr val="34A853"/>
              </a:solidFill>
            </c:spPr>
            <c:extLst>
              <c:ext xmlns:c16="http://schemas.microsoft.com/office/drawing/2014/chart" uri="{C3380CC4-5D6E-409C-BE32-E72D297353CC}">
                <c16:uniqueId val="{00000007-123C-40D6-87FC-8490AE8401F2}"/>
              </c:ext>
            </c:extLst>
          </c:dPt>
          <c:dPt>
            <c:idx val="4"/>
            <c:bubble3D val="0"/>
            <c:spPr>
              <a:solidFill>
                <a:srgbClr val="FF6D01"/>
              </a:solidFill>
            </c:spPr>
            <c:extLst>
              <c:ext xmlns:c16="http://schemas.microsoft.com/office/drawing/2014/chart" uri="{C3380CC4-5D6E-409C-BE32-E72D297353CC}">
                <c16:uniqueId val="{00000009-123C-40D6-87FC-8490AE8401F2}"/>
              </c:ext>
            </c:extLst>
          </c:dPt>
          <c:dPt>
            <c:idx val="5"/>
            <c:bubble3D val="0"/>
            <c:spPr>
              <a:solidFill>
                <a:srgbClr val="46BDC6"/>
              </a:solidFill>
            </c:spPr>
            <c:extLst>
              <c:ext xmlns:c16="http://schemas.microsoft.com/office/drawing/2014/chart" uri="{C3380CC4-5D6E-409C-BE32-E72D297353CC}">
                <c16:uniqueId val="{0000000B-123C-40D6-87FC-8490AE8401F2}"/>
              </c:ext>
            </c:extLst>
          </c:dPt>
          <c:dPt>
            <c:idx val="6"/>
            <c:bubble3D val="0"/>
            <c:spPr>
              <a:solidFill>
                <a:srgbClr val="7BAAF7"/>
              </a:solidFill>
            </c:spPr>
            <c:extLst>
              <c:ext xmlns:c16="http://schemas.microsoft.com/office/drawing/2014/chart" uri="{C3380CC4-5D6E-409C-BE32-E72D297353CC}">
                <c16:uniqueId val="{0000000D-123C-40D6-87FC-8490AE8401F2}"/>
              </c:ext>
            </c:extLst>
          </c:dPt>
          <c:dPt>
            <c:idx val="7"/>
            <c:bubble3D val="0"/>
            <c:spPr>
              <a:solidFill>
                <a:srgbClr val="F07B72"/>
              </a:solidFill>
            </c:spPr>
            <c:extLst>
              <c:ext xmlns:c16="http://schemas.microsoft.com/office/drawing/2014/chart" uri="{C3380CC4-5D6E-409C-BE32-E72D297353CC}">
                <c16:uniqueId val="{0000000F-123C-40D6-87FC-8490AE8401F2}"/>
              </c:ext>
            </c:extLst>
          </c:dPt>
          <c:dPt>
            <c:idx val="8"/>
            <c:bubble3D val="0"/>
            <c:spPr>
              <a:solidFill>
                <a:srgbClr val="FCD04F"/>
              </a:solidFill>
            </c:spPr>
            <c:extLst>
              <c:ext xmlns:c16="http://schemas.microsoft.com/office/drawing/2014/chart" uri="{C3380CC4-5D6E-409C-BE32-E72D297353CC}">
                <c16:uniqueId val="{00000011-123C-40D6-87FC-8490AE8401F2}"/>
              </c:ext>
            </c:extLst>
          </c:dPt>
          <c:dPt>
            <c:idx val="9"/>
            <c:bubble3D val="0"/>
            <c:spPr>
              <a:solidFill>
                <a:srgbClr val="71C287"/>
              </a:solidFill>
            </c:spPr>
            <c:extLst>
              <c:ext xmlns:c16="http://schemas.microsoft.com/office/drawing/2014/chart" uri="{C3380CC4-5D6E-409C-BE32-E72D297353CC}">
                <c16:uniqueId val="{00000013-123C-40D6-87FC-8490AE8401F2}"/>
              </c:ext>
            </c:extLst>
          </c:dPt>
          <c:dPt>
            <c:idx val="10"/>
            <c:bubble3D val="0"/>
            <c:spPr>
              <a:solidFill>
                <a:srgbClr val="FF994D"/>
              </a:solidFill>
            </c:spPr>
            <c:extLst>
              <c:ext xmlns:c16="http://schemas.microsoft.com/office/drawing/2014/chart" uri="{C3380CC4-5D6E-409C-BE32-E72D297353CC}">
                <c16:uniqueId val="{00000015-123C-40D6-87FC-8490AE8401F2}"/>
              </c:ext>
            </c:extLst>
          </c:dPt>
          <c:dPt>
            <c:idx val="11"/>
            <c:bubble3D val="0"/>
            <c:spPr>
              <a:solidFill>
                <a:srgbClr val="7ED1D7"/>
              </a:solidFill>
            </c:spPr>
            <c:extLst>
              <c:ext xmlns:c16="http://schemas.microsoft.com/office/drawing/2014/chart" uri="{C3380CC4-5D6E-409C-BE32-E72D297353CC}">
                <c16:uniqueId val="{00000017-123C-40D6-87FC-8490AE8401F2}"/>
              </c:ext>
            </c:extLst>
          </c:dPt>
          <c:dPt>
            <c:idx val="12"/>
            <c:bubble3D val="0"/>
            <c:spPr>
              <a:solidFill>
                <a:srgbClr val="B3CEFB"/>
              </a:solidFill>
            </c:spPr>
            <c:extLst>
              <c:ext xmlns:c16="http://schemas.microsoft.com/office/drawing/2014/chart" uri="{C3380CC4-5D6E-409C-BE32-E72D297353CC}">
                <c16:uniqueId val="{00000019-123C-40D6-87FC-8490AE8401F2}"/>
              </c:ext>
            </c:extLst>
          </c:dPt>
          <c:dPt>
            <c:idx val="13"/>
            <c:bubble3D val="0"/>
            <c:spPr>
              <a:solidFill>
                <a:srgbClr val="F7B4AE"/>
              </a:solidFill>
            </c:spPr>
            <c:extLst>
              <c:ext xmlns:c16="http://schemas.microsoft.com/office/drawing/2014/chart" uri="{C3380CC4-5D6E-409C-BE32-E72D297353CC}">
                <c16:uniqueId val="{0000001B-123C-40D6-87FC-8490AE8401F2}"/>
              </c:ext>
            </c:extLst>
          </c:dPt>
          <c:dPt>
            <c:idx val="14"/>
            <c:bubble3D val="0"/>
            <c:spPr>
              <a:solidFill>
                <a:srgbClr val="FDE49B"/>
              </a:solidFill>
            </c:spPr>
            <c:extLst>
              <c:ext xmlns:c16="http://schemas.microsoft.com/office/drawing/2014/chart" uri="{C3380CC4-5D6E-409C-BE32-E72D297353CC}">
                <c16:uniqueId val="{0000001D-123C-40D6-87FC-8490AE8401F2}"/>
              </c:ext>
            </c:extLst>
          </c:dPt>
          <c:dPt>
            <c:idx val="15"/>
            <c:bubble3D val="0"/>
            <c:spPr>
              <a:solidFill>
                <a:srgbClr val="AEDCBA"/>
              </a:solidFill>
            </c:spPr>
            <c:extLst>
              <c:ext xmlns:c16="http://schemas.microsoft.com/office/drawing/2014/chart" uri="{C3380CC4-5D6E-409C-BE32-E72D297353CC}">
                <c16:uniqueId val="{0000001F-123C-40D6-87FC-8490AE8401F2}"/>
              </c:ext>
            </c:extLst>
          </c:dPt>
          <c:dPt>
            <c:idx val="16"/>
            <c:bubble3D val="0"/>
            <c:spPr>
              <a:solidFill>
                <a:srgbClr val="FFC599"/>
              </a:solidFill>
            </c:spPr>
            <c:extLst>
              <c:ext xmlns:c16="http://schemas.microsoft.com/office/drawing/2014/chart" uri="{C3380CC4-5D6E-409C-BE32-E72D297353CC}">
                <c16:uniqueId val="{00000021-123C-40D6-87FC-8490AE8401F2}"/>
              </c:ext>
            </c:extLst>
          </c:dPt>
          <c:dPt>
            <c:idx val="17"/>
            <c:bubble3D val="0"/>
            <c:spPr>
              <a:solidFill>
                <a:srgbClr val="B5E5E8"/>
              </a:solidFill>
            </c:spPr>
            <c:extLst>
              <c:ext xmlns:c16="http://schemas.microsoft.com/office/drawing/2014/chart" uri="{C3380CC4-5D6E-409C-BE32-E72D297353CC}">
                <c16:uniqueId val="{00000023-123C-40D6-87FC-8490AE8401F2}"/>
              </c:ext>
            </c:extLst>
          </c:dPt>
          <c:dPt>
            <c:idx val="18"/>
            <c:bubble3D val="0"/>
            <c:spPr>
              <a:solidFill>
                <a:srgbClr val="ECF3FE"/>
              </a:solidFill>
            </c:spPr>
            <c:extLst>
              <c:ext xmlns:c16="http://schemas.microsoft.com/office/drawing/2014/chart" uri="{C3380CC4-5D6E-409C-BE32-E72D297353CC}">
                <c16:uniqueId val="{00000025-123C-40D6-87FC-8490AE8401F2}"/>
              </c:ext>
            </c:extLst>
          </c:dPt>
          <c:dPt>
            <c:idx val="19"/>
            <c:bubble3D val="0"/>
            <c:spPr>
              <a:solidFill>
                <a:srgbClr val="FDECEB"/>
              </a:solidFill>
            </c:spPr>
            <c:extLst>
              <c:ext xmlns:c16="http://schemas.microsoft.com/office/drawing/2014/chart" uri="{C3380CC4-5D6E-409C-BE32-E72D297353CC}">
                <c16:uniqueId val="{00000027-123C-40D6-87FC-8490AE8401F2}"/>
              </c:ext>
            </c:extLst>
          </c:dPt>
          <c:dPt>
            <c:idx val="20"/>
            <c:bubble3D val="0"/>
            <c:spPr>
              <a:solidFill>
                <a:srgbClr val="FFF8E6"/>
              </a:solidFill>
            </c:spPr>
            <c:extLst>
              <c:ext xmlns:c16="http://schemas.microsoft.com/office/drawing/2014/chart" uri="{C3380CC4-5D6E-409C-BE32-E72D297353CC}">
                <c16:uniqueId val="{00000029-123C-40D6-87FC-8490AE8401F2}"/>
              </c:ext>
            </c:extLst>
          </c:dPt>
          <c:dPt>
            <c:idx val="21"/>
            <c:bubble3D val="0"/>
            <c:spPr>
              <a:solidFill>
                <a:srgbClr val="EBF6EE"/>
              </a:solidFill>
            </c:spPr>
            <c:extLst>
              <c:ext xmlns:c16="http://schemas.microsoft.com/office/drawing/2014/chart" uri="{C3380CC4-5D6E-409C-BE32-E72D297353CC}">
                <c16:uniqueId val="{0000002B-123C-40D6-87FC-8490AE8401F2}"/>
              </c:ext>
            </c:extLst>
          </c:dPt>
          <c:dPt>
            <c:idx val="22"/>
            <c:bubble3D val="0"/>
            <c:spPr>
              <a:solidFill>
                <a:srgbClr val="FFF0E6"/>
              </a:solidFill>
            </c:spPr>
            <c:extLst>
              <c:ext xmlns:c16="http://schemas.microsoft.com/office/drawing/2014/chart" uri="{C3380CC4-5D6E-409C-BE32-E72D297353CC}">
                <c16:uniqueId val="{0000002D-123C-40D6-87FC-8490AE8401F2}"/>
              </c:ext>
            </c:extLst>
          </c:dPt>
          <c:dPt>
            <c:idx val="23"/>
            <c:bubble3D val="0"/>
            <c:spPr>
              <a:solidFill>
                <a:srgbClr val="EDF8F9"/>
              </a:solidFill>
            </c:spPr>
            <c:extLst>
              <c:ext xmlns:c16="http://schemas.microsoft.com/office/drawing/2014/chart" uri="{C3380CC4-5D6E-409C-BE32-E72D297353CC}">
                <c16:uniqueId val="{0000002F-123C-40D6-87FC-8490AE8401F2}"/>
              </c:ext>
            </c:extLst>
          </c:dPt>
          <c:dPt>
            <c:idx val="24"/>
            <c:bubble3D val="0"/>
            <c:spPr>
              <a:solidFill>
                <a:srgbClr val="251701"/>
              </a:solidFill>
            </c:spPr>
            <c:extLst>
              <c:ext xmlns:c16="http://schemas.microsoft.com/office/drawing/2014/chart" uri="{C3380CC4-5D6E-409C-BE32-E72D297353CC}">
                <c16:uniqueId val="{00000031-123C-40D6-87FC-8490AE8401F2}"/>
              </c:ext>
            </c:extLst>
          </c:dPt>
          <c:dPt>
            <c:idx val="25"/>
            <c:bubble3D val="0"/>
            <c:spPr>
              <a:solidFill>
                <a:srgbClr val="032527"/>
              </a:solidFill>
            </c:spPr>
            <c:extLst>
              <c:ext xmlns:c16="http://schemas.microsoft.com/office/drawing/2014/chart" uri="{C3380CC4-5D6E-409C-BE32-E72D297353CC}">
                <c16:uniqueId val="{00000033-123C-40D6-87FC-8490AE8401F2}"/>
              </c:ext>
            </c:extLst>
          </c:dPt>
          <c:dPt>
            <c:idx val="26"/>
            <c:bubble3D val="0"/>
            <c:spPr>
              <a:solidFill>
                <a:srgbClr val="000C31"/>
              </a:solidFill>
            </c:spPr>
            <c:extLst>
              <c:ext xmlns:c16="http://schemas.microsoft.com/office/drawing/2014/chart" uri="{C3380CC4-5D6E-409C-BE32-E72D297353CC}">
                <c16:uniqueId val="{00000035-123C-40D6-87FC-8490AE8401F2}"/>
              </c:ext>
            </c:extLst>
          </c:dPt>
          <c:dPt>
            <c:idx val="27"/>
            <c:bubble3D val="0"/>
            <c:spPr>
              <a:solidFill>
                <a:srgbClr val="281021"/>
              </a:solidFill>
            </c:spPr>
            <c:extLst>
              <c:ext xmlns:c16="http://schemas.microsoft.com/office/drawing/2014/chart" uri="{C3380CC4-5D6E-409C-BE32-E72D297353CC}">
                <c16:uniqueId val="{00000037-123C-40D6-87FC-8490AE8401F2}"/>
              </c:ext>
            </c:extLst>
          </c:dPt>
          <c:dPt>
            <c:idx val="28"/>
            <c:bubble3D val="0"/>
            <c:spPr>
              <a:solidFill>
                <a:srgbClr val="FF1C32"/>
              </a:solidFill>
            </c:spPr>
            <c:extLst>
              <c:ext xmlns:c16="http://schemas.microsoft.com/office/drawing/2014/chart" uri="{C3380CC4-5D6E-409C-BE32-E72D297353CC}">
                <c16:uniqueId val="{00000039-123C-40D6-87FC-8490AE8401F2}"/>
              </c:ext>
            </c:extLst>
          </c:dPt>
          <c:dPt>
            <c:idx val="29"/>
            <c:bubble3D val="0"/>
            <c:spPr>
              <a:solidFill>
                <a:srgbClr val="240C0A"/>
              </a:solidFill>
            </c:spPr>
            <c:extLst>
              <c:ext xmlns:c16="http://schemas.microsoft.com/office/drawing/2014/chart" uri="{C3380CC4-5D6E-409C-BE32-E72D297353CC}">
                <c16:uniqueId val="{0000003B-123C-40D6-87FC-8490AE8401F2}"/>
              </c:ext>
            </c:extLst>
          </c:dPt>
          <c:dPt>
            <c:idx val="30"/>
            <c:bubble3D val="0"/>
            <c:spPr>
              <a:solidFill>
                <a:srgbClr val="5E3C05"/>
              </a:solidFill>
            </c:spPr>
            <c:extLst>
              <c:ext xmlns:c16="http://schemas.microsoft.com/office/drawing/2014/chart" uri="{C3380CC4-5D6E-409C-BE32-E72D297353CC}">
                <c16:uniqueId val="{0000003D-123C-40D6-87FC-8490AE8401F2}"/>
              </c:ext>
            </c:extLst>
          </c:dPt>
          <c:dPt>
            <c:idx val="31"/>
            <c:bubble3D val="0"/>
            <c:spPr>
              <a:solidFill>
                <a:srgbClr val="0A5D64"/>
              </a:solidFill>
            </c:spPr>
            <c:extLst>
              <c:ext xmlns:c16="http://schemas.microsoft.com/office/drawing/2014/chart" uri="{C3380CC4-5D6E-409C-BE32-E72D297353CC}">
                <c16:uniqueId val="{0000003F-123C-40D6-87FC-8490AE8401F2}"/>
              </c:ext>
            </c:extLst>
          </c:dPt>
          <c:dPt>
            <c:idx val="32"/>
            <c:bubble3D val="0"/>
            <c:spPr>
              <a:solidFill>
                <a:srgbClr val="01217D"/>
              </a:solidFill>
            </c:spPr>
            <c:extLst>
              <c:ext xmlns:c16="http://schemas.microsoft.com/office/drawing/2014/chart" uri="{C3380CC4-5D6E-409C-BE32-E72D297353CC}">
                <c16:uniqueId val="{00000041-123C-40D6-87FC-8490AE8401F2}"/>
              </c:ext>
            </c:extLst>
          </c:dPt>
          <c:dPt>
            <c:idx val="33"/>
            <c:bubble3D val="0"/>
            <c:spPr>
              <a:solidFill>
                <a:srgbClr val="652B55"/>
              </a:solidFill>
            </c:spPr>
            <c:extLst>
              <c:ext xmlns:c16="http://schemas.microsoft.com/office/drawing/2014/chart" uri="{C3380CC4-5D6E-409C-BE32-E72D297353CC}">
                <c16:uniqueId val="{00000043-123C-40D6-87FC-8490AE8401F2}"/>
              </c:ext>
            </c:extLst>
          </c:dPt>
          <c:dPt>
            <c:idx val="34"/>
            <c:bubble3D val="0"/>
            <c:spPr>
              <a:solidFill>
                <a:srgbClr val="FF487E"/>
              </a:solidFill>
            </c:spPr>
            <c:extLst>
              <c:ext xmlns:c16="http://schemas.microsoft.com/office/drawing/2014/chart" uri="{C3380CC4-5D6E-409C-BE32-E72D297353CC}">
                <c16:uniqueId val="{00000045-123C-40D6-87FC-8490AE8401F2}"/>
              </c:ext>
            </c:extLst>
          </c:dPt>
          <c:dPt>
            <c:idx val="35"/>
            <c:bubble3D val="0"/>
            <c:spPr>
              <a:solidFill>
                <a:srgbClr val="5C201C"/>
              </a:solidFill>
            </c:spPr>
            <c:extLst>
              <c:ext xmlns:c16="http://schemas.microsoft.com/office/drawing/2014/chart" uri="{C3380CC4-5D6E-409C-BE32-E72D297353CC}">
                <c16:uniqueId val="{00000047-123C-40D6-87FC-8490AE8401F2}"/>
              </c:ext>
            </c:extLst>
          </c:dPt>
          <c:dPt>
            <c:idx val="36"/>
            <c:bubble3D val="0"/>
            <c:spPr>
              <a:solidFill>
                <a:srgbClr val="966108"/>
              </a:solidFill>
            </c:spPr>
            <c:extLst>
              <c:ext xmlns:c16="http://schemas.microsoft.com/office/drawing/2014/chart" uri="{C3380CC4-5D6E-409C-BE32-E72D297353CC}">
                <c16:uniqueId val="{00000049-123C-40D6-87FC-8490AE8401F2}"/>
              </c:ext>
            </c:extLst>
          </c:dPt>
          <c:dPt>
            <c:idx val="37"/>
            <c:bubble3D val="0"/>
            <c:spPr>
              <a:solidFill>
                <a:srgbClr val="1095A1"/>
              </a:solidFill>
            </c:spPr>
            <c:extLst>
              <c:ext xmlns:c16="http://schemas.microsoft.com/office/drawing/2014/chart" uri="{C3380CC4-5D6E-409C-BE32-E72D297353CC}">
                <c16:uniqueId val="{0000004B-123C-40D6-87FC-8490AE8401F2}"/>
              </c:ext>
            </c:extLst>
          </c:dPt>
          <c:dPt>
            <c:idx val="38"/>
            <c:bubble3D val="0"/>
            <c:spPr>
              <a:solidFill>
                <a:srgbClr val="0235C8"/>
              </a:solidFill>
            </c:spPr>
            <c:extLst>
              <c:ext xmlns:c16="http://schemas.microsoft.com/office/drawing/2014/chart" uri="{C3380CC4-5D6E-409C-BE32-E72D297353CC}">
                <c16:uniqueId val="{0000004D-123C-40D6-87FC-8490AE8401F2}"/>
              </c:ext>
            </c:extLst>
          </c:dPt>
          <c:dPt>
            <c:idx val="39"/>
            <c:bubble3D val="0"/>
            <c:extLst>
              <c:ext xmlns:c16="http://schemas.microsoft.com/office/drawing/2014/chart" uri="{C3380CC4-5D6E-409C-BE32-E72D297353CC}">
                <c16:uniqueId val="{0000004E-123C-40D6-87FC-8490AE8401F2}"/>
              </c:ext>
            </c:extLst>
          </c:dPt>
          <c:dPt>
            <c:idx val="40"/>
            <c:bubble3D val="0"/>
            <c:extLst>
              <c:ext xmlns:c16="http://schemas.microsoft.com/office/drawing/2014/chart" uri="{C3380CC4-5D6E-409C-BE32-E72D297353CC}">
                <c16:uniqueId val="{0000004F-123C-40D6-87FC-8490AE8401F2}"/>
              </c:ext>
            </c:extLst>
          </c:dPt>
          <c:dPt>
            <c:idx val="41"/>
            <c:bubble3D val="0"/>
            <c:extLst>
              <c:ext xmlns:c16="http://schemas.microsoft.com/office/drawing/2014/chart" uri="{C3380CC4-5D6E-409C-BE32-E72D297353CC}">
                <c16:uniqueId val="{00000050-123C-40D6-87FC-8490AE8401F2}"/>
              </c:ext>
            </c:extLst>
          </c:dPt>
          <c:dPt>
            <c:idx val="42"/>
            <c:bubble3D val="0"/>
            <c:extLst>
              <c:ext xmlns:c16="http://schemas.microsoft.com/office/drawing/2014/chart" uri="{C3380CC4-5D6E-409C-BE32-E72D297353CC}">
                <c16:uniqueId val="{00000051-123C-40D6-87FC-8490AE8401F2}"/>
              </c:ext>
            </c:extLst>
          </c:dPt>
          <c:dPt>
            <c:idx val="43"/>
            <c:bubble3D val="0"/>
            <c:extLst>
              <c:ext xmlns:c16="http://schemas.microsoft.com/office/drawing/2014/chart" uri="{C3380CC4-5D6E-409C-BE32-E72D297353CC}">
                <c16:uniqueId val="{00000052-123C-40D6-87FC-8490AE8401F2}"/>
              </c:ext>
            </c:extLst>
          </c:dPt>
          <c:dPt>
            <c:idx val="44"/>
            <c:bubble3D val="0"/>
            <c:extLst>
              <c:ext xmlns:c16="http://schemas.microsoft.com/office/drawing/2014/chart" uri="{C3380CC4-5D6E-409C-BE32-E72D297353CC}">
                <c16:uniqueId val="{00000053-123C-40D6-87FC-8490AE8401F2}"/>
              </c:ext>
            </c:extLst>
          </c:dPt>
          <c:dPt>
            <c:idx val="45"/>
            <c:bubble3D val="0"/>
            <c:extLst>
              <c:ext xmlns:c16="http://schemas.microsoft.com/office/drawing/2014/chart" uri="{C3380CC4-5D6E-409C-BE32-E72D297353CC}">
                <c16:uniqueId val="{00000054-123C-40D6-87FC-8490AE8401F2}"/>
              </c:ext>
            </c:extLst>
          </c:dPt>
          <c:dPt>
            <c:idx val="46"/>
            <c:bubble3D val="0"/>
            <c:extLst>
              <c:ext xmlns:c16="http://schemas.microsoft.com/office/drawing/2014/chart" uri="{C3380CC4-5D6E-409C-BE32-E72D297353CC}">
                <c16:uniqueId val="{00000055-123C-40D6-87FC-8490AE8401F2}"/>
              </c:ext>
            </c:extLst>
          </c:dPt>
          <c:dPt>
            <c:idx val="47"/>
            <c:bubble3D val="0"/>
            <c:extLst>
              <c:ext xmlns:c16="http://schemas.microsoft.com/office/drawing/2014/chart" uri="{C3380CC4-5D6E-409C-BE32-E72D297353CC}">
                <c16:uniqueId val="{00000056-123C-40D6-87FC-8490AE8401F2}"/>
              </c:ext>
            </c:extLst>
          </c:dPt>
          <c:dPt>
            <c:idx val="48"/>
            <c:bubble3D val="0"/>
            <c:extLst>
              <c:ext xmlns:c16="http://schemas.microsoft.com/office/drawing/2014/chart" uri="{C3380CC4-5D6E-409C-BE32-E72D297353CC}">
                <c16:uniqueId val="{00000057-123C-40D6-87FC-8490AE8401F2}"/>
              </c:ext>
            </c:extLst>
          </c:dPt>
          <c:dPt>
            <c:idx val="49"/>
            <c:bubble3D val="0"/>
            <c:extLst>
              <c:ext xmlns:c16="http://schemas.microsoft.com/office/drawing/2014/chart" uri="{C3380CC4-5D6E-409C-BE32-E72D297353CC}">
                <c16:uniqueId val="{00000058-123C-40D6-87FC-8490AE8401F2}"/>
              </c:ext>
            </c:extLst>
          </c:dPt>
          <c:dPt>
            <c:idx val="50"/>
            <c:bubble3D val="0"/>
            <c:extLst>
              <c:ext xmlns:c16="http://schemas.microsoft.com/office/drawing/2014/chart" uri="{C3380CC4-5D6E-409C-BE32-E72D297353CC}">
                <c16:uniqueId val="{00000059-123C-40D6-87FC-8490AE8401F2}"/>
              </c:ext>
            </c:extLst>
          </c:dPt>
          <c:dPt>
            <c:idx val="51"/>
            <c:bubble3D val="0"/>
            <c:extLst>
              <c:ext xmlns:c16="http://schemas.microsoft.com/office/drawing/2014/chart" uri="{C3380CC4-5D6E-409C-BE32-E72D297353CC}">
                <c16:uniqueId val="{0000005A-123C-40D6-87FC-8490AE8401F2}"/>
              </c:ext>
            </c:extLst>
          </c:dPt>
          <c:dPt>
            <c:idx val="52"/>
            <c:bubble3D val="0"/>
            <c:extLst>
              <c:ext xmlns:c16="http://schemas.microsoft.com/office/drawing/2014/chart" uri="{C3380CC4-5D6E-409C-BE32-E72D297353CC}">
                <c16:uniqueId val="{0000005B-123C-40D6-87FC-8490AE8401F2}"/>
              </c:ext>
            </c:extLst>
          </c:dPt>
          <c:dPt>
            <c:idx val="53"/>
            <c:bubble3D val="0"/>
            <c:extLst>
              <c:ext xmlns:c16="http://schemas.microsoft.com/office/drawing/2014/chart" uri="{C3380CC4-5D6E-409C-BE32-E72D297353CC}">
                <c16:uniqueId val="{0000005C-123C-40D6-87FC-8490AE8401F2}"/>
              </c:ext>
            </c:extLst>
          </c:dPt>
          <c:dPt>
            <c:idx val="54"/>
            <c:bubble3D val="0"/>
            <c:extLst>
              <c:ext xmlns:c16="http://schemas.microsoft.com/office/drawing/2014/chart" uri="{C3380CC4-5D6E-409C-BE32-E72D297353CC}">
                <c16:uniqueId val="{0000005D-123C-40D6-87FC-8490AE8401F2}"/>
              </c:ext>
            </c:extLst>
          </c:dPt>
          <c:dPt>
            <c:idx val="55"/>
            <c:bubble3D val="0"/>
            <c:extLst>
              <c:ext xmlns:c16="http://schemas.microsoft.com/office/drawing/2014/chart" uri="{C3380CC4-5D6E-409C-BE32-E72D297353CC}">
                <c16:uniqueId val="{0000005E-123C-40D6-87FC-8490AE8401F2}"/>
              </c:ext>
            </c:extLst>
          </c:dPt>
          <c:dPt>
            <c:idx val="56"/>
            <c:bubble3D val="0"/>
            <c:extLst>
              <c:ext xmlns:c16="http://schemas.microsoft.com/office/drawing/2014/chart" uri="{C3380CC4-5D6E-409C-BE32-E72D297353CC}">
                <c16:uniqueId val="{0000005F-123C-40D6-87FC-8490AE8401F2}"/>
              </c:ext>
            </c:extLst>
          </c:dPt>
          <c:dPt>
            <c:idx val="57"/>
            <c:bubble3D val="0"/>
            <c:extLst>
              <c:ext xmlns:c16="http://schemas.microsoft.com/office/drawing/2014/chart" uri="{C3380CC4-5D6E-409C-BE32-E72D297353CC}">
                <c16:uniqueId val="{00000060-123C-40D6-87FC-8490AE8401F2}"/>
              </c:ext>
            </c:extLst>
          </c:dPt>
          <c:dPt>
            <c:idx val="58"/>
            <c:bubble3D val="0"/>
            <c:extLst>
              <c:ext xmlns:c16="http://schemas.microsoft.com/office/drawing/2014/chart" uri="{C3380CC4-5D6E-409C-BE32-E72D297353CC}">
                <c16:uniqueId val="{00000061-123C-40D6-87FC-8490AE8401F2}"/>
              </c:ext>
            </c:extLst>
          </c:dPt>
          <c:dPt>
            <c:idx val="59"/>
            <c:bubble3D val="0"/>
            <c:extLst>
              <c:ext xmlns:c16="http://schemas.microsoft.com/office/drawing/2014/chart" uri="{C3380CC4-5D6E-409C-BE32-E72D297353CC}">
                <c16:uniqueId val="{00000062-123C-40D6-87FC-8490AE8401F2}"/>
              </c:ext>
            </c:extLst>
          </c:dPt>
          <c:dPt>
            <c:idx val="60"/>
            <c:bubble3D val="0"/>
            <c:extLst>
              <c:ext xmlns:c16="http://schemas.microsoft.com/office/drawing/2014/chart" uri="{C3380CC4-5D6E-409C-BE32-E72D297353CC}">
                <c16:uniqueId val="{00000063-123C-40D6-87FC-8490AE8401F2}"/>
              </c:ext>
            </c:extLst>
          </c:dPt>
          <c:dPt>
            <c:idx val="61"/>
            <c:bubble3D val="0"/>
            <c:extLst>
              <c:ext xmlns:c16="http://schemas.microsoft.com/office/drawing/2014/chart" uri="{C3380CC4-5D6E-409C-BE32-E72D297353CC}">
                <c16:uniqueId val="{00000064-123C-40D6-87FC-8490AE8401F2}"/>
              </c:ext>
            </c:extLst>
          </c:dPt>
          <c:dPt>
            <c:idx val="62"/>
            <c:bubble3D val="0"/>
            <c:extLst>
              <c:ext xmlns:c16="http://schemas.microsoft.com/office/drawing/2014/chart" uri="{C3380CC4-5D6E-409C-BE32-E72D297353CC}">
                <c16:uniqueId val="{00000065-123C-40D6-87FC-8490AE8401F2}"/>
              </c:ext>
            </c:extLst>
          </c:dPt>
          <c:dPt>
            <c:idx val="63"/>
            <c:bubble3D val="0"/>
            <c:extLst>
              <c:ext xmlns:c16="http://schemas.microsoft.com/office/drawing/2014/chart" uri="{C3380CC4-5D6E-409C-BE32-E72D297353CC}">
                <c16:uniqueId val="{00000066-123C-40D6-87FC-8490AE8401F2}"/>
              </c:ext>
            </c:extLst>
          </c:dPt>
          <c:dPt>
            <c:idx val="64"/>
            <c:bubble3D val="0"/>
            <c:extLst>
              <c:ext xmlns:c16="http://schemas.microsoft.com/office/drawing/2014/chart" uri="{C3380CC4-5D6E-409C-BE32-E72D297353CC}">
                <c16:uniqueId val="{00000067-123C-40D6-87FC-8490AE8401F2}"/>
              </c:ext>
            </c:extLst>
          </c:dPt>
          <c:dPt>
            <c:idx val="65"/>
            <c:bubble3D val="0"/>
            <c:extLst>
              <c:ext xmlns:c16="http://schemas.microsoft.com/office/drawing/2014/chart" uri="{C3380CC4-5D6E-409C-BE32-E72D297353CC}">
                <c16:uniqueId val="{00000068-123C-40D6-87FC-8490AE8401F2}"/>
              </c:ext>
            </c:extLst>
          </c:dPt>
          <c:dPt>
            <c:idx val="66"/>
            <c:bubble3D val="0"/>
            <c:extLst>
              <c:ext xmlns:c16="http://schemas.microsoft.com/office/drawing/2014/chart" uri="{C3380CC4-5D6E-409C-BE32-E72D297353CC}">
                <c16:uniqueId val="{00000069-123C-40D6-87FC-8490AE8401F2}"/>
              </c:ext>
            </c:extLst>
          </c:dPt>
          <c:dPt>
            <c:idx val="67"/>
            <c:bubble3D val="0"/>
            <c:extLst>
              <c:ext xmlns:c16="http://schemas.microsoft.com/office/drawing/2014/chart" uri="{C3380CC4-5D6E-409C-BE32-E72D297353CC}">
                <c16:uniqueId val="{0000006A-123C-40D6-87FC-8490AE8401F2}"/>
              </c:ext>
            </c:extLst>
          </c:dPt>
          <c:dPt>
            <c:idx val="68"/>
            <c:bubble3D val="0"/>
            <c:extLst>
              <c:ext xmlns:c16="http://schemas.microsoft.com/office/drawing/2014/chart" uri="{C3380CC4-5D6E-409C-BE32-E72D297353CC}">
                <c16:uniqueId val="{0000006B-123C-40D6-87FC-8490AE8401F2}"/>
              </c:ext>
            </c:extLst>
          </c:dPt>
          <c:dPt>
            <c:idx val="69"/>
            <c:bubble3D val="0"/>
            <c:extLst>
              <c:ext xmlns:c16="http://schemas.microsoft.com/office/drawing/2014/chart" uri="{C3380CC4-5D6E-409C-BE32-E72D297353CC}">
                <c16:uniqueId val="{0000006C-123C-40D6-87FC-8490AE8401F2}"/>
              </c:ext>
            </c:extLst>
          </c:dPt>
          <c:dPt>
            <c:idx val="70"/>
            <c:bubble3D val="0"/>
            <c:extLst>
              <c:ext xmlns:c16="http://schemas.microsoft.com/office/drawing/2014/chart" uri="{C3380CC4-5D6E-409C-BE32-E72D297353CC}">
                <c16:uniqueId val="{0000006D-123C-40D6-87FC-8490AE8401F2}"/>
              </c:ext>
            </c:extLst>
          </c:dPt>
          <c:dPt>
            <c:idx val="71"/>
            <c:bubble3D val="0"/>
            <c:extLst>
              <c:ext xmlns:c16="http://schemas.microsoft.com/office/drawing/2014/chart" uri="{C3380CC4-5D6E-409C-BE32-E72D297353CC}">
                <c16:uniqueId val="{0000006E-123C-40D6-87FC-8490AE8401F2}"/>
              </c:ext>
            </c:extLst>
          </c:dPt>
          <c:dPt>
            <c:idx val="72"/>
            <c:bubble3D val="0"/>
            <c:extLst>
              <c:ext xmlns:c16="http://schemas.microsoft.com/office/drawing/2014/chart" uri="{C3380CC4-5D6E-409C-BE32-E72D297353CC}">
                <c16:uniqueId val="{0000006F-123C-40D6-87FC-8490AE8401F2}"/>
              </c:ext>
            </c:extLst>
          </c:dPt>
          <c:dPt>
            <c:idx val="73"/>
            <c:bubble3D val="0"/>
            <c:extLst>
              <c:ext xmlns:c16="http://schemas.microsoft.com/office/drawing/2014/chart" uri="{C3380CC4-5D6E-409C-BE32-E72D297353CC}">
                <c16:uniqueId val="{00000070-123C-40D6-87FC-8490AE8401F2}"/>
              </c:ext>
            </c:extLst>
          </c:dPt>
          <c:dPt>
            <c:idx val="74"/>
            <c:bubble3D val="0"/>
            <c:extLst>
              <c:ext xmlns:c16="http://schemas.microsoft.com/office/drawing/2014/chart" uri="{C3380CC4-5D6E-409C-BE32-E72D297353CC}">
                <c16:uniqueId val="{00000071-123C-40D6-87FC-8490AE8401F2}"/>
              </c:ext>
            </c:extLst>
          </c:dPt>
          <c:dPt>
            <c:idx val="75"/>
            <c:bubble3D val="0"/>
            <c:extLst>
              <c:ext xmlns:c16="http://schemas.microsoft.com/office/drawing/2014/chart" uri="{C3380CC4-5D6E-409C-BE32-E72D297353CC}">
                <c16:uniqueId val="{00000072-123C-40D6-87FC-8490AE8401F2}"/>
              </c:ext>
            </c:extLst>
          </c:dPt>
          <c:dPt>
            <c:idx val="76"/>
            <c:bubble3D val="0"/>
            <c:extLst>
              <c:ext xmlns:c16="http://schemas.microsoft.com/office/drawing/2014/chart" uri="{C3380CC4-5D6E-409C-BE32-E72D297353CC}">
                <c16:uniqueId val="{00000073-123C-40D6-87FC-8490AE8401F2}"/>
              </c:ext>
            </c:extLst>
          </c:dPt>
          <c:dPt>
            <c:idx val="77"/>
            <c:bubble3D val="0"/>
            <c:extLst>
              <c:ext xmlns:c16="http://schemas.microsoft.com/office/drawing/2014/chart" uri="{C3380CC4-5D6E-409C-BE32-E72D297353CC}">
                <c16:uniqueId val="{00000074-123C-40D6-87FC-8490AE8401F2}"/>
              </c:ext>
            </c:extLst>
          </c:dPt>
          <c:dPt>
            <c:idx val="78"/>
            <c:bubble3D val="0"/>
            <c:extLst>
              <c:ext xmlns:c16="http://schemas.microsoft.com/office/drawing/2014/chart" uri="{C3380CC4-5D6E-409C-BE32-E72D297353CC}">
                <c16:uniqueId val="{00000075-123C-40D6-87FC-8490AE8401F2}"/>
              </c:ext>
            </c:extLst>
          </c:dPt>
          <c:dPt>
            <c:idx val="79"/>
            <c:bubble3D val="0"/>
            <c:extLst>
              <c:ext xmlns:c16="http://schemas.microsoft.com/office/drawing/2014/chart" uri="{C3380CC4-5D6E-409C-BE32-E72D297353CC}">
                <c16:uniqueId val="{00000076-123C-40D6-87FC-8490AE8401F2}"/>
              </c:ext>
            </c:extLst>
          </c:dPt>
          <c:dPt>
            <c:idx val="80"/>
            <c:bubble3D val="0"/>
            <c:extLst>
              <c:ext xmlns:c16="http://schemas.microsoft.com/office/drawing/2014/chart" uri="{C3380CC4-5D6E-409C-BE32-E72D297353CC}">
                <c16:uniqueId val="{00000077-123C-40D6-87FC-8490AE8401F2}"/>
              </c:ext>
            </c:extLst>
          </c:dPt>
          <c:dPt>
            <c:idx val="81"/>
            <c:bubble3D val="0"/>
            <c:extLst>
              <c:ext xmlns:c16="http://schemas.microsoft.com/office/drawing/2014/chart" uri="{C3380CC4-5D6E-409C-BE32-E72D297353CC}">
                <c16:uniqueId val="{00000078-123C-40D6-87FC-8490AE8401F2}"/>
              </c:ext>
            </c:extLst>
          </c:dPt>
          <c:dPt>
            <c:idx val="82"/>
            <c:bubble3D val="0"/>
            <c:extLst>
              <c:ext xmlns:c16="http://schemas.microsoft.com/office/drawing/2014/chart" uri="{C3380CC4-5D6E-409C-BE32-E72D297353CC}">
                <c16:uniqueId val="{00000079-123C-40D6-87FC-8490AE8401F2}"/>
              </c:ext>
            </c:extLst>
          </c:dPt>
          <c:dPt>
            <c:idx val="83"/>
            <c:bubble3D val="0"/>
            <c:extLst>
              <c:ext xmlns:c16="http://schemas.microsoft.com/office/drawing/2014/chart" uri="{C3380CC4-5D6E-409C-BE32-E72D297353CC}">
                <c16:uniqueId val="{0000007A-123C-40D6-87FC-8490AE8401F2}"/>
              </c:ext>
            </c:extLst>
          </c:dPt>
          <c:dPt>
            <c:idx val="84"/>
            <c:bubble3D val="0"/>
            <c:extLst>
              <c:ext xmlns:c16="http://schemas.microsoft.com/office/drawing/2014/chart" uri="{C3380CC4-5D6E-409C-BE32-E72D297353CC}">
                <c16:uniqueId val="{0000007B-123C-40D6-87FC-8490AE8401F2}"/>
              </c:ext>
            </c:extLst>
          </c:dPt>
          <c:dPt>
            <c:idx val="85"/>
            <c:bubble3D val="0"/>
            <c:extLst>
              <c:ext xmlns:c16="http://schemas.microsoft.com/office/drawing/2014/chart" uri="{C3380CC4-5D6E-409C-BE32-E72D297353CC}">
                <c16:uniqueId val="{0000007C-123C-40D6-87FC-8490AE8401F2}"/>
              </c:ext>
            </c:extLst>
          </c:dPt>
          <c:dPt>
            <c:idx val="86"/>
            <c:bubble3D val="0"/>
            <c:extLst>
              <c:ext xmlns:c16="http://schemas.microsoft.com/office/drawing/2014/chart" uri="{C3380CC4-5D6E-409C-BE32-E72D297353CC}">
                <c16:uniqueId val="{0000007D-123C-40D6-87FC-8490AE8401F2}"/>
              </c:ext>
            </c:extLst>
          </c:dPt>
          <c:dPt>
            <c:idx val="87"/>
            <c:bubble3D val="0"/>
            <c:extLst>
              <c:ext xmlns:c16="http://schemas.microsoft.com/office/drawing/2014/chart" uri="{C3380CC4-5D6E-409C-BE32-E72D297353CC}">
                <c16:uniqueId val="{0000007E-123C-40D6-87FC-8490AE8401F2}"/>
              </c:ext>
            </c:extLst>
          </c:dPt>
          <c:dPt>
            <c:idx val="88"/>
            <c:bubble3D val="0"/>
            <c:extLst>
              <c:ext xmlns:c16="http://schemas.microsoft.com/office/drawing/2014/chart" uri="{C3380CC4-5D6E-409C-BE32-E72D297353CC}">
                <c16:uniqueId val="{0000007F-123C-40D6-87FC-8490AE8401F2}"/>
              </c:ext>
            </c:extLst>
          </c:dPt>
          <c:dPt>
            <c:idx val="89"/>
            <c:bubble3D val="0"/>
            <c:extLst>
              <c:ext xmlns:c16="http://schemas.microsoft.com/office/drawing/2014/chart" uri="{C3380CC4-5D6E-409C-BE32-E72D297353CC}">
                <c16:uniqueId val="{00000080-123C-40D6-87FC-8490AE8401F2}"/>
              </c:ext>
            </c:extLst>
          </c:dPt>
          <c:dPt>
            <c:idx val="90"/>
            <c:bubble3D val="0"/>
            <c:extLst>
              <c:ext xmlns:c16="http://schemas.microsoft.com/office/drawing/2014/chart" uri="{C3380CC4-5D6E-409C-BE32-E72D297353CC}">
                <c16:uniqueId val="{00000081-123C-40D6-87FC-8490AE8401F2}"/>
              </c:ext>
            </c:extLst>
          </c:dPt>
          <c:dPt>
            <c:idx val="91"/>
            <c:bubble3D val="0"/>
            <c:extLst>
              <c:ext xmlns:c16="http://schemas.microsoft.com/office/drawing/2014/chart" uri="{C3380CC4-5D6E-409C-BE32-E72D297353CC}">
                <c16:uniqueId val="{00000082-123C-40D6-87FC-8490AE8401F2}"/>
              </c:ext>
            </c:extLst>
          </c:dPt>
          <c:dPt>
            <c:idx val="92"/>
            <c:bubble3D val="0"/>
            <c:extLst>
              <c:ext xmlns:c16="http://schemas.microsoft.com/office/drawing/2014/chart" uri="{C3380CC4-5D6E-409C-BE32-E72D297353CC}">
                <c16:uniqueId val="{00000083-123C-40D6-87FC-8490AE8401F2}"/>
              </c:ext>
            </c:extLst>
          </c:dPt>
          <c:dPt>
            <c:idx val="93"/>
            <c:bubble3D val="0"/>
            <c:extLst>
              <c:ext xmlns:c16="http://schemas.microsoft.com/office/drawing/2014/chart" uri="{C3380CC4-5D6E-409C-BE32-E72D297353CC}">
                <c16:uniqueId val="{00000084-123C-40D6-87FC-8490AE8401F2}"/>
              </c:ext>
            </c:extLst>
          </c:dPt>
          <c:dPt>
            <c:idx val="94"/>
            <c:bubble3D val="0"/>
            <c:extLst>
              <c:ext xmlns:c16="http://schemas.microsoft.com/office/drawing/2014/chart" uri="{C3380CC4-5D6E-409C-BE32-E72D297353CC}">
                <c16:uniqueId val="{00000085-123C-40D6-87FC-8490AE8401F2}"/>
              </c:ext>
            </c:extLst>
          </c:dPt>
          <c:dPt>
            <c:idx val="95"/>
            <c:bubble3D val="0"/>
            <c:extLst>
              <c:ext xmlns:c16="http://schemas.microsoft.com/office/drawing/2014/chart" uri="{C3380CC4-5D6E-409C-BE32-E72D297353CC}">
                <c16:uniqueId val="{00000086-123C-40D6-87FC-8490AE8401F2}"/>
              </c:ext>
            </c:extLst>
          </c:dPt>
          <c:dPt>
            <c:idx val="96"/>
            <c:bubble3D val="0"/>
            <c:extLst>
              <c:ext xmlns:c16="http://schemas.microsoft.com/office/drawing/2014/chart" uri="{C3380CC4-5D6E-409C-BE32-E72D297353CC}">
                <c16:uniqueId val="{00000087-123C-40D6-87FC-8490AE8401F2}"/>
              </c:ext>
            </c:extLst>
          </c:dPt>
          <c:dPt>
            <c:idx val="97"/>
            <c:bubble3D val="0"/>
            <c:extLst>
              <c:ext xmlns:c16="http://schemas.microsoft.com/office/drawing/2014/chart" uri="{C3380CC4-5D6E-409C-BE32-E72D297353CC}">
                <c16:uniqueId val="{00000088-123C-40D6-87FC-8490AE8401F2}"/>
              </c:ext>
            </c:extLst>
          </c:dPt>
          <c:dPt>
            <c:idx val="98"/>
            <c:bubble3D val="0"/>
            <c:extLst>
              <c:ext xmlns:c16="http://schemas.microsoft.com/office/drawing/2014/chart" uri="{C3380CC4-5D6E-409C-BE32-E72D297353CC}">
                <c16:uniqueId val="{00000089-123C-40D6-87FC-8490AE8401F2}"/>
              </c:ext>
            </c:extLst>
          </c:dPt>
          <c:dPt>
            <c:idx val="99"/>
            <c:bubble3D val="0"/>
            <c:extLst>
              <c:ext xmlns:c16="http://schemas.microsoft.com/office/drawing/2014/chart" uri="{C3380CC4-5D6E-409C-BE32-E72D297353CC}">
                <c16:uniqueId val="{0000008A-123C-40D6-87FC-8490AE8401F2}"/>
              </c:ext>
            </c:extLst>
          </c:dPt>
          <c:dPt>
            <c:idx val="100"/>
            <c:bubble3D val="0"/>
            <c:extLst>
              <c:ext xmlns:c16="http://schemas.microsoft.com/office/drawing/2014/chart" uri="{C3380CC4-5D6E-409C-BE32-E72D297353CC}">
                <c16:uniqueId val="{0000008B-123C-40D6-87FC-8490AE8401F2}"/>
              </c:ext>
            </c:extLst>
          </c:dPt>
          <c:dPt>
            <c:idx val="101"/>
            <c:bubble3D val="0"/>
            <c:extLst>
              <c:ext xmlns:c16="http://schemas.microsoft.com/office/drawing/2014/chart" uri="{C3380CC4-5D6E-409C-BE32-E72D297353CC}">
                <c16:uniqueId val="{0000008C-123C-40D6-87FC-8490AE8401F2}"/>
              </c:ext>
            </c:extLst>
          </c:dPt>
          <c:dPt>
            <c:idx val="102"/>
            <c:bubble3D val="0"/>
            <c:extLst>
              <c:ext xmlns:c16="http://schemas.microsoft.com/office/drawing/2014/chart" uri="{C3380CC4-5D6E-409C-BE32-E72D297353CC}">
                <c16:uniqueId val="{0000008D-123C-40D6-87FC-8490AE8401F2}"/>
              </c:ext>
            </c:extLst>
          </c:dPt>
          <c:dPt>
            <c:idx val="103"/>
            <c:bubble3D val="0"/>
            <c:extLst>
              <c:ext xmlns:c16="http://schemas.microsoft.com/office/drawing/2014/chart" uri="{C3380CC4-5D6E-409C-BE32-E72D297353CC}">
                <c16:uniqueId val="{0000008E-123C-40D6-87FC-8490AE8401F2}"/>
              </c:ext>
            </c:extLst>
          </c:dPt>
          <c:dPt>
            <c:idx val="104"/>
            <c:bubble3D val="0"/>
            <c:extLst>
              <c:ext xmlns:c16="http://schemas.microsoft.com/office/drawing/2014/chart" uri="{C3380CC4-5D6E-409C-BE32-E72D297353CC}">
                <c16:uniqueId val="{0000008F-123C-40D6-87FC-8490AE8401F2}"/>
              </c:ext>
            </c:extLst>
          </c:dPt>
          <c:dPt>
            <c:idx val="105"/>
            <c:bubble3D val="0"/>
            <c:extLst>
              <c:ext xmlns:c16="http://schemas.microsoft.com/office/drawing/2014/chart" uri="{C3380CC4-5D6E-409C-BE32-E72D297353CC}">
                <c16:uniqueId val="{00000090-123C-40D6-87FC-8490AE8401F2}"/>
              </c:ext>
            </c:extLst>
          </c:dPt>
          <c:dPt>
            <c:idx val="106"/>
            <c:bubble3D val="0"/>
            <c:extLst>
              <c:ext xmlns:c16="http://schemas.microsoft.com/office/drawing/2014/chart" uri="{C3380CC4-5D6E-409C-BE32-E72D297353CC}">
                <c16:uniqueId val="{00000091-123C-40D6-87FC-8490AE8401F2}"/>
              </c:ext>
            </c:extLst>
          </c:dPt>
          <c:dPt>
            <c:idx val="107"/>
            <c:bubble3D val="0"/>
            <c:extLst>
              <c:ext xmlns:c16="http://schemas.microsoft.com/office/drawing/2014/chart" uri="{C3380CC4-5D6E-409C-BE32-E72D297353CC}">
                <c16:uniqueId val="{00000092-123C-40D6-87FC-8490AE8401F2}"/>
              </c:ext>
            </c:extLst>
          </c:dPt>
          <c:dPt>
            <c:idx val="108"/>
            <c:bubble3D val="0"/>
            <c:extLst>
              <c:ext xmlns:c16="http://schemas.microsoft.com/office/drawing/2014/chart" uri="{C3380CC4-5D6E-409C-BE32-E72D297353CC}">
                <c16:uniqueId val="{00000093-123C-40D6-87FC-8490AE8401F2}"/>
              </c:ext>
            </c:extLst>
          </c:dPt>
          <c:dPt>
            <c:idx val="109"/>
            <c:bubble3D val="0"/>
            <c:extLst>
              <c:ext xmlns:c16="http://schemas.microsoft.com/office/drawing/2014/chart" uri="{C3380CC4-5D6E-409C-BE32-E72D297353CC}">
                <c16:uniqueId val="{00000094-123C-40D6-87FC-8490AE8401F2}"/>
              </c:ext>
            </c:extLst>
          </c:dPt>
          <c:dPt>
            <c:idx val="110"/>
            <c:bubble3D val="0"/>
            <c:extLst>
              <c:ext xmlns:c16="http://schemas.microsoft.com/office/drawing/2014/chart" uri="{C3380CC4-5D6E-409C-BE32-E72D297353CC}">
                <c16:uniqueId val="{00000095-123C-40D6-87FC-8490AE8401F2}"/>
              </c:ext>
            </c:extLst>
          </c:dPt>
          <c:dPt>
            <c:idx val="111"/>
            <c:bubble3D val="0"/>
            <c:extLst>
              <c:ext xmlns:c16="http://schemas.microsoft.com/office/drawing/2014/chart" uri="{C3380CC4-5D6E-409C-BE32-E72D297353CC}">
                <c16:uniqueId val="{00000096-123C-40D6-87FC-8490AE8401F2}"/>
              </c:ext>
            </c:extLst>
          </c:dPt>
          <c:dPt>
            <c:idx val="112"/>
            <c:bubble3D val="0"/>
            <c:extLst>
              <c:ext xmlns:c16="http://schemas.microsoft.com/office/drawing/2014/chart" uri="{C3380CC4-5D6E-409C-BE32-E72D297353CC}">
                <c16:uniqueId val="{00000097-123C-40D6-87FC-8490AE8401F2}"/>
              </c:ext>
            </c:extLst>
          </c:dPt>
          <c:dPt>
            <c:idx val="113"/>
            <c:bubble3D val="0"/>
            <c:extLst>
              <c:ext xmlns:c16="http://schemas.microsoft.com/office/drawing/2014/chart" uri="{C3380CC4-5D6E-409C-BE32-E72D297353CC}">
                <c16:uniqueId val="{00000098-123C-40D6-87FC-8490AE8401F2}"/>
              </c:ext>
            </c:extLst>
          </c:dPt>
          <c:dPt>
            <c:idx val="114"/>
            <c:bubble3D val="0"/>
            <c:extLst>
              <c:ext xmlns:c16="http://schemas.microsoft.com/office/drawing/2014/chart" uri="{C3380CC4-5D6E-409C-BE32-E72D297353CC}">
                <c16:uniqueId val="{00000099-123C-40D6-87FC-8490AE8401F2}"/>
              </c:ext>
            </c:extLst>
          </c:dPt>
          <c:dPt>
            <c:idx val="115"/>
            <c:bubble3D val="0"/>
            <c:extLst>
              <c:ext xmlns:c16="http://schemas.microsoft.com/office/drawing/2014/chart" uri="{C3380CC4-5D6E-409C-BE32-E72D297353CC}">
                <c16:uniqueId val="{0000009A-123C-40D6-87FC-8490AE8401F2}"/>
              </c:ext>
            </c:extLst>
          </c:dPt>
          <c:dPt>
            <c:idx val="116"/>
            <c:bubble3D val="0"/>
            <c:extLst>
              <c:ext xmlns:c16="http://schemas.microsoft.com/office/drawing/2014/chart" uri="{C3380CC4-5D6E-409C-BE32-E72D297353CC}">
                <c16:uniqueId val="{0000009B-123C-40D6-87FC-8490AE8401F2}"/>
              </c:ext>
            </c:extLst>
          </c:dPt>
          <c:dPt>
            <c:idx val="117"/>
            <c:bubble3D val="0"/>
            <c:extLst>
              <c:ext xmlns:c16="http://schemas.microsoft.com/office/drawing/2014/chart" uri="{C3380CC4-5D6E-409C-BE32-E72D297353CC}">
                <c16:uniqueId val="{0000009C-123C-40D6-87FC-8490AE8401F2}"/>
              </c:ext>
            </c:extLst>
          </c:dPt>
          <c:dPt>
            <c:idx val="118"/>
            <c:bubble3D val="0"/>
            <c:extLst>
              <c:ext xmlns:c16="http://schemas.microsoft.com/office/drawing/2014/chart" uri="{C3380CC4-5D6E-409C-BE32-E72D297353CC}">
                <c16:uniqueId val="{0000009D-123C-40D6-87FC-8490AE8401F2}"/>
              </c:ext>
            </c:extLst>
          </c:dPt>
          <c:dPt>
            <c:idx val="119"/>
            <c:bubble3D val="0"/>
            <c:extLst>
              <c:ext xmlns:c16="http://schemas.microsoft.com/office/drawing/2014/chart" uri="{C3380CC4-5D6E-409C-BE32-E72D297353CC}">
                <c16:uniqueId val="{0000009E-123C-40D6-87FC-8490AE8401F2}"/>
              </c:ext>
            </c:extLst>
          </c:dPt>
          <c:dPt>
            <c:idx val="120"/>
            <c:bubble3D val="0"/>
            <c:extLst>
              <c:ext xmlns:c16="http://schemas.microsoft.com/office/drawing/2014/chart" uri="{C3380CC4-5D6E-409C-BE32-E72D297353CC}">
                <c16:uniqueId val="{0000009F-123C-40D6-87FC-8490AE8401F2}"/>
              </c:ext>
            </c:extLst>
          </c:dPt>
          <c:dPt>
            <c:idx val="121"/>
            <c:bubble3D val="0"/>
            <c:extLst>
              <c:ext xmlns:c16="http://schemas.microsoft.com/office/drawing/2014/chart" uri="{C3380CC4-5D6E-409C-BE32-E72D297353CC}">
                <c16:uniqueId val="{000000A0-123C-40D6-87FC-8490AE8401F2}"/>
              </c:ext>
            </c:extLst>
          </c:dPt>
          <c:dPt>
            <c:idx val="122"/>
            <c:bubble3D val="0"/>
            <c:extLst>
              <c:ext xmlns:c16="http://schemas.microsoft.com/office/drawing/2014/chart" uri="{C3380CC4-5D6E-409C-BE32-E72D297353CC}">
                <c16:uniqueId val="{000000A1-123C-40D6-87FC-8490AE8401F2}"/>
              </c:ext>
            </c:extLst>
          </c:dPt>
          <c:dPt>
            <c:idx val="123"/>
            <c:bubble3D val="0"/>
            <c:extLst>
              <c:ext xmlns:c16="http://schemas.microsoft.com/office/drawing/2014/chart" uri="{C3380CC4-5D6E-409C-BE32-E72D297353CC}">
                <c16:uniqueId val="{000000A2-123C-40D6-87FC-8490AE8401F2}"/>
              </c:ext>
            </c:extLst>
          </c:dPt>
          <c:dPt>
            <c:idx val="124"/>
            <c:bubble3D val="0"/>
            <c:extLst>
              <c:ext xmlns:c16="http://schemas.microsoft.com/office/drawing/2014/chart" uri="{C3380CC4-5D6E-409C-BE32-E72D297353CC}">
                <c16:uniqueId val="{000000A3-123C-40D6-87FC-8490AE8401F2}"/>
              </c:ext>
            </c:extLst>
          </c:dPt>
          <c:dPt>
            <c:idx val="125"/>
            <c:bubble3D val="0"/>
            <c:extLst>
              <c:ext xmlns:c16="http://schemas.microsoft.com/office/drawing/2014/chart" uri="{C3380CC4-5D6E-409C-BE32-E72D297353CC}">
                <c16:uniqueId val="{000000A4-123C-40D6-87FC-8490AE8401F2}"/>
              </c:ext>
            </c:extLst>
          </c:dPt>
          <c:dPt>
            <c:idx val="126"/>
            <c:bubble3D val="0"/>
            <c:extLst>
              <c:ext xmlns:c16="http://schemas.microsoft.com/office/drawing/2014/chart" uri="{C3380CC4-5D6E-409C-BE32-E72D297353CC}">
                <c16:uniqueId val="{000000A5-123C-40D6-87FC-8490AE8401F2}"/>
              </c:ext>
            </c:extLst>
          </c:dPt>
          <c:dPt>
            <c:idx val="127"/>
            <c:bubble3D val="0"/>
            <c:extLst>
              <c:ext xmlns:c16="http://schemas.microsoft.com/office/drawing/2014/chart" uri="{C3380CC4-5D6E-409C-BE32-E72D297353CC}">
                <c16:uniqueId val="{000000A6-123C-40D6-87FC-8490AE8401F2}"/>
              </c:ext>
            </c:extLst>
          </c:dPt>
          <c:dPt>
            <c:idx val="128"/>
            <c:bubble3D val="0"/>
            <c:extLst>
              <c:ext xmlns:c16="http://schemas.microsoft.com/office/drawing/2014/chart" uri="{C3380CC4-5D6E-409C-BE32-E72D297353CC}">
                <c16:uniqueId val="{000000A7-123C-40D6-87FC-8490AE8401F2}"/>
              </c:ext>
            </c:extLst>
          </c:dPt>
          <c:dPt>
            <c:idx val="129"/>
            <c:bubble3D val="0"/>
            <c:extLst>
              <c:ext xmlns:c16="http://schemas.microsoft.com/office/drawing/2014/chart" uri="{C3380CC4-5D6E-409C-BE32-E72D297353CC}">
                <c16:uniqueId val="{000000A8-123C-40D6-87FC-8490AE8401F2}"/>
              </c:ext>
            </c:extLst>
          </c:dPt>
          <c:dPt>
            <c:idx val="130"/>
            <c:bubble3D val="0"/>
            <c:extLst>
              <c:ext xmlns:c16="http://schemas.microsoft.com/office/drawing/2014/chart" uri="{C3380CC4-5D6E-409C-BE32-E72D297353CC}">
                <c16:uniqueId val="{000000A9-123C-40D6-87FC-8490AE8401F2}"/>
              </c:ext>
            </c:extLst>
          </c:dPt>
          <c:dPt>
            <c:idx val="131"/>
            <c:bubble3D val="0"/>
            <c:extLst>
              <c:ext xmlns:c16="http://schemas.microsoft.com/office/drawing/2014/chart" uri="{C3380CC4-5D6E-409C-BE32-E72D297353CC}">
                <c16:uniqueId val="{000000AA-123C-40D6-87FC-8490AE8401F2}"/>
              </c:ext>
            </c:extLst>
          </c:dPt>
          <c:dPt>
            <c:idx val="132"/>
            <c:bubble3D val="0"/>
            <c:extLst>
              <c:ext xmlns:c16="http://schemas.microsoft.com/office/drawing/2014/chart" uri="{C3380CC4-5D6E-409C-BE32-E72D297353CC}">
                <c16:uniqueId val="{000000AB-123C-40D6-87FC-8490AE8401F2}"/>
              </c:ext>
            </c:extLst>
          </c:dPt>
          <c:dPt>
            <c:idx val="133"/>
            <c:bubble3D val="0"/>
            <c:extLst>
              <c:ext xmlns:c16="http://schemas.microsoft.com/office/drawing/2014/chart" uri="{C3380CC4-5D6E-409C-BE32-E72D297353CC}">
                <c16:uniqueId val="{000000AC-123C-40D6-87FC-8490AE8401F2}"/>
              </c:ext>
            </c:extLst>
          </c:dPt>
          <c:dPt>
            <c:idx val="134"/>
            <c:bubble3D val="0"/>
            <c:extLst>
              <c:ext xmlns:c16="http://schemas.microsoft.com/office/drawing/2014/chart" uri="{C3380CC4-5D6E-409C-BE32-E72D297353CC}">
                <c16:uniqueId val="{000000AD-123C-40D6-87FC-8490AE8401F2}"/>
              </c:ext>
            </c:extLst>
          </c:dPt>
          <c:dPt>
            <c:idx val="135"/>
            <c:bubble3D val="0"/>
            <c:extLst>
              <c:ext xmlns:c16="http://schemas.microsoft.com/office/drawing/2014/chart" uri="{C3380CC4-5D6E-409C-BE32-E72D297353CC}">
                <c16:uniqueId val="{000000AE-123C-40D6-87FC-8490AE8401F2}"/>
              </c:ext>
            </c:extLst>
          </c:dPt>
          <c:dPt>
            <c:idx val="136"/>
            <c:bubble3D val="0"/>
            <c:extLst>
              <c:ext xmlns:c16="http://schemas.microsoft.com/office/drawing/2014/chart" uri="{C3380CC4-5D6E-409C-BE32-E72D297353CC}">
                <c16:uniqueId val="{000000AF-123C-40D6-87FC-8490AE8401F2}"/>
              </c:ext>
            </c:extLst>
          </c:dPt>
          <c:dPt>
            <c:idx val="137"/>
            <c:bubble3D val="0"/>
            <c:extLst>
              <c:ext xmlns:c16="http://schemas.microsoft.com/office/drawing/2014/chart" uri="{C3380CC4-5D6E-409C-BE32-E72D297353CC}">
                <c16:uniqueId val="{000000B0-123C-40D6-87FC-8490AE8401F2}"/>
              </c:ext>
            </c:extLst>
          </c:dPt>
          <c:dPt>
            <c:idx val="138"/>
            <c:bubble3D val="0"/>
            <c:extLst>
              <c:ext xmlns:c16="http://schemas.microsoft.com/office/drawing/2014/chart" uri="{C3380CC4-5D6E-409C-BE32-E72D297353CC}">
                <c16:uniqueId val="{000000B1-123C-40D6-87FC-8490AE8401F2}"/>
              </c:ext>
            </c:extLst>
          </c:dPt>
          <c:dPt>
            <c:idx val="139"/>
            <c:bubble3D val="0"/>
            <c:extLst>
              <c:ext xmlns:c16="http://schemas.microsoft.com/office/drawing/2014/chart" uri="{C3380CC4-5D6E-409C-BE32-E72D297353CC}">
                <c16:uniqueId val="{000000B2-123C-40D6-87FC-8490AE8401F2}"/>
              </c:ext>
            </c:extLst>
          </c:dPt>
          <c:dPt>
            <c:idx val="140"/>
            <c:bubble3D val="0"/>
            <c:extLst>
              <c:ext xmlns:c16="http://schemas.microsoft.com/office/drawing/2014/chart" uri="{C3380CC4-5D6E-409C-BE32-E72D297353CC}">
                <c16:uniqueId val="{000000B3-123C-40D6-87FC-8490AE8401F2}"/>
              </c:ext>
            </c:extLst>
          </c:dPt>
          <c:dPt>
            <c:idx val="141"/>
            <c:bubble3D val="0"/>
            <c:extLst>
              <c:ext xmlns:c16="http://schemas.microsoft.com/office/drawing/2014/chart" uri="{C3380CC4-5D6E-409C-BE32-E72D297353CC}">
                <c16:uniqueId val="{000000B4-123C-40D6-87FC-8490AE8401F2}"/>
              </c:ext>
            </c:extLst>
          </c:dPt>
          <c:dPt>
            <c:idx val="142"/>
            <c:bubble3D val="0"/>
            <c:extLst>
              <c:ext xmlns:c16="http://schemas.microsoft.com/office/drawing/2014/chart" uri="{C3380CC4-5D6E-409C-BE32-E72D297353CC}">
                <c16:uniqueId val="{000000B5-123C-40D6-87FC-8490AE8401F2}"/>
              </c:ext>
            </c:extLst>
          </c:dPt>
          <c:dPt>
            <c:idx val="143"/>
            <c:bubble3D val="0"/>
            <c:extLst>
              <c:ext xmlns:c16="http://schemas.microsoft.com/office/drawing/2014/chart" uri="{C3380CC4-5D6E-409C-BE32-E72D297353CC}">
                <c16:uniqueId val="{000000B6-123C-40D6-87FC-8490AE8401F2}"/>
              </c:ext>
            </c:extLst>
          </c:dPt>
          <c:dPt>
            <c:idx val="144"/>
            <c:bubble3D val="0"/>
            <c:extLst>
              <c:ext xmlns:c16="http://schemas.microsoft.com/office/drawing/2014/chart" uri="{C3380CC4-5D6E-409C-BE32-E72D297353CC}">
                <c16:uniqueId val="{000000B7-123C-40D6-87FC-8490AE8401F2}"/>
              </c:ext>
            </c:extLst>
          </c:dPt>
          <c:dPt>
            <c:idx val="145"/>
            <c:bubble3D val="0"/>
            <c:extLst>
              <c:ext xmlns:c16="http://schemas.microsoft.com/office/drawing/2014/chart" uri="{C3380CC4-5D6E-409C-BE32-E72D297353CC}">
                <c16:uniqueId val="{000000B8-123C-40D6-87FC-8490AE8401F2}"/>
              </c:ext>
            </c:extLst>
          </c:dPt>
          <c:dPt>
            <c:idx val="146"/>
            <c:bubble3D val="0"/>
            <c:extLst>
              <c:ext xmlns:c16="http://schemas.microsoft.com/office/drawing/2014/chart" uri="{C3380CC4-5D6E-409C-BE32-E72D297353CC}">
                <c16:uniqueId val="{000000B9-123C-40D6-87FC-8490AE8401F2}"/>
              </c:ext>
            </c:extLst>
          </c:dPt>
          <c:dPt>
            <c:idx val="147"/>
            <c:bubble3D val="0"/>
            <c:extLst>
              <c:ext xmlns:c16="http://schemas.microsoft.com/office/drawing/2014/chart" uri="{C3380CC4-5D6E-409C-BE32-E72D297353CC}">
                <c16:uniqueId val="{000000BA-123C-40D6-87FC-8490AE8401F2}"/>
              </c:ext>
            </c:extLst>
          </c:dPt>
          <c:dPt>
            <c:idx val="148"/>
            <c:bubble3D val="0"/>
            <c:extLst>
              <c:ext xmlns:c16="http://schemas.microsoft.com/office/drawing/2014/chart" uri="{C3380CC4-5D6E-409C-BE32-E72D297353CC}">
                <c16:uniqueId val="{000000BB-123C-40D6-87FC-8490AE8401F2}"/>
              </c:ext>
            </c:extLst>
          </c:dPt>
          <c:dPt>
            <c:idx val="149"/>
            <c:bubble3D val="0"/>
            <c:extLst>
              <c:ext xmlns:c16="http://schemas.microsoft.com/office/drawing/2014/chart" uri="{C3380CC4-5D6E-409C-BE32-E72D297353CC}">
                <c16:uniqueId val="{000000BC-123C-40D6-87FC-8490AE8401F2}"/>
              </c:ext>
            </c:extLst>
          </c:dPt>
          <c:dPt>
            <c:idx val="150"/>
            <c:bubble3D val="0"/>
            <c:extLst>
              <c:ext xmlns:c16="http://schemas.microsoft.com/office/drawing/2014/chart" uri="{C3380CC4-5D6E-409C-BE32-E72D297353CC}">
                <c16:uniqueId val="{000000BD-123C-40D6-87FC-8490AE8401F2}"/>
              </c:ext>
            </c:extLst>
          </c:dPt>
          <c:dPt>
            <c:idx val="151"/>
            <c:bubble3D val="0"/>
            <c:extLst>
              <c:ext xmlns:c16="http://schemas.microsoft.com/office/drawing/2014/chart" uri="{C3380CC4-5D6E-409C-BE32-E72D297353CC}">
                <c16:uniqueId val="{000000BE-123C-40D6-87FC-8490AE8401F2}"/>
              </c:ext>
            </c:extLst>
          </c:dPt>
          <c:dPt>
            <c:idx val="152"/>
            <c:bubble3D val="0"/>
            <c:extLst>
              <c:ext xmlns:c16="http://schemas.microsoft.com/office/drawing/2014/chart" uri="{C3380CC4-5D6E-409C-BE32-E72D297353CC}">
                <c16:uniqueId val="{000000BF-123C-40D6-87FC-8490AE8401F2}"/>
              </c:ext>
            </c:extLst>
          </c:dPt>
          <c:dPt>
            <c:idx val="153"/>
            <c:bubble3D val="0"/>
            <c:extLst>
              <c:ext xmlns:c16="http://schemas.microsoft.com/office/drawing/2014/chart" uri="{C3380CC4-5D6E-409C-BE32-E72D297353CC}">
                <c16:uniqueId val="{000000C0-123C-40D6-87FC-8490AE8401F2}"/>
              </c:ext>
            </c:extLst>
          </c:dPt>
          <c:dPt>
            <c:idx val="154"/>
            <c:bubble3D val="0"/>
            <c:extLst>
              <c:ext xmlns:c16="http://schemas.microsoft.com/office/drawing/2014/chart" uri="{C3380CC4-5D6E-409C-BE32-E72D297353CC}">
                <c16:uniqueId val="{000000C1-123C-40D6-87FC-8490AE8401F2}"/>
              </c:ext>
            </c:extLst>
          </c:dPt>
          <c:dPt>
            <c:idx val="155"/>
            <c:bubble3D val="0"/>
            <c:extLst>
              <c:ext xmlns:c16="http://schemas.microsoft.com/office/drawing/2014/chart" uri="{C3380CC4-5D6E-409C-BE32-E72D297353CC}">
                <c16:uniqueId val="{000000C2-123C-40D6-87FC-8490AE8401F2}"/>
              </c:ext>
            </c:extLst>
          </c:dPt>
          <c:dPt>
            <c:idx val="156"/>
            <c:bubble3D val="0"/>
            <c:extLst>
              <c:ext xmlns:c16="http://schemas.microsoft.com/office/drawing/2014/chart" uri="{C3380CC4-5D6E-409C-BE32-E72D297353CC}">
                <c16:uniqueId val="{000000C3-123C-40D6-87FC-8490AE8401F2}"/>
              </c:ext>
            </c:extLst>
          </c:dPt>
          <c:dPt>
            <c:idx val="157"/>
            <c:bubble3D val="0"/>
            <c:extLst>
              <c:ext xmlns:c16="http://schemas.microsoft.com/office/drawing/2014/chart" uri="{C3380CC4-5D6E-409C-BE32-E72D297353CC}">
                <c16:uniqueId val="{000000C4-123C-40D6-87FC-8490AE8401F2}"/>
              </c:ext>
            </c:extLst>
          </c:dPt>
          <c:dPt>
            <c:idx val="158"/>
            <c:bubble3D val="0"/>
            <c:extLst>
              <c:ext xmlns:c16="http://schemas.microsoft.com/office/drawing/2014/chart" uri="{C3380CC4-5D6E-409C-BE32-E72D297353CC}">
                <c16:uniqueId val="{000000C5-123C-40D6-87FC-8490AE8401F2}"/>
              </c:ext>
            </c:extLst>
          </c:dPt>
          <c:dPt>
            <c:idx val="159"/>
            <c:bubble3D val="0"/>
            <c:extLst>
              <c:ext xmlns:c16="http://schemas.microsoft.com/office/drawing/2014/chart" uri="{C3380CC4-5D6E-409C-BE32-E72D297353CC}">
                <c16:uniqueId val="{000000C6-123C-40D6-87FC-8490AE8401F2}"/>
              </c:ext>
            </c:extLst>
          </c:dPt>
          <c:dPt>
            <c:idx val="160"/>
            <c:bubble3D val="0"/>
            <c:extLst>
              <c:ext xmlns:c16="http://schemas.microsoft.com/office/drawing/2014/chart" uri="{C3380CC4-5D6E-409C-BE32-E72D297353CC}">
                <c16:uniqueId val="{000000C7-123C-40D6-87FC-8490AE8401F2}"/>
              </c:ext>
            </c:extLst>
          </c:dPt>
          <c:dPt>
            <c:idx val="161"/>
            <c:bubble3D val="0"/>
            <c:extLst>
              <c:ext xmlns:c16="http://schemas.microsoft.com/office/drawing/2014/chart" uri="{C3380CC4-5D6E-409C-BE32-E72D297353CC}">
                <c16:uniqueId val="{000000C8-123C-40D6-87FC-8490AE8401F2}"/>
              </c:ext>
            </c:extLst>
          </c:dPt>
          <c:dPt>
            <c:idx val="162"/>
            <c:bubble3D val="0"/>
            <c:extLst>
              <c:ext xmlns:c16="http://schemas.microsoft.com/office/drawing/2014/chart" uri="{C3380CC4-5D6E-409C-BE32-E72D297353CC}">
                <c16:uniqueId val="{000000C9-123C-40D6-87FC-8490AE8401F2}"/>
              </c:ext>
            </c:extLst>
          </c:dPt>
          <c:dPt>
            <c:idx val="163"/>
            <c:bubble3D val="0"/>
            <c:extLst>
              <c:ext xmlns:c16="http://schemas.microsoft.com/office/drawing/2014/chart" uri="{C3380CC4-5D6E-409C-BE32-E72D297353CC}">
                <c16:uniqueId val="{000000CA-123C-40D6-87FC-8490AE8401F2}"/>
              </c:ext>
            </c:extLst>
          </c:dPt>
          <c:dPt>
            <c:idx val="164"/>
            <c:bubble3D val="0"/>
            <c:extLst>
              <c:ext xmlns:c16="http://schemas.microsoft.com/office/drawing/2014/chart" uri="{C3380CC4-5D6E-409C-BE32-E72D297353CC}">
                <c16:uniqueId val="{000000CB-123C-40D6-87FC-8490AE8401F2}"/>
              </c:ext>
            </c:extLst>
          </c:dPt>
          <c:dPt>
            <c:idx val="165"/>
            <c:bubble3D val="0"/>
            <c:extLst>
              <c:ext xmlns:c16="http://schemas.microsoft.com/office/drawing/2014/chart" uri="{C3380CC4-5D6E-409C-BE32-E72D297353CC}">
                <c16:uniqueId val="{000000CC-123C-40D6-87FC-8490AE8401F2}"/>
              </c:ext>
            </c:extLst>
          </c:dPt>
          <c:dPt>
            <c:idx val="166"/>
            <c:bubble3D val="0"/>
            <c:extLst>
              <c:ext xmlns:c16="http://schemas.microsoft.com/office/drawing/2014/chart" uri="{C3380CC4-5D6E-409C-BE32-E72D297353CC}">
                <c16:uniqueId val="{000000CD-123C-40D6-87FC-8490AE8401F2}"/>
              </c:ext>
            </c:extLst>
          </c:dPt>
          <c:dPt>
            <c:idx val="167"/>
            <c:bubble3D val="0"/>
            <c:extLst>
              <c:ext xmlns:c16="http://schemas.microsoft.com/office/drawing/2014/chart" uri="{C3380CC4-5D6E-409C-BE32-E72D297353CC}">
                <c16:uniqueId val="{000000CE-123C-40D6-87FC-8490AE8401F2}"/>
              </c:ext>
            </c:extLst>
          </c:dPt>
          <c:dPt>
            <c:idx val="168"/>
            <c:bubble3D val="0"/>
            <c:extLst>
              <c:ext xmlns:c16="http://schemas.microsoft.com/office/drawing/2014/chart" uri="{C3380CC4-5D6E-409C-BE32-E72D297353CC}">
                <c16:uniqueId val="{000000CF-123C-40D6-87FC-8490AE8401F2}"/>
              </c:ext>
            </c:extLst>
          </c:dPt>
          <c:dPt>
            <c:idx val="169"/>
            <c:bubble3D val="0"/>
            <c:extLst>
              <c:ext xmlns:c16="http://schemas.microsoft.com/office/drawing/2014/chart" uri="{C3380CC4-5D6E-409C-BE32-E72D297353CC}">
                <c16:uniqueId val="{000000D0-123C-40D6-87FC-8490AE8401F2}"/>
              </c:ext>
            </c:extLst>
          </c:dPt>
          <c:dPt>
            <c:idx val="170"/>
            <c:bubble3D val="0"/>
            <c:extLst>
              <c:ext xmlns:c16="http://schemas.microsoft.com/office/drawing/2014/chart" uri="{C3380CC4-5D6E-409C-BE32-E72D297353CC}">
                <c16:uniqueId val="{000000D1-123C-40D6-87FC-8490AE8401F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Crypto!$I$25:$I$195</c:f>
              <c:strCache>
                <c:ptCount val="171"/>
                <c:pt idx="0">
                  <c:v>£15,638.29</c:v>
                </c:pt>
                <c:pt idx="3">
                  <c:v>Current Value</c:v>
                </c:pt>
                <c:pt idx="25">
                  <c:v>£71.10</c:v>
                </c:pt>
                <c:pt idx="28">
                  <c:v>Current Value</c:v>
                </c:pt>
                <c:pt idx="44">
                  <c:v>£12,593.22</c:v>
                </c:pt>
                <c:pt idx="47">
                  <c:v>Current Value</c:v>
                </c:pt>
                <c:pt idx="50">
                  <c:v>£179.08</c:v>
                </c:pt>
                <c:pt idx="53">
                  <c:v>Current Value</c:v>
                </c:pt>
                <c:pt idx="63">
                  <c:v>£23,671.09</c:v>
                </c:pt>
                <c:pt idx="66">
                  <c:v>Current Value</c:v>
                </c:pt>
                <c:pt idx="71">
                  <c:v>#N/A</c:v>
                </c:pt>
                <c:pt idx="74">
                  <c:v>Current Value</c:v>
                </c:pt>
                <c:pt idx="78">
                  <c:v>#N/A</c:v>
                </c:pt>
                <c:pt idx="81">
                  <c:v>Current Value</c:v>
                </c:pt>
                <c:pt idx="84">
                  <c:v>#N/A</c:v>
                </c:pt>
                <c:pt idx="87">
                  <c:v>Current Value</c:v>
                </c:pt>
                <c:pt idx="98">
                  <c:v>#N/A</c:v>
                </c:pt>
                <c:pt idx="102">
                  <c:v>Current Value</c:v>
                </c:pt>
                <c:pt idx="105">
                  <c:v>#N/A</c:v>
                </c:pt>
                <c:pt idx="108">
                  <c:v>Current Value</c:v>
                </c:pt>
                <c:pt idx="111">
                  <c:v>#N/A</c:v>
                </c:pt>
                <c:pt idx="113">
                  <c:v>Current Value</c:v>
                </c:pt>
                <c:pt idx="117">
                  <c:v>#N/A</c:v>
                </c:pt>
                <c:pt idx="119">
                  <c:v>Current Value</c:v>
                </c:pt>
                <c:pt idx="123">
                  <c:v>#N/A</c:v>
                </c:pt>
                <c:pt idx="126">
                  <c:v>Current Value</c:v>
                </c:pt>
                <c:pt idx="128">
                  <c:v>£114.11</c:v>
                </c:pt>
                <c:pt idx="131">
                  <c:v>Current Value</c:v>
                </c:pt>
                <c:pt idx="133">
                  <c:v>£37.42</c:v>
                </c:pt>
                <c:pt idx="136">
                  <c:v>Current Value</c:v>
                </c:pt>
                <c:pt idx="139">
                  <c:v>£157.33</c:v>
                </c:pt>
                <c:pt idx="142">
                  <c:v>Current Value</c:v>
                </c:pt>
                <c:pt idx="145">
                  <c:v>#N/A</c:v>
                </c:pt>
                <c:pt idx="148">
                  <c:v>Current Value</c:v>
                </c:pt>
                <c:pt idx="151">
                  <c:v>#N/A</c:v>
                </c:pt>
                <c:pt idx="154">
                  <c:v>Current Value</c:v>
                </c:pt>
                <c:pt idx="164">
                  <c:v>#N/A</c:v>
                </c:pt>
                <c:pt idx="167">
                  <c:v>Current Value</c:v>
                </c:pt>
                <c:pt idx="170">
                  <c:v>#N/A</c:v>
                </c:pt>
              </c:strCache>
            </c:strRef>
          </c:cat>
          <c:val>
            <c:numRef>
              <c:f>Crypto!$I$25:$I$195</c:f>
              <c:numCache>
                <c:formatCode>[$£]#,##0.00</c:formatCode>
                <c:ptCount val="171"/>
                <c:pt idx="0">
                  <c:v>15638.291881579811</c:v>
                </c:pt>
                <c:pt idx="3" formatCode="General">
                  <c:v>0</c:v>
                </c:pt>
                <c:pt idx="25">
                  <c:v>71.104940355183246</c:v>
                </c:pt>
                <c:pt idx="28" formatCode="General">
                  <c:v>0</c:v>
                </c:pt>
                <c:pt idx="44">
                  <c:v>12593.221183534308</c:v>
                </c:pt>
                <c:pt idx="47" formatCode="General">
                  <c:v>0</c:v>
                </c:pt>
                <c:pt idx="50">
                  <c:v>179.08196927330562</c:v>
                </c:pt>
                <c:pt idx="53" formatCode="General">
                  <c:v>0</c:v>
                </c:pt>
                <c:pt idx="63">
                  <c:v>23671.089395999999</c:v>
                </c:pt>
                <c:pt idx="66" formatCode="General">
                  <c:v>0</c:v>
                </c:pt>
                <c:pt idx="71">
                  <c:v>#N/A</c:v>
                </c:pt>
                <c:pt idx="74" formatCode="General">
                  <c:v>0</c:v>
                </c:pt>
                <c:pt idx="78">
                  <c:v>#N/A</c:v>
                </c:pt>
                <c:pt idx="81" formatCode="General">
                  <c:v>0</c:v>
                </c:pt>
                <c:pt idx="84">
                  <c:v>#N/A</c:v>
                </c:pt>
                <c:pt idx="87" formatCode="General">
                  <c:v>0</c:v>
                </c:pt>
                <c:pt idx="98">
                  <c:v>#N/A</c:v>
                </c:pt>
                <c:pt idx="102" formatCode="General">
                  <c:v>0</c:v>
                </c:pt>
                <c:pt idx="105">
                  <c:v>#N/A</c:v>
                </c:pt>
                <c:pt idx="108" formatCode="General">
                  <c:v>0</c:v>
                </c:pt>
                <c:pt idx="111">
                  <c:v>#N/A</c:v>
                </c:pt>
                <c:pt idx="113" formatCode="General">
                  <c:v>0</c:v>
                </c:pt>
                <c:pt idx="117">
                  <c:v>#N/A</c:v>
                </c:pt>
                <c:pt idx="119" formatCode="General">
                  <c:v>0</c:v>
                </c:pt>
                <c:pt idx="123">
                  <c:v>#N/A</c:v>
                </c:pt>
                <c:pt idx="126" formatCode="General">
                  <c:v>0</c:v>
                </c:pt>
                <c:pt idx="128">
                  <c:v>114.11411</c:v>
                </c:pt>
                <c:pt idx="131" formatCode="General">
                  <c:v>0</c:v>
                </c:pt>
                <c:pt idx="133">
                  <c:v>37.419676500000001</c:v>
                </c:pt>
                <c:pt idx="136" formatCode="General">
                  <c:v>0</c:v>
                </c:pt>
                <c:pt idx="139">
                  <c:v>157.32508090106629</c:v>
                </c:pt>
                <c:pt idx="142" formatCode="General">
                  <c:v>0</c:v>
                </c:pt>
                <c:pt idx="145">
                  <c:v>#N/A</c:v>
                </c:pt>
                <c:pt idx="148" formatCode="General">
                  <c:v>0</c:v>
                </c:pt>
                <c:pt idx="151">
                  <c:v>#N/A</c:v>
                </c:pt>
                <c:pt idx="154" formatCode="General">
                  <c:v>0</c:v>
                </c:pt>
                <c:pt idx="164">
                  <c:v>#N/A</c:v>
                </c:pt>
                <c:pt idx="167" formatCode="General">
                  <c:v>0</c:v>
                </c:pt>
                <c:pt idx="17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D2-123C-40D6-87FC-8490AE8401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</c:plotArea>
    <c:legend>
      <c:legendPos val="b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219075</xdr:colOff>
      <xdr:row>32</xdr:row>
      <xdr:rowOff>142875</xdr:rowOff>
    </xdr:from>
    <xdr:ext cx="4867275" cy="49530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169"/>
  <sheetViews>
    <sheetView topLeftCell="F1" workbookViewId="0">
      <pane ySplit="6" topLeftCell="A7" activePane="bottomLeft" state="frozen"/>
      <selection pane="bottomLeft" activeCell="T1" sqref="T1:T15"/>
    </sheetView>
  </sheetViews>
  <sheetFormatPr baseColWidth="10" defaultColWidth="12.5" defaultRowHeight="15.75" customHeight="1"/>
  <cols>
    <col min="1" max="1" width="12.83203125" customWidth="1"/>
    <col min="3" max="4" width="10.6640625" customWidth="1"/>
    <col min="5" max="5" width="12.83203125" customWidth="1"/>
    <col min="6" max="6" width="8.6640625" customWidth="1"/>
    <col min="7" max="8" width="10.5" customWidth="1"/>
    <col min="9" max="9" width="11.1640625" customWidth="1"/>
    <col min="10" max="10" width="9.5" customWidth="1"/>
    <col min="11" max="11" width="12.1640625" customWidth="1"/>
    <col min="12" max="12" width="4.5" customWidth="1"/>
    <col min="13" max="13" width="13.5" customWidth="1"/>
    <col min="14" max="14" width="9.83203125" customWidth="1"/>
    <col min="15" max="16" width="10.6640625" customWidth="1"/>
    <col min="17" max="17" width="11" customWidth="1"/>
    <col min="18" max="19" width="12.5" customWidth="1"/>
    <col min="21" max="22" width="16.1640625" customWidth="1"/>
    <col min="23" max="23" width="12.5" customWidth="1"/>
    <col min="24" max="25" width="12" customWidth="1"/>
  </cols>
  <sheetData>
    <row r="1" spans="1:32" ht="14">
      <c r="A1" s="219" t="s">
        <v>0</v>
      </c>
      <c r="B1" s="220"/>
      <c r="C1" s="1"/>
      <c r="D1" s="1"/>
      <c r="G1" s="2" t="s">
        <v>1</v>
      </c>
      <c r="H1" s="3">
        <v>30</v>
      </c>
      <c r="I1" s="4">
        <f>H1*O5</f>
        <v>1500</v>
      </c>
      <c r="M1" s="5"/>
      <c r="N1" s="6" t="s">
        <v>2</v>
      </c>
      <c r="O1" s="7" t="s">
        <v>3</v>
      </c>
      <c r="P1" s="7" t="s">
        <v>4</v>
      </c>
      <c r="Q1" s="7" t="s">
        <v>5</v>
      </c>
      <c r="R1" s="7" t="s">
        <v>6</v>
      </c>
      <c r="S1" s="7" t="s">
        <v>7</v>
      </c>
      <c r="T1" s="8" t="s">
        <v>8</v>
      </c>
      <c r="U1" s="6" t="s">
        <v>9</v>
      </c>
      <c r="V1" s="6" t="s">
        <v>10</v>
      </c>
      <c r="W1" s="6" t="s">
        <v>11</v>
      </c>
      <c r="X1" s="9"/>
      <c r="Y1" s="10"/>
      <c r="Z1" s="10"/>
      <c r="AA1" s="10"/>
      <c r="AB1" s="10"/>
      <c r="AC1" s="10"/>
      <c r="AD1" s="10"/>
      <c r="AE1" s="10"/>
      <c r="AF1" s="10"/>
    </row>
    <row r="2" spans="1:32" ht="14">
      <c r="A2" s="11" t="s">
        <v>12</v>
      </c>
      <c r="B2" s="12">
        <f ca="1">F25+F69+F130+F103+F109+F123+F218+F136+F142+F148+(SUM(F82:F86))</f>
        <v>1609.3040952038682</v>
      </c>
      <c r="D2" s="13" t="s">
        <v>13</v>
      </c>
      <c r="E2" s="14" t="e">
        <f ca="1">B4*0.8</f>
        <v>#N/A</v>
      </c>
      <c r="G2" s="15" t="s">
        <v>14</v>
      </c>
      <c r="H2" s="16">
        <v>750</v>
      </c>
      <c r="I2" s="4">
        <f>7366.901+1080</f>
        <v>8446.9009999999998</v>
      </c>
      <c r="J2" s="4">
        <f>I2/H2</f>
        <v>11.262534666666667</v>
      </c>
      <c r="K2" s="4">
        <f>H2*O4</f>
        <v>3375</v>
      </c>
      <c r="M2" s="17"/>
      <c r="N2" s="18" t="s">
        <v>15</v>
      </c>
      <c r="O2" s="19">
        <f t="shared" ref="O2:O3" ca="1" si="0">P2/$R$26</f>
        <v>52034.622514059905</v>
      </c>
      <c r="P2" s="20">
        <f ca="1">IFERROR(__xludf.DUMMYFUNCTION("GOOGLEFINANCE (""BTCUSD"")"),66248.4)</f>
        <v>66248.399999999994</v>
      </c>
      <c r="Q2" s="19">
        <f>H25</f>
        <v>7979.0985079212387</v>
      </c>
      <c r="R2" s="21" t="e">
        <f t="array" ref="R2">VALUE(INDEX(cryptodata!B1:Z1169, MATCH("bitcoin",cryptodata!B1:B1169,0), 8))/100</f>
        <v>#N/A</v>
      </c>
      <c r="S2" s="21" t="e">
        <f t="array" ref="S2">VALUE(INDEX(cryptodata!B1:AA1169, MATCH("bitcoin",cryptodata!B1:B1169,0), 10))/100</f>
        <v>#N/A</v>
      </c>
      <c r="T2" s="22">
        <f>C25</f>
        <v>0.30053627999999999</v>
      </c>
      <c r="U2" s="23">
        <f t="shared" ref="U2:V2" ca="1" si="1">I25</f>
        <v>15638.291881579811</v>
      </c>
      <c r="V2" s="19">
        <f t="shared" ca="1" si="1"/>
        <v>13240.283298255612</v>
      </c>
      <c r="W2" s="21">
        <f ca="1">(O2-Q2)/Q2</f>
        <v>5.5213660994913907</v>
      </c>
      <c r="X2" s="24">
        <v>0.28178054000000002</v>
      </c>
      <c r="Y2" s="25">
        <v>1.875574E-2</v>
      </c>
      <c r="AB2" s="10"/>
      <c r="AC2" s="10"/>
      <c r="AD2" s="10"/>
      <c r="AE2" s="10"/>
      <c r="AF2" s="10"/>
    </row>
    <row r="3" spans="1:32" ht="14">
      <c r="A3" s="11" t="s">
        <v>9</v>
      </c>
      <c r="B3" s="26" t="e">
        <f ca="1">SUM(I25,I50,I69,I88,I96,I103,I109,I123,I130,I136,I142,I148,I153,I158,I164,I75)</f>
        <v>#N/A</v>
      </c>
      <c r="C3" s="27"/>
      <c r="D3" s="28" t="s">
        <v>16</v>
      </c>
      <c r="E3" s="29" t="e">
        <f ca="1">B4*0.9</f>
        <v>#N/A</v>
      </c>
      <c r="F3" s="30"/>
      <c r="G3" s="15" t="s">
        <v>17</v>
      </c>
      <c r="H3" s="16">
        <v>0</v>
      </c>
      <c r="I3" s="31">
        <f ca="1">H3*O7</f>
        <v>0</v>
      </c>
      <c r="M3" s="32"/>
      <c r="N3" s="18" t="s">
        <v>18</v>
      </c>
      <c r="O3" s="19">
        <f t="shared" ca="1" si="0"/>
        <v>3009.1504602721025</v>
      </c>
      <c r="P3" s="20">
        <f ca="1">IFERROR(__xludf.DUMMYFUNCTION("GOOGLEFINANCE (""ETHUSD"")"),3831.13)</f>
        <v>3831.13</v>
      </c>
      <c r="Q3" s="19" t="s">
        <v>19</v>
      </c>
      <c r="R3" s="21" t="e">
        <f t="array" ref="R3">VALUE(INDEX(cryptodata!B1:Z1169, MATCH("ethereum",cryptodata!B1:B1169,0), 8))/100</f>
        <v>#N/A</v>
      </c>
      <c r="S3" s="21" t="e">
        <f t="array" ref="S3">VALUE(INDEX(cryptodata!B2:AA1169, MATCH("ethereum",cryptodata!B2:B1169,0), 10))/100</f>
        <v>#N/A</v>
      </c>
      <c r="T3" s="33">
        <f>C50</f>
        <v>2.3629572962182016E-2</v>
      </c>
      <c r="U3" s="23">
        <f t="shared" ref="U3:V3" ca="1" si="2">I50</f>
        <v>71.104940355183246</v>
      </c>
      <c r="V3" s="19">
        <f t="shared" ca="1" si="2"/>
        <v>71.104940355183246</v>
      </c>
      <c r="W3" s="34" t="s">
        <v>20</v>
      </c>
      <c r="X3" s="35"/>
      <c r="AB3" s="10"/>
      <c r="AC3" s="10"/>
      <c r="AD3" s="10"/>
      <c r="AE3" s="10"/>
      <c r="AF3" s="10"/>
    </row>
    <row r="4" spans="1:32" ht="14">
      <c r="A4" s="11" t="s">
        <v>10</v>
      </c>
      <c r="B4" s="36" t="e">
        <f ca="1">B3-B2</f>
        <v>#N/A</v>
      </c>
      <c r="D4" s="13" t="s">
        <v>21</v>
      </c>
      <c r="E4" s="37" t="e">
        <f ca="1">B4*R26</f>
        <v>#N/A</v>
      </c>
      <c r="G4" s="15" t="s">
        <v>22</v>
      </c>
      <c r="H4" s="16">
        <v>2000</v>
      </c>
      <c r="I4" s="4">
        <f ca="1">H4*O6</f>
        <v>31.417889346193967</v>
      </c>
      <c r="M4" s="38"/>
      <c r="N4" s="18" t="s">
        <v>14</v>
      </c>
      <c r="O4" s="19">
        <v>4.5</v>
      </c>
      <c r="P4" s="39" t="e">
        <f ca="1">CSQUERYA("CoinGecko","Simple Token Price by Contract Address","vs_currencies","usd","id","ethereum")</f>
        <v>#NAME?</v>
      </c>
      <c r="Q4" s="19" t="s">
        <v>19</v>
      </c>
      <c r="R4" s="21" t="e">
        <f t="array" ref="R4">VALUE(INDEX(cryptodata!B1:Z1169, MATCH("near protocol",cryptodata!B1:B1169,0), 8))/100</f>
        <v>#N/A</v>
      </c>
      <c r="S4" s="21" t="e">
        <f t="array" ref="S4">VALUE(INDEX(cryptodata!B6:AA1169, MATCH("near protocol",cryptodata!B6:B1169,0), 10))/100</f>
        <v>#N/A</v>
      </c>
      <c r="T4" s="33">
        <f>C88</f>
        <v>5260.242088</v>
      </c>
      <c r="U4" s="23">
        <f t="shared" ref="U4:V4" si="3">I88</f>
        <v>23671.089395999999</v>
      </c>
      <c r="V4" s="19">
        <f t="shared" si="3"/>
        <v>23671.089395999999</v>
      </c>
      <c r="W4" s="34" t="s">
        <v>20</v>
      </c>
      <c r="X4" s="35"/>
      <c r="AB4" s="10"/>
      <c r="AC4" s="10"/>
      <c r="AD4" s="10"/>
      <c r="AE4" s="10"/>
      <c r="AF4" s="10"/>
    </row>
    <row r="5" spans="1:32" ht="15">
      <c r="A5" s="11" t="s">
        <v>23</v>
      </c>
      <c r="B5" s="40" t="e">
        <f ca="1">(B4/B2)</f>
        <v>#N/A</v>
      </c>
      <c r="I5" s="41">
        <f ca="1">SUM(I1:I4)</f>
        <v>9978.3188893461938</v>
      </c>
      <c r="M5" s="38"/>
      <c r="N5" s="18" t="s">
        <v>1</v>
      </c>
      <c r="O5" s="19">
        <v>50</v>
      </c>
      <c r="P5" s="42" t="str">
        <f ca="1">IFERROR(__xludf.DUMMYFUNCTION("GOOGLEFINANCE(""EGLDUSD"", ""price"")"),"#N/A")</f>
        <v>#N/A</v>
      </c>
      <c r="Q5" s="19">
        <f>H69</f>
        <v>3.8146397709581943</v>
      </c>
      <c r="R5" s="21" t="e">
        <f t="array" ref="R5">VALUE(INDEX(cryptodata!B1:Z1169, MATCH("elrond",cryptodata!B1:B1169,0), 8))/100</f>
        <v>#N/A</v>
      </c>
      <c r="S5" s="21" t="e">
        <f t="array" ref="S5">VALUE(INDEX(cryptodata!B1:AA1169, MATCH("elrond",cryptodata!B1:B1169,0), 10))/100</f>
        <v>#N/A</v>
      </c>
      <c r="T5" s="43">
        <f>C69</f>
        <v>251.86442367068616</v>
      </c>
      <c r="U5" s="23">
        <f t="shared" ref="U5:V5" si="4">I69</f>
        <v>12593.221183534308</v>
      </c>
      <c r="V5" s="19">
        <f t="shared" si="4"/>
        <v>11632.449136110645</v>
      </c>
      <c r="W5" s="21">
        <f t="shared" ref="W5:W6" si="5">(O5-Q5)/Q5</f>
        <v>12.107397553148397</v>
      </c>
      <c r="AB5" s="10"/>
      <c r="AC5" s="10"/>
      <c r="AD5" s="10"/>
      <c r="AE5" s="10"/>
      <c r="AF5" s="10"/>
    </row>
    <row r="6" spans="1:32" ht="13">
      <c r="M6" s="32"/>
      <c r="N6" s="44" t="s">
        <v>22</v>
      </c>
      <c r="O6" s="45">
        <f t="shared" ref="O6:O13" ca="1" si="6">P6/$R$26</f>
        <v>1.5708944673096983E-2</v>
      </c>
      <c r="P6" s="46">
        <v>0.02</v>
      </c>
      <c r="Q6" s="19">
        <f>H164</f>
        <v>2.9955067398901646E-2</v>
      </c>
      <c r="R6" s="21"/>
      <c r="S6" s="21"/>
      <c r="T6" s="43">
        <f>C164</f>
        <v>10015</v>
      </c>
      <c r="U6" s="23">
        <f t="shared" ref="U6:U7" ca="1" si="7">T6*O6</f>
        <v>157.32508090106629</v>
      </c>
      <c r="V6" s="19">
        <f ca="1">(T6*O6)-F164</f>
        <v>-142.67491909893371</v>
      </c>
      <c r="W6" s="21">
        <f t="shared" ca="1" si="5"/>
        <v>-0.47558306366311237</v>
      </c>
      <c r="X6" s="47"/>
      <c r="AB6" s="10"/>
      <c r="AC6" s="10"/>
      <c r="AD6" s="10"/>
      <c r="AE6" s="10"/>
      <c r="AF6" s="10"/>
    </row>
    <row r="7" spans="1:32" ht="13">
      <c r="A7" s="48" t="s">
        <v>24</v>
      </c>
      <c r="B7" s="48" t="s">
        <v>2</v>
      </c>
      <c r="C7" s="48" t="s">
        <v>25</v>
      </c>
      <c r="D7" s="48"/>
      <c r="E7" s="48" t="s">
        <v>26</v>
      </c>
      <c r="F7" s="48" t="s">
        <v>27</v>
      </c>
      <c r="G7" s="48" t="s">
        <v>28</v>
      </c>
      <c r="H7" s="48" t="s">
        <v>29</v>
      </c>
      <c r="I7" s="48" t="s">
        <v>9</v>
      </c>
      <c r="J7" s="48" t="s">
        <v>30</v>
      </c>
      <c r="K7" s="48" t="s">
        <v>31</v>
      </c>
      <c r="L7" s="10"/>
      <c r="M7" s="32"/>
      <c r="N7" s="44" t="s">
        <v>17</v>
      </c>
      <c r="O7" s="49">
        <f t="shared" ca="1" si="6"/>
        <v>4.7126834019290952E-6</v>
      </c>
      <c r="P7" s="50">
        <v>6.0000000000000002E-6</v>
      </c>
      <c r="Q7" s="19">
        <f t="shared" ref="Q7:Q8" si="8">H122</f>
        <v>0</v>
      </c>
      <c r="R7" s="21" t="e">
        <f t="array" ref="R7">VALUE(INDEX(cryptodata!B1:Z1169, MATCH("mex",cryptodata!B1:B1169,0), 8))/100</f>
        <v>#N/A</v>
      </c>
      <c r="S7" s="21" t="e">
        <f t="array" ref="S7">VALUE(INDEX(cryptodata!B8:AA1169, MATCH("dia",cryptodata!B8:B1169,0), 10))/100</f>
        <v>#N/A</v>
      </c>
      <c r="T7" s="43">
        <f>C75</f>
        <v>38000000</v>
      </c>
      <c r="U7" s="23">
        <f t="shared" ca="1" si="7"/>
        <v>179.08196927330562</v>
      </c>
      <c r="V7" s="19">
        <f ca="1">(T7*O7)</f>
        <v>179.08196927330562</v>
      </c>
      <c r="W7" s="34" t="s">
        <v>20</v>
      </c>
      <c r="AB7" s="10"/>
      <c r="AC7" s="10"/>
      <c r="AD7" s="10"/>
      <c r="AE7" s="10"/>
      <c r="AF7" s="10"/>
    </row>
    <row r="8" spans="1:32" ht="13">
      <c r="A8" s="51" t="s">
        <v>32</v>
      </c>
      <c r="B8" s="52" t="s">
        <v>15</v>
      </c>
      <c r="C8" s="53">
        <v>0.1</v>
      </c>
      <c r="D8" s="53"/>
      <c r="E8" s="54">
        <v>7837</v>
      </c>
      <c r="F8" s="54">
        <f t="shared" ref="F8:F21" si="9">C8*E8</f>
        <v>783.7</v>
      </c>
      <c r="G8" s="55">
        <f t="shared" ref="G8:G21" ca="1" si="10">((C8*$O$2)-F8)</f>
        <v>4419.7622514059913</v>
      </c>
      <c r="H8" s="56"/>
      <c r="I8" s="56"/>
      <c r="J8" s="56"/>
      <c r="K8" s="57"/>
      <c r="L8" s="10"/>
      <c r="M8" s="58"/>
      <c r="N8" s="18" t="s">
        <v>33</v>
      </c>
      <c r="O8" s="19" t="e">
        <f t="shared" ca="1" si="6"/>
        <v>#N/A</v>
      </c>
      <c r="P8" s="20" t="e">
        <f t="array" ref="P8">VALUE(INDEX(cryptodata!B9:AA1169, MATCH("dia",cryptodata!B9:B1169,0), 4))</f>
        <v>#N/A</v>
      </c>
      <c r="Q8" s="19">
        <f t="shared" si="8"/>
        <v>1.5959648312263126</v>
      </c>
      <c r="R8" s="21" t="e">
        <f t="array" ref="R8">VALUE(INDEX(cryptodata!B1:Z1169, MATCH("dia",cryptodata!B1:B1169,0), 8))/100</f>
        <v>#N/A</v>
      </c>
      <c r="S8" s="21" t="e">
        <f t="array" ref="S8">VALUE(INDEX(cryptodata!B9:AA1169, MATCH("dia",cryptodata!B9:B1169,0), 10))/100</f>
        <v>#N/A</v>
      </c>
      <c r="T8" s="43">
        <f>C123</f>
        <v>1050.3035647440549</v>
      </c>
      <c r="U8" s="23" t="e">
        <f t="shared" ref="U8:V8" ca="1" si="11">I123</f>
        <v>#N/A</v>
      </c>
      <c r="V8" s="19" t="e">
        <f t="shared" ca="1" si="11"/>
        <v>#N/A</v>
      </c>
      <c r="W8" s="21" t="e">
        <f ca="1">(O8-Q8)/Q8</f>
        <v>#N/A</v>
      </c>
      <c r="X8" s="35"/>
      <c r="AB8" s="10"/>
      <c r="AC8" s="10"/>
      <c r="AD8" s="10"/>
      <c r="AE8" s="10"/>
      <c r="AF8" s="10"/>
    </row>
    <row r="9" spans="1:32" ht="13">
      <c r="A9" s="59" t="s">
        <v>34</v>
      </c>
      <c r="B9" s="60"/>
      <c r="C9" s="61">
        <v>3.2939999999999997E-2</v>
      </c>
      <c r="D9" s="61"/>
      <c r="E9" s="62">
        <v>7550</v>
      </c>
      <c r="F9" s="62">
        <f t="shared" si="9"/>
        <v>248.69699999999997</v>
      </c>
      <c r="G9" s="47">
        <f t="shared" ca="1" si="10"/>
        <v>1465.3234656131333</v>
      </c>
      <c r="H9" s="16"/>
      <c r="I9" s="16"/>
      <c r="J9" s="16"/>
      <c r="K9" s="63"/>
      <c r="L9" s="10"/>
      <c r="M9" s="58"/>
      <c r="N9" s="18" t="s">
        <v>35</v>
      </c>
      <c r="O9" s="19" t="e">
        <f t="shared" ca="1" si="6"/>
        <v>#N/A</v>
      </c>
      <c r="P9" s="20" t="e">
        <f t="array" ref="P9">VALUE(INDEX(cryptodata!B10:AA1169, MATCH("Ideaology",cryptodata!B10:B1169,0), 4))</f>
        <v>#N/A</v>
      </c>
      <c r="Q9" s="19">
        <f>H136</f>
        <v>0.1105125</v>
      </c>
      <c r="R9" s="21" t="e">
        <f t="array" ref="R9">VALUE(INDEX(cryptodata!B2:Z1169, MATCH("Ideaology",cryptodata!B2:B1169,0), 8))/100</f>
        <v>#N/A</v>
      </c>
      <c r="S9" s="21" t="e">
        <f t="array" ref="S9">VALUE(INDEX(cryptodata!B10:AA1169, MATCH("Ideaology",cryptodata!B10:B1169,0), 10))/100</f>
        <v>#N/A</v>
      </c>
      <c r="T9" s="33">
        <f>C136</f>
        <v>4000</v>
      </c>
      <c r="U9" s="23" t="e">
        <f t="shared" ref="U9:W9" ca="1" si="12">I136</f>
        <v>#N/A</v>
      </c>
      <c r="V9" s="19" t="e">
        <f t="shared" ca="1" si="12"/>
        <v>#N/A</v>
      </c>
      <c r="W9" s="21" t="e">
        <f t="shared" ca="1" si="12"/>
        <v>#N/A</v>
      </c>
      <c r="X9" s="35"/>
      <c r="AB9" s="10"/>
      <c r="AC9" s="10"/>
      <c r="AD9" s="10"/>
      <c r="AE9" s="10"/>
      <c r="AF9" s="10"/>
    </row>
    <row r="10" spans="1:32" ht="13">
      <c r="A10" s="59" t="s">
        <v>36</v>
      </c>
      <c r="B10" s="60"/>
      <c r="C10" s="61">
        <v>3.3000000000000002E-2</v>
      </c>
      <c r="D10" s="61"/>
      <c r="E10" s="62">
        <v>7447.21</v>
      </c>
      <c r="F10" s="62">
        <f t="shared" si="9"/>
        <v>245.75793000000002</v>
      </c>
      <c r="G10" s="47">
        <f t="shared" ca="1" si="10"/>
        <v>1471.3846129639769</v>
      </c>
      <c r="H10" s="16"/>
      <c r="I10" s="16"/>
      <c r="J10" s="16"/>
      <c r="K10" s="63"/>
      <c r="L10" s="10"/>
      <c r="M10" s="58"/>
      <c r="N10" s="18" t="s">
        <v>37</v>
      </c>
      <c r="O10" s="19" t="e">
        <f t="shared" ca="1" si="6"/>
        <v>#N/A</v>
      </c>
      <c r="P10" s="20" t="e">
        <f t="array" ref="P10">VALUE(INDEX(cryptodata!B12:AA1169, MATCH("flow",cryptodata!B12:B1169,0), 4))</f>
        <v>#N/A</v>
      </c>
      <c r="Q10" s="19">
        <f>H142</f>
        <v>21.120375004081392</v>
      </c>
      <c r="R10" s="21" t="e">
        <f t="array" ref="R10">VALUE(INDEX(cryptodata!B4:Z1169, MATCH("flow",cryptodata!B4:B1169,0), 8))/100</f>
        <v>#N/A</v>
      </c>
      <c r="S10" s="21" t="e">
        <f t="array" ref="S10">VALUE(INDEX(cryptodata!B13:AA1169, MATCH("flow",cryptodata!B13:B1169,0), 10))/100</f>
        <v>#N/A</v>
      </c>
      <c r="T10" s="43">
        <f>C142</f>
        <v>177.6354</v>
      </c>
      <c r="U10" s="23" t="e">
        <f t="shared" ref="U10:V10" ca="1" si="13">I142</f>
        <v>#N/A</v>
      </c>
      <c r="V10" s="19" t="e">
        <f t="shared" ca="1" si="13"/>
        <v>#N/A</v>
      </c>
      <c r="W10" s="21" t="e">
        <f t="shared" ref="W10:W11" ca="1" si="14">(O10-Q10)/Q10</f>
        <v>#N/A</v>
      </c>
      <c r="X10" s="35"/>
      <c r="AB10" s="10"/>
      <c r="AC10" s="10"/>
      <c r="AD10" s="10"/>
      <c r="AE10" s="10"/>
      <c r="AF10" s="10"/>
    </row>
    <row r="11" spans="1:32" ht="13">
      <c r="A11" s="59" t="s">
        <v>38</v>
      </c>
      <c r="B11" s="60"/>
      <c r="C11" s="16">
        <v>9.8670800000000003E-3</v>
      </c>
      <c r="D11" s="16"/>
      <c r="E11" s="62">
        <v>7840.52</v>
      </c>
      <c r="F11" s="62">
        <f t="shared" si="9"/>
        <v>77.36303808160001</v>
      </c>
      <c r="G11" s="47">
        <f t="shared" ca="1" si="10"/>
        <v>436.0667450344302</v>
      </c>
      <c r="H11" s="16"/>
      <c r="I11" s="16"/>
      <c r="J11" s="16"/>
      <c r="K11" s="63"/>
      <c r="L11" s="10"/>
      <c r="M11" s="58"/>
      <c r="N11" s="18" t="s">
        <v>39</v>
      </c>
      <c r="O11" s="19" t="e">
        <f t="shared" ca="1" si="6"/>
        <v>#N/A</v>
      </c>
      <c r="P11" s="20" t="e">
        <f t="array" ref="P11">VALUE(INDEX(cryptodata!B1:AA1169, MATCH("the graph",cryptodata!B1:B1169,0), 4))</f>
        <v>#N/A</v>
      </c>
      <c r="Q11" s="19">
        <f>H130</f>
        <v>1.9005795795795797</v>
      </c>
      <c r="R11" s="21" t="e">
        <f t="array" ref="R11">VALUE(INDEX(cryptodata!B3:Z1169, MATCH("the graph",cryptodata!B3:B1169,0), 8))/100</f>
        <v>#N/A</v>
      </c>
      <c r="S11" s="21" t="e">
        <f t="array" ref="S11">VALUE(INDEX(cryptodata!B3:AA1169, MATCH("the graph",cryptodata!B3:B1169,0), 10))/100</f>
        <v>#N/A</v>
      </c>
      <c r="T11" s="43">
        <f>C130</f>
        <v>333</v>
      </c>
      <c r="U11" s="23" t="e">
        <f t="shared" ref="U11:V11" ca="1" si="15">I130</f>
        <v>#N/A</v>
      </c>
      <c r="V11" s="19" t="e">
        <f t="shared" ca="1" si="15"/>
        <v>#N/A</v>
      </c>
      <c r="W11" s="21" t="e">
        <f t="shared" ca="1" si="14"/>
        <v>#N/A</v>
      </c>
      <c r="X11" s="35"/>
      <c r="AB11" s="10"/>
      <c r="AC11" s="10"/>
      <c r="AD11" s="10"/>
      <c r="AE11" s="10"/>
      <c r="AF11" s="10"/>
    </row>
    <row r="12" spans="1:32" ht="13">
      <c r="A12" s="59" t="s">
        <v>38</v>
      </c>
      <c r="B12" s="60"/>
      <c r="C12" s="16">
        <v>9.8671999999999996E-3</v>
      </c>
      <c r="D12" s="16"/>
      <c r="E12" s="62">
        <v>6500</v>
      </c>
      <c r="F12" s="62">
        <f t="shared" si="9"/>
        <v>64.136799999999994</v>
      </c>
      <c r="G12" s="47">
        <f t="shared" ca="1" si="10"/>
        <v>449.29922727073188</v>
      </c>
      <c r="H12" s="16"/>
      <c r="I12" s="16"/>
      <c r="J12" s="16"/>
      <c r="K12" s="63"/>
      <c r="L12" s="10"/>
      <c r="M12" s="58"/>
      <c r="N12" s="18" t="s">
        <v>40</v>
      </c>
      <c r="O12" s="19" t="e">
        <f t="shared" ca="1" si="6"/>
        <v>#N/A</v>
      </c>
      <c r="P12" s="20" t="e">
        <f t="array" ref="P12">VALUE(INDEX(cryptodata!B1:AA1169, MATCH("NuCypher",cryptodata!B1:B1169,0), 4))</f>
        <v>#N/A</v>
      </c>
      <c r="Q12" s="19" t="s">
        <v>19</v>
      </c>
      <c r="R12" s="21" t="e">
        <f t="array" ref="R12">VALUE(INDEX(cryptodata!B1:Z1169, MATCH("nucypher",cryptodata!B1:B1169,0), 8))/100</f>
        <v>#N/A</v>
      </c>
      <c r="S12" s="21" t="e">
        <f t="array" ref="S12">VALUE(INDEX(cryptodata!B1:AA1169, MATCH("nucypher",cryptodata!B1:B1169,0), 10))/100</f>
        <v>#N/A</v>
      </c>
      <c r="T12" s="43">
        <f>2009</f>
        <v>2009</v>
      </c>
      <c r="U12" s="23" t="e">
        <f ca="1">I109</f>
        <v>#N/A</v>
      </c>
      <c r="V12" s="64" t="e">
        <f ca="1">O12*T12</f>
        <v>#N/A</v>
      </c>
      <c r="W12" s="34" t="s">
        <v>20</v>
      </c>
      <c r="X12" s="35"/>
      <c r="AB12" s="10"/>
      <c r="AC12" s="10"/>
      <c r="AD12" s="10"/>
      <c r="AE12" s="10"/>
      <c r="AF12" s="10"/>
    </row>
    <row r="13" spans="1:32" ht="13">
      <c r="A13" s="59" t="s">
        <v>41</v>
      </c>
      <c r="B13" s="60"/>
      <c r="C13" s="16">
        <v>5.8292419999999998E-2</v>
      </c>
      <c r="D13" s="16"/>
      <c r="E13" s="62">
        <v>4223.88</v>
      </c>
      <c r="F13" s="62">
        <f t="shared" si="9"/>
        <v>246.22018698959999</v>
      </c>
      <c r="G13" s="47">
        <f t="shared" ca="1" si="10"/>
        <v>2787.0038831414358</v>
      </c>
      <c r="H13" s="16"/>
      <c r="I13" s="16"/>
      <c r="J13" s="16"/>
      <c r="K13" s="63"/>
      <c r="L13" s="10"/>
      <c r="M13" s="47"/>
      <c r="N13" s="44" t="s">
        <v>42</v>
      </c>
      <c r="O13" s="19" t="e">
        <f t="shared" ca="1" si="6"/>
        <v>#N/A</v>
      </c>
      <c r="P13" s="20" t="e">
        <f t="array" ref="P13">VALUE(INDEX(cryptodata!B10:AA1169, MATCH("CASPER",cryptodata!B10:B1169,0), 4))</f>
        <v>#N/A</v>
      </c>
      <c r="Q13" s="65">
        <f ca="1">H103</f>
        <v>1.1782886793502086E-2</v>
      </c>
      <c r="R13" s="21" t="e">
        <f t="array" ref="R13">VALUE(INDEX(cryptodata!B1:Z1169, MATCH("CASPER",cryptodata!B1:B1169,0), 8))/100</f>
        <v>#N/A</v>
      </c>
      <c r="S13" s="21" t="e">
        <f t="array" ref="S13">VALUE(INDEX(cryptodata!B1:AA1169, MATCH("CASPER",cryptodata!B1:B1169,0), 10))/100</f>
        <v>#N/A</v>
      </c>
      <c r="T13" s="66">
        <v>6666</v>
      </c>
      <c r="U13" s="23" t="e">
        <f ca="1">I103</f>
        <v>#N/A</v>
      </c>
      <c r="V13" s="64" t="e">
        <f ca="1">(O13*T13)-(100/R26)</f>
        <v>#N/A</v>
      </c>
      <c r="W13" s="21" t="e">
        <f ca="1">(O13-Q13)/Q13</f>
        <v>#N/A</v>
      </c>
      <c r="X13" s="35"/>
      <c r="AA13" s="10"/>
      <c r="AB13" s="10"/>
      <c r="AC13" s="10"/>
      <c r="AD13" s="10"/>
      <c r="AE13" s="10"/>
      <c r="AF13" s="10"/>
    </row>
    <row r="14" spans="1:32" ht="13">
      <c r="A14" s="67">
        <v>43866</v>
      </c>
      <c r="B14" s="68"/>
      <c r="C14" s="69">
        <v>6.0242999999999998E-3</v>
      </c>
      <c r="D14" s="69"/>
      <c r="E14" s="70">
        <v>7299.11</v>
      </c>
      <c r="F14" s="70">
        <f t="shared" si="9"/>
        <v>43.972028372999993</v>
      </c>
      <c r="G14" s="71">
        <f t="shared" ca="1" si="10"/>
        <v>269.50014803845107</v>
      </c>
      <c r="H14" s="16"/>
      <c r="I14" s="16"/>
      <c r="J14" s="16"/>
      <c r="K14" s="63"/>
      <c r="L14" s="10"/>
      <c r="N14" s="44" t="s">
        <v>43</v>
      </c>
      <c r="O14" s="72">
        <v>0.03</v>
      </c>
      <c r="P14" s="20" t="e">
        <f t="array" ref="P14">VALUE(INDEX(cryptodata!B3:AA1169, MATCH("paras",cryptodata!B3:B1169,0), 4))</f>
        <v>#N/A</v>
      </c>
      <c r="Q14" s="66"/>
      <c r="R14" s="21"/>
      <c r="S14" s="21"/>
      <c r="T14" s="66">
        <f>C158</f>
        <v>1247.3225500000001</v>
      </c>
      <c r="U14" s="23">
        <f t="shared" ref="U14:U15" si="16">T14*O14</f>
        <v>37.419676500000001</v>
      </c>
      <c r="V14" s="73"/>
      <c r="W14" s="34"/>
      <c r="X14" s="74"/>
      <c r="Z14" s="75"/>
      <c r="AA14" s="10"/>
      <c r="AB14" s="10"/>
      <c r="AC14" s="10"/>
      <c r="AD14" s="10"/>
      <c r="AE14" s="10"/>
      <c r="AF14" s="10"/>
    </row>
    <row r="15" spans="1:32" ht="13">
      <c r="A15" s="76" t="s">
        <v>44</v>
      </c>
      <c r="B15" s="68"/>
      <c r="C15" s="69">
        <v>0.05</v>
      </c>
      <c r="D15" s="69"/>
      <c r="E15" s="70">
        <v>7439</v>
      </c>
      <c r="F15" s="70">
        <f t="shared" si="9"/>
        <v>371.95000000000005</v>
      </c>
      <c r="G15" s="71">
        <f t="shared" ca="1" si="10"/>
        <v>2229.7811257029953</v>
      </c>
      <c r="H15" s="16"/>
      <c r="I15" s="16"/>
      <c r="J15" s="16"/>
      <c r="K15" s="63"/>
      <c r="L15" s="10"/>
      <c r="N15" s="44" t="s">
        <v>45</v>
      </c>
      <c r="O15" s="72">
        <v>11</v>
      </c>
      <c r="P15" s="20" t="e">
        <f t="array" ref="P15">VALUE(INDEX(cryptodata!B2:AA1169, MATCH("skyward",cryptodata!B2:B1169,0), 4))</f>
        <v>#N/A</v>
      </c>
      <c r="Q15" s="66"/>
      <c r="R15" s="21"/>
      <c r="S15" s="21"/>
      <c r="T15" s="66">
        <f>C153</f>
        <v>10.37401</v>
      </c>
      <c r="U15" s="23">
        <f t="shared" si="16"/>
        <v>114.11411</v>
      </c>
      <c r="V15" s="73"/>
      <c r="W15" s="34"/>
      <c r="X15" s="74"/>
      <c r="Z15" s="10"/>
      <c r="AA15" s="10"/>
      <c r="AB15" s="10"/>
      <c r="AC15" s="10"/>
      <c r="AD15" s="10"/>
      <c r="AE15" s="10"/>
      <c r="AF15" s="10"/>
    </row>
    <row r="16" spans="1:32" ht="13">
      <c r="A16" s="67">
        <v>44143</v>
      </c>
      <c r="B16" s="68"/>
      <c r="C16" s="69">
        <v>0.11009529</v>
      </c>
      <c r="D16" s="69"/>
      <c r="E16" s="70">
        <f>968.91/C16</f>
        <v>8800.6489650919666</v>
      </c>
      <c r="F16" s="70">
        <f t="shared" si="9"/>
        <v>968.91</v>
      </c>
      <c r="G16" s="71">
        <f t="shared" ca="1" si="10"/>
        <v>4759.8568557259541</v>
      </c>
      <c r="H16" s="61">
        <f>SUM(C8:C16)</f>
        <v>0.41008629000000002</v>
      </c>
      <c r="J16" s="62">
        <f>SUM(F8:F16)</f>
        <v>3050.7069834442</v>
      </c>
      <c r="K16" s="77">
        <f>J16/H16</f>
        <v>7439.1830642380164</v>
      </c>
      <c r="L16" s="16"/>
      <c r="N16" s="78" t="s">
        <v>46</v>
      </c>
      <c r="O16" s="79" t="e">
        <f t="shared" ref="O16:O17" ca="1" si="17">P16/$R$26</f>
        <v>#N/A</v>
      </c>
      <c r="P16" s="79" t="e">
        <f t="array" ref="P16">VALUE(INDEX(cryptodata!B1:AA1169, MATCH("solana",cryptodata!B1:B1169,0), 4))</f>
        <v>#N/A</v>
      </c>
      <c r="Q16" s="80" t="s">
        <v>20</v>
      </c>
      <c r="R16" s="21" t="e">
        <f t="array" ref="R16">VALUE(INDEX(cryptodata!B2:Z1169, MATCH("solana",cryptodata!B2:B1169,0), 8))/100</f>
        <v>#N/A</v>
      </c>
      <c r="S16" s="21" t="e">
        <f t="array" ref="S16">VALUE(INDEX(cryptodata!B2:AA1169, MATCH("solana",cryptodata!B2:B1169,0), 10))/100</f>
        <v>#N/A</v>
      </c>
      <c r="T16" s="80">
        <f>C148</f>
        <v>0</v>
      </c>
      <c r="U16" s="23"/>
      <c r="V16" s="64" t="e">
        <f ca="1">J148</f>
        <v>#N/A</v>
      </c>
      <c r="W16" s="21"/>
      <c r="X16" s="81">
        <f>(165+39)*0.8</f>
        <v>163.20000000000002</v>
      </c>
      <c r="Y16" s="10"/>
      <c r="Z16" s="16"/>
      <c r="AA16" s="16"/>
      <c r="AB16" s="16"/>
      <c r="AC16" s="16"/>
      <c r="AD16" s="16"/>
      <c r="AE16" s="16"/>
      <c r="AF16" s="16"/>
    </row>
    <row r="17" spans="1:32" ht="13">
      <c r="A17" s="67">
        <v>44143</v>
      </c>
      <c r="B17" s="68"/>
      <c r="C17" s="69">
        <v>-0.10798381999999999</v>
      </c>
      <c r="D17" s="69"/>
      <c r="E17" s="70">
        <f>-950.33/C17</f>
        <v>8800.670322646487</v>
      </c>
      <c r="F17" s="70">
        <f t="shared" si="9"/>
        <v>-950.33000000000015</v>
      </c>
      <c r="G17" s="71">
        <f t="shared" ca="1" si="10"/>
        <v>-4668.5673113261919</v>
      </c>
      <c r="H17" s="16">
        <f>C17</f>
        <v>-0.10798381999999999</v>
      </c>
      <c r="J17" s="62">
        <f>E17-K16</f>
        <v>1361.4872584084706</v>
      </c>
      <c r="K17" s="82">
        <f>H17*J17</f>
        <v>-147.01859504427375</v>
      </c>
      <c r="L17" s="16"/>
      <c r="N17" s="78" t="s">
        <v>47</v>
      </c>
      <c r="O17" s="79" t="e">
        <f t="shared" ca="1" si="17"/>
        <v>#N/A</v>
      </c>
      <c r="P17" s="79" t="e">
        <f t="array" ref="P17">VALUE(INDEX(cryptodata!B7:AA1169, MATCH("uniswap",cryptodata!B7:B1169,0), 4))</f>
        <v>#N/A</v>
      </c>
      <c r="Q17" s="80" t="s">
        <v>20</v>
      </c>
      <c r="R17" s="21" t="e">
        <f t="array" ref="R17">VALUE(INDEX(cryptodata!B2:Z1169, MATCH("uniswap",cryptodata!B2:B1169,0), 8))/100</f>
        <v>#N/A</v>
      </c>
      <c r="S17" s="21" t="e">
        <f t="array" ref="S17">VALUE(INDEX(cryptodata!B1:AA1169, MATCH("uniswap",cryptodata!B1:B1169,0), 10))/100</f>
        <v>#N/A</v>
      </c>
      <c r="T17" s="80">
        <f>C96</f>
        <v>0</v>
      </c>
      <c r="U17" s="48"/>
      <c r="V17" s="19" t="e">
        <f ca="1">I96</f>
        <v>#N/A</v>
      </c>
      <c r="W17" s="34"/>
      <c r="X17" s="74"/>
      <c r="Y17" s="10"/>
      <c r="Z17" s="16"/>
      <c r="AA17" s="16"/>
      <c r="AB17" s="16"/>
      <c r="AC17" s="16"/>
      <c r="AD17" s="16"/>
      <c r="AE17" s="16"/>
      <c r="AF17" s="16"/>
    </row>
    <row r="18" spans="1:32" ht="13">
      <c r="A18" s="67">
        <v>44143</v>
      </c>
      <c r="B18" s="68"/>
      <c r="C18" s="69">
        <v>6.7462209999999995E-2</v>
      </c>
      <c r="D18" s="69"/>
      <c r="E18" s="70">
        <f>601.43/C18</f>
        <v>8915.0651898299802</v>
      </c>
      <c r="F18" s="70">
        <f t="shared" si="9"/>
        <v>601.42999999999995</v>
      </c>
      <c r="G18" s="71">
        <f t="shared" ca="1" si="10"/>
        <v>2908.9406313142372</v>
      </c>
      <c r="H18" s="61">
        <f>SUM($C$8:C18)</f>
        <v>0.36956467999999998</v>
      </c>
      <c r="J18" s="62">
        <f>SUM($F$8:F18)</f>
        <v>2701.8069834441999</v>
      </c>
      <c r="K18" s="77">
        <f>J18/H18</f>
        <v>7310.7824682926948</v>
      </c>
      <c r="L18" s="16"/>
      <c r="N18" s="78" t="s">
        <v>48</v>
      </c>
      <c r="O18" s="79" t="e">
        <f t="shared" ref="O18:O20" ca="1" si="18">P18/$R$27</f>
        <v>#N/A</v>
      </c>
      <c r="P18" s="79" t="e">
        <f t="array" ref="P18">VALUE(INDEX(cryptodata!B2:AA1169, MATCH("tether",cryptodata!B2:B1169,0), 4))</f>
        <v>#N/A</v>
      </c>
      <c r="Q18" s="80" t="s">
        <v>20</v>
      </c>
      <c r="R18" s="21" t="e">
        <f t="array" ref="R18">VALUE(INDEX(cryptodata!B2:Z1169, MATCH("tether",cryptodata!B2:B1169,0), 8))/100</f>
        <v>#N/A</v>
      </c>
      <c r="S18" s="21" t="e">
        <f t="array" ref="S18">VALUE(INDEX(cryptodata!B2:AA1169, MATCH("tether",cryptodata!B2:B1169,0), 10))/100</f>
        <v>#N/A</v>
      </c>
      <c r="T18" s="80">
        <f>C170</f>
        <v>0</v>
      </c>
      <c r="U18" s="19"/>
      <c r="V18" s="73">
        <f>J190</f>
        <v>0</v>
      </c>
      <c r="W18" s="34"/>
      <c r="X18" s="74"/>
      <c r="Y18" s="10"/>
      <c r="Z18" s="16"/>
      <c r="AA18" s="16"/>
      <c r="AB18" s="16"/>
      <c r="AC18" s="16"/>
      <c r="AD18" s="16"/>
      <c r="AE18" s="16"/>
      <c r="AF18" s="16"/>
    </row>
    <row r="19" spans="1:32" ht="13">
      <c r="A19" s="67">
        <v>44143</v>
      </c>
      <c r="B19" s="68"/>
      <c r="C19" s="69">
        <v>-6.9622939999999994E-2</v>
      </c>
      <c r="D19" s="69"/>
      <c r="E19" s="70">
        <f>-610.92/C19</f>
        <v>8774.6940878968908</v>
      </c>
      <c r="F19" s="70">
        <f t="shared" si="9"/>
        <v>-610.91999999999996</v>
      </c>
      <c r="G19" s="71">
        <f t="shared" ca="1" si="10"/>
        <v>-3011.8834012190414</v>
      </c>
      <c r="H19" s="16">
        <f>C19</f>
        <v>-6.9622939999999994E-2</v>
      </c>
      <c r="J19" s="62">
        <f>E19-K18</f>
        <v>1463.9116196041959</v>
      </c>
      <c r="K19" s="82">
        <f>H19*J19</f>
        <v>-101.92183085700574</v>
      </c>
      <c r="L19" s="16"/>
      <c r="N19" s="78" t="s">
        <v>49</v>
      </c>
      <c r="O19" s="79" t="e">
        <f t="shared" ca="1" si="18"/>
        <v>#N/A</v>
      </c>
      <c r="P19" s="79" t="e">
        <f t="array" ref="P19">VALUE(INDEX(cryptodata!B4:AA1169, MATCH("chainlink",cryptodata!B4:B1169,0), 4))</f>
        <v>#N/A</v>
      </c>
      <c r="Q19" s="80" t="s">
        <v>20</v>
      </c>
      <c r="R19" s="83" t="e">
        <f t="array" ref="R19">VALUE(INDEX(cryptodata!B1:Z1169, MATCH("chainlink",cryptodata!B1:B1169,0), 8))/100</f>
        <v>#N/A</v>
      </c>
      <c r="S19" s="83" t="e">
        <f t="array" ref="S19">VALUE(INDEX(cryptodata!B4:AA1169, MATCH("chainlink",cryptodata!B4:B1169,0), 10))/100</f>
        <v>#N/A</v>
      </c>
      <c r="T19" s="80">
        <f>C170</f>
        <v>0</v>
      </c>
      <c r="U19" s="19"/>
      <c r="V19" s="64">
        <f>J170</f>
        <v>96.4</v>
      </c>
      <c r="W19" s="84"/>
      <c r="X19" s="74"/>
      <c r="Y19" s="10"/>
      <c r="Z19" s="16"/>
      <c r="AA19" s="16"/>
      <c r="AB19" s="16"/>
      <c r="AC19" s="16"/>
      <c r="AD19" s="16"/>
      <c r="AE19" s="16"/>
      <c r="AF19" s="16"/>
    </row>
    <row r="20" spans="1:32" ht="13">
      <c r="A20" s="67">
        <v>44173</v>
      </c>
      <c r="B20" s="68"/>
      <c r="C20" s="69">
        <v>0.17158101000000001</v>
      </c>
      <c r="D20" s="69"/>
      <c r="E20" s="70">
        <f>1515.78/C20</f>
        <v>8834.19441347268</v>
      </c>
      <c r="F20" s="70">
        <f t="shared" si="9"/>
        <v>1515.7800000000002</v>
      </c>
      <c r="G20" s="71">
        <f t="shared" ca="1" si="10"/>
        <v>7412.3730859311381</v>
      </c>
      <c r="H20" s="61">
        <f>SUM($C$8:C20)</f>
        <v>0.47152274999999999</v>
      </c>
      <c r="J20" s="62">
        <f>SUM($F$8:F20)</f>
        <v>3606.6669834442</v>
      </c>
      <c r="K20" s="77">
        <f>J20/H20</f>
        <v>7648.9776653283434</v>
      </c>
      <c r="L20" s="16"/>
      <c r="N20" s="78" t="s">
        <v>50</v>
      </c>
      <c r="O20" s="79" t="e">
        <f t="shared" ca="1" si="18"/>
        <v>#N/A</v>
      </c>
      <c r="P20" s="79" t="e">
        <f t="array" ref="P20">VALUE(INDEX(cryptodata!B5:AA1169, MATCH("eos",cryptodata!B5:B1169,0), 4))</f>
        <v>#N/A</v>
      </c>
      <c r="Q20" s="80" t="s">
        <v>20</v>
      </c>
      <c r="R20" s="83" t="e">
        <f t="array" ref="R20">VALUE(INDEX(cryptodata!B1:Z1169, MATCH("eos",cryptodata!B1:B1169,0), 8))/100</f>
        <v>#N/A</v>
      </c>
      <c r="S20" s="83" t="e">
        <f t="array" ref="S20">VALUE(INDEX(cryptodata!B5:AA1169, MATCH("eos",cryptodata!B5:B1169,0), 10))/100</f>
        <v>#N/A</v>
      </c>
      <c r="T20" s="80">
        <f>C176</f>
        <v>0</v>
      </c>
      <c r="U20" s="19"/>
      <c r="V20" s="64">
        <f>J176</f>
        <v>12.65</v>
      </c>
      <c r="W20" s="84"/>
      <c r="X20" s="74"/>
      <c r="Y20" s="10"/>
      <c r="Z20" s="16"/>
      <c r="AA20" s="16"/>
      <c r="AB20" s="16"/>
      <c r="AC20" s="16"/>
      <c r="AD20" s="16"/>
      <c r="AE20" s="16"/>
      <c r="AF20" s="16"/>
    </row>
    <row r="21" spans="1:32" ht="13">
      <c r="A21" s="67">
        <v>44173</v>
      </c>
      <c r="B21" s="68"/>
      <c r="C21" s="69">
        <v>-0.175478</v>
      </c>
      <c r="D21" s="69"/>
      <c r="E21" s="70">
        <f>-1531.95/C21</f>
        <v>8730.1542073650271</v>
      </c>
      <c r="F21" s="70">
        <f t="shared" si="9"/>
        <v>-1531.9500000000003</v>
      </c>
      <c r="G21" s="71">
        <f t="shared" ca="1" si="10"/>
        <v>-7598.9814895222025</v>
      </c>
      <c r="H21" s="16">
        <f>C21</f>
        <v>-0.175478</v>
      </c>
      <c r="J21" s="62">
        <f>E21-K20</f>
        <v>1081.1765420366837</v>
      </c>
      <c r="K21" s="82">
        <f>H21*J21</f>
        <v>-189.72269724351318</v>
      </c>
      <c r="L21" s="16"/>
      <c r="N21" s="78" t="s">
        <v>51</v>
      </c>
      <c r="O21" s="79" t="e">
        <f t="shared" ref="O21:O23" ca="1" si="19">P21/$R$26</f>
        <v>#N/A</v>
      </c>
      <c r="P21" s="79" t="e">
        <f t="array" ref="P21">VALUE(INDEX(cryptodata!B3:AA1169, MATCH("xrp",cryptodata!B3:B1169,0), 4))</f>
        <v>#N/A</v>
      </c>
      <c r="Q21" s="80" t="s">
        <v>20</v>
      </c>
      <c r="R21" s="21" t="e">
        <f t="array" ref="R21">VALUE(INDEX(cryptodata!B1:Z1169, MATCH("xrp",cryptodata!B1:B1169,0), 8))/100</f>
        <v>#N/A</v>
      </c>
      <c r="S21" s="21" t="e">
        <f t="array" ref="S21">VALUE(INDEX(cryptodata!B3:AA1169, MATCH("xrp",cryptodata!B3:B1169,0), 10))/100</f>
        <v>#N/A</v>
      </c>
      <c r="T21" s="80">
        <f>C212</f>
        <v>-4.5939999999973224E-3</v>
      </c>
      <c r="U21" s="19"/>
      <c r="V21" s="19" t="e">
        <f ca="1">J212</f>
        <v>#N/A</v>
      </c>
      <c r="W21" s="21"/>
      <c r="X21" s="74"/>
      <c r="Y21" s="16"/>
      <c r="Z21" s="16"/>
      <c r="AA21" s="16"/>
      <c r="AB21" s="16"/>
      <c r="AC21" s="16"/>
      <c r="AD21" s="16"/>
      <c r="AE21" s="16"/>
      <c r="AF21" s="16"/>
    </row>
    <row r="22" spans="1:32" ht="13">
      <c r="A22" s="76" t="s">
        <v>52</v>
      </c>
      <c r="B22" s="68"/>
      <c r="C22" s="69">
        <f>0.0951685</f>
        <v>9.5168500000000003E-2</v>
      </c>
      <c r="D22" s="69"/>
      <c r="E22" s="70">
        <f>F22/C23</f>
        <v>8404.2656892753403</v>
      </c>
      <c r="F22" s="69">
        <v>-862.16</v>
      </c>
      <c r="G22" s="71">
        <f ca="1">((C23*$O$2)-F22)</f>
        <v>-4475.8637852273496</v>
      </c>
      <c r="H22" s="61">
        <f>SUM($C$8:C22)</f>
        <v>0.39121324999999996</v>
      </c>
      <c r="J22" s="62">
        <f>SUM($F$8:F22)</f>
        <v>1212.5569834441999</v>
      </c>
      <c r="K22" s="77">
        <f>J22/H22</f>
        <v>3099.4783112386913</v>
      </c>
      <c r="L22" s="16"/>
      <c r="N22" s="78" t="s">
        <v>53</v>
      </c>
      <c r="O22" s="79" t="e">
        <f t="shared" ca="1" si="19"/>
        <v>#N/A</v>
      </c>
      <c r="P22" s="79" t="e">
        <f t="array" ref="P22">VALUE(INDEX(cryptodata!B8:AA1169, MATCH("vechain",cryptodata!B8:B1169,0), 4))</f>
        <v>#N/A</v>
      </c>
      <c r="Q22" s="80" t="s">
        <v>20</v>
      </c>
      <c r="R22" s="21" t="e">
        <f t="array" ref="R22">VALUE(INDEX(cryptodata!B1:Z1169, MATCH("vechain",cryptodata!B1:B1169,0), 8))/100</f>
        <v>#N/A</v>
      </c>
      <c r="S22" s="21" t="e">
        <f t="array" ref="S22">VALUE(INDEX(cryptodata!B8:AA1169, MATCH("vechain",cryptodata!B8:B1169,0), 10))/100</f>
        <v>#N/A</v>
      </c>
      <c r="T22" s="80">
        <f>C195</f>
        <v>0</v>
      </c>
      <c r="U22" s="19"/>
      <c r="V22" s="19" t="e">
        <f ca="1">J195</f>
        <v>#N/A</v>
      </c>
      <c r="W22" s="21"/>
      <c r="Y22" s="16"/>
      <c r="Z22" s="16"/>
      <c r="AA22" s="16"/>
      <c r="AB22" s="16"/>
      <c r="AC22" s="16"/>
      <c r="AD22" s="16"/>
      <c r="AE22" s="16"/>
      <c r="AF22" s="16"/>
    </row>
    <row r="23" spans="1:32" ht="13">
      <c r="A23" s="76" t="s">
        <v>54</v>
      </c>
      <c r="B23" s="68"/>
      <c r="C23" s="69">
        <v>-0.102586</v>
      </c>
      <c r="D23" s="69"/>
      <c r="E23" s="70">
        <v>8404</v>
      </c>
      <c r="F23" s="70">
        <f>C22*E23</f>
        <v>799.79607399999998</v>
      </c>
      <c r="G23" s="71">
        <f ca="1">((C22*$O$2)-F23)</f>
        <v>4152.2608987293106</v>
      </c>
      <c r="H23" s="16">
        <f>C23</f>
        <v>-0.102586</v>
      </c>
      <c r="J23" s="62">
        <f>E23-K22</f>
        <v>5304.5216887613087</v>
      </c>
      <c r="K23" s="82">
        <f>H23*J23</f>
        <v>-544.16966196326757</v>
      </c>
      <c r="L23" s="16"/>
      <c r="M23" s="16"/>
      <c r="N23" s="78" t="s">
        <v>55</v>
      </c>
      <c r="O23" s="79" t="e">
        <f t="shared" ca="1" si="19"/>
        <v>#N/A</v>
      </c>
      <c r="P23" s="79" t="e">
        <f t="array" ref="P23">VALUE(INDEX(cryptodata!B26:AA1169, MATCH("VEROX",cryptodata!B26:B1169,0), 4))</f>
        <v>#N/A</v>
      </c>
      <c r="Q23" s="80" t="s">
        <v>20</v>
      </c>
      <c r="R23" s="21" t="e">
        <f t="array" ref="R23">VALUE(INDEX(cryptodata!B18:Z1169, MATCH("VEROX",cryptodata!B18:B1169,0), 8))/100</f>
        <v>#N/A</v>
      </c>
      <c r="S23" s="21" t="e">
        <f t="array" ref="S23">VALUE(INDEX(cryptodata!B27:AA1169, MATCH("VEROX",cryptodata!B27:B1169,0), 10))/100</f>
        <v>#N/A</v>
      </c>
      <c r="T23" s="80">
        <f>C148</f>
        <v>0</v>
      </c>
      <c r="U23" s="23">
        <f>I147</f>
        <v>0</v>
      </c>
      <c r="V23" s="19">
        <f>J218</f>
        <v>-95.547665777777809</v>
      </c>
      <c r="W23" s="21"/>
      <c r="X23" s="10"/>
      <c r="Y23" s="16"/>
      <c r="Z23" s="16"/>
      <c r="AA23" s="16"/>
      <c r="AB23" s="16"/>
      <c r="AC23" s="16"/>
      <c r="AD23" s="16"/>
      <c r="AE23" s="16"/>
      <c r="AF23" s="16"/>
    </row>
    <row r="24" spans="1:32" ht="13">
      <c r="A24" s="67">
        <v>44287</v>
      </c>
      <c r="B24" s="68"/>
      <c r="C24" s="69">
        <v>1.875574E-2</v>
      </c>
      <c r="D24" s="69"/>
      <c r="E24" s="70">
        <v>20562</v>
      </c>
      <c r="F24" s="70">
        <f>C24*E24</f>
        <v>385.65552587999997</v>
      </c>
      <c r="G24" s="71">
        <f ca="1">((C24*$O$2)-F24)</f>
        <v>590.292324991854</v>
      </c>
      <c r="H24" s="10"/>
      <c r="I24" s="32"/>
      <c r="J24" s="32"/>
      <c r="K24" s="85"/>
      <c r="L24" s="16"/>
      <c r="M24" s="16"/>
      <c r="T24" s="10"/>
      <c r="U24" s="10"/>
      <c r="V24" s="10"/>
      <c r="W24" s="10"/>
      <c r="X24" s="10"/>
      <c r="Y24" s="16"/>
      <c r="Z24" s="16"/>
      <c r="AA24" s="16"/>
      <c r="AB24" s="16"/>
      <c r="AC24" s="16"/>
      <c r="AD24" s="16"/>
      <c r="AE24" s="16"/>
      <c r="AF24" s="16"/>
    </row>
    <row r="25" spans="1:32" ht="14">
      <c r="A25" s="59"/>
      <c r="B25" s="16"/>
      <c r="C25" s="86">
        <f>SUM(C8:C24)-0.00684671</f>
        <v>0.30053627999999999</v>
      </c>
      <c r="D25" s="10"/>
      <c r="E25" s="16"/>
      <c r="F25" s="87">
        <f>SUM(F8:F24)</f>
        <v>2398.0085833241997</v>
      </c>
      <c r="G25" s="10"/>
      <c r="H25" s="32">
        <f>F25/C25</f>
        <v>7979.0985079212387</v>
      </c>
      <c r="I25" s="32">
        <f ca="1">$O$2*C25</f>
        <v>15638.291881579811</v>
      </c>
      <c r="J25" s="32">
        <f ca="1">I25-F25</f>
        <v>13240.283298255612</v>
      </c>
      <c r="K25" s="85">
        <f ca="1">(I25-F25)/F25</f>
        <v>5.5213660994913907</v>
      </c>
      <c r="L25" s="16"/>
      <c r="M25" s="62">
        <f ca="1">18000/R26</f>
        <v>14138.050205787285</v>
      </c>
      <c r="N25" s="221" t="s">
        <v>56</v>
      </c>
      <c r="O25" s="220"/>
      <c r="P25" s="10"/>
      <c r="Q25" s="6" t="s">
        <v>57</v>
      </c>
      <c r="R25" s="6" t="s">
        <v>26</v>
      </c>
      <c r="S25" s="6" t="s">
        <v>58</v>
      </c>
      <c r="T25" s="16"/>
      <c r="U25" s="10"/>
      <c r="V25" s="221" t="s">
        <v>59</v>
      </c>
      <c r="W25" s="220"/>
      <c r="X25" s="88" t="s">
        <v>60</v>
      </c>
      <c r="Y25" s="16"/>
      <c r="Z25" s="16"/>
      <c r="AA25" s="16"/>
      <c r="AB25" s="16"/>
      <c r="AC25" s="16"/>
      <c r="AD25" s="16"/>
      <c r="AE25" s="16"/>
      <c r="AF25" s="16"/>
    </row>
    <row r="26" spans="1:32" ht="13">
      <c r="A26" s="89"/>
      <c r="B26" s="90"/>
      <c r="C26" s="90"/>
      <c r="D26" s="90"/>
      <c r="E26" s="90"/>
      <c r="F26" s="90"/>
      <c r="G26" s="90"/>
      <c r="H26" s="91"/>
      <c r="I26" s="92"/>
      <c r="J26" s="92"/>
      <c r="K26" s="93"/>
      <c r="L26" s="16"/>
      <c r="M26" s="16"/>
      <c r="N26" s="94" t="s">
        <v>61</v>
      </c>
      <c r="O26" s="94" t="s">
        <v>62</v>
      </c>
      <c r="P26" s="16"/>
      <c r="Q26" s="18" t="s">
        <v>63</v>
      </c>
      <c r="R26" s="95">
        <f ca="1">IFERROR(__xludf.DUMMYFUNCTION("GOOGLEFINANCE(""Currency:GBPUSD"")"),1.27315999999999)</f>
        <v>1.2731599999999901</v>
      </c>
      <c r="S26" s="95"/>
      <c r="T26" s="16"/>
      <c r="U26" s="96"/>
      <c r="V26" s="97" t="s">
        <v>64</v>
      </c>
      <c r="W26" s="98">
        <v>500</v>
      </c>
      <c r="X26" s="99">
        <f>(W26-O4)/O4</f>
        <v>110.11111111111111</v>
      </c>
      <c r="Y26" s="16"/>
      <c r="Z26" s="16"/>
      <c r="AA26" s="16"/>
      <c r="AB26" s="16"/>
      <c r="AC26" s="16"/>
      <c r="AD26" s="16"/>
      <c r="AE26" s="16"/>
      <c r="AF26" s="16"/>
    </row>
    <row r="27" spans="1:32" ht="13">
      <c r="A27" s="16"/>
      <c r="B27" s="16"/>
      <c r="C27" s="16"/>
      <c r="D27" s="16"/>
      <c r="E27" s="16"/>
      <c r="F27" s="16"/>
      <c r="G27" s="16"/>
      <c r="H27" s="16"/>
      <c r="I27" s="32"/>
      <c r="J27" s="32"/>
      <c r="K27" s="10"/>
      <c r="L27" s="16"/>
      <c r="M27" s="16"/>
      <c r="N27" s="94" t="s">
        <v>40</v>
      </c>
      <c r="O27" s="94" t="s">
        <v>65</v>
      </c>
      <c r="P27" s="16"/>
      <c r="Q27" s="18" t="s">
        <v>66</v>
      </c>
      <c r="R27" s="33">
        <f ca="1">IFERROR(__xludf.DUMMYFUNCTION("GOOGLEFINANCE("".INX"", ""price"")"),5104.76)</f>
        <v>5104.76</v>
      </c>
      <c r="S27" s="21">
        <f ca="1">IFERROR(__xludf.DUMMYFUNCTION("GOOGLEFINANCE("".INX"",""changepct"")/100"),0.0051)</f>
        <v>5.1000000000000004E-3</v>
      </c>
      <c r="T27" s="16"/>
      <c r="U27" s="96"/>
      <c r="V27" s="97" t="s">
        <v>27</v>
      </c>
      <c r="W27" s="98">
        <f>T4*W26</f>
        <v>2630121.0439999998</v>
      </c>
      <c r="X27" s="94"/>
      <c r="Y27" s="16"/>
      <c r="Z27" s="16"/>
      <c r="AA27" s="16"/>
      <c r="AB27" s="16"/>
      <c r="AC27" s="16"/>
      <c r="AD27" s="16"/>
      <c r="AE27" s="16"/>
      <c r="AF27" s="16"/>
    </row>
    <row r="28" spans="1:32" ht="13">
      <c r="A28" s="48" t="s">
        <v>24</v>
      </c>
      <c r="B28" s="48" t="s">
        <v>2</v>
      </c>
      <c r="C28" s="48" t="s">
        <v>25</v>
      </c>
      <c r="D28" s="48"/>
      <c r="E28" s="48" t="s">
        <v>26</v>
      </c>
      <c r="F28" s="48" t="s">
        <v>27</v>
      </c>
      <c r="G28" s="48" t="s">
        <v>28</v>
      </c>
      <c r="H28" s="48" t="s">
        <v>29</v>
      </c>
      <c r="I28" s="48" t="s">
        <v>9</v>
      </c>
      <c r="J28" s="48" t="s">
        <v>30</v>
      </c>
      <c r="K28" s="48" t="s">
        <v>31</v>
      </c>
      <c r="L28" s="16"/>
      <c r="M28" s="16"/>
      <c r="N28" s="94"/>
      <c r="O28" s="94"/>
      <c r="P28" s="16"/>
      <c r="Q28" s="18" t="s">
        <v>67</v>
      </c>
      <c r="R28" s="33">
        <f ca="1">IFERROR(__xludf.DUMMYFUNCTION("GOOGLEFINANCE(""UKX"", ""price"")"),7679.31)</f>
        <v>7679.31</v>
      </c>
      <c r="S28" s="21">
        <f ca="1">IFERROR(__xludf.DUMMYFUNCTION("GOOGLEFINANCE(""UKX"",""changepct"")/100"),0.0043)</f>
        <v>4.3E-3</v>
      </c>
      <c r="T28" s="16"/>
      <c r="U28" s="10"/>
      <c r="V28" s="221" t="s">
        <v>68</v>
      </c>
      <c r="W28" s="220"/>
      <c r="X28" s="94"/>
      <c r="Y28" s="16"/>
      <c r="Z28" s="16"/>
      <c r="AA28" s="16"/>
      <c r="AB28" s="16"/>
      <c r="AC28" s="16"/>
      <c r="AD28" s="16"/>
      <c r="AE28" s="16"/>
      <c r="AF28" s="16"/>
    </row>
    <row r="29" spans="1:32" ht="13">
      <c r="A29" s="51" t="s">
        <v>36</v>
      </c>
      <c r="B29" s="52" t="s">
        <v>18</v>
      </c>
      <c r="C29" s="56">
        <v>1</v>
      </c>
      <c r="D29" s="56"/>
      <c r="E29" s="55">
        <v>200.51</v>
      </c>
      <c r="F29" s="55">
        <f t="shared" ref="F29:F32" si="20">C29*E29</f>
        <v>200.51</v>
      </c>
      <c r="G29" s="55">
        <f t="shared" ref="G29:G49" ca="1" si="21">((C29*$O$3)-F29)</f>
        <v>2808.6404602721022</v>
      </c>
      <c r="H29" s="56"/>
      <c r="I29" s="100"/>
      <c r="J29" s="100"/>
      <c r="K29" s="101"/>
      <c r="L29" s="16"/>
      <c r="M29" s="16"/>
      <c r="N29" s="16"/>
      <c r="O29" s="16"/>
      <c r="P29" s="16"/>
      <c r="Q29" s="18" t="s">
        <v>69</v>
      </c>
      <c r="R29" s="95">
        <f ca="1">IFERROR(__xludf.DUMMYFUNCTION("GOOGLEFINANCE(""Currency:GBPEUR"")"),1.16815)</f>
        <v>1.16815</v>
      </c>
      <c r="S29" s="95"/>
      <c r="T29" s="16"/>
      <c r="U29" s="96"/>
      <c r="V29" s="97" t="s">
        <v>64</v>
      </c>
      <c r="W29" s="98">
        <v>5000</v>
      </c>
      <c r="X29" s="99">
        <f>(W29-O5)/O5</f>
        <v>99</v>
      </c>
      <c r="Z29" s="16"/>
      <c r="AA29" s="16"/>
      <c r="AB29" s="16"/>
      <c r="AC29" s="16"/>
      <c r="AD29" s="16"/>
      <c r="AE29" s="16"/>
      <c r="AF29" s="16"/>
    </row>
    <row r="30" spans="1:32" ht="13">
      <c r="A30" s="59" t="s">
        <v>70</v>
      </c>
      <c r="B30" s="60"/>
      <c r="C30" s="16">
        <v>1</v>
      </c>
      <c r="D30" s="16"/>
      <c r="E30" s="47">
        <v>165</v>
      </c>
      <c r="F30" s="47">
        <f t="shared" si="20"/>
        <v>165</v>
      </c>
      <c r="G30" s="47">
        <f t="shared" ca="1" si="21"/>
        <v>2844.1504602721025</v>
      </c>
      <c r="H30" s="16"/>
      <c r="I30" s="32"/>
      <c r="J30" s="32"/>
      <c r="K30" s="102"/>
      <c r="L30" s="16"/>
      <c r="M30" s="16"/>
      <c r="N30" s="16"/>
      <c r="Q30" s="103"/>
      <c r="R30" s="10"/>
      <c r="S30" s="104"/>
      <c r="T30" s="105"/>
      <c r="U30" s="96"/>
      <c r="V30" s="97" t="s">
        <v>27</v>
      </c>
      <c r="W30" s="98">
        <f>T5*W29</f>
        <v>1259322.1183534309</v>
      </c>
      <c r="X30" s="94"/>
      <c r="Z30" s="16"/>
      <c r="AA30" s="16"/>
      <c r="AB30" s="16"/>
      <c r="AC30" s="16"/>
      <c r="AD30" s="16"/>
      <c r="AE30" s="16"/>
      <c r="AF30" s="16"/>
    </row>
    <row r="31" spans="1:32" ht="13">
      <c r="A31" s="106">
        <v>44168</v>
      </c>
      <c r="B31" s="60"/>
      <c r="C31" s="16">
        <v>1</v>
      </c>
      <c r="D31" s="16"/>
      <c r="E31" s="47">
        <v>109.76</v>
      </c>
      <c r="F31" s="47">
        <f t="shared" si="20"/>
        <v>109.76</v>
      </c>
      <c r="G31" s="47">
        <f t="shared" ca="1" si="21"/>
        <v>2899.3904602721022</v>
      </c>
      <c r="H31" s="16"/>
      <c r="I31" s="32"/>
      <c r="J31" s="32"/>
      <c r="K31" s="102"/>
      <c r="L31" s="16"/>
      <c r="M31" s="16"/>
      <c r="N31" s="16"/>
      <c r="O31" s="16"/>
      <c r="P31" s="16"/>
      <c r="Q31" s="103"/>
      <c r="R31" s="10"/>
      <c r="S31" s="104"/>
      <c r="T31" s="105"/>
      <c r="U31" s="10"/>
      <c r="V31" s="221" t="s">
        <v>71</v>
      </c>
      <c r="W31" s="220"/>
      <c r="X31" s="94"/>
      <c r="Y31" s="16"/>
      <c r="Z31" s="16"/>
      <c r="AA31" s="16"/>
      <c r="AB31" s="16"/>
      <c r="AC31" s="16"/>
      <c r="AD31" s="16"/>
      <c r="AE31" s="16"/>
      <c r="AF31" s="16"/>
    </row>
    <row r="32" spans="1:32" ht="13">
      <c r="A32" s="106">
        <v>44168</v>
      </c>
      <c r="B32" s="60"/>
      <c r="C32" s="16">
        <v>1</v>
      </c>
      <c r="D32" s="16"/>
      <c r="E32" s="47">
        <v>109.76</v>
      </c>
      <c r="F32" s="47">
        <f t="shared" si="20"/>
        <v>109.76</v>
      </c>
      <c r="G32" s="47">
        <f t="shared" ca="1" si="21"/>
        <v>2899.3904602721022</v>
      </c>
      <c r="H32" s="16"/>
      <c r="I32" s="32"/>
      <c r="J32" s="32"/>
      <c r="K32" s="102"/>
      <c r="L32" s="16"/>
      <c r="M32" s="16"/>
      <c r="N32" s="16"/>
      <c r="O32" s="16"/>
      <c r="P32" s="16"/>
      <c r="Q32" s="16"/>
      <c r="R32" s="10"/>
      <c r="S32" s="104"/>
      <c r="T32" s="107"/>
      <c r="U32" s="96"/>
      <c r="V32" s="97" t="s">
        <v>64</v>
      </c>
      <c r="W32" s="98">
        <v>1000000</v>
      </c>
      <c r="X32" s="99">
        <f ca="1">(W32-O2)/O2</f>
        <v>18.217973566153905</v>
      </c>
      <c r="Y32" s="16"/>
      <c r="Z32" s="16"/>
      <c r="AA32" s="16"/>
      <c r="AB32" s="16"/>
      <c r="AC32" s="16"/>
      <c r="AD32" s="16"/>
      <c r="AE32" s="16"/>
      <c r="AF32" s="16"/>
    </row>
    <row r="33" spans="1:33" ht="13">
      <c r="A33" s="76" t="s">
        <v>72</v>
      </c>
      <c r="B33" s="68"/>
      <c r="C33" s="69">
        <v>6.0953889999999997E-2</v>
      </c>
      <c r="D33" s="69"/>
      <c r="E33" s="71">
        <f t="shared" ref="E33:E35" si="22">F33/C33</f>
        <v>334.51515563649838</v>
      </c>
      <c r="F33" s="71">
        <v>20.39</v>
      </c>
      <c r="G33" s="71">
        <f t="shared" ca="1" si="21"/>
        <v>163.02942614887507</v>
      </c>
      <c r="H33" s="16">
        <f>SUM($C$29:C33)</f>
        <v>4.0609538900000004</v>
      </c>
      <c r="J33" s="47">
        <f>SUM($F$29:F33)</f>
        <v>605.41999999999996</v>
      </c>
      <c r="K33" s="77">
        <f>J33/H33</f>
        <v>149.08319976024154</v>
      </c>
      <c r="L33" s="16"/>
      <c r="M33" s="16"/>
      <c r="N33" s="16"/>
      <c r="O33" s="16"/>
      <c r="P33" s="16"/>
      <c r="Q33" s="16"/>
      <c r="R33" s="10"/>
      <c r="S33" s="104"/>
      <c r="T33" s="107"/>
      <c r="U33" s="96"/>
      <c r="V33" s="97" t="s">
        <v>27</v>
      </c>
      <c r="W33" s="98">
        <f>T2*W32</f>
        <v>300536.27999999997</v>
      </c>
      <c r="X33" s="48"/>
      <c r="Y33" s="16"/>
      <c r="Z33" s="16"/>
      <c r="AA33" s="16"/>
      <c r="AB33" s="16"/>
      <c r="AC33" s="16"/>
      <c r="AD33" s="16"/>
      <c r="AE33" s="16"/>
      <c r="AF33" s="16"/>
    </row>
    <row r="34" spans="1:33" ht="13">
      <c r="A34" s="76" t="s">
        <v>72</v>
      </c>
      <c r="B34" s="68"/>
      <c r="C34" s="69">
        <v>-6.5070610000000001E-2</v>
      </c>
      <c r="D34" s="69"/>
      <c r="E34" s="71">
        <f t="shared" si="22"/>
        <v>323.4947390227324</v>
      </c>
      <c r="F34" s="71">
        <v>-21.05</v>
      </c>
      <c r="G34" s="71">
        <f t="shared" ca="1" si="21"/>
        <v>-174.75725603168647</v>
      </c>
      <c r="H34" s="16">
        <f t="shared" ref="H34:H36" si="23">C34</f>
        <v>-6.5070610000000001E-2</v>
      </c>
      <c r="J34" s="47">
        <f>E34-K33</f>
        <v>174.41153926249086</v>
      </c>
      <c r="K34" s="108">
        <f t="shared" ref="K34:K36" si="24">H34*J34</f>
        <v>-11.349065250849231</v>
      </c>
      <c r="L34" s="16"/>
      <c r="M34" s="16"/>
      <c r="N34" s="16"/>
      <c r="O34" s="16"/>
      <c r="P34" s="16"/>
      <c r="Q34" s="16"/>
      <c r="R34" s="10"/>
      <c r="S34" s="104"/>
      <c r="T34" s="105"/>
      <c r="U34" s="10"/>
      <c r="V34" s="221" t="s">
        <v>73</v>
      </c>
      <c r="W34" s="220"/>
      <c r="X34" s="98"/>
      <c r="Y34" s="16"/>
      <c r="Z34" s="16"/>
      <c r="AA34" s="16"/>
      <c r="AB34" s="16"/>
      <c r="AC34" s="16"/>
      <c r="AD34" s="16"/>
      <c r="AE34" s="16"/>
      <c r="AF34" s="16"/>
    </row>
    <row r="35" spans="1:33" ht="13">
      <c r="A35" s="76" t="s">
        <v>72</v>
      </c>
      <c r="B35" s="68"/>
      <c r="C35" s="69">
        <v>-3.5023020000000002E-2</v>
      </c>
      <c r="D35" s="69"/>
      <c r="E35" s="71">
        <f t="shared" si="22"/>
        <v>325.21467309215484</v>
      </c>
      <c r="F35" s="71">
        <v>-11.39</v>
      </c>
      <c r="G35" s="71">
        <f t="shared" ca="1" si="21"/>
        <v>-93.99953675311906</v>
      </c>
      <c r="H35" s="16">
        <f t="shared" si="23"/>
        <v>-3.5023020000000002E-2</v>
      </c>
      <c r="J35" s="47">
        <f>E35-K33</f>
        <v>176.1314733319133</v>
      </c>
      <c r="K35" s="108">
        <f t="shared" si="24"/>
        <v>-6.1686561131330668</v>
      </c>
      <c r="L35" s="16"/>
      <c r="M35" s="16">
        <f>169*2</f>
        <v>338</v>
      </c>
      <c r="N35" s="16"/>
      <c r="O35" s="16"/>
      <c r="P35" s="16"/>
      <c r="Q35" s="16"/>
      <c r="T35" s="16"/>
      <c r="U35" s="96"/>
      <c r="V35" s="97" t="s">
        <v>64</v>
      </c>
      <c r="W35" s="98">
        <v>15000</v>
      </c>
      <c r="X35" s="99">
        <f ca="1">(W35-O3)/O3</f>
        <v>3.9847956086062988</v>
      </c>
      <c r="Y35" s="16"/>
      <c r="Z35" s="16"/>
      <c r="AA35" s="16"/>
      <c r="AB35" s="16"/>
      <c r="AC35" s="16"/>
      <c r="AD35" s="16"/>
      <c r="AE35" s="16"/>
      <c r="AF35" s="16"/>
    </row>
    <row r="36" spans="1:33" ht="13">
      <c r="A36" s="76" t="s">
        <v>72</v>
      </c>
      <c r="B36" s="68"/>
      <c r="C36" s="69">
        <v>-3.4000000000000002E-2</v>
      </c>
      <c r="D36" s="69"/>
      <c r="E36" s="71">
        <f>-11.49/C36</f>
        <v>337.94117647058823</v>
      </c>
      <c r="F36" s="71">
        <f t="shared" ref="F36:F41" si="25">C36*E36</f>
        <v>-11.49</v>
      </c>
      <c r="G36" s="71">
        <f t="shared" ca="1" si="21"/>
        <v>-90.821115649251496</v>
      </c>
      <c r="H36" s="16">
        <f t="shared" si="23"/>
        <v>-3.4000000000000002E-2</v>
      </c>
      <c r="J36" s="47">
        <f>E36-K33</f>
        <v>188.85797671034669</v>
      </c>
      <c r="K36" s="108">
        <f t="shared" si="24"/>
        <v>-6.4211712081517875</v>
      </c>
      <c r="L36" s="16"/>
      <c r="M36" s="16">
        <v>252</v>
      </c>
      <c r="N36" s="16">
        <v>145</v>
      </c>
      <c r="O36" s="16"/>
      <c r="P36" s="16"/>
      <c r="Q36" s="16"/>
      <c r="U36" s="96"/>
      <c r="V36" s="97" t="s">
        <v>27</v>
      </c>
      <c r="W36" s="98">
        <f>T3*W35</f>
        <v>354.44359443273026</v>
      </c>
      <c r="X36" s="94"/>
      <c r="Y36" s="16"/>
      <c r="Z36" s="16"/>
      <c r="AA36" s="16"/>
      <c r="AB36" s="16"/>
      <c r="AC36" s="16"/>
      <c r="AD36" s="16"/>
      <c r="AE36" s="16"/>
      <c r="AF36" s="16"/>
    </row>
    <row r="37" spans="1:33" ht="13">
      <c r="A37" s="67">
        <v>43870</v>
      </c>
      <c r="B37" s="68"/>
      <c r="C37" s="69">
        <v>3</v>
      </c>
      <c r="D37" s="69"/>
      <c r="E37" s="71">
        <v>334.2</v>
      </c>
      <c r="F37" s="71">
        <f t="shared" si="25"/>
        <v>1002.5999999999999</v>
      </c>
      <c r="G37" s="71">
        <f t="shared" ca="1" si="21"/>
        <v>8024.8513808163061</v>
      </c>
      <c r="H37" s="16">
        <f>SUM($C$29:C37)</f>
        <v>6.9268602600000007</v>
      </c>
      <c r="J37" s="47">
        <f>SUM($F$29:F37)</f>
        <v>1564.09</v>
      </c>
      <c r="K37" s="77">
        <f>J37/H37</f>
        <v>225.80071508473014</v>
      </c>
      <c r="L37" s="16"/>
      <c r="M37" s="16">
        <f>M35-M36</f>
        <v>86</v>
      </c>
      <c r="N37" s="16">
        <v>120</v>
      </c>
      <c r="O37" s="16"/>
      <c r="P37" s="16"/>
      <c r="Q37" s="16"/>
      <c r="W37" s="41">
        <f>W27+W30+W33+W36</f>
        <v>4190333.8859478636</v>
      </c>
      <c r="X37" s="10"/>
      <c r="Y37" s="16"/>
      <c r="Z37" s="16"/>
      <c r="AA37" s="16"/>
      <c r="AB37" s="16"/>
      <c r="AC37" s="16"/>
      <c r="AD37" s="16"/>
      <c r="AE37" s="16"/>
      <c r="AF37" s="16"/>
    </row>
    <row r="38" spans="1:33" ht="13">
      <c r="A38" s="67">
        <v>43991</v>
      </c>
      <c r="B38" s="68"/>
      <c r="C38" s="69">
        <v>-1</v>
      </c>
      <c r="D38" s="69"/>
      <c r="E38" s="71">
        <v>257.93</v>
      </c>
      <c r="F38" s="71">
        <f t="shared" si="25"/>
        <v>-257.93</v>
      </c>
      <c r="G38" s="71">
        <f t="shared" ca="1" si="21"/>
        <v>-2751.2204602721026</v>
      </c>
      <c r="H38" s="16">
        <f t="shared" ref="H38:H39" si="26">C38</f>
        <v>-1</v>
      </c>
      <c r="J38" s="47">
        <f>E38-K37</f>
        <v>32.129284915269864</v>
      </c>
      <c r="K38" s="108">
        <f t="shared" ref="K38:K39" si="27">H38*J38</f>
        <v>-32.129284915269864</v>
      </c>
      <c r="L38" s="16"/>
      <c r="M38" s="16"/>
      <c r="N38" s="16"/>
      <c r="O38" s="16"/>
      <c r="P38" s="16"/>
      <c r="Q38" s="16"/>
      <c r="R38" s="16"/>
      <c r="X38" s="47"/>
      <c r="Y38" s="16"/>
      <c r="Z38" s="16"/>
      <c r="AA38" s="16"/>
      <c r="AB38" s="16"/>
      <c r="AC38" s="16"/>
      <c r="AD38" s="16"/>
      <c r="AE38" s="16"/>
      <c r="AF38" s="16"/>
    </row>
    <row r="39" spans="1:33" ht="13">
      <c r="A39" s="76" t="s">
        <v>52</v>
      </c>
      <c r="B39" s="68"/>
      <c r="C39" s="69">
        <f>-5.92686026+3+2.725062</f>
        <v>-0.2017982599999999</v>
      </c>
      <c r="D39" s="69"/>
      <c r="E39" s="71">
        <v>298.83999999999997</v>
      </c>
      <c r="F39" s="71">
        <f t="shared" si="25"/>
        <v>-60.305392018399964</v>
      </c>
      <c r="G39" s="71">
        <f t="shared" ca="1" si="21"/>
        <v>-546.93593494270908</v>
      </c>
      <c r="H39" s="16">
        <f t="shared" si="26"/>
        <v>-0.2017982599999999</v>
      </c>
      <c r="J39" s="47">
        <f>E39-K37</f>
        <v>73.039284915269832</v>
      </c>
      <c r="K39" s="108">
        <f t="shared" si="27"/>
        <v>-14.739200607545692</v>
      </c>
      <c r="L39" s="16"/>
      <c r="M39" s="16">
        <f>198-70</f>
        <v>128</v>
      </c>
      <c r="N39" s="16"/>
      <c r="O39" s="16"/>
      <c r="P39" s="16"/>
      <c r="Q39" s="16"/>
      <c r="R39" s="16"/>
      <c r="U39" s="10"/>
      <c r="V39" s="225" t="s">
        <v>74</v>
      </c>
      <c r="W39" s="220"/>
      <c r="X39" s="47"/>
      <c r="Y39" s="16"/>
      <c r="Z39" s="16"/>
      <c r="AA39" s="16"/>
      <c r="AB39" s="16"/>
      <c r="AC39" s="16"/>
      <c r="AD39" s="16"/>
      <c r="AE39" s="16"/>
      <c r="AF39" s="16"/>
    </row>
    <row r="40" spans="1:33" ht="13">
      <c r="A40" s="76" t="s">
        <v>75</v>
      </c>
      <c r="B40" s="68"/>
      <c r="C40" s="69">
        <v>0.38027</v>
      </c>
      <c r="D40" s="69"/>
      <c r="E40" s="71">
        <v>1335.06</v>
      </c>
      <c r="F40" s="71">
        <f t="shared" si="25"/>
        <v>507.68326619999999</v>
      </c>
      <c r="G40" s="71">
        <f t="shared" ca="1" si="21"/>
        <v>636.60637932767236</v>
      </c>
      <c r="H40" s="16">
        <f>SUM($C$29:C40)</f>
        <v>6.1053320000000015</v>
      </c>
      <c r="J40" s="47">
        <f>SUM($F$29:F40)</f>
        <v>1753.5378741815998</v>
      </c>
      <c r="K40" s="77">
        <f>J40/H40</f>
        <v>287.21417183891054</v>
      </c>
      <c r="L40" s="16"/>
      <c r="M40" s="16"/>
      <c r="N40" s="16"/>
      <c r="O40" s="16"/>
      <c r="P40" s="16"/>
      <c r="Q40" s="16"/>
      <c r="R40" s="16"/>
      <c r="U40" s="96"/>
      <c r="V40" s="97" t="s">
        <v>76</v>
      </c>
      <c r="W40" s="98">
        <v>120000</v>
      </c>
      <c r="X40" s="10"/>
      <c r="Y40" s="16"/>
      <c r="Z40" s="16"/>
      <c r="AA40" s="16"/>
      <c r="AB40" s="16"/>
      <c r="AC40" s="16"/>
      <c r="AD40" s="16"/>
      <c r="AE40" s="16"/>
      <c r="AF40" s="16"/>
    </row>
    <row r="41" spans="1:33" ht="13">
      <c r="A41" s="76" t="s">
        <v>75</v>
      </c>
      <c r="B41" s="68"/>
      <c r="C41" s="69">
        <v>-0.35532000000000002</v>
      </c>
      <c r="D41" s="69"/>
      <c r="E41" s="71">
        <v>1335.06</v>
      </c>
      <c r="F41" s="71">
        <f t="shared" si="25"/>
        <v>-474.37351920000003</v>
      </c>
      <c r="G41" s="71">
        <f t="shared" ca="1" si="21"/>
        <v>-594.83782234388343</v>
      </c>
      <c r="H41" s="16">
        <f t="shared" ref="H41:H43" si="28">C41</f>
        <v>-0.35532000000000002</v>
      </c>
      <c r="J41" s="47">
        <f>E41+K40</f>
        <v>1622.2741718389104</v>
      </c>
      <c r="K41" s="108">
        <f t="shared" ref="K41:K43" si="29">H41*J41</f>
        <v>-576.42645873780168</v>
      </c>
      <c r="L41" s="16"/>
      <c r="M41" s="16"/>
      <c r="N41" s="16"/>
      <c r="O41" s="16"/>
      <c r="P41" s="16"/>
      <c r="Q41" s="16"/>
      <c r="R41" s="16"/>
      <c r="S41" s="16"/>
      <c r="T41" s="16"/>
      <c r="U41" s="96"/>
      <c r="V41" s="97" t="s">
        <v>77</v>
      </c>
      <c r="W41" s="98">
        <f>W40/12</f>
        <v>10000</v>
      </c>
      <c r="X41" s="10"/>
      <c r="Y41" s="16"/>
      <c r="Z41" s="16"/>
      <c r="AA41" s="16"/>
      <c r="AB41" s="16"/>
      <c r="AC41" s="16"/>
      <c r="AD41" s="16"/>
      <c r="AE41" s="16"/>
      <c r="AF41" s="16"/>
    </row>
    <row r="42" spans="1:33" ht="13">
      <c r="A42" s="67">
        <v>44319</v>
      </c>
      <c r="B42" s="68"/>
      <c r="C42" s="109">
        <f>-0.65-0.040164838</f>
        <v>-0.69016483800000006</v>
      </c>
      <c r="D42" s="109"/>
      <c r="E42" s="71">
        <f t="shared" ref="E42:E43" si="30">F42/C42</f>
        <v>1101.0992710121229</v>
      </c>
      <c r="F42" s="71">
        <v>-759.94</v>
      </c>
      <c r="G42" s="71">
        <f t="shared" ca="1" si="21"/>
        <v>-1316.8698399313212</v>
      </c>
      <c r="H42" s="110">
        <f t="shared" si="28"/>
        <v>-0.69016483800000006</v>
      </c>
      <c r="J42" s="47">
        <f>E42+K40</f>
        <v>1388.3134428510334</v>
      </c>
      <c r="K42" s="108">
        <f t="shared" si="29"/>
        <v>-958.16512237850577</v>
      </c>
      <c r="L42" s="16"/>
      <c r="M42" s="16">
        <f>127*2</f>
        <v>254</v>
      </c>
      <c r="N42" s="16"/>
      <c r="O42" s="16"/>
      <c r="P42" s="16"/>
      <c r="Q42" s="16"/>
      <c r="R42" s="16"/>
      <c r="S42" s="16"/>
      <c r="T42" s="16"/>
      <c r="U42" s="96"/>
      <c r="V42" s="97" t="s">
        <v>78</v>
      </c>
      <c r="W42" s="94">
        <v>30</v>
      </c>
      <c r="Y42" s="16"/>
      <c r="Z42" s="16"/>
      <c r="AA42" s="16"/>
      <c r="AB42" s="16"/>
      <c r="AC42" s="16"/>
      <c r="AD42" s="16"/>
      <c r="AE42" s="16"/>
      <c r="AF42" s="16"/>
    </row>
    <row r="43" spans="1:33" ht="13">
      <c r="A43" s="67">
        <v>44319</v>
      </c>
      <c r="B43" s="68"/>
      <c r="C43" s="109">
        <f>-1.65-0.04667712207</f>
        <v>-1.6966771220699999</v>
      </c>
      <c r="D43" s="109"/>
      <c r="E43" s="71">
        <f t="shared" si="30"/>
        <v>1100.6808400419702</v>
      </c>
      <c r="F43" s="71">
        <v>-1867.5</v>
      </c>
      <c r="G43" s="71">
        <f t="shared" ca="1" si="21"/>
        <v>-3238.0567428100867</v>
      </c>
      <c r="H43" s="110">
        <f t="shared" si="28"/>
        <v>-1.6966771220699999</v>
      </c>
      <c r="J43" s="47">
        <f>E43+K40</f>
        <v>1387.8950118808807</v>
      </c>
      <c r="K43" s="108">
        <f t="shared" si="29"/>
        <v>-2354.8097144933608</v>
      </c>
      <c r="L43" s="35"/>
      <c r="M43" s="16">
        <v>39</v>
      </c>
      <c r="N43" s="16"/>
      <c r="O43" s="16"/>
      <c r="P43" s="16"/>
      <c r="Q43" s="16"/>
      <c r="R43" s="16"/>
      <c r="S43" s="16"/>
      <c r="T43" s="16"/>
      <c r="U43" s="96"/>
      <c r="V43" s="97" t="s">
        <v>79</v>
      </c>
      <c r="W43" s="111">
        <f>W40*W42</f>
        <v>3600000</v>
      </c>
      <c r="X43" s="16"/>
      <c r="Y43" s="16"/>
      <c r="Z43" s="16"/>
      <c r="AA43" s="35"/>
      <c r="AB43" s="35"/>
      <c r="AC43" s="35"/>
      <c r="AD43" s="35"/>
      <c r="AE43" s="35"/>
      <c r="AF43" s="35"/>
    </row>
    <row r="44" spans="1:33" ht="13">
      <c r="A44" s="59" t="s">
        <v>80</v>
      </c>
      <c r="B44" s="60"/>
      <c r="C44" s="110">
        <v>1.3632255330321801</v>
      </c>
      <c r="D44" s="27"/>
      <c r="E44" s="47">
        <f ca="1">(4914.77/C44)/R26</f>
        <v>2831.7343000196861</v>
      </c>
      <c r="F44" s="47">
        <f t="shared" ref="F44:F49" ca="1" si="31">C44*E44</f>
        <v>3860.2925005498441</v>
      </c>
      <c r="G44" s="47">
        <f t="shared" ca="1" si="21"/>
        <v>241.85823962862241</v>
      </c>
      <c r="H44" s="10"/>
      <c r="I44" s="32"/>
      <c r="J44" s="32"/>
      <c r="K44" s="85"/>
      <c r="L44" s="35"/>
      <c r="M44" s="16">
        <v>45</v>
      </c>
      <c r="N44" s="16"/>
      <c r="O44" s="16"/>
      <c r="P44" s="16"/>
      <c r="Q44" s="16"/>
      <c r="R44" s="16"/>
      <c r="S44" s="16"/>
      <c r="T44" s="16"/>
      <c r="U44" s="96"/>
      <c r="V44" s="97" t="s">
        <v>81</v>
      </c>
      <c r="W44" s="111">
        <v>2000000</v>
      </c>
      <c r="X44" s="16"/>
      <c r="Y44" s="16"/>
      <c r="Z44" s="35"/>
      <c r="AA44" s="35"/>
      <c r="AB44" s="35"/>
      <c r="AC44" s="35"/>
      <c r="AD44" s="35"/>
      <c r="AE44" s="35"/>
      <c r="AF44" s="35"/>
    </row>
    <row r="45" spans="1:33" ht="13">
      <c r="A45" s="59" t="s">
        <v>82</v>
      </c>
      <c r="B45" s="60"/>
      <c r="C45" s="110">
        <v>-3.3146659999999999</v>
      </c>
      <c r="D45" s="27"/>
      <c r="E45" s="47">
        <f>9874.9/-C45</f>
        <v>2979.1538574323927</v>
      </c>
      <c r="F45" s="47">
        <f t="shared" si="31"/>
        <v>-9874.9</v>
      </c>
      <c r="G45" s="47">
        <f t="shared" ca="1" si="21"/>
        <v>-99.428719548288427</v>
      </c>
      <c r="H45" s="10"/>
      <c r="I45" s="32"/>
      <c r="J45" s="32"/>
      <c r="K45" s="85"/>
      <c r="L45" s="35"/>
      <c r="M45" s="47">
        <f>SUM(M42:M44)</f>
        <v>338</v>
      </c>
      <c r="N45" s="16"/>
      <c r="O45" s="16"/>
      <c r="P45" s="16"/>
      <c r="Q45" s="16"/>
      <c r="R45" s="16"/>
      <c r="S45" s="16"/>
      <c r="T45" s="16"/>
      <c r="U45" s="96"/>
      <c r="V45" s="112" t="s">
        <v>83</v>
      </c>
      <c r="W45" s="113">
        <v>250000</v>
      </c>
      <c r="Y45" s="35"/>
      <c r="Z45" s="35"/>
      <c r="AA45" s="35"/>
      <c r="AB45" s="35"/>
      <c r="AC45" s="35"/>
      <c r="AD45" s="35"/>
      <c r="AE45" s="35"/>
      <c r="AF45" s="35"/>
      <c r="AG45" s="35"/>
    </row>
    <row r="46" spans="1:33" ht="13">
      <c r="A46" s="59" t="s">
        <v>84</v>
      </c>
      <c r="B46" s="60"/>
      <c r="C46" s="110">
        <v>-0.53042699999999998</v>
      </c>
      <c r="D46" s="27"/>
      <c r="E46" s="47">
        <f>1582.86/-C46</f>
        <v>2984.1241113291744</v>
      </c>
      <c r="F46" s="47">
        <f t="shared" si="31"/>
        <v>-1582.86</v>
      </c>
      <c r="G46" s="47">
        <f t="shared" ca="1" si="21"/>
        <v>-13.274651190750546</v>
      </c>
      <c r="H46" s="10"/>
      <c r="I46" s="32"/>
      <c r="J46" s="32"/>
      <c r="K46" s="85"/>
      <c r="L46" s="35"/>
      <c r="M46" s="47"/>
      <c r="N46" s="16"/>
      <c r="O46" s="16"/>
      <c r="P46" s="16"/>
      <c r="Q46" s="16"/>
      <c r="R46" s="16"/>
      <c r="S46" s="16"/>
      <c r="T46" s="16"/>
      <c r="U46" s="96"/>
      <c r="V46" s="97" t="s">
        <v>85</v>
      </c>
      <c r="W46" s="111">
        <f>SUM(W43:W45)</f>
        <v>5850000</v>
      </c>
      <c r="Y46" s="35"/>
      <c r="Z46" s="35"/>
      <c r="AA46" s="35"/>
      <c r="AB46" s="35"/>
      <c r="AC46" s="35"/>
      <c r="AD46" s="35"/>
      <c r="AE46" s="35"/>
      <c r="AF46" s="35"/>
      <c r="AG46" s="35"/>
    </row>
    <row r="47" spans="1:33" ht="13">
      <c r="A47" s="59" t="s">
        <v>84</v>
      </c>
      <c r="B47" s="60"/>
      <c r="C47" s="110">
        <v>-0.65476199999999996</v>
      </c>
      <c r="D47" s="27"/>
      <c r="E47" s="47">
        <f>1955.83/-C47</f>
        <v>2987.0853836966717</v>
      </c>
      <c r="F47" s="47">
        <f t="shared" si="31"/>
        <v>-1955.83</v>
      </c>
      <c r="G47" s="47">
        <f t="shared" ca="1" si="21"/>
        <v>-14.447373668682303</v>
      </c>
      <c r="H47" s="10"/>
      <c r="I47" s="32"/>
      <c r="J47" s="32"/>
      <c r="K47" s="85"/>
      <c r="L47" s="35"/>
      <c r="M47" s="47">
        <v>159</v>
      </c>
      <c r="N47" s="47">
        <f t="shared" ref="N47:N48" si="32">M47*0.8</f>
        <v>127.2</v>
      </c>
      <c r="O47" s="16"/>
      <c r="P47" s="16"/>
      <c r="Q47" s="16"/>
      <c r="R47" s="16"/>
      <c r="S47" s="16"/>
      <c r="T47" s="16"/>
      <c r="U47" s="114"/>
      <c r="V47" s="115" t="s">
        <v>86</v>
      </c>
      <c r="W47" s="23">
        <f>(W46*0.2)+W46</f>
        <v>7020000</v>
      </c>
      <c r="X47" s="16"/>
      <c r="Y47" s="35"/>
      <c r="Z47" s="35"/>
      <c r="AA47" s="35"/>
      <c r="AB47" s="35"/>
      <c r="AC47" s="35"/>
      <c r="AD47" s="35"/>
      <c r="AE47" s="35"/>
      <c r="AF47" s="35"/>
      <c r="AG47" s="35"/>
    </row>
    <row r="48" spans="1:33" ht="13">
      <c r="A48" s="59" t="s">
        <v>87</v>
      </c>
      <c r="B48" s="16"/>
      <c r="C48" s="110">
        <v>-0.16536799999999999</v>
      </c>
      <c r="D48" s="27"/>
      <c r="E48" s="47">
        <f>(510.6)/-C48</f>
        <v>3087.6590392337093</v>
      </c>
      <c r="F48" s="47">
        <f t="shared" si="31"/>
        <v>-510.6</v>
      </c>
      <c r="G48" s="47">
        <f t="shared" ca="1" si="21"/>
        <v>12.982806685723006</v>
      </c>
      <c r="H48" s="10"/>
      <c r="I48" s="32"/>
      <c r="J48" s="32"/>
      <c r="K48" s="85"/>
      <c r="L48" s="35"/>
      <c r="M48" s="47">
        <v>39</v>
      </c>
      <c r="N48" s="47">
        <f t="shared" si="32"/>
        <v>31.200000000000003</v>
      </c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35"/>
      <c r="Z48" s="35"/>
      <c r="AA48" s="35"/>
      <c r="AB48" s="35"/>
      <c r="AC48" s="35"/>
      <c r="AD48" s="35"/>
      <c r="AE48" s="35"/>
      <c r="AF48" s="35"/>
      <c r="AG48" s="35"/>
    </row>
    <row r="49" spans="1:33" ht="13">
      <c r="A49" s="59" t="s">
        <v>88</v>
      </c>
      <c r="B49" s="16"/>
      <c r="C49" s="110">
        <f>-0.110805-0.099438</f>
        <v>-0.21024300000000001</v>
      </c>
      <c r="D49" s="27"/>
      <c r="E49" s="47">
        <f>(342.68+307.58)/-C49</f>
        <v>3092.8972664963871</v>
      </c>
      <c r="F49" s="47">
        <f t="shared" si="31"/>
        <v>-650.26</v>
      </c>
      <c r="G49" s="47">
        <f t="shared" ca="1" si="21"/>
        <v>17.607179781012292</v>
      </c>
      <c r="H49" s="10"/>
      <c r="I49" s="32"/>
      <c r="J49" s="32"/>
      <c r="K49" s="85"/>
      <c r="L49" s="35"/>
      <c r="M49" s="47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35"/>
      <c r="Z49" s="35"/>
      <c r="AA49" s="35"/>
      <c r="AB49" s="35"/>
      <c r="AC49" s="35"/>
      <c r="AD49" s="35"/>
      <c r="AE49" s="35"/>
      <c r="AF49" s="35"/>
      <c r="AG49" s="35"/>
    </row>
    <row r="50" spans="1:33" ht="13">
      <c r="A50" s="59"/>
      <c r="B50" s="16"/>
      <c r="C50" s="116">
        <f>SUM(C29:C49)+0.27-0.0973</f>
        <v>2.3629572962182016E-2</v>
      </c>
      <c r="D50" s="27"/>
      <c r="E50" s="47"/>
      <c r="F50" s="87">
        <f ca="1">SUM(F29:F49)</f>
        <v>-12062.433144468556</v>
      </c>
      <c r="G50" s="10"/>
      <c r="H50" s="32">
        <f ca="1">F50/C50</f>
        <v>-510480.36982191319</v>
      </c>
      <c r="I50" s="32">
        <f ca="1">O3*C50</f>
        <v>71.104940355183246</v>
      </c>
      <c r="J50" s="32">
        <f ca="1">I50</f>
        <v>71.104940355183246</v>
      </c>
      <c r="K50" s="85">
        <f ca="1">(I50-F50)/F50</f>
        <v>-1.0058947427524429</v>
      </c>
      <c r="L50" s="35"/>
      <c r="M50" s="47"/>
      <c r="N50" s="47">
        <f>N47+N48</f>
        <v>158.4</v>
      </c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35"/>
      <c r="Z50" s="35"/>
      <c r="AA50" s="35"/>
      <c r="AB50" s="35"/>
      <c r="AC50" s="35"/>
      <c r="AD50" s="35"/>
      <c r="AE50" s="35"/>
      <c r="AF50" s="35"/>
      <c r="AG50" s="35"/>
    </row>
    <row r="51" spans="1:33" ht="13">
      <c r="A51" s="89"/>
      <c r="B51" s="90"/>
      <c r="C51" s="117"/>
      <c r="D51" s="117"/>
      <c r="E51" s="118"/>
      <c r="F51" s="92"/>
      <c r="G51" s="117"/>
      <c r="H51" s="117"/>
      <c r="I51" s="92"/>
      <c r="J51" s="92"/>
      <c r="K51" s="119"/>
      <c r="L51" s="35"/>
      <c r="M51" s="47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35"/>
      <c r="Z51" s="35"/>
      <c r="AA51" s="35"/>
      <c r="AB51" s="35"/>
      <c r="AC51" s="35"/>
      <c r="AD51" s="35"/>
      <c r="AE51" s="35"/>
      <c r="AF51" s="35"/>
      <c r="AG51" s="35"/>
    </row>
    <row r="52" spans="1:33" ht="13">
      <c r="A52" s="16"/>
      <c r="B52" s="16"/>
      <c r="C52" s="16"/>
      <c r="D52" s="16"/>
      <c r="E52" s="16"/>
      <c r="F52" s="16"/>
      <c r="G52" s="16"/>
      <c r="H52" s="16"/>
      <c r="I52" s="32"/>
      <c r="J52" s="32"/>
      <c r="K52" s="10"/>
      <c r="L52" s="35"/>
      <c r="M52" s="47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35"/>
      <c r="Z52" s="35"/>
      <c r="AA52" s="35"/>
      <c r="AB52" s="35"/>
      <c r="AC52" s="35"/>
      <c r="AD52" s="35"/>
      <c r="AE52" s="35"/>
      <c r="AF52" s="35"/>
      <c r="AG52" s="35"/>
    </row>
    <row r="53" spans="1:33" ht="13">
      <c r="A53" s="48" t="s">
        <v>24</v>
      </c>
      <c r="B53" s="48" t="s">
        <v>2</v>
      </c>
      <c r="C53" s="48" t="s">
        <v>25</v>
      </c>
      <c r="D53" s="48"/>
      <c r="E53" s="48" t="s">
        <v>26</v>
      </c>
      <c r="F53" s="48" t="s">
        <v>27</v>
      </c>
      <c r="G53" s="48" t="s">
        <v>28</v>
      </c>
      <c r="H53" s="48" t="s">
        <v>29</v>
      </c>
      <c r="I53" s="48" t="s">
        <v>9</v>
      </c>
      <c r="J53" s="48" t="s">
        <v>30</v>
      </c>
      <c r="K53" s="48" t="s">
        <v>31</v>
      </c>
      <c r="L53" s="35"/>
      <c r="M53" s="47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35"/>
      <c r="Z53" s="35"/>
      <c r="AA53" s="35"/>
      <c r="AB53" s="35"/>
      <c r="AC53" s="35"/>
      <c r="AD53" s="35"/>
      <c r="AE53" s="35"/>
      <c r="AF53" s="35"/>
      <c r="AG53" s="35"/>
    </row>
    <row r="54" spans="1:33" ht="13">
      <c r="A54" s="67">
        <v>44082</v>
      </c>
      <c r="B54" s="68" t="s">
        <v>89</v>
      </c>
      <c r="C54" s="69">
        <f>12487.5/1000</f>
        <v>12.487500000000001</v>
      </c>
      <c r="D54" s="69"/>
      <c r="E54" s="71">
        <f>0.017409*1000</f>
        <v>17.409000000000002</v>
      </c>
      <c r="F54" s="71">
        <f t="shared" ref="F54:F68" si="33">C54*E54</f>
        <v>217.39488750000004</v>
      </c>
      <c r="G54" s="71">
        <f t="shared" ref="G54:G68" si="34">((C54*$O$5)-F54)</f>
        <v>406.98011249999996</v>
      </c>
      <c r="H54" s="16"/>
      <c r="I54" s="16"/>
      <c r="J54" s="16"/>
      <c r="K54" s="63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</row>
    <row r="55" spans="1:33" ht="13">
      <c r="A55" s="67"/>
      <c r="B55" s="68"/>
      <c r="C55" s="69">
        <f>15293/1000</f>
        <v>15.292999999999999</v>
      </c>
      <c r="D55" s="69"/>
      <c r="E55" s="71">
        <f>(0.019299/1.31)*1000</f>
        <v>14.73206106870229</v>
      </c>
      <c r="F55" s="71">
        <f t="shared" si="33"/>
        <v>225.29740992366411</v>
      </c>
      <c r="G55" s="71">
        <f t="shared" si="34"/>
        <v>539.3525900763359</v>
      </c>
      <c r="H55" s="16"/>
      <c r="I55" s="16"/>
      <c r="J55" s="16"/>
      <c r="K55" s="63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</row>
    <row r="56" spans="1:33" ht="13">
      <c r="A56" s="67">
        <v>43991</v>
      </c>
      <c r="B56" s="68"/>
      <c r="C56" s="69">
        <v>12.343999999999999</v>
      </c>
      <c r="D56" s="69"/>
      <c r="E56" s="71">
        <v>12.45</v>
      </c>
      <c r="F56" s="71">
        <f t="shared" si="33"/>
        <v>153.68279999999999</v>
      </c>
      <c r="G56" s="71">
        <f t="shared" si="34"/>
        <v>463.51719999999995</v>
      </c>
      <c r="H56" s="120"/>
      <c r="I56" s="32"/>
      <c r="J56" s="32"/>
      <c r="K56" s="85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</row>
    <row r="57" spans="1:33" ht="13">
      <c r="A57" s="76" t="s">
        <v>90</v>
      </c>
      <c r="B57" s="68"/>
      <c r="C57" s="69">
        <v>27</v>
      </c>
      <c r="D57" s="69"/>
      <c r="E57" s="71">
        <v>9.1</v>
      </c>
      <c r="F57" s="71">
        <f t="shared" si="33"/>
        <v>245.7</v>
      </c>
      <c r="G57" s="71">
        <f t="shared" si="34"/>
        <v>1104.3</v>
      </c>
      <c r="H57" s="32"/>
      <c r="I57" s="32"/>
      <c r="J57" s="32"/>
      <c r="K57" s="85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</row>
    <row r="58" spans="1:33" ht="13">
      <c r="A58" s="76" t="s">
        <v>91</v>
      </c>
      <c r="B58" s="68"/>
      <c r="C58" s="69">
        <v>38.564</v>
      </c>
      <c r="D58" s="69"/>
      <c r="E58" s="71">
        <v>7.95</v>
      </c>
      <c r="F58" s="71">
        <f t="shared" si="33"/>
        <v>306.5838</v>
      </c>
      <c r="G58" s="71">
        <f t="shared" si="34"/>
        <v>1621.6161999999999</v>
      </c>
      <c r="H58" s="32"/>
      <c r="I58" s="32"/>
      <c r="J58" s="32"/>
      <c r="K58" s="8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</row>
    <row r="59" spans="1:33" ht="13">
      <c r="A59" s="121">
        <v>43931</v>
      </c>
      <c r="B59" s="68"/>
      <c r="C59" s="69">
        <v>26.989000000000001</v>
      </c>
      <c r="D59" s="69"/>
      <c r="E59" s="71">
        <v>7.16</v>
      </c>
      <c r="F59" s="71">
        <f t="shared" si="33"/>
        <v>193.24124</v>
      </c>
      <c r="G59" s="71">
        <f t="shared" si="34"/>
        <v>1156.20876</v>
      </c>
      <c r="H59" s="32"/>
      <c r="I59" s="32"/>
      <c r="J59" s="32"/>
      <c r="K59" s="85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</row>
    <row r="60" spans="1:33" ht="13">
      <c r="A60" s="121">
        <v>43931</v>
      </c>
      <c r="B60" s="68"/>
      <c r="C60" s="69">
        <v>13.528</v>
      </c>
      <c r="D60" s="69"/>
      <c r="E60" s="71">
        <v>7.14</v>
      </c>
      <c r="F60" s="71">
        <f t="shared" si="33"/>
        <v>96.589919999999992</v>
      </c>
      <c r="G60" s="71">
        <f t="shared" si="34"/>
        <v>579.81007999999997</v>
      </c>
      <c r="H60" s="32"/>
      <c r="I60" s="32"/>
      <c r="J60" s="32"/>
      <c r="K60" s="85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</row>
    <row r="61" spans="1:33" ht="13">
      <c r="A61" s="121">
        <v>43931</v>
      </c>
      <c r="B61" s="68"/>
      <c r="C61" s="69">
        <v>13.571999999999999</v>
      </c>
      <c r="D61" s="69"/>
      <c r="E61" s="71">
        <v>7.12</v>
      </c>
      <c r="F61" s="71">
        <f t="shared" si="33"/>
        <v>96.632639999999995</v>
      </c>
      <c r="G61" s="71">
        <f t="shared" si="34"/>
        <v>581.96735999999987</v>
      </c>
      <c r="H61" s="32"/>
      <c r="I61" s="32"/>
      <c r="J61" s="32"/>
      <c r="K61" s="85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</row>
    <row r="62" spans="1:33" ht="17.25" customHeight="1">
      <c r="A62" s="67">
        <v>44197</v>
      </c>
      <c r="B62" s="68"/>
      <c r="C62" s="69">
        <v>19.98</v>
      </c>
      <c r="D62" s="69"/>
      <c r="E62" s="71">
        <v>19.420000000000002</v>
      </c>
      <c r="F62" s="71">
        <f t="shared" si="33"/>
        <v>388.01160000000004</v>
      </c>
      <c r="G62" s="71">
        <f t="shared" si="34"/>
        <v>610.98839999999996</v>
      </c>
      <c r="H62" s="32"/>
      <c r="I62" s="32"/>
      <c r="J62" s="32"/>
      <c r="K62" s="85"/>
      <c r="L62" s="16"/>
      <c r="M62" s="16"/>
      <c r="N62" s="16"/>
      <c r="O62" s="103">
        <v>10950483</v>
      </c>
      <c r="P62" s="16">
        <v>0.5</v>
      </c>
      <c r="Q62" s="16">
        <f t="shared" ref="Q62:Q68" si="35">O62*P62</f>
        <v>5475241.5</v>
      </c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</row>
    <row r="63" spans="1:33" ht="17.25" customHeight="1">
      <c r="A63" s="67">
        <v>43831</v>
      </c>
      <c r="B63" s="68"/>
      <c r="C63" s="69">
        <v>18.02</v>
      </c>
      <c r="D63" s="69"/>
      <c r="E63" s="71">
        <v>19.600000000000001</v>
      </c>
      <c r="F63" s="71">
        <f t="shared" si="33"/>
        <v>353.19200000000001</v>
      </c>
      <c r="G63" s="71">
        <f t="shared" si="34"/>
        <v>547.80799999999999</v>
      </c>
      <c r="H63" s="32"/>
      <c r="I63" s="32"/>
      <c r="J63" s="32"/>
      <c r="K63" s="85"/>
      <c r="L63" s="16"/>
      <c r="M63" s="16"/>
      <c r="N63" s="16"/>
      <c r="O63" s="103">
        <v>5641318</v>
      </c>
      <c r="P63" s="16">
        <v>0.5</v>
      </c>
      <c r="Q63" s="16">
        <f t="shared" si="35"/>
        <v>2820659</v>
      </c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</row>
    <row r="64" spans="1:33" ht="13">
      <c r="A64" s="76" t="s">
        <v>92</v>
      </c>
      <c r="B64" s="68"/>
      <c r="C64" s="69">
        <v>7</v>
      </c>
      <c r="D64" s="69"/>
      <c r="E64" s="71">
        <v>48.42</v>
      </c>
      <c r="F64" s="71">
        <f t="shared" si="33"/>
        <v>338.94</v>
      </c>
      <c r="G64" s="71">
        <f t="shared" si="34"/>
        <v>11.060000000000002</v>
      </c>
      <c r="H64" s="32"/>
      <c r="I64" s="32"/>
      <c r="J64" s="32"/>
      <c r="K64" s="85"/>
      <c r="L64" s="16"/>
      <c r="M64" s="16"/>
      <c r="N64" s="16"/>
      <c r="O64" s="103">
        <v>7707701</v>
      </c>
      <c r="P64" s="16">
        <v>0.5</v>
      </c>
      <c r="Q64" s="16">
        <f t="shared" si="35"/>
        <v>3853850.5</v>
      </c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</row>
    <row r="65" spans="1:33" ht="13">
      <c r="A65" s="76" t="s">
        <v>92</v>
      </c>
      <c r="B65" s="68"/>
      <c r="C65" s="69">
        <v>7.7850000000000001</v>
      </c>
      <c r="D65" s="69">
        <f>SUM(C54:C65)</f>
        <v>212.5625</v>
      </c>
      <c r="E65" s="71">
        <v>46.95</v>
      </c>
      <c r="F65" s="71">
        <f t="shared" si="33"/>
        <v>365.50575000000003</v>
      </c>
      <c r="G65" s="71">
        <f t="shared" si="34"/>
        <v>23.744249999999965</v>
      </c>
      <c r="H65" s="32"/>
      <c r="I65" s="32"/>
      <c r="J65" s="32"/>
      <c r="K65" s="85"/>
      <c r="L65" s="16"/>
      <c r="M65" s="16"/>
      <c r="N65" s="16"/>
      <c r="O65" s="103">
        <v>456046</v>
      </c>
      <c r="P65" s="16">
        <v>4</v>
      </c>
      <c r="Q65" s="16">
        <f t="shared" si="35"/>
        <v>1824184</v>
      </c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</row>
    <row r="66" spans="1:33" ht="13">
      <c r="A66" s="106">
        <v>44197</v>
      </c>
      <c r="B66" s="60"/>
      <c r="C66" s="16">
        <v>-10</v>
      </c>
      <c r="D66" s="47">
        <f>SUM(F54:F65)</f>
        <v>2980.7720474236639</v>
      </c>
      <c r="E66" s="47">
        <v>202</v>
      </c>
      <c r="F66" s="47">
        <f t="shared" si="33"/>
        <v>-2020</v>
      </c>
      <c r="G66" s="47">
        <f t="shared" si="34"/>
        <v>1520</v>
      </c>
      <c r="H66" s="32"/>
      <c r="I66" s="32"/>
      <c r="J66" s="32"/>
      <c r="K66" s="85"/>
      <c r="L66" s="16"/>
      <c r="M66" s="16"/>
      <c r="N66" s="16"/>
      <c r="O66" s="103">
        <v>5116399</v>
      </c>
      <c r="P66" s="16">
        <v>6</v>
      </c>
      <c r="Q66" s="16">
        <f t="shared" si="35"/>
        <v>30698394</v>
      </c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</row>
    <row r="67" spans="1:33" ht="13">
      <c r="A67" s="59" t="s">
        <v>93</v>
      </c>
      <c r="B67" s="60"/>
      <c r="C67" s="122">
        <f>0.294505318356164+0.2847967297+0.2528094026+0.2209797832+0.2071473838+0.2061758844+0.2028160941+0.2128403062+0.2203697346+0.2254593183+0.2182763294+0.2430269145+0.2863216536+0.2566732639+0.2449127906+0.2457443684+0.2198104016+0.08225799343+24.0822+3.9643+8.9305</f>
        <v>41.101923670686169</v>
      </c>
      <c r="D67" s="122">
        <f>D66/D65</f>
        <v>14.023038153125146</v>
      </c>
      <c r="E67" s="47">
        <v>0</v>
      </c>
      <c r="F67" s="47">
        <f t="shared" si="33"/>
        <v>0</v>
      </c>
      <c r="G67" s="47">
        <f t="shared" si="34"/>
        <v>2055.0961835343082</v>
      </c>
      <c r="H67" s="32"/>
      <c r="I67" s="32"/>
      <c r="J67" s="32"/>
      <c r="K67" s="85"/>
      <c r="L67" s="16"/>
      <c r="M67" s="16"/>
      <c r="N67" s="16"/>
      <c r="O67" s="103">
        <v>10335885</v>
      </c>
      <c r="P67" s="16">
        <v>0.5</v>
      </c>
      <c r="Q67" s="16">
        <f t="shared" si="35"/>
        <v>5167942.5</v>
      </c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</row>
    <row r="68" spans="1:33" ht="13">
      <c r="A68" s="59" t="s">
        <v>94</v>
      </c>
      <c r="B68" s="16"/>
      <c r="C68" s="16">
        <v>8.1999999999999993</v>
      </c>
      <c r="D68" s="10"/>
      <c r="E68" s="47">
        <v>0</v>
      </c>
      <c r="F68" s="47">
        <f t="shared" si="33"/>
        <v>0</v>
      </c>
      <c r="G68" s="47">
        <f t="shared" si="34"/>
        <v>409.99999999999994</v>
      </c>
      <c r="H68" s="32"/>
      <c r="I68" s="32"/>
      <c r="J68" s="32"/>
      <c r="K68" s="85"/>
      <c r="L68" s="16"/>
      <c r="M68" s="16"/>
      <c r="N68" s="16"/>
      <c r="O68" s="103">
        <v>11</v>
      </c>
      <c r="P68" s="16">
        <v>0</v>
      </c>
      <c r="Q68" s="16">
        <f t="shared" si="35"/>
        <v>0</v>
      </c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</row>
    <row r="69" spans="1:33" ht="13">
      <c r="A69" s="59"/>
      <c r="B69" s="16"/>
      <c r="C69" s="123">
        <f>SUM(C54:C68)</f>
        <v>251.86442367068616</v>
      </c>
      <c r="D69" s="10"/>
      <c r="E69" s="16"/>
      <c r="F69" s="87">
        <f>SUM(F54:F68)</f>
        <v>960.77204742366393</v>
      </c>
      <c r="G69" s="32"/>
      <c r="H69" s="32">
        <f>F69/C69</f>
        <v>3.8146397709581943</v>
      </c>
      <c r="I69" s="32">
        <f>O5*C69</f>
        <v>12593.221183534308</v>
      </c>
      <c r="J69" s="32">
        <f>I69-F69</f>
        <v>11632.449136110645</v>
      </c>
      <c r="K69" s="85">
        <f>(I69-F69)/F69</f>
        <v>12.107397553148397</v>
      </c>
      <c r="L69" s="16"/>
      <c r="M69" s="16"/>
      <c r="N69" s="16"/>
      <c r="O69" s="103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</row>
    <row r="70" spans="1:33" ht="13">
      <c r="A70" s="89"/>
      <c r="B70" s="90"/>
      <c r="C70" s="90"/>
      <c r="D70" s="90"/>
      <c r="E70" s="90"/>
      <c r="F70" s="90"/>
      <c r="G70" s="90"/>
      <c r="H70" s="90"/>
      <c r="I70" s="90"/>
      <c r="J70" s="90"/>
      <c r="K70" s="124"/>
      <c r="L70" s="16"/>
      <c r="M70" s="16"/>
      <c r="N70" s="16"/>
      <c r="O70" s="103">
        <f>SUM(O62:O68)</f>
        <v>40207843</v>
      </c>
      <c r="P70" s="16"/>
      <c r="Q70" s="16">
        <f>SUM(Q62:Q68)</f>
        <v>49840271.5</v>
      </c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</row>
    <row r="71" spans="1:33" ht="1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</row>
    <row r="72" spans="1:33" ht="13">
      <c r="A72" s="48" t="s">
        <v>24</v>
      </c>
      <c r="B72" s="48" t="s">
        <v>2</v>
      </c>
      <c r="C72" s="48" t="s">
        <v>25</v>
      </c>
      <c r="D72" s="48"/>
      <c r="E72" s="48" t="s">
        <v>26</v>
      </c>
      <c r="F72" s="48" t="s">
        <v>27</v>
      </c>
      <c r="G72" s="48" t="s">
        <v>28</v>
      </c>
      <c r="H72" s="48" t="s">
        <v>29</v>
      </c>
      <c r="I72" s="48" t="s">
        <v>9</v>
      </c>
      <c r="J72" s="48" t="s">
        <v>30</v>
      </c>
      <c r="K72" s="48" t="s">
        <v>31</v>
      </c>
      <c r="L72" s="16"/>
      <c r="M72" s="16"/>
      <c r="N72" s="16"/>
      <c r="O72" s="16">
        <f>Q70/O70</f>
        <v>1.239565910063865</v>
      </c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</row>
    <row r="73" spans="1:33" ht="13">
      <c r="A73" s="125" t="s">
        <v>95</v>
      </c>
      <c r="B73" s="16" t="s">
        <v>17</v>
      </c>
      <c r="C73" s="16">
        <v>38000000</v>
      </c>
      <c r="D73" s="16"/>
      <c r="E73" s="126">
        <f ca="1">O7</f>
        <v>4.7126834019290952E-6</v>
      </c>
      <c r="F73" s="47">
        <v>0</v>
      </c>
      <c r="G73" s="47">
        <f ca="1">((C73*$O$7)-F73)</f>
        <v>179.08196927330562</v>
      </c>
      <c r="H73" s="16"/>
      <c r="I73" s="16"/>
      <c r="J73" s="16"/>
      <c r="K73" s="63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</row>
    <row r="74" spans="1:33" ht="13">
      <c r="A74" s="59"/>
      <c r="B74" s="16"/>
      <c r="C74" s="16"/>
      <c r="D74" s="10"/>
      <c r="E74" s="47"/>
      <c r="F74" s="47">
        <f>C74*E74</f>
        <v>0</v>
      </c>
      <c r="G74" s="16" t="e">
        <f ca="1">((C74*$O$17)-F74)</f>
        <v>#N/A</v>
      </c>
      <c r="H74" s="32"/>
      <c r="I74" s="32"/>
      <c r="J74" s="32"/>
      <c r="K74" s="85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</row>
    <row r="75" spans="1:33" ht="13">
      <c r="A75" s="59"/>
      <c r="B75" s="16"/>
      <c r="C75" s="123">
        <f>SUM(C73:C74)</f>
        <v>38000000</v>
      </c>
      <c r="D75" s="10"/>
      <c r="E75" s="16"/>
      <c r="F75" s="87">
        <f>SUM(F73:F74)</f>
        <v>0</v>
      </c>
      <c r="G75" s="32"/>
      <c r="H75" s="32">
        <v>0</v>
      </c>
      <c r="I75" s="32">
        <f ca="1">U7</f>
        <v>179.08196927330562</v>
      </c>
      <c r="J75" s="32">
        <f ca="1">I75-F75</f>
        <v>179.08196927330562</v>
      </c>
      <c r="K75" s="85" t="e">
        <f ca="1">(I75-F75)/F711</f>
        <v>#DIV/0!</v>
      </c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</row>
    <row r="76" spans="1:33" ht="13">
      <c r="A76" s="89"/>
      <c r="B76" s="90"/>
      <c r="C76" s="90"/>
      <c r="D76" s="90"/>
      <c r="E76" s="90"/>
      <c r="F76" s="90"/>
      <c r="G76" s="90"/>
      <c r="H76" s="90"/>
      <c r="I76" s="90"/>
      <c r="J76" s="90"/>
      <c r="K76" s="124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</row>
    <row r="77" spans="1:33" ht="13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</row>
    <row r="78" spans="1:33" ht="13">
      <c r="A78" s="48" t="s">
        <v>24</v>
      </c>
      <c r="B78" s="48" t="s">
        <v>2</v>
      </c>
      <c r="C78" s="48" t="s">
        <v>25</v>
      </c>
      <c r="D78" s="48"/>
      <c r="E78" s="48" t="s">
        <v>26</v>
      </c>
      <c r="F78" s="48" t="s">
        <v>27</v>
      </c>
      <c r="G78" s="48" t="s">
        <v>28</v>
      </c>
      <c r="H78" s="48" t="s">
        <v>29</v>
      </c>
      <c r="I78" s="48" t="s">
        <v>9</v>
      </c>
      <c r="J78" s="48" t="s">
        <v>30</v>
      </c>
      <c r="K78" s="48" t="s">
        <v>31</v>
      </c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</row>
    <row r="79" spans="1:33" ht="13">
      <c r="A79" s="67">
        <v>44082</v>
      </c>
      <c r="B79" s="68" t="s">
        <v>14</v>
      </c>
      <c r="C79" s="69">
        <v>5735.2941179999998</v>
      </c>
      <c r="D79" s="69"/>
      <c r="E79" s="127">
        <f ca="1">0.34/R26</f>
        <v>0.26705205944264876</v>
      </c>
      <c r="F79" s="71">
        <f t="shared" ref="F79:F81" ca="1" si="36">C79*E79</f>
        <v>1531.6221057212097</v>
      </c>
      <c r="G79" s="71">
        <f t="shared" ref="G79:G87" ca="1" si="37">((C79*$O$4)-F79)</f>
        <v>24277.201425278789</v>
      </c>
      <c r="H79" s="16">
        <f>SUM($C$78:C79)</f>
        <v>5735.2941179999998</v>
      </c>
      <c r="J79" s="16">
        <f ca="1">SUM($F$78:F79)</f>
        <v>1531.6221057212097</v>
      </c>
      <c r="K79" s="128">
        <f ca="1">J79/H79</f>
        <v>0.26705205944264876</v>
      </c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</row>
    <row r="80" spans="1:33" ht="13">
      <c r="A80" s="76" t="s">
        <v>96</v>
      </c>
      <c r="B80" s="68"/>
      <c r="C80" s="69">
        <v>-250</v>
      </c>
      <c r="D80" s="69"/>
      <c r="E80" s="127">
        <v>1.08</v>
      </c>
      <c r="F80" s="71">
        <f t="shared" si="36"/>
        <v>-270</v>
      </c>
      <c r="G80" s="71">
        <f t="shared" si="37"/>
        <v>-855</v>
      </c>
      <c r="H80" s="16">
        <f t="shared" ref="H80:H81" si="38">C80</f>
        <v>-250</v>
      </c>
      <c r="J80" s="128">
        <f ca="1">E80-K79</f>
        <v>0.81294794055735131</v>
      </c>
      <c r="K80" s="129">
        <f t="shared" ref="K80:K81" ca="1" si="39">H80*J80</f>
        <v>-203.23698513933783</v>
      </c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</row>
    <row r="81" spans="1:33" ht="13">
      <c r="A81" s="67">
        <v>44409</v>
      </c>
      <c r="B81" s="68"/>
      <c r="C81" s="130">
        <v>-250</v>
      </c>
      <c r="D81" s="130"/>
      <c r="E81" s="71">
        <v>1.28</v>
      </c>
      <c r="F81" s="71">
        <f t="shared" si="36"/>
        <v>-320</v>
      </c>
      <c r="G81" s="71">
        <f t="shared" si="37"/>
        <v>-805</v>
      </c>
      <c r="H81" s="38">
        <f t="shared" si="38"/>
        <v>-250</v>
      </c>
      <c r="J81" s="47">
        <f ca="1">E81-K79</f>
        <v>1.0129479405573512</v>
      </c>
      <c r="K81" s="131">
        <f t="shared" ca="1" si="39"/>
        <v>-253.23698513933778</v>
      </c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</row>
    <row r="82" spans="1:33" ht="13">
      <c r="A82" s="59" t="s">
        <v>97</v>
      </c>
      <c r="B82" s="60"/>
      <c r="C82" s="16">
        <v>-200</v>
      </c>
      <c r="D82" s="16"/>
      <c r="E82" s="47">
        <v>11.1</v>
      </c>
      <c r="F82" s="47">
        <f t="shared" ref="F82:F83" si="40">(C82*E82)+10</f>
        <v>-2210</v>
      </c>
      <c r="G82" s="132">
        <f t="shared" si="37"/>
        <v>1310</v>
      </c>
      <c r="H82" s="32"/>
      <c r="I82" s="32"/>
      <c r="J82" s="32"/>
      <c r="K82" s="85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</row>
    <row r="83" spans="1:33" ht="13">
      <c r="A83" s="59" t="s">
        <v>97</v>
      </c>
      <c r="B83" s="60"/>
      <c r="C83" s="16">
        <v>-200</v>
      </c>
      <c r="D83" s="16"/>
      <c r="E83" s="47">
        <v>11.2</v>
      </c>
      <c r="F83" s="47">
        <f t="shared" si="40"/>
        <v>-2230</v>
      </c>
      <c r="G83" s="132">
        <f t="shared" si="37"/>
        <v>1330</v>
      </c>
      <c r="H83" s="32"/>
      <c r="I83" s="32"/>
      <c r="J83" s="32"/>
      <c r="K83" s="85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</row>
    <row r="84" spans="1:33" ht="13">
      <c r="A84" s="59" t="s">
        <v>97</v>
      </c>
      <c r="B84" s="60"/>
      <c r="C84" s="16">
        <v>-150</v>
      </c>
      <c r="D84" s="16"/>
      <c r="E84" s="47">
        <v>11.54</v>
      </c>
      <c r="F84" s="47">
        <f t="shared" ref="F84:F87" si="41">C84*E84</f>
        <v>-1730.9999999999998</v>
      </c>
      <c r="G84" s="132">
        <f t="shared" si="37"/>
        <v>1055.9999999999998</v>
      </c>
      <c r="H84" s="32"/>
      <c r="I84" s="32"/>
      <c r="J84" s="32"/>
      <c r="K84" s="85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</row>
    <row r="85" spans="1:33" ht="13">
      <c r="A85" s="59" t="s">
        <v>97</v>
      </c>
      <c r="B85" s="60"/>
      <c r="C85" s="16">
        <v>-100</v>
      </c>
      <c r="D85" s="16"/>
      <c r="E85" s="47">
        <v>11.8</v>
      </c>
      <c r="F85" s="47">
        <f t="shared" si="41"/>
        <v>-1180</v>
      </c>
      <c r="G85" s="132">
        <f t="shared" si="37"/>
        <v>730</v>
      </c>
      <c r="H85" s="32"/>
      <c r="I85" s="32"/>
      <c r="J85" s="32"/>
      <c r="K85" s="85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</row>
    <row r="86" spans="1:33" ht="13">
      <c r="A86" s="59" t="s">
        <v>97</v>
      </c>
      <c r="B86" s="60"/>
      <c r="C86" s="16">
        <v>-100</v>
      </c>
      <c r="D86" s="16"/>
      <c r="E86" s="47">
        <v>10.8</v>
      </c>
      <c r="F86" s="47">
        <f t="shared" si="41"/>
        <v>-1080</v>
      </c>
      <c r="G86" s="132">
        <f t="shared" si="37"/>
        <v>630</v>
      </c>
      <c r="H86" s="32"/>
      <c r="I86" s="32"/>
      <c r="J86" s="32"/>
      <c r="K86" s="85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</row>
    <row r="87" spans="1:33" ht="13">
      <c r="A87" s="59" t="s">
        <v>98</v>
      </c>
      <c r="B87" s="60"/>
      <c r="C87" s="16">
        <f>731.94797-102-65+210</f>
        <v>774.94797000000005</v>
      </c>
      <c r="D87" s="16"/>
      <c r="E87" s="47">
        <v>0</v>
      </c>
      <c r="F87" s="47">
        <f t="shared" si="41"/>
        <v>0</v>
      </c>
      <c r="G87" s="132">
        <f t="shared" si="37"/>
        <v>3487.2658650000003</v>
      </c>
      <c r="H87" s="32"/>
      <c r="I87" s="32"/>
      <c r="J87" s="32"/>
      <c r="K87" s="85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</row>
    <row r="88" spans="1:33" ht="13">
      <c r="A88" s="59"/>
      <c r="B88" s="16"/>
      <c r="C88" s="123">
        <f>SUM(C79:C87)</f>
        <v>5260.242088</v>
      </c>
      <c r="D88" s="10"/>
      <c r="E88" s="16"/>
      <c r="F88" s="87">
        <f ca="1">SUM(F79:F87)</f>
        <v>-7489.3778942787903</v>
      </c>
      <c r="G88" s="32"/>
      <c r="H88" s="32">
        <f ca="1">F88/C88</f>
        <v>-1.4237705734806458</v>
      </c>
      <c r="I88" s="32">
        <f>O4*C88</f>
        <v>23671.089395999999</v>
      </c>
      <c r="J88" s="32">
        <f>I88</f>
        <v>23671.089395999999</v>
      </c>
      <c r="K88" s="85">
        <f ca="1">(I88-F88)/F88</f>
        <v>-4.1606215803428181</v>
      </c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</row>
    <row r="89" spans="1:33" ht="15">
      <c r="A89" s="89"/>
      <c r="B89" s="90"/>
      <c r="C89" s="133"/>
      <c r="D89" s="134"/>
      <c r="E89" s="90"/>
      <c r="F89" s="90"/>
      <c r="G89" s="90"/>
      <c r="H89" s="90"/>
      <c r="I89" s="90"/>
      <c r="J89" s="90"/>
      <c r="K89" s="124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</row>
    <row r="90" spans="1:33" ht="13">
      <c r="A90" s="135"/>
      <c r="B90" s="117"/>
      <c r="C90" s="117"/>
      <c r="D90" s="10"/>
      <c r="E90" s="117"/>
      <c r="F90" s="117"/>
      <c r="G90" s="117"/>
      <c r="H90" s="117"/>
      <c r="I90" s="117"/>
      <c r="J90" s="117"/>
      <c r="K90" s="93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</row>
    <row r="91" spans="1:33" ht="13">
      <c r="A91" s="48" t="s">
        <v>24</v>
      </c>
      <c r="B91" s="48" t="s">
        <v>2</v>
      </c>
      <c r="C91" s="48" t="s">
        <v>25</v>
      </c>
      <c r="D91" s="48"/>
      <c r="E91" s="48" t="s">
        <v>26</v>
      </c>
      <c r="F91" s="48" t="s">
        <v>27</v>
      </c>
      <c r="G91" s="48" t="s">
        <v>28</v>
      </c>
      <c r="H91" s="48" t="s">
        <v>29</v>
      </c>
      <c r="I91" s="48" t="s">
        <v>9</v>
      </c>
      <c r="J91" s="48" t="s">
        <v>30</v>
      </c>
      <c r="K91" s="48" t="s">
        <v>31</v>
      </c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</row>
    <row r="92" spans="1:33" ht="13">
      <c r="A92" s="59" t="s">
        <v>90</v>
      </c>
      <c r="B92" s="222" t="s">
        <v>47</v>
      </c>
      <c r="C92" s="16">
        <v>417</v>
      </c>
      <c r="D92" s="16"/>
      <c r="E92" s="47">
        <v>0</v>
      </c>
      <c r="F92" s="47">
        <f t="shared" ref="F92:F94" si="42">C92*E92</f>
        <v>0</v>
      </c>
      <c r="G92" s="47" t="e">
        <f t="shared" ref="G92:G94" ca="1" si="43">((C92*$O$17)-F92)</f>
        <v>#N/A</v>
      </c>
      <c r="H92" s="16"/>
      <c r="I92" s="16"/>
      <c r="J92" s="16"/>
      <c r="K92" s="63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</row>
    <row r="93" spans="1:33" ht="13">
      <c r="A93" s="125" t="s">
        <v>95</v>
      </c>
      <c r="B93" s="216"/>
      <c r="C93" s="16">
        <v>-200</v>
      </c>
      <c r="D93" s="16"/>
      <c r="E93" s="47">
        <v>3.51</v>
      </c>
      <c r="F93" s="47">
        <f t="shared" si="42"/>
        <v>-702</v>
      </c>
      <c r="G93" s="47" t="e">
        <f t="shared" ca="1" si="43"/>
        <v>#N/A</v>
      </c>
      <c r="H93" s="32"/>
      <c r="I93" s="32"/>
      <c r="J93" s="32"/>
      <c r="K93" s="85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</row>
    <row r="94" spans="1:33" ht="13">
      <c r="A94" s="125" t="s">
        <v>95</v>
      </c>
      <c r="B94" s="216"/>
      <c r="C94" s="16">
        <v>-200</v>
      </c>
      <c r="D94" s="10"/>
      <c r="E94" s="47">
        <f ca="1">(4944/200)/R26</f>
        <v>19.416255615947872</v>
      </c>
      <c r="F94" s="47">
        <f t="shared" ca="1" si="42"/>
        <v>-3883.2511231895742</v>
      </c>
      <c r="G94" s="47" t="e">
        <f t="shared" ca="1" si="43"/>
        <v>#N/A</v>
      </c>
      <c r="H94" s="32"/>
      <c r="I94" s="32"/>
      <c r="J94" s="32"/>
      <c r="K94" s="85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</row>
    <row r="95" spans="1:33" ht="13">
      <c r="A95" s="59"/>
      <c r="B95" s="16"/>
      <c r="C95" s="10">
        <v>-17</v>
      </c>
      <c r="D95" s="10"/>
      <c r="E95" s="47">
        <f>F95/C95</f>
        <v>12.39346405228758</v>
      </c>
      <c r="F95" s="47">
        <f>-284.43/1.35</f>
        <v>-210.68888888888887</v>
      </c>
      <c r="G95" s="32"/>
      <c r="H95" s="32"/>
      <c r="I95" s="32"/>
      <c r="J95" s="32"/>
      <c r="K95" s="85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</row>
    <row r="96" spans="1:33" ht="13">
      <c r="A96" s="59"/>
      <c r="B96" s="16"/>
      <c r="C96" s="123">
        <f>SUM(C92:C95)</f>
        <v>0</v>
      </c>
      <c r="D96" s="10"/>
      <c r="E96" s="16"/>
      <c r="F96" s="87">
        <f ca="1">SUM(F92:F94)</f>
        <v>-4585.2511231895742</v>
      </c>
      <c r="G96" s="32"/>
      <c r="H96" s="32">
        <v>0</v>
      </c>
      <c r="I96" s="32" t="e">
        <f ca="1">O17*C96</f>
        <v>#N/A</v>
      </c>
      <c r="J96" s="32" t="e">
        <f ca="1">I96-F96</f>
        <v>#N/A</v>
      </c>
      <c r="K96" s="85" t="e">
        <f ca="1">(I96-F96)/F725</f>
        <v>#N/A</v>
      </c>
      <c r="L96" s="16"/>
      <c r="M96" s="16">
        <v>4944</v>
      </c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</row>
    <row r="97" spans="1:33" ht="13">
      <c r="A97" s="89"/>
      <c r="B97" s="90"/>
      <c r="C97" s="90"/>
      <c r="D97" s="90"/>
      <c r="E97" s="90"/>
      <c r="F97" s="90"/>
      <c r="G97" s="90"/>
      <c r="H97" s="90"/>
      <c r="I97" s="90"/>
      <c r="J97" s="90"/>
      <c r="K97" s="124"/>
      <c r="L97" s="16"/>
      <c r="M97" s="16">
        <v>200</v>
      </c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</row>
    <row r="98" spans="1:33" ht="13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>
        <f>M96/M97</f>
        <v>24.72</v>
      </c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</row>
    <row r="99" spans="1:33" ht="13">
      <c r="A99" s="48" t="s">
        <v>24</v>
      </c>
      <c r="B99" s="48" t="s">
        <v>2</v>
      </c>
      <c r="C99" s="48" t="s">
        <v>25</v>
      </c>
      <c r="D99" s="48"/>
      <c r="E99" s="48" t="s">
        <v>26</v>
      </c>
      <c r="F99" s="48" t="s">
        <v>27</v>
      </c>
      <c r="G99" s="48" t="s">
        <v>28</v>
      </c>
      <c r="H99" s="48" t="s">
        <v>29</v>
      </c>
      <c r="I99" s="48" t="s">
        <v>9</v>
      </c>
      <c r="J99" s="48" t="s">
        <v>30</v>
      </c>
      <c r="K99" s="48" t="s">
        <v>31</v>
      </c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</row>
    <row r="100" spans="1:33" ht="13">
      <c r="A100" s="125" t="s">
        <v>95</v>
      </c>
      <c r="B100" s="16" t="s">
        <v>42</v>
      </c>
      <c r="C100" s="16">
        <v>6666</v>
      </c>
      <c r="D100" s="16"/>
      <c r="E100" s="126">
        <f ca="1">(100/R26)/C100</f>
        <v>1.1782886793502086E-2</v>
      </c>
      <c r="F100" s="47">
        <f t="shared" ref="F100:F102" ca="1" si="44">C100*E100</f>
        <v>78.544723365484913</v>
      </c>
      <c r="G100" s="16" t="e">
        <f ca="1">((C100*$O$13)-F100)</f>
        <v>#N/A</v>
      </c>
      <c r="H100" s="16"/>
      <c r="I100" s="16"/>
      <c r="J100" s="16"/>
      <c r="K100" s="63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</row>
    <row r="101" spans="1:33" ht="13">
      <c r="A101" s="59"/>
      <c r="B101" s="16"/>
      <c r="C101" s="16"/>
      <c r="D101" s="16"/>
      <c r="E101" s="47"/>
      <c r="F101" s="47">
        <f t="shared" si="44"/>
        <v>0</v>
      </c>
      <c r="G101" s="16" t="e">
        <f t="shared" ref="G101:G102" ca="1" si="45">((C101*$O$17)-F101)</f>
        <v>#N/A</v>
      </c>
      <c r="H101" s="32"/>
      <c r="I101" s="32"/>
      <c r="J101" s="32"/>
      <c r="K101" s="85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</row>
    <row r="102" spans="1:33" ht="13">
      <c r="A102" s="59"/>
      <c r="B102" s="16"/>
      <c r="C102" s="16"/>
      <c r="D102" s="10"/>
      <c r="E102" s="47"/>
      <c r="F102" s="47">
        <f t="shared" si="44"/>
        <v>0</v>
      </c>
      <c r="G102" s="16" t="e">
        <f t="shared" ca="1" si="45"/>
        <v>#N/A</v>
      </c>
      <c r="H102" s="32"/>
      <c r="I102" s="32"/>
      <c r="J102" s="32"/>
      <c r="K102" s="85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</row>
    <row r="103" spans="1:33" ht="13">
      <c r="A103" s="59"/>
      <c r="B103" s="16"/>
      <c r="C103" s="123">
        <f>SUM(C100:C102)</f>
        <v>6666</v>
      </c>
      <c r="D103" s="10"/>
      <c r="E103" s="16"/>
      <c r="F103" s="87">
        <f ca="1">SUM(F100:F102)</f>
        <v>78.544723365484913</v>
      </c>
      <c r="G103" s="32"/>
      <c r="H103" s="32">
        <f ca="1">F103/C103</f>
        <v>1.1782886793502086E-2</v>
      </c>
      <c r="I103" s="32" t="e">
        <f ca="1">O13*C103</f>
        <v>#N/A</v>
      </c>
      <c r="J103" s="32" t="e">
        <f ca="1">I103-F103</f>
        <v>#N/A</v>
      </c>
      <c r="K103" s="85" t="e">
        <f ca="1">(I103-F103)/F732</f>
        <v>#N/A</v>
      </c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</row>
    <row r="104" spans="1:33" ht="13">
      <c r="A104" s="89"/>
      <c r="B104" s="90"/>
      <c r="C104" s="90"/>
      <c r="D104" s="90"/>
      <c r="E104" s="90"/>
      <c r="F104" s="90"/>
      <c r="G104" s="90"/>
      <c r="H104" s="90"/>
      <c r="I104" s="90"/>
      <c r="J104" s="90"/>
      <c r="K104" s="124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</row>
    <row r="105" spans="1:33" ht="13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</row>
    <row r="106" spans="1:33" ht="13">
      <c r="A106" s="48" t="s">
        <v>24</v>
      </c>
      <c r="B106" s="48" t="s">
        <v>2</v>
      </c>
      <c r="C106" s="48" t="s">
        <v>25</v>
      </c>
      <c r="D106" s="48"/>
      <c r="E106" s="48" t="s">
        <v>26</v>
      </c>
      <c r="F106" s="48" t="s">
        <v>27</v>
      </c>
      <c r="G106" s="48" t="s">
        <v>28</v>
      </c>
      <c r="H106" s="48" t="s">
        <v>29</v>
      </c>
      <c r="I106" s="48" t="s">
        <v>9</v>
      </c>
      <c r="J106" s="48" t="s">
        <v>30</v>
      </c>
      <c r="K106" s="48" t="s">
        <v>31</v>
      </c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</row>
    <row r="107" spans="1:33" ht="13">
      <c r="A107" s="125" t="s">
        <v>95</v>
      </c>
      <c r="B107" s="16" t="s">
        <v>99</v>
      </c>
      <c r="C107" s="16">
        <v>2009</v>
      </c>
      <c r="D107" s="16"/>
      <c r="E107" s="126">
        <v>0</v>
      </c>
      <c r="F107" s="47">
        <f t="shared" ref="F107:F108" si="46">C107*E107</f>
        <v>0</v>
      </c>
      <c r="G107" s="16" t="e">
        <f ca="1">((C107*$O$12)-F107)</f>
        <v>#N/A</v>
      </c>
      <c r="H107" s="16"/>
      <c r="I107" s="16"/>
      <c r="J107" s="16"/>
      <c r="K107" s="63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</row>
    <row r="108" spans="1:33" ht="13">
      <c r="A108" s="59"/>
      <c r="B108" s="16"/>
      <c r="C108" s="16"/>
      <c r="D108" s="10"/>
      <c r="E108" s="47"/>
      <c r="F108" s="47">
        <f t="shared" si="46"/>
        <v>0</v>
      </c>
      <c r="G108" s="16" t="e">
        <f ca="1">((C108*$O$17)-F108)</f>
        <v>#N/A</v>
      </c>
      <c r="H108" s="32"/>
      <c r="I108" s="32"/>
      <c r="J108" s="32"/>
      <c r="K108" s="85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</row>
    <row r="109" spans="1:33" ht="13">
      <c r="A109" s="59"/>
      <c r="B109" s="16"/>
      <c r="C109" s="123">
        <f>SUM(C107:C108)</f>
        <v>2009</v>
      </c>
      <c r="D109" s="10"/>
      <c r="E109" s="16"/>
      <c r="F109" s="87">
        <f>SUM(F107:F108)</f>
        <v>0</v>
      </c>
      <c r="G109" s="32"/>
      <c r="H109" s="32">
        <v>0</v>
      </c>
      <c r="I109" s="32" t="e">
        <f ca="1">O12*C109</f>
        <v>#N/A</v>
      </c>
      <c r="J109" s="32" t="e">
        <f ca="1">I109-F109</f>
        <v>#N/A</v>
      </c>
      <c r="K109" s="85" t="e">
        <f ca="1">(I109-F109)/F739</f>
        <v>#N/A</v>
      </c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</row>
    <row r="110" spans="1:33" ht="13">
      <c r="A110" s="89"/>
      <c r="B110" s="90"/>
      <c r="C110" s="90"/>
      <c r="D110" s="90"/>
      <c r="E110" s="90"/>
      <c r="F110" s="90"/>
      <c r="G110" s="90"/>
      <c r="H110" s="90"/>
      <c r="I110" s="90"/>
      <c r="J110" s="90"/>
      <c r="K110" s="124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</row>
    <row r="111" spans="1:33" ht="1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</row>
    <row r="112" spans="1:33" ht="13">
      <c r="A112" s="48" t="s">
        <v>24</v>
      </c>
      <c r="B112" s="48" t="s">
        <v>2</v>
      </c>
      <c r="C112" s="48" t="s">
        <v>25</v>
      </c>
      <c r="D112" s="48"/>
      <c r="E112" s="48" t="s">
        <v>26</v>
      </c>
      <c r="F112" s="48" t="s">
        <v>27</v>
      </c>
      <c r="G112" s="48" t="s">
        <v>28</v>
      </c>
      <c r="H112" s="48" t="s">
        <v>29</v>
      </c>
      <c r="I112" s="48" t="s">
        <v>9</v>
      </c>
      <c r="J112" s="48" t="s">
        <v>30</v>
      </c>
      <c r="K112" s="48" t="s">
        <v>31</v>
      </c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</row>
    <row r="113" spans="1:33" ht="13">
      <c r="A113" s="67">
        <v>44082</v>
      </c>
      <c r="B113" s="223" t="s">
        <v>33</v>
      </c>
      <c r="C113" s="69">
        <v>130.74100000000001</v>
      </c>
      <c r="D113" s="69"/>
      <c r="E113" s="71">
        <v>1.92</v>
      </c>
      <c r="F113" s="71">
        <f t="shared" ref="F113:F122" si="47">C113*E113</f>
        <v>251.02272000000002</v>
      </c>
      <c r="G113" s="69" t="e">
        <f t="shared" ref="G113:G122" ca="1" si="48">((C113*$O$8)-F113)</f>
        <v>#N/A</v>
      </c>
      <c r="H113" s="16"/>
      <c r="I113" s="16"/>
      <c r="J113" s="16"/>
      <c r="K113" s="63"/>
      <c r="N113" s="16">
        <v>760</v>
      </c>
      <c r="O113" s="16"/>
      <c r="P113" s="16"/>
      <c r="Q113" s="16"/>
      <c r="R113" s="16"/>
      <c r="S113" s="16"/>
      <c r="T113" s="16"/>
      <c r="U113" s="16"/>
      <c r="V113" s="16"/>
      <c r="W113" s="16"/>
      <c r="X113" s="16"/>
    </row>
    <row r="114" spans="1:33" ht="13">
      <c r="A114" s="67">
        <v>44082</v>
      </c>
      <c r="B114" s="216"/>
      <c r="C114" s="136">
        <v>110.902564744055</v>
      </c>
      <c r="D114" s="136"/>
      <c r="E114" s="71">
        <v>2.21</v>
      </c>
      <c r="F114" s="71">
        <f t="shared" si="47"/>
        <v>245.09466808436153</v>
      </c>
      <c r="G114" s="69" t="e">
        <f t="shared" ca="1" si="48"/>
        <v>#N/A</v>
      </c>
      <c r="H114" s="32"/>
      <c r="I114" s="32"/>
      <c r="J114" s="32"/>
      <c r="K114" s="85"/>
      <c r="N114" s="16">
        <v>290</v>
      </c>
      <c r="O114" s="16"/>
      <c r="P114" s="16"/>
      <c r="Q114" s="16"/>
      <c r="R114" s="16"/>
      <c r="S114" s="16"/>
      <c r="T114" s="16"/>
      <c r="U114" s="16"/>
      <c r="V114" s="16"/>
      <c r="W114" s="16"/>
      <c r="X114" s="16"/>
    </row>
    <row r="115" spans="1:33" ht="13">
      <c r="A115" s="76" t="s">
        <v>100</v>
      </c>
      <c r="B115" s="216"/>
      <c r="C115" s="136">
        <v>64.099999999999994</v>
      </c>
      <c r="D115" s="136"/>
      <c r="E115" s="71">
        <f>3.5861/1.31</f>
        <v>2.7374809160305342</v>
      </c>
      <c r="F115" s="71">
        <f t="shared" si="47"/>
        <v>175.47252671755723</v>
      </c>
      <c r="G115" s="69" t="e">
        <f t="shared" ca="1" si="48"/>
        <v>#N/A</v>
      </c>
      <c r="H115" s="32"/>
      <c r="I115" s="32"/>
      <c r="J115" s="32"/>
      <c r="K115" s="85"/>
    </row>
    <row r="116" spans="1:33" ht="13">
      <c r="A116" s="76" t="s">
        <v>100</v>
      </c>
      <c r="B116" s="216"/>
      <c r="C116" s="136">
        <v>87.5</v>
      </c>
      <c r="D116" s="136"/>
      <c r="E116" s="71">
        <f>3.14/1.31</f>
        <v>2.3969465648854964</v>
      </c>
      <c r="F116" s="71">
        <f t="shared" si="47"/>
        <v>209.73282442748092</v>
      </c>
      <c r="G116" s="69" t="e">
        <f t="shared" ca="1" si="48"/>
        <v>#N/A</v>
      </c>
      <c r="H116" s="16">
        <f>SUM($C$113:C116)</f>
        <v>393.24356474405499</v>
      </c>
      <c r="J116" s="47">
        <f>SUM($F$113:F116)</f>
        <v>881.32273922939976</v>
      </c>
      <c r="K116" s="128">
        <f>J116/H116</f>
        <v>2.241162521764378</v>
      </c>
      <c r="M116" s="25">
        <v>-321.02004699999998</v>
      </c>
    </row>
    <row r="117" spans="1:33" ht="15">
      <c r="A117" s="76" t="s">
        <v>101</v>
      </c>
      <c r="B117" s="216"/>
      <c r="C117" s="69">
        <v>-93.2</v>
      </c>
      <c r="D117" s="69"/>
      <c r="E117" s="71">
        <f>3.2/1.31</f>
        <v>2.4427480916030535</v>
      </c>
      <c r="F117" s="71">
        <f t="shared" si="47"/>
        <v>-227.6641221374046</v>
      </c>
      <c r="G117" s="69" t="e">
        <f t="shared" ca="1" si="48"/>
        <v>#N/A</v>
      </c>
      <c r="H117" s="16">
        <f>C117</f>
        <v>-93.2</v>
      </c>
      <c r="J117" s="47">
        <f>E117-K116</f>
        <v>0.20158556983867548</v>
      </c>
      <c r="K117" s="131">
        <f>H117*J117</f>
        <v>-18.787775108964556</v>
      </c>
      <c r="O117" s="137">
        <v>0.17158101000000001</v>
      </c>
    </row>
    <row r="118" spans="1:33" ht="15">
      <c r="A118" s="76" t="s">
        <v>102</v>
      </c>
      <c r="B118" s="216"/>
      <c r="C118" s="69">
        <f>104.3+B118</f>
        <v>104.3</v>
      </c>
      <c r="D118" s="69"/>
      <c r="E118" s="71">
        <f>2.82/1.31</f>
        <v>2.1526717557251906</v>
      </c>
      <c r="F118" s="71">
        <f t="shared" si="47"/>
        <v>224.52366412213738</v>
      </c>
      <c r="G118" s="69" t="e">
        <f t="shared" ca="1" si="48"/>
        <v>#N/A</v>
      </c>
      <c r="H118" s="16"/>
      <c r="I118" s="16"/>
      <c r="J118" s="138"/>
      <c r="K118" s="85"/>
      <c r="O118" s="139">
        <v>-0.17208501000000001</v>
      </c>
      <c r="P118" s="25">
        <f>O117+O118</f>
        <v>-5.0400000000000444E-4</v>
      </c>
    </row>
    <row r="119" spans="1:33" ht="13">
      <c r="A119" s="76" t="s">
        <v>103</v>
      </c>
      <c r="B119" s="216"/>
      <c r="C119" s="69">
        <v>116.5</v>
      </c>
      <c r="D119" s="69"/>
      <c r="E119" s="71">
        <f>2.52/1.31</f>
        <v>1.9236641221374045</v>
      </c>
      <c r="F119" s="71">
        <f t="shared" si="47"/>
        <v>224.10687022900763</v>
      </c>
      <c r="G119" s="69" t="e">
        <f t="shared" ca="1" si="48"/>
        <v>#N/A</v>
      </c>
      <c r="H119" s="32"/>
      <c r="I119" s="32"/>
      <c r="J119" s="32"/>
      <c r="K119" s="85"/>
      <c r="M119" s="25">
        <v>-107.89905899999999</v>
      </c>
    </row>
    <row r="120" spans="1:33" ht="13">
      <c r="A120" s="67">
        <v>43991</v>
      </c>
      <c r="B120" s="216"/>
      <c r="C120" s="69">
        <v>72.400000000000006</v>
      </c>
      <c r="D120" s="69"/>
      <c r="E120" s="71">
        <v>1.79</v>
      </c>
      <c r="F120" s="71">
        <f t="shared" si="47"/>
        <v>129.596</v>
      </c>
      <c r="G120" s="69" t="e">
        <f t="shared" ca="1" si="48"/>
        <v>#N/A</v>
      </c>
      <c r="H120" s="32"/>
      <c r="I120" s="32"/>
      <c r="J120" s="32"/>
      <c r="K120" s="85"/>
    </row>
    <row r="121" spans="1:33" ht="15">
      <c r="A121" s="76" t="s">
        <v>90</v>
      </c>
      <c r="B121" s="216"/>
      <c r="C121" s="69">
        <v>128.85</v>
      </c>
      <c r="D121" s="69"/>
      <c r="E121" s="71">
        <v>1.56</v>
      </c>
      <c r="F121" s="71">
        <f t="shared" si="47"/>
        <v>201.006</v>
      </c>
      <c r="G121" s="69" t="e">
        <f t="shared" ca="1" si="48"/>
        <v>#N/A</v>
      </c>
      <c r="H121" s="32"/>
      <c r="I121" s="32"/>
      <c r="J121" s="32"/>
      <c r="K121" s="85"/>
      <c r="O121" s="137">
        <v>0.17750826</v>
      </c>
    </row>
    <row r="122" spans="1:33" ht="15">
      <c r="A122" s="76" t="s">
        <v>96</v>
      </c>
      <c r="B122" s="216"/>
      <c r="C122" s="140">
        <v>289.70999999999998</v>
      </c>
      <c r="D122" s="140"/>
      <c r="E122" s="71">
        <v>0.84</v>
      </c>
      <c r="F122" s="71">
        <f t="shared" si="47"/>
        <v>243.35639999999998</v>
      </c>
      <c r="G122" s="69" t="e">
        <f t="shared" ca="1" si="48"/>
        <v>#N/A</v>
      </c>
      <c r="H122" s="32"/>
      <c r="I122" s="32"/>
      <c r="J122" s="32"/>
      <c r="K122" s="85"/>
      <c r="O122" s="137">
        <v>0.16951484</v>
      </c>
    </row>
    <row r="123" spans="1:33" ht="13">
      <c r="A123" s="59"/>
      <c r="B123" s="16"/>
      <c r="C123" s="141">
        <f>SUM(C113:C122)+38.5</f>
        <v>1050.3035647440549</v>
      </c>
      <c r="D123" s="142"/>
      <c r="E123" s="16"/>
      <c r="F123" s="87">
        <f>SUM(F113:F122)</f>
        <v>1676.2475514431401</v>
      </c>
      <c r="G123" s="32"/>
      <c r="H123" s="32">
        <f>F123/C123</f>
        <v>1.5959648312263126</v>
      </c>
      <c r="I123" s="32" t="e">
        <f ca="1">O8*C123</f>
        <v>#N/A</v>
      </c>
      <c r="J123" s="32" t="e">
        <f ca="1">I123-F123</f>
        <v>#N/A</v>
      </c>
      <c r="K123" s="85" t="e">
        <f ca="1">(I123-F123)/F123</f>
        <v>#N/A</v>
      </c>
      <c r="O123" s="25">
        <f>O121-O122</f>
        <v>7.9934200000000011E-3</v>
      </c>
    </row>
    <row r="124" spans="1:33" ht="13">
      <c r="A124" s="89"/>
      <c r="B124" s="90"/>
      <c r="C124" s="90"/>
      <c r="D124" s="90"/>
      <c r="E124" s="90"/>
      <c r="F124" s="90"/>
      <c r="G124" s="91"/>
      <c r="H124" s="91" t="e">
        <f>H123*#REF!</f>
        <v>#REF!</v>
      </c>
      <c r="I124" s="90"/>
      <c r="J124" s="90"/>
      <c r="K124" s="124"/>
    </row>
    <row r="125" spans="1:33" ht="13">
      <c r="A125" s="135"/>
      <c r="B125" s="117"/>
      <c r="C125" s="117"/>
      <c r="D125" s="117"/>
      <c r="E125" s="117"/>
      <c r="F125" s="117"/>
      <c r="G125" s="117"/>
      <c r="H125" s="117"/>
      <c r="I125" s="117"/>
      <c r="J125" s="117"/>
      <c r="K125" s="93"/>
      <c r="L125" s="16"/>
      <c r="M125" s="16"/>
      <c r="O125" s="25">
        <f>O123-P118</f>
        <v>8.4974200000000055E-3</v>
      </c>
      <c r="Y125" s="16"/>
      <c r="Z125" s="16"/>
      <c r="AA125" s="16"/>
      <c r="AB125" s="16"/>
      <c r="AC125" s="16"/>
      <c r="AD125" s="16"/>
      <c r="AE125" s="16"/>
      <c r="AF125" s="16"/>
      <c r="AG125" s="16"/>
    </row>
    <row r="126" spans="1:33" ht="13">
      <c r="L126" s="16"/>
      <c r="M126" s="16"/>
      <c r="Y126" s="16"/>
      <c r="Z126" s="16"/>
      <c r="AA126" s="16"/>
      <c r="AB126" s="16"/>
      <c r="AC126" s="16"/>
      <c r="AD126" s="16"/>
      <c r="AE126" s="16"/>
      <c r="AF126" s="16"/>
      <c r="AG126" s="16"/>
    </row>
    <row r="127" spans="1:33" ht="13">
      <c r="A127" s="48" t="s">
        <v>24</v>
      </c>
      <c r="B127" s="48" t="s">
        <v>2</v>
      </c>
      <c r="C127" s="48" t="s">
        <v>25</v>
      </c>
      <c r="D127" s="48"/>
      <c r="E127" s="48" t="s">
        <v>26</v>
      </c>
      <c r="F127" s="48" t="s">
        <v>27</v>
      </c>
      <c r="G127" s="48" t="s">
        <v>28</v>
      </c>
      <c r="H127" s="48" t="s">
        <v>29</v>
      </c>
      <c r="I127" s="48" t="s">
        <v>9</v>
      </c>
      <c r="J127" s="48" t="s">
        <v>30</v>
      </c>
      <c r="K127" s="48" t="s">
        <v>31</v>
      </c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</row>
    <row r="128" spans="1:33" ht="13">
      <c r="A128" s="106">
        <v>44532</v>
      </c>
      <c r="B128" s="16" t="s">
        <v>39</v>
      </c>
      <c r="C128" s="16">
        <v>205</v>
      </c>
      <c r="D128" s="16"/>
      <c r="E128" s="47">
        <v>1.77</v>
      </c>
      <c r="F128" s="47">
        <f t="shared" ref="F128:F129" si="49">C128*E128</f>
        <v>362.85</v>
      </c>
      <c r="G128" s="16" t="e">
        <f t="shared" ref="G128:G129" ca="1" si="50">((C128*$O$11)-F128)</f>
        <v>#N/A</v>
      </c>
      <c r="H128" s="16"/>
      <c r="I128" s="16"/>
      <c r="J128" s="16"/>
      <c r="K128" s="63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</row>
    <row r="129" spans="1:33" ht="13">
      <c r="A129" s="59"/>
      <c r="B129" s="16"/>
      <c r="C129" s="16">
        <v>135.69999999999999</v>
      </c>
      <c r="D129" s="16"/>
      <c r="E129" s="47">
        <v>1.99</v>
      </c>
      <c r="F129" s="47">
        <f t="shared" si="49"/>
        <v>270.04299999999995</v>
      </c>
      <c r="G129" s="16" t="e">
        <f t="shared" ca="1" si="50"/>
        <v>#N/A</v>
      </c>
      <c r="H129" s="32"/>
      <c r="I129" s="32"/>
      <c r="J129" s="32"/>
      <c r="K129" s="85"/>
      <c r="L129" s="16"/>
      <c r="M129" s="16"/>
      <c r="Y129" s="16"/>
      <c r="Z129" s="16"/>
      <c r="AA129" s="16"/>
      <c r="AB129" s="16"/>
      <c r="AC129" s="16"/>
      <c r="AD129" s="16"/>
      <c r="AE129" s="16"/>
      <c r="AF129" s="16"/>
      <c r="AG129" s="16"/>
    </row>
    <row r="130" spans="1:33" ht="13">
      <c r="A130" s="89"/>
      <c r="B130" s="90"/>
      <c r="C130" s="123">
        <f>SUM(C128:C129)-7.7</f>
        <v>333</v>
      </c>
      <c r="D130" s="117"/>
      <c r="E130" s="90"/>
      <c r="F130" s="87">
        <f>SUM(F128:F129)</f>
        <v>632.89300000000003</v>
      </c>
      <c r="G130" s="92"/>
      <c r="H130" s="92">
        <f>F130/C130</f>
        <v>1.9005795795795797</v>
      </c>
      <c r="I130" s="92" t="e">
        <f ca="1">O11*C130</f>
        <v>#N/A</v>
      </c>
      <c r="J130" s="92" t="e">
        <f ca="1">I130-F130</f>
        <v>#N/A</v>
      </c>
      <c r="K130" s="119" t="e">
        <f ca="1">(I130-F130)/F130</f>
        <v>#N/A</v>
      </c>
      <c r="L130" s="16"/>
      <c r="M130" s="16"/>
      <c r="Y130" s="16"/>
      <c r="Z130" s="16"/>
      <c r="AA130" s="16"/>
      <c r="AB130" s="16"/>
      <c r="AC130" s="16"/>
      <c r="AD130" s="16"/>
      <c r="AE130" s="16"/>
      <c r="AF130" s="16"/>
      <c r="AG130" s="16"/>
    </row>
    <row r="131" spans="1:33" ht="13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</row>
    <row r="132" spans="1:33" ht="13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</row>
    <row r="133" spans="1:33" ht="13">
      <c r="A133" s="48" t="s">
        <v>24</v>
      </c>
      <c r="B133" s="48" t="s">
        <v>2</v>
      </c>
      <c r="C133" s="48" t="s">
        <v>25</v>
      </c>
      <c r="D133" s="48"/>
      <c r="E133" s="48" t="s">
        <v>26</v>
      </c>
      <c r="F133" s="48" t="s">
        <v>27</v>
      </c>
      <c r="G133" s="48" t="s">
        <v>28</v>
      </c>
      <c r="H133" s="48" t="s">
        <v>29</v>
      </c>
      <c r="I133" s="48" t="s">
        <v>9</v>
      </c>
      <c r="J133" s="48" t="s">
        <v>30</v>
      </c>
      <c r="K133" s="48" t="s">
        <v>31</v>
      </c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</row>
    <row r="134" spans="1:33" ht="13">
      <c r="A134" s="59" t="s">
        <v>75</v>
      </c>
      <c r="B134" s="16" t="s">
        <v>35</v>
      </c>
      <c r="C134" s="16">
        <v>4000</v>
      </c>
      <c r="D134" s="16"/>
      <c r="E134" s="47">
        <f>442.05/4000</f>
        <v>0.1105125</v>
      </c>
      <c r="F134" s="47">
        <f>C134*E134</f>
        <v>442.05</v>
      </c>
      <c r="G134" s="16" t="e">
        <f ca="1">((C134*$O$9)-F134)</f>
        <v>#N/A</v>
      </c>
      <c r="H134" s="16"/>
      <c r="I134" s="16"/>
      <c r="J134" s="16"/>
      <c r="K134" s="63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</row>
    <row r="135" spans="1:33" ht="13">
      <c r="A135" s="59"/>
      <c r="B135" s="16"/>
      <c r="C135" s="16"/>
      <c r="D135" s="16"/>
      <c r="E135" s="128"/>
      <c r="F135" s="47"/>
      <c r="G135" s="16"/>
      <c r="H135" s="32"/>
      <c r="I135" s="32"/>
      <c r="J135" s="32"/>
      <c r="K135" s="85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</row>
    <row r="136" spans="1:33" ht="13">
      <c r="A136" s="89"/>
      <c r="B136" s="90"/>
      <c r="C136" s="123">
        <f>SUM(C134:C135)</f>
        <v>4000</v>
      </c>
      <c r="D136" s="117"/>
      <c r="E136" s="90"/>
      <c r="F136" s="87">
        <f>SUM(F134:F135)</f>
        <v>442.05</v>
      </c>
      <c r="G136" s="92"/>
      <c r="H136" s="92">
        <f>F136/C136</f>
        <v>0.1105125</v>
      </c>
      <c r="I136" s="92" t="e">
        <f ca="1">O9*C136</f>
        <v>#N/A</v>
      </c>
      <c r="J136" s="92" t="e">
        <f ca="1">I136-F136</f>
        <v>#N/A</v>
      </c>
      <c r="K136" s="119" t="e">
        <f ca="1">(I136-F136)/F136</f>
        <v>#N/A</v>
      </c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</row>
    <row r="137" spans="1:33" ht="13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</row>
    <row r="138" spans="1:33" ht="13">
      <c r="A138" s="48" t="s">
        <v>24</v>
      </c>
      <c r="B138" s="48" t="s">
        <v>2</v>
      </c>
      <c r="C138" s="48" t="s">
        <v>25</v>
      </c>
      <c r="D138" s="48"/>
      <c r="E138" s="48" t="s">
        <v>26</v>
      </c>
      <c r="F138" s="48" t="s">
        <v>27</v>
      </c>
      <c r="G138" s="48" t="s">
        <v>28</v>
      </c>
      <c r="H138" s="48" t="s">
        <v>29</v>
      </c>
      <c r="I138" s="48" t="s">
        <v>9</v>
      </c>
      <c r="J138" s="48" t="s">
        <v>30</v>
      </c>
      <c r="K138" s="48" t="s">
        <v>31</v>
      </c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</row>
    <row r="139" spans="1:33" ht="13">
      <c r="A139" s="143">
        <v>44199</v>
      </c>
      <c r="B139" s="222" t="s">
        <v>37</v>
      </c>
      <c r="C139" s="16">
        <v>90</v>
      </c>
      <c r="D139" s="16"/>
      <c r="E139" s="47">
        <f>1776.56/90</f>
        <v>19.739555555555555</v>
      </c>
      <c r="F139" s="47">
        <f t="shared" ref="F139:F141" si="51">C139*E139</f>
        <v>1776.56</v>
      </c>
      <c r="G139" s="16" t="e">
        <f t="shared" ref="G139:G141" ca="1" si="52">((C139*$O$10)-F139)</f>
        <v>#N/A</v>
      </c>
      <c r="H139" s="16"/>
      <c r="I139" s="16"/>
      <c r="J139" s="16"/>
      <c r="K139" s="63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</row>
    <row r="140" spans="1:33" ht="13">
      <c r="A140" s="143">
        <v>44258</v>
      </c>
      <c r="B140" s="216"/>
      <c r="C140" s="16">
        <v>45.909100000000002</v>
      </c>
      <c r="D140" s="16"/>
      <c r="E140" s="47">
        <v>21.51</v>
      </c>
      <c r="F140" s="47">
        <f t="shared" si="51"/>
        <v>987.50474100000008</v>
      </c>
      <c r="G140" s="16" t="e">
        <f t="shared" ca="1" si="52"/>
        <v>#N/A</v>
      </c>
      <c r="H140" s="32"/>
      <c r="I140" s="32"/>
      <c r="J140" s="32"/>
      <c r="K140" s="85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</row>
    <row r="141" spans="1:33" ht="13">
      <c r="A141" s="143">
        <v>44258</v>
      </c>
      <c r="B141" s="216"/>
      <c r="C141" s="16">
        <v>41.726300000000002</v>
      </c>
      <c r="D141" s="16"/>
      <c r="E141" s="47">
        <v>23.67</v>
      </c>
      <c r="F141" s="47">
        <f t="shared" si="51"/>
        <v>987.66152100000011</v>
      </c>
      <c r="G141" s="16" t="e">
        <f t="shared" ca="1" si="52"/>
        <v>#N/A</v>
      </c>
      <c r="H141" s="32"/>
      <c r="I141" s="32"/>
      <c r="J141" s="32"/>
      <c r="K141" s="85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</row>
    <row r="142" spans="1:33" ht="13">
      <c r="A142" s="89"/>
      <c r="B142" s="90"/>
      <c r="C142" s="123">
        <f>SUM(C139:C141)</f>
        <v>177.6354</v>
      </c>
      <c r="D142" s="117"/>
      <c r="E142" s="90"/>
      <c r="F142" s="87">
        <f>SUM(F139:F141)</f>
        <v>3751.7262620000001</v>
      </c>
      <c r="G142" s="92"/>
      <c r="H142" s="92">
        <f>F142/C142</f>
        <v>21.120375004081392</v>
      </c>
      <c r="I142" s="92" t="e">
        <f ca="1">O10*C142</f>
        <v>#N/A</v>
      </c>
      <c r="J142" s="92" t="e">
        <f ca="1">I142-F142</f>
        <v>#N/A</v>
      </c>
      <c r="K142" s="119" t="e">
        <f ca="1">(I142-F142)/F142</f>
        <v>#N/A</v>
      </c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</row>
    <row r="143" spans="1:33" ht="1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</row>
    <row r="144" spans="1:33" ht="13">
      <c r="A144" s="48" t="s">
        <v>24</v>
      </c>
      <c r="B144" s="48" t="s">
        <v>2</v>
      </c>
      <c r="C144" s="48" t="s">
        <v>25</v>
      </c>
      <c r="D144" s="48"/>
      <c r="E144" s="48" t="s">
        <v>26</v>
      </c>
      <c r="F144" s="48" t="s">
        <v>27</v>
      </c>
      <c r="G144" s="48" t="s">
        <v>28</v>
      </c>
      <c r="H144" s="48" t="s">
        <v>29</v>
      </c>
      <c r="I144" s="48" t="s">
        <v>9</v>
      </c>
      <c r="J144" s="48" t="s">
        <v>30</v>
      </c>
      <c r="K144" s="48" t="s">
        <v>31</v>
      </c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</row>
    <row r="145" spans="1:33" ht="13">
      <c r="A145" s="51" t="s">
        <v>104</v>
      </c>
      <c r="B145" s="224" t="s">
        <v>46</v>
      </c>
      <c r="C145" s="16">
        <f>0.75</f>
        <v>0.75</v>
      </c>
      <c r="D145" s="56"/>
      <c r="E145" s="55">
        <v>111.93</v>
      </c>
      <c r="F145" s="47">
        <f t="shared" ref="F145:F147" si="53">C145*E145</f>
        <v>83.947500000000005</v>
      </c>
      <c r="G145" s="47" t="e">
        <f t="shared" ref="G145:G147" ca="1" si="54">((C145*$O$16)-F145)</f>
        <v>#N/A</v>
      </c>
      <c r="H145" s="56"/>
      <c r="I145" s="56"/>
      <c r="J145" s="56"/>
      <c r="K145" s="57"/>
      <c r="L145" s="16"/>
      <c r="M145" s="16"/>
      <c r="Y145" s="16"/>
      <c r="Z145" s="16"/>
      <c r="AA145" s="16"/>
      <c r="AB145" s="16"/>
      <c r="AC145" s="16"/>
      <c r="AD145" s="16"/>
      <c r="AE145" s="16"/>
      <c r="AF145" s="16"/>
      <c r="AG145" s="16"/>
    </row>
    <row r="146" spans="1:33" ht="13">
      <c r="A146" s="51" t="s">
        <v>104</v>
      </c>
      <c r="B146" s="216"/>
      <c r="C146" s="16">
        <v>0.42838313</v>
      </c>
      <c r="D146" s="10"/>
      <c r="E146" s="47">
        <v>112.07</v>
      </c>
      <c r="F146" s="47">
        <f t="shared" si="53"/>
        <v>48.008897379099999</v>
      </c>
      <c r="G146" s="47" t="e">
        <f t="shared" ca="1" si="54"/>
        <v>#N/A</v>
      </c>
      <c r="H146" s="10"/>
      <c r="I146" s="32"/>
      <c r="J146" s="32"/>
      <c r="K146" s="85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</row>
    <row r="147" spans="1:33" ht="13">
      <c r="A147" s="59"/>
      <c r="B147" s="216"/>
      <c r="C147" s="16">
        <v>-1.1783831300000001</v>
      </c>
      <c r="D147" s="10"/>
      <c r="E147" s="47">
        <v>108.15</v>
      </c>
      <c r="F147" s="47">
        <f t="shared" si="53"/>
        <v>-127.44213550950002</v>
      </c>
      <c r="G147" s="47" t="e">
        <f t="shared" ca="1" si="54"/>
        <v>#N/A</v>
      </c>
      <c r="H147" s="10"/>
      <c r="I147" s="32"/>
      <c r="J147" s="32"/>
      <c r="K147" s="85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</row>
    <row r="148" spans="1:33" ht="13">
      <c r="A148" s="59"/>
      <c r="B148" s="16"/>
      <c r="C148" s="123">
        <f>SUM(C145:C147)</f>
        <v>0</v>
      </c>
      <c r="D148" s="10"/>
      <c r="E148" s="16"/>
      <c r="F148" s="87">
        <f>SUM(F145:F147)</f>
        <v>4.5142618695999772</v>
      </c>
      <c r="G148" s="10"/>
      <c r="H148" s="32" t="e">
        <f>F148/C148</f>
        <v>#DIV/0!</v>
      </c>
      <c r="I148" s="32" t="e">
        <f ca="1">O16*C148</f>
        <v>#N/A</v>
      </c>
      <c r="J148" s="32" t="e">
        <f ca="1">I148-F148</f>
        <v>#N/A</v>
      </c>
      <c r="K148" s="85" t="e">
        <f ca="1">(I148-F148)/F148</f>
        <v>#N/A</v>
      </c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</row>
    <row r="149" spans="1:33" ht="13">
      <c r="A149" s="144"/>
      <c r="B149" s="145"/>
      <c r="C149" s="145"/>
      <c r="D149" s="145"/>
      <c r="E149" s="145"/>
      <c r="F149" s="145"/>
      <c r="G149" s="145"/>
      <c r="H149" s="145"/>
      <c r="I149" s="145"/>
      <c r="J149" s="145"/>
      <c r="K149" s="14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</row>
    <row r="150" spans="1:33" ht="13"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</row>
    <row r="151" spans="1:33" ht="13">
      <c r="A151" s="48" t="s">
        <v>24</v>
      </c>
      <c r="B151" s="48" t="s">
        <v>2</v>
      </c>
      <c r="C151" s="48" t="s">
        <v>25</v>
      </c>
      <c r="D151" s="48"/>
      <c r="E151" s="48" t="s">
        <v>26</v>
      </c>
      <c r="F151" s="48" t="s">
        <v>27</v>
      </c>
      <c r="G151" s="48" t="s">
        <v>28</v>
      </c>
      <c r="H151" s="48" t="s">
        <v>29</v>
      </c>
      <c r="I151" s="48" t="s">
        <v>9</v>
      </c>
      <c r="J151" s="48" t="s">
        <v>30</v>
      </c>
      <c r="K151" s="48" t="s">
        <v>31</v>
      </c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</row>
    <row r="152" spans="1:33" ht="13">
      <c r="A152" s="147"/>
      <c r="B152" s="56" t="s">
        <v>105</v>
      </c>
      <c r="C152" s="56">
        <v>10.37401</v>
      </c>
      <c r="D152" s="56"/>
      <c r="E152" s="148"/>
      <c r="F152" s="55">
        <f>C152*E152</f>
        <v>0</v>
      </c>
      <c r="G152" s="47" t="e">
        <f ca="1">((C152*$O$22)-F152)</f>
        <v>#N/A</v>
      </c>
      <c r="H152" s="56"/>
      <c r="I152" s="56"/>
      <c r="J152" s="56"/>
      <c r="K152" s="57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</row>
    <row r="153" spans="1:33" ht="13">
      <c r="A153" s="59"/>
      <c r="B153" s="16"/>
      <c r="C153" s="123">
        <f>SUM(C152)</f>
        <v>10.37401</v>
      </c>
      <c r="D153" s="10"/>
      <c r="E153" s="16"/>
      <c r="F153" s="87">
        <f>SUM(F152)</f>
        <v>0</v>
      </c>
      <c r="G153" s="10"/>
      <c r="H153" s="32">
        <f>F153/C153</f>
        <v>0</v>
      </c>
      <c r="I153" s="32">
        <f>U15</f>
        <v>114.11411</v>
      </c>
      <c r="J153" s="32">
        <f>I153-F153</f>
        <v>114.11411</v>
      </c>
      <c r="K153" s="85" t="e">
        <f>(I153-F153)/F153</f>
        <v>#DIV/0!</v>
      </c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</row>
    <row r="154" spans="1:33" ht="13">
      <c r="A154" s="144"/>
      <c r="B154" s="145"/>
      <c r="C154" s="145"/>
      <c r="D154" s="145"/>
      <c r="E154" s="145"/>
      <c r="F154" s="145"/>
      <c r="G154" s="145"/>
      <c r="H154" s="145"/>
      <c r="I154" s="145"/>
      <c r="J154" s="145"/>
      <c r="K154" s="14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</row>
    <row r="155" spans="1:33" ht="13"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</row>
    <row r="156" spans="1:33" ht="13">
      <c r="A156" s="48" t="s">
        <v>24</v>
      </c>
      <c r="B156" s="48" t="s">
        <v>2</v>
      </c>
      <c r="C156" s="48" t="s">
        <v>25</v>
      </c>
      <c r="D156" s="48"/>
      <c r="E156" s="48" t="s">
        <v>26</v>
      </c>
      <c r="F156" s="48" t="s">
        <v>27</v>
      </c>
      <c r="G156" s="48" t="s">
        <v>28</v>
      </c>
      <c r="H156" s="48" t="s">
        <v>29</v>
      </c>
      <c r="I156" s="48" t="s">
        <v>9</v>
      </c>
      <c r="J156" s="48" t="s">
        <v>30</v>
      </c>
      <c r="K156" s="48" t="s">
        <v>31</v>
      </c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</row>
    <row r="157" spans="1:33" ht="13">
      <c r="A157" s="147"/>
      <c r="B157" s="56" t="s">
        <v>106</v>
      </c>
      <c r="C157" s="56">
        <v>1247.3225500000001</v>
      </c>
      <c r="D157" s="56"/>
      <c r="E157" s="148"/>
      <c r="F157" s="55">
        <f>C157*E157</f>
        <v>0</v>
      </c>
      <c r="G157" s="47" t="e">
        <f ca="1">((C157*$O$22)-F157)</f>
        <v>#N/A</v>
      </c>
      <c r="H157" s="56"/>
      <c r="I157" s="56"/>
      <c r="J157" s="56"/>
      <c r="K157" s="57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</row>
    <row r="158" spans="1:33" ht="13">
      <c r="A158" s="59"/>
      <c r="B158" s="16"/>
      <c r="C158" s="123">
        <f>SUM(C157)</f>
        <v>1247.3225500000001</v>
      </c>
      <c r="D158" s="10"/>
      <c r="E158" s="16"/>
      <c r="F158" s="87">
        <f>SUM(F157)</f>
        <v>0</v>
      </c>
      <c r="G158" s="10"/>
      <c r="H158" s="32">
        <f>F158/C158</f>
        <v>0</v>
      </c>
      <c r="I158" s="32">
        <f>U14</f>
        <v>37.419676500000001</v>
      </c>
      <c r="J158" s="32">
        <f>I158-F158</f>
        <v>37.419676500000001</v>
      </c>
      <c r="K158" s="85" t="e">
        <f>(I158-F158)/F158</f>
        <v>#DIV/0!</v>
      </c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</row>
    <row r="159" spans="1:33" ht="13">
      <c r="A159" s="144"/>
      <c r="B159" s="145"/>
      <c r="C159" s="145"/>
      <c r="D159" s="145"/>
      <c r="E159" s="145"/>
      <c r="F159" s="145"/>
      <c r="G159" s="145"/>
      <c r="H159" s="145"/>
      <c r="I159" s="145"/>
      <c r="J159" s="145"/>
      <c r="K159" s="14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</row>
    <row r="160" spans="1:33" ht="13"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</row>
    <row r="161" spans="1:33" ht="13">
      <c r="A161" s="48" t="s">
        <v>24</v>
      </c>
      <c r="B161" s="48" t="s">
        <v>2</v>
      </c>
      <c r="C161" s="48" t="s">
        <v>25</v>
      </c>
      <c r="D161" s="48"/>
      <c r="E161" s="48" t="s">
        <v>26</v>
      </c>
      <c r="F161" s="48" t="s">
        <v>27</v>
      </c>
      <c r="G161" s="48" t="s">
        <v>28</v>
      </c>
      <c r="H161" s="48" t="s">
        <v>29</v>
      </c>
      <c r="I161" s="48" t="s">
        <v>9</v>
      </c>
      <c r="J161" s="48" t="s">
        <v>30</v>
      </c>
      <c r="K161" s="48" t="s">
        <v>31</v>
      </c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</row>
    <row r="162" spans="1:33" ht="13">
      <c r="A162" s="147"/>
      <c r="B162" s="56" t="s">
        <v>22</v>
      </c>
      <c r="C162" s="56">
        <v>10000</v>
      </c>
      <c r="D162" s="56"/>
      <c r="E162" s="148">
        <v>0.03</v>
      </c>
      <c r="F162" s="55">
        <f t="shared" ref="F162:F163" si="55">C162*E162</f>
        <v>300</v>
      </c>
      <c r="G162" s="47" t="e">
        <f t="shared" ref="G162:G163" ca="1" si="56">((C162*$O$22)-F162)</f>
        <v>#N/A</v>
      </c>
      <c r="H162" s="56"/>
      <c r="I162" s="56"/>
      <c r="J162" s="56"/>
      <c r="K162" s="57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</row>
    <row r="163" spans="1:33" ht="13">
      <c r="A163" s="59"/>
      <c r="B163" s="56" t="s">
        <v>22</v>
      </c>
      <c r="C163" s="56">
        <v>15</v>
      </c>
      <c r="D163" s="56"/>
      <c r="E163" s="148">
        <v>0</v>
      </c>
      <c r="F163" s="55">
        <f t="shared" si="55"/>
        <v>0</v>
      </c>
      <c r="G163" s="47" t="e">
        <f t="shared" ca="1" si="56"/>
        <v>#N/A</v>
      </c>
      <c r="H163" s="10"/>
      <c r="I163" s="32"/>
      <c r="J163" s="32"/>
      <c r="K163" s="85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</row>
    <row r="164" spans="1:33" ht="13">
      <c r="A164" s="59"/>
      <c r="B164" s="16"/>
      <c r="C164" s="123">
        <f>SUM(C162:C163)</f>
        <v>10015</v>
      </c>
      <c r="D164" s="10"/>
      <c r="E164" s="16"/>
      <c r="F164" s="87">
        <f>SUM(F162)</f>
        <v>300</v>
      </c>
      <c r="G164" s="10"/>
      <c r="H164" s="32">
        <f>F164/C164</f>
        <v>2.9955067398901646E-2</v>
      </c>
      <c r="I164" s="32">
        <f ca="1">U6</f>
        <v>157.32508090106629</v>
      </c>
      <c r="J164" s="32">
        <f ca="1">I164-F164</f>
        <v>-142.67491909893371</v>
      </c>
      <c r="K164" s="85">
        <f ca="1">(I164-F164)/F164</f>
        <v>-0.47558306366311237</v>
      </c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</row>
    <row r="165" spans="1:33" ht="13">
      <c r="A165" s="144"/>
      <c r="B165" s="145"/>
      <c r="C165" s="145"/>
      <c r="D165" s="145"/>
      <c r="E165" s="145"/>
      <c r="F165" s="145"/>
      <c r="G165" s="145"/>
      <c r="H165" s="145"/>
      <c r="I165" s="145"/>
      <c r="J165" s="145"/>
      <c r="K165" s="14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</row>
    <row r="166" spans="1:33" ht="13"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</row>
    <row r="167" spans="1:33" ht="13">
      <c r="A167" s="149" t="s">
        <v>24</v>
      </c>
      <c r="B167" s="149" t="s">
        <v>2</v>
      </c>
      <c r="C167" s="149" t="s">
        <v>25</v>
      </c>
      <c r="D167" s="149"/>
      <c r="E167" s="149" t="s">
        <v>26</v>
      </c>
      <c r="F167" s="149" t="s">
        <v>27</v>
      </c>
      <c r="G167" s="149" t="s">
        <v>28</v>
      </c>
      <c r="H167" s="149" t="s">
        <v>29</v>
      </c>
      <c r="I167" s="149" t="s">
        <v>9</v>
      </c>
      <c r="J167" s="149" t="s">
        <v>30</v>
      </c>
      <c r="K167" s="149" t="s">
        <v>31</v>
      </c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</row>
    <row r="168" spans="1:33" ht="13">
      <c r="A168" s="150">
        <v>43929</v>
      </c>
      <c r="B168" s="215" t="s">
        <v>49</v>
      </c>
      <c r="C168" s="151">
        <v>20</v>
      </c>
      <c r="D168" s="151"/>
      <c r="E168" s="152">
        <v>7.24</v>
      </c>
      <c r="F168" s="152">
        <f>-C168*E168</f>
        <v>-144.80000000000001</v>
      </c>
      <c r="G168" s="71"/>
      <c r="H168" s="69"/>
      <c r="I168" s="69"/>
      <c r="J168" s="69"/>
      <c r="K168" s="153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</row>
    <row r="169" spans="1:33" ht="13">
      <c r="A169" s="154" t="s">
        <v>100</v>
      </c>
      <c r="B169" s="216"/>
      <c r="C169" s="151">
        <v>-20</v>
      </c>
      <c r="D169" s="151"/>
      <c r="E169" s="152">
        <v>12.06</v>
      </c>
      <c r="F169" s="152">
        <f>C169*-E169</f>
        <v>241.20000000000002</v>
      </c>
      <c r="G169" s="71"/>
      <c r="H169" s="155"/>
      <c r="I169" s="156"/>
      <c r="J169" s="156"/>
      <c r="K169" s="157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</row>
    <row r="170" spans="1:33" ht="13">
      <c r="A170" s="76"/>
      <c r="B170" s="69"/>
      <c r="C170" s="158">
        <f>SUM(C168,C169)</f>
        <v>0</v>
      </c>
      <c r="D170" s="155"/>
      <c r="E170" s="69"/>
      <c r="F170" s="159">
        <f>SUM(F168:F169)</f>
        <v>96.4</v>
      </c>
      <c r="G170" s="155"/>
      <c r="H170" s="156" t="e">
        <f>F170/C170</f>
        <v>#DIV/0!</v>
      </c>
      <c r="I170" s="156" t="e">
        <f ca="1">O19*C170</f>
        <v>#N/A</v>
      </c>
      <c r="J170" s="156">
        <v>96.4</v>
      </c>
      <c r="K170" s="157" t="e">
        <f ca="1">(I170-F170)/F170</f>
        <v>#N/A</v>
      </c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</row>
    <row r="171" spans="1:33" ht="13">
      <c r="A171" s="160"/>
      <c r="B171" s="161"/>
      <c r="C171" s="161"/>
      <c r="D171" s="161"/>
      <c r="E171" s="162"/>
      <c r="F171" s="162"/>
      <c r="G171" s="161"/>
      <c r="H171" s="161"/>
      <c r="I171" s="161"/>
      <c r="J171" s="161"/>
      <c r="K171" s="163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</row>
    <row r="172" spans="1:33" ht="13">
      <c r="A172" s="16"/>
      <c r="B172" s="16"/>
      <c r="C172" s="16"/>
      <c r="D172" s="16"/>
      <c r="E172" s="47"/>
      <c r="F172" s="47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</row>
    <row r="173" spans="1:33" ht="13">
      <c r="A173" s="149" t="s">
        <v>24</v>
      </c>
      <c r="B173" s="149" t="s">
        <v>2</v>
      </c>
      <c r="C173" s="149" t="s">
        <v>25</v>
      </c>
      <c r="D173" s="149"/>
      <c r="E173" s="149" t="s">
        <v>26</v>
      </c>
      <c r="F173" s="149" t="s">
        <v>27</v>
      </c>
      <c r="G173" s="149" t="s">
        <v>28</v>
      </c>
      <c r="H173" s="149" t="s">
        <v>29</v>
      </c>
      <c r="I173" s="149" t="s">
        <v>9</v>
      </c>
      <c r="J173" s="149" t="s">
        <v>30</v>
      </c>
      <c r="K173" s="149" t="s">
        <v>31</v>
      </c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</row>
    <row r="174" spans="1:33" ht="13">
      <c r="A174" s="150">
        <v>43929</v>
      </c>
      <c r="B174" s="215" t="s">
        <v>50</v>
      </c>
      <c r="C174" s="151">
        <v>55</v>
      </c>
      <c r="D174" s="151"/>
      <c r="E174" s="152">
        <v>2.36</v>
      </c>
      <c r="F174" s="152">
        <f>-C174*E174</f>
        <v>-129.79999999999998</v>
      </c>
      <c r="G174" s="71"/>
      <c r="H174" s="69"/>
      <c r="I174" s="69"/>
      <c r="J174" s="69"/>
      <c r="K174" s="153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</row>
    <row r="175" spans="1:33" ht="13">
      <c r="A175" s="154" t="s">
        <v>100</v>
      </c>
      <c r="B175" s="216"/>
      <c r="C175" s="151">
        <v>-55</v>
      </c>
      <c r="D175" s="151"/>
      <c r="E175" s="152">
        <v>2.59</v>
      </c>
      <c r="F175" s="152">
        <f>C175*-E175</f>
        <v>142.44999999999999</v>
      </c>
      <c r="G175" s="71"/>
      <c r="H175" s="155"/>
      <c r="I175" s="156"/>
      <c r="J175" s="156"/>
      <c r="K175" s="157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</row>
    <row r="176" spans="1:33" ht="13">
      <c r="A176" s="76"/>
      <c r="B176" s="69"/>
      <c r="C176" s="158">
        <f>SUM(C174,C175)</f>
        <v>0</v>
      </c>
      <c r="D176" s="155"/>
      <c r="E176" s="69"/>
      <c r="F176" s="159">
        <f>SUM(F174,F175)</f>
        <v>12.650000000000006</v>
      </c>
      <c r="G176" s="155"/>
      <c r="H176" s="156" t="e">
        <f>F176/C176</f>
        <v>#DIV/0!</v>
      </c>
      <c r="I176" s="156" t="e">
        <f ca="1">O20*C176</f>
        <v>#N/A</v>
      </c>
      <c r="J176" s="156">
        <v>12.65</v>
      </c>
      <c r="K176" s="157" t="e">
        <f ca="1">(I176-F176)/F176</f>
        <v>#N/A</v>
      </c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</row>
    <row r="177" spans="1:33" ht="13">
      <c r="A177" s="160"/>
      <c r="B177" s="161"/>
      <c r="C177" s="161"/>
      <c r="D177" s="161"/>
      <c r="E177" s="161"/>
      <c r="F177" s="161"/>
      <c r="G177" s="161"/>
      <c r="H177" s="161"/>
      <c r="I177" s="161"/>
      <c r="J177" s="161"/>
      <c r="K177" s="163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</row>
    <row r="178" spans="1:33" ht="13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</row>
    <row r="179" spans="1:33" ht="13">
      <c r="A179" s="149" t="s">
        <v>24</v>
      </c>
      <c r="B179" s="149" t="s">
        <v>2</v>
      </c>
      <c r="C179" s="149" t="s">
        <v>25</v>
      </c>
      <c r="D179" s="149"/>
      <c r="E179" s="149" t="s">
        <v>26</v>
      </c>
      <c r="F179" s="149" t="s">
        <v>27</v>
      </c>
      <c r="G179" s="149" t="s">
        <v>28</v>
      </c>
      <c r="H179" s="149" t="s">
        <v>29</v>
      </c>
      <c r="I179" s="149" t="s">
        <v>9</v>
      </c>
      <c r="J179" s="149" t="s">
        <v>30</v>
      </c>
      <c r="K179" s="149" t="s">
        <v>31</v>
      </c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</row>
    <row r="180" spans="1:33" ht="13">
      <c r="A180" s="154" t="s">
        <v>90</v>
      </c>
      <c r="B180" s="217" t="s">
        <v>107</v>
      </c>
      <c r="C180" s="151">
        <v>895.69100000000003</v>
      </c>
      <c r="D180" s="151"/>
      <c r="E180" s="164">
        <v>0.78100000000000003</v>
      </c>
      <c r="F180" s="152">
        <f t="shared" ref="F180:F187" si="57">C180*E180</f>
        <v>699.534671</v>
      </c>
      <c r="G180" s="69"/>
      <c r="H180" s="165">
        <f>SUM($C$180:C180)</f>
        <v>895.69100000000003</v>
      </c>
      <c r="J180" s="166">
        <f>SUM($F$180:F180)</f>
        <v>699.534671</v>
      </c>
      <c r="K180" s="167">
        <f>J180/H180</f>
        <v>0.78100000000000003</v>
      </c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</row>
    <row r="181" spans="1:33" ht="13">
      <c r="A181" s="154" t="s">
        <v>91</v>
      </c>
      <c r="B181" s="216"/>
      <c r="C181" s="151">
        <v>-390.69188400000002</v>
      </c>
      <c r="D181" s="151"/>
      <c r="E181" s="164">
        <v>0.78100000000000003</v>
      </c>
      <c r="F181" s="152">
        <f t="shared" si="57"/>
        <v>-305.13036140400004</v>
      </c>
      <c r="G181" s="156"/>
      <c r="H181" s="165">
        <f t="shared" ref="H181:H182" si="58">C181</f>
        <v>-390.69188400000002</v>
      </c>
      <c r="J181" s="167">
        <f>E181-K180</f>
        <v>0</v>
      </c>
      <c r="K181" s="168">
        <f t="shared" ref="K181:K182" si="59">H181*J181</f>
        <v>0</v>
      </c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</row>
    <row r="182" spans="1:33" ht="13">
      <c r="A182" s="150">
        <v>43931</v>
      </c>
      <c r="B182" s="216"/>
      <c r="C182" s="151">
        <v>-504.99911600000001</v>
      </c>
      <c r="D182" s="151"/>
      <c r="E182" s="164">
        <v>0.78100000000000003</v>
      </c>
      <c r="F182" s="152">
        <f t="shared" si="57"/>
        <v>-394.40430959600002</v>
      </c>
      <c r="G182" s="156"/>
      <c r="H182" s="165">
        <f t="shared" si="58"/>
        <v>-504.99911600000001</v>
      </c>
      <c r="J182" s="167">
        <f>E182-K180</f>
        <v>0</v>
      </c>
      <c r="K182" s="168">
        <f t="shared" si="59"/>
        <v>0</v>
      </c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</row>
    <row r="183" spans="1:33" ht="13">
      <c r="A183" s="150">
        <v>43831</v>
      </c>
      <c r="B183" s="216"/>
      <c r="C183" s="151">
        <v>965</v>
      </c>
      <c r="D183" s="151"/>
      <c r="E183" s="164">
        <v>0.73</v>
      </c>
      <c r="F183" s="152">
        <f t="shared" si="57"/>
        <v>704.44999999999993</v>
      </c>
      <c r="G183" s="156"/>
      <c r="H183" s="165">
        <f>SUM($C$180:C183)</f>
        <v>965</v>
      </c>
      <c r="J183" s="166">
        <f>SUM($F$180:F183)</f>
        <v>704.44999999999982</v>
      </c>
      <c r="K183" s="167">
        <f>J183/H183</f>
        <v>0.72999999999999976</v>
      </c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</row>
    <row r="184" spans="1:33" ht="13">
      <c r="A184" s="154" t="s">
        <v>92</v>
      </c>
      <c r="B184" s="216"/>
      <c r="C184" s="151">
        <v>-464</v>
      </c>
      <c r="D184" s="151"/>
      <c r="E184" s="164">
        <v>0.73</v>
      </c>
      <c r="F184" s="152">
        <f t="shared" si="57"/>
        <v>-338.71999999999997</v>
      </c>
      <c r="G184" s="156"/>
      <c r="H184" s="165">
        <f t="shared" ref="H184:H185" si="60">C184</f>
        <v>-464</v>
      </c>
      <c r="J184" s="167">
        <f>E184-K183</f>
        <v>0</v>
      </c>
      <c r="K184" s="168">
        <f t="shared" ref="K184:K185" si="61">H184*J184</f>
        <v>0</v>
      </c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</row>
    <row r="185" spans="1:33" ht="13">
      <c r="A185" s="154" t="s">
        <v>92</v>
      </c>
      <c r="B185" s="216"/>
      <c r="C185" s="151">
        <v>-501</v>
      </c>
      <c r="D185" s="151"/>
      <c r="E185" s="164">
        <v>0.73</v>
      </c>
      <c r="F185" s="152">
        <f t="shared" si="57"/>
        <v>-365.73</v>
      </c>
      <c r="G185" s="156"/>
      <c r="H185" s="165">
        <f t="shared" si="60"/>
        <v>-501</v>
      </c>
      <c r="J185" s="167">
        <f>E185-K183</f>
        <v>0</v>
      </c>
      <c r="K185" s="168">
        <f t="shared" si="61"/>
        <v>0</v>
      </c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</row>
    <row r="186" spans="1:33" ht="13">
      <c r="A186" s="150">
        <v>44167</v>
      </c>
      <c r="B186" s="151"/>
      <c r="C186" s="151">
        <v>1000</v>
      </c>
      <c r="D186" s="151"/>
      <c r="E186" s="164">
        <v>0.73</v>
      </c>
      <c r="F186" s="152">
        <f t="shared" si="57"/>
        <v>730</v>
      </c>
      <c r="G186" s="156"/>
      <c r="H186" s="165">
        <f>SUM($C$180:C186)</f>
        <v>1000</v>
      </c>
      <c r="J186" s="166">
        <f>SUM($F$180:F186)</f>
        <v>729.99999999999977</v>
      </c>
      <c r="K186" s="167">
        <f>J186/H186</f>
        <v>0.72999999999999976</v>
      </c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</row>
    <row r="187" spans="1:33" ht="13">
      <c r="A187" s="150">
        <v>44167</v>
      </c>
      <c r="B187" s="151"/>
      <c r="C187" s="151">
        <v>-1000</v>
      </c>
      <c r="D187" s="151"/>
      <c r="E187" s="164">
        <v>0.73</v>
      </c>
      <c r="F187" s="152">
        <f t="shared" si="57"/>
        <v>-730</v>
      </c>
      <c r="G187" s="156"/>
      <c r="H187" s="165">
        <f>C187</f>
        <v>-1000</v>
      </c>
      <c r="J187" s="167">
        <f>E187-K186</f>
        <v>0</v>
      </c>
      <c r="K187" s="168">
        <f>H187*J187</f>
        <v>0</v>
      </c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</row>
    <row r="188" spans="1:33" ht="13">
      <c r="A188" s="76"/>
      <c r="B188" s="69"/>
      <c r="C188" s="155"/>
      <c r="D188" s="155"/>
      <c r="E188" s="69"/>
      <c r="F188" s="156"/>
      <c r="G188" s="156"/>
      <c r="H188" s="156"/>
      <c r="I188" s="156"/>
      <c r="J188" s="156"/>
      <c r="K188" s="157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</row>
    <row r="189" spans="1:33" ht="13">
      <c r="A189" s="76"/>
      <c r="B189" s="69"/>
      <c r="C189" s="158">
        <f>SUM(C180:C187)</f>
        <v>0</v>
      </c>
      <c r="D189" s="155"/>
      <c r="E189" s="69"/>
      <c r="F189" s="159">
        <f>SUM(F180:F185)</f>
        <v>0</v>
      </c>
      <c r="G189" s="156"/>
      <c r="H189" s="156" t="e">
        <f>F189/C189</f>
        <v>#DIV/0!</v>
      </c>
      <c r="I189" s="156" t="e">
        <f ca="1">C189*O13</f>
        <v>#N/A</v>
      </c>
      <c r="J189" s="156" t="e">
        <f ca="1">I189-F189</f>
        <v>#N/A</v>
      </c>
      <c r="K189" s="157" t="e">
        <f ca="1">(I189-F189)/F189</f>
        <v>#N/A</v>
      </c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</row>
    <row r="190" spans="1:33" ht="13">
      <c r="A190" s="160"/>
      <c r="B190" s="161"/>
      <c r="C190" s="161"/>
      <c r="D190" s="161"/>
      <c r="E190" s="161"/>
      <c r="F190" s="161"/>
      <c r="G190" s="161"/>
      <c r="H190" s="161"/>
      <c r="I190" s="161"/>
      <c r="J190" s="161"/>
      <c r="K190" s="163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</row>
    <row r="191" spans="1:33" ht="13"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</row>
    <row r="192" spans="1:33" ht="13">
      <c r="A192" s="149" t="s">
        <v>24</v>
      </c>
      <c r="B192" s="149" t="s">
        <v>2</v>
      </c>
      <c r="C192" s="169" t="s">
        <v>25</v>
      </c>
      <c r="D192" s="149"/>
      <c r="E192" s="169" t="s">
        <v>26</v>
      </c>
      <c r="F192" s="169" t="s">
        <v>27</v>
      </c>
      <c r="G192" s="149" t="s">
        <v>28</v>
      </c>
      <c r="H192" s="149" t="s">
        <v>29</v>
      </c>
      <c r="I192" s="149" t="s">
        <v>9</v>
      </c>
      <c r="J192" s="149" t="s">
        <v>30</v>
      </c>
      <c r="K192" s="149" t="s">
        <v>31</v>
      </c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</row>
    <row r="193" spans="1:33" ht="13">
      <c r="A193" s="170">
        <v>44082</v>
      </c>
      <c r="B193" s="218" t="s">
        <v>53</v>
      </c>
      <c r="C193" s="171">
        <v>13486.5</v>
      </c>
      <c r="D193" s="171"/>
      <c r="E193" s="172">
        <v>1.7066999999999999E-2</v>
      </c>
      <c r="F193" s="173">
        <f t="shared" ref="F193:F194" si="62">C193*E193</f>
        <v>230.17409549999999</v>
      </c>
      <c r="G193" s="71" t="e">
        <f t="shared" ref="G193:G194" ca="1" si="63">((C193*$O$22)-F193)</f>
        <v>#N/A</v>
      </c>
      <c r="H193" s="171"/>
      <c r="I193" s="171"/>
      <c r="J193" s="171"/>
      <c r="K193" s="174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</row>
    <row r="194" spans="1:33" ht="13">
      <c r="A194" s="76" t="s">
        <v>108</v>
      </c>
      <c r="B194" s="216"/>
      <c r="C194" s="69">
        <v>-13486.5</v>
      </c>
      <c r="D194" s="155"/>
      <c r="E194" s="127">
        <v>9.6951999999999997E-2</v>
      </c>
      <c r="F194" s="71">
        <f t="shared" si="62"/>
        <v>-1307.543148</v>
      </c>
      <c r="G194" s="71" t="e">
        <f t="shared" ca="1" si="63"/>
        <v>#N/A</v>
      </c>
      <c r="H194" s="155"/>
      <c r="I194" s="156"/>
      <c r="J194" s="156"/>
      <c r="K194" s="157"/>
      <c r="L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</row>
    <row r="195" spans="1:33" ht="13">
      <c r="A195" s="76"/>
      <c r="B195" s="69"/>
      <c r="C195" s="158">
        <f>SUM(C193,C194)</f>
        <v>0</v>
      </c>
      <c r="D195" s="155"/>
      <c r="E195" s="69"/>
      <c r="F195" s="159">
        <f>SUM(F193,F194)</f>
        <v>-1077.3690525</v>
      </c>
      <c r="G195" s="155"/>
      <c r="H195" s="156" t="e">
        <f>F195/C195</f>
        <v>#DIV/0!</v>
      </c>
      <c r="I195" s="156" t="e">
        <f ca="1">O22*C195</f>
        <v>#N/A</v>
      </c>
      <c r="J195" s="156" t="e">
        <f ca="1">I195-F195</f>
        <v>#N/A</v>
      </c>
      <c r="K195" s="157" t="e">
        <f ca="1">(I195-F195)/F195</f>
        <v>#N/A</v>
      </c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Z195" s="16"/>
      <c r="AA195" s="16"/>
      <c r="AB195" s="16"/>
      <c r="AC195" s="16"/>
      <c r="AD195" s="16"/>
      <c r="AE195" s="16"/>
      <c r="AF195" s="16"/>
      <c r="AG195" s="16"/>
    </row>
    <row r="196" spans="1:33" ht="13">
      <c r="A196" s="175"/>
      <c r="B196" s="176"/>
      <c r="C196" s="176"/>
      <c r="D196" s="176"/>
      <c r="E196" s="176"/>
      <c r="F196" s="176"/>
      <c r="G196" s="176"/>
      <c r="H196" s="176"/>
      <c r="I196" s="176"/>
      <c r="J196" s="176"/>
      <c r="K196" s="177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</row>
    <row r="197" spans="1:33" ht="13"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</row>
    <row r="198" spans="1:33" ht="13">
      <c r="A198" s="149" t="s">
        <v>24</v>
      </c>
      <c r="B198" s="149" t="s">
        <v>2</v>
      </c>
      <c r="C198" s="149" t="s">
        <v>25</v>
      </c>
      <c r="D198" s="149"/>
      <c r="E198" s="149" t="s">
        <v>26</v>
      </c>
      <c r="F198" s="149" t="s">
        <v>27</v>
      </c>
      <c r="G198" s="149" t="s">
        <v>28</v>
      </c>
      <c r="H198" s="149" t="s">
        <v>29</v>
      </c>
      <c r="I198" s="149" t="s">
        <v>9</v>
      </c>
      <c r="J198" s="149" t="s">
        <v>30</v>
      </c>
      <c r="K198" s="149" t="s">
        <v>31</v>
      </c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</row>
    <row r="199" spans="1:33" ht="13">
      <c r="A199" s="178">
        <v>43107</v>
      </c>
      <c r="B199" s="179" t="s">
        <v>51</v>
      </c>
      <c r="C199" s="180">
        <v>463.313986</v>
      </c>
      <c r="D199" s="180"/>
      <c r="E199" s="181">
        <v>0.31</v>
      </c>
      <c r="F199" s="181">
        <f t="shared" ref="F199:F200" si="64">C199*E199</f>
        <v>143.62733566</v>
      </c>
      <c r="G199" s="71" t="e">
        <f t="shared" ref="G199:G211" ca="1" si="65">((C199*$O$21)-F199)</f>
        <v>#N/A</v>
      </c>
      <c r="H199" s="69"/>
      <c r="I199" s="156"/>
      <c r="J199" s="156"/>
      <c r="K199" s="182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</row>
    <row r="200" spans="1:33" ht="13">
      <c r="A200" s="178">
        <v>43984</v>
      </c>
      <c r="B200" s="183"/>
      <c r="C200" s="180">
        <v>2266.3208020000002</v>
      </c>
      <c r="D200" s="180"/>
      <c r="E200" s="181">
        <v>0.2122</v>
      </c>
      <c r="F200" s="184">
        <f t="shared" si="64"/>
        <v>480.91327418440005</v>
      </c>
      <c r="G200" s="71" t="e">
        <f t="shared" ca="1" si="65"/>
        <v>#N/A</v>
      </c>
      <c r="H200" s="69"/>
      <c r="I200" s="156"/>
      <c r="J200" s="156"/>
      <c r="K200" s="182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</row>
    <row r="201" spans="1:33" ht="13">
      <c r="A201" s="185" t="s">
        <v>32</v>
      </c>
      <c r="B201" s="183"/>
      <c r="C201" s="180">
        <v>341.25167599999997</v>
      </c>
      <c r="D201" s="180"/>
      <c r="E201" s="181">
        <f>F201/C201</f>
        <v>0.25157385600649768</v>
      </c>
      <c r="F201" s="184">
        <v>85.85</v>
      </c>
      <c r="G201" s="71" t="e">
        <f t="shared" ca="1" si="65"/>
        <v>#N/A</v>
      </c>
      <c r="H201" s="69"/>
      <c r="I201" s="156"/>
      <c r="J201" s="156"/>
      <c r="K201" s="182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</row>
    <row r="202" spans="1:33" ht="13">
      <c r="A202" s="185" t="s">
        <v>109</v>
      </c>
      <c r="B202" s="183"/>
      <c r="C202" s="180">
        <v>911.93207600000005</v>
      </c>
      <c r="D202" s="180"/>
      <c r="E202" s="181">
        <v>0.22220000000000001</v>
      </c>
      <c r="F202" s="184">
        <f t="shared" ref="F202:F208" si="66">C202*E202</f>
        <v>202.63130728720003</v>
      </c>
      <c r="G202" s="71" t="e">
        <f t="shared" ca="1" si="65"/>
        <v>#N/A</v>
      </c>
      <c r="H202" s="69"/>
      <c r="I202" s="156"/>
      <c r="J202" s="156"/>
      <c r="K202" s="182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</row>
    <row r="203" spans="1:33" ht="13">
      <c r="A203" s="185" t="s">
        <v>110</v>
      </c>
      <c r="B203" s="183"/>
      <c r="C203" s="180">
        <v>1782.594198</v>
      </c>
      <c r="D203" s="180"/>
      <c r="E203" s="181">
        <v>0.15720000000000001</v>
      </c>
      <c r="F203" s="184">
        <f t="shared" si="66"/>
        <v>280.2238079256</v>
      </c>
      <c r="G203" s="71" t="e">
        <f t="shared" ca="1" si="65"/>
        <v>#N/A</v>
      </c>
      <c r="H203" s="69"/>
      <c r="I203" s="186"/>
      <c r="J203" s="156"/>
      <c r="K203" s="182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</row>
    <row r="204" spans="1:33" ht="13">
      <c r="A204" s="178">
        <v>43895</v>
      </c>
      <c r="B204" s="183"/>
      <c r="C204" s="180">
        <v>234.58726200000001</v>
      </c>
      <c r="D204" s="180"/>
      <c r="E204" s="181">
        <v>0.17979999999999999</v>
      </c>
      <c r="F204" s="184">
        <f t="shared" si="66"/>
        <v>42.178789707599996</v>
      </c>
      <c r="G204" s="71" t="e">
        <f t="shared" ca="1" si="65"/>
        <v>#N/A</v>
      </c>
      <c r="H204" s="187">
        <f>SUM($C$199:C204)</f>
        <v>6000</v>
      </c>
      <c r="J204" s="71">
        <f>SUM($F$199:F204)</f>
        <v>1235.4245147648001</v>
      </c>
      <c r="K204" s="71">
        <f>J204/H204</f>
        <v>0.20590408579413333</v>
      </c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</row>
    <row r="205" spans="1:33" ht="13">
      <c r="A205" s="188" t="s">
        <v>44</v>
      </c>
      <c r="B205" s="189"/>
      <c r="C205" s="190">
        <v>-2300</v>
      </c>
      <c r="D205" s="190"/>
      <c r="E205" s="191">
        <v>0.1643</v>
      </c>
      <c r="F205" s="192">
        <f t="shared" si="66"/>
        <v>-377.89</v>
      </c>
      <c r="G205" s="71" t="e">
        <f t="shared" ca="1" si="65"/>
        <v>#N/A</v>
      </c>
      <c r="H205" s="187">
        <f>C205</f>
        <v>-2300</v>
      </c>
      <c r="J205" s="71">
        <f>E205-K204</f>
        <v>-4.1604085794133328E-2</v>
      </c>
      <c r="K205" s="193">
        <f>H205*J205</f>
        <v>95.689397326506651</v>
      </c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</row>
    <row r="206" spans="1:33" ht="13">
      <c r="A206" s="194">
        <v>43929</v>
      </c>
      <c r="B206" s="189"/>
      <c r="C206" s="190">
        <v>630</v>
      </c>
      <c r="D206" s="190"/>
      <c r="E206" s="191">
        <v>0.2366</v>
      </c>
      <c r="F206" s="192">
        <f t="shared" si="66"/>
        <v>149.05799999999999</v>
      </c>
      <c r="G206" s="71" t="e">
        <f t="shared" ca="1" si="65"/>
        <v>#N/A</v>
      </c>
      <c r="H206" s="69"/>
      <c r="J206" s="156"/>
      <c r="K206" s="15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</row>
    <row r="207" spans="1:33" ht="13">
      <c r="A207" s="194">
        <v>43929</v>
      </c>
      <c r="B207" s="189"/>
      <c r="C207" s="190">
        <v>670</v>
      </c>
      <c r="D207" s="190"/>
      <c r="E207" s="191">
        <v>0.22600000000000001</v>
      </c>
      <c r="F207" s="192">
        <f t="shared" si="66"/>
        <v>151.42000000000002</v>
      </c>
      <c r="G207" s="71" t="e">
        <f t="shared" ca="1" si="65"/>
        <v>#N/A</v>
      </c>
      <c r="H207" s="187">
        <f>SUM($C$199:C207)</f>
        <v>5000</v>
      </c>
      <c r="J207" s="71">
        <f>SUM($F$199:F207)</f>
        <v>1158.0125147648</v>
      </c>
      <c r="K207" s="71">
        <f>J207/H207</f>
        <v>0.23160250295296</v>
      </c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</row>
    <row r="208" spans="1:33" ht="13">
      <c r="A208" s="194">
        <v>44143</v>
      </c>
      <c r="B208" s="189"/>
      <c r="C208" s="190">
        <v>-2697.42</v>
      </c>
      <c r="D208" s="190"/>
      <c r="E208" s="192">
        <v>0.22209999999999999</v>
      </c>
      <c r="F208" s="192">
        <f t="shared" si="66"/>
        <v>-599.09698200000003</v>
      </c>
      <c r="G208" s="71" t="e">
        <f t="shared" ca="1" si="65"/>
        <v>#N/A</v>
      </c>
      <c r="H208" s="187">
        <f t="shared" ref="H208:H210" si="67">C208</f>
        <v>-2697.42</v>
      </c>
      <c r="J208" s="71">
        <f>E208-K207</f>
        <v>-9.5025029529600125E-3</v>
      </c>
      <c r="K208" s="193">
        <f t="shared" ref="K208:K210" si="68">H208*J208</f>
        <v>25.632241515373398</v>
      </c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</row>
    <row r="209" spans="1:33" ht="15" customHeight="1">
      <c r="A209" s="188" t="s">
        <v>72</v>
      </c>
      <c r="B209" s="189"/>
      <c r="C209" s="190">
        <v>-88.286000000000001</v>
      </c>
      <c r="D209" s="190"/>
      <c r="E209" s="191">
        <v>0.2317468228258161</v>
      </c>
      <c r="F209" s="192">
        <f t="shared" ref="F209:F211" si="69">E209*C209</f>
        <v>-20.46</v>
      </c>
      <c r="G209" s="71" t="e">
        <f t="shared" ca="1" si="65"/>
        <v>#N/A</v>
      </c>
      <c r="H209" s="187">
        <f t="shared" si="67"/>
        <v>-88.286000000000001</v>
      </c>
      <c r="J209" s="71">
        <f>E209-K207</f>
        <v>1.4431987285609682E-4</v>
      </c>
      <c r="K209" s="193">
        <f t="shared" si="68"/>
        <v>-1.2741424294973365E-2</v>
      </c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</row>
    <row r="210" spans="1:33" ht="13">
      <c r="A210" s="188" t="s">
        <v>72</v>
      </c>
      <c r="B210" s="195"/>
      <c r="C210" s="190">
        <v>-1102.438594</v>
      </c>
      <c r="D210" s="190"/>
      <c r="E210" s="191">
        <f>-245.84/C210</f>
        <v>0.22299654723444851</v>
      </c>
      <c r="F210" s="192">
        <f t="shared" si="69"/>
        <v>-245.84</v>
      </c>
      <c r="G210" s="71" t="e">
        <f t="shared" ca="1" si="65"/>
        <v>#N/A</v>
      </c>
      <c r="H210" s="187">
        <f t="shared" si="67"/>
        <v>-1102.438594</v>
      </c>
      <c r="J210" s="71">
        <f>E210-K207</f>
        <v>-8.6059557185114988E-3</v>
      </c>
      <c r="K210" s="193">
        <f t="shared" si="68"/>
        <v>9.4875377223420756</v>
      </c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</row>
    <row r="211" spans="1:33" ht="16.5" customHeight="1">
      <c r="A211" s="185" t="s">
        <v>108</v>
      </c>
      <c r="B211" s="196"/>
      <c r="C211" s="180">
        <v>-1111.8599999999999</v>
      </c>
      <c r="D211" s="180"/>
      <c r="E211" s="181">
        <v>0.80269999999999997</v>
      </c>
      <c r="F211" s="184">
        <f t="shared" si="69"/>
        <v>-892.49002199999984</v>
      </c>
      <c r="G211" s="71" t="e">
        <f t="shared" ca="1" si="65"/>
        <v>#N/A</v>
      </c>
      <c r="H211" s="197"/>
      <c r="I211" s="197"/>
      <c r="J211" s="197"/>
      <c r="K211" s="157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</row>
    <row r="212" spans="1:33" ht="16.5" customHeight="1">
      <c r="A212" s="76"/>
      <c r="B212" s="69"/>
      <c r="C212" s="198">
        <f>SUM(C199:C211)</f>
        <v>-4.5939999999973224E-3</v>
      </c>
      <c r="D212" s="199"/>
      <c r="E212" s="71"/>
      <c r="F212" s="159">
        <f>SUM(F199:F211)</f>
        <v>-599.87448923519992</v>
      </c>
      <c r="G212" s="186"/>
      <c r="H212" s="186">
        <v>0</v>
      </c>
      <c r="I212" s="156" t="e">
        <f ca="1">O21*C212</f>
        <v>#N/A</v>
      </c>
      <c r="J212" s="156" t="e">
        <f ca="1">I212-F212</f>
        <v>#N/A</v>
      </c>
      <c r="K212" s="157" t="e">
        <f ca="1">(I212-F212)/F212</f>
        <v>#N/A</v>
      </c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</row>
    <row r="213" spans="1:33" ht="16.5" customHeight="1">
      <c r="A213" s="160"/>
      <c r="B213" s="161"/>
      <c r="C213" s="161"/>
      <c r="D213" s="161"/>
      <c r="E213" s="162"/>
      <c r="F213" s="162"/>
      <c r="G213" s="161"/>
      <c r="H213" s="161"/>
      <c r="I213" s="200"/>
      <c r="J213" s="200"/>
      <c r="K213" s="201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</row>
    <row r="214" spans="1:33" ht="13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</row>
    <row r="215" spans="1:33" ht="13">
      <c r="A215" s="149" t="s">
        <v>24</v>
      </c>
      <c r="B215" s="149" t="s">
        <v>2</v>
      </c>
      <c r="C215" s="149" t="s">
        <v>25</v>
      </c>
      <c r="D215" s="149"/>
      <c r="E215" s="149" t="s">
        <v>26</v>
      </c>
      <c r="F215" s="149" t="s">
        <v>27</v>
      </c>
      <c r="G215" s="149" t="s">
        <v>28</v>
      </c>
      <c r="H215" s="149" t="s">
        <v>29</v>
      </c>
      <c r="I215" s="149" t="s">
        <v>9</v>
      </c>
      <c r="J215" s="149" t="s">
        <v>30</v>
      </c>
      <c r="K215" s="149" t="s">
        <v>31</v>
      </c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</row>
    <row r="216" spans="1:33" ht="13">
      <c r="A216" s="67">
        <v>44532</v>
      </c>
      <c r="B216" s="69" t="s">
        <v>55</v>
      </c>
      <c r="C216" s="69">
        <v>1.478</v>
      </c>
      <c r="D216" s="69"/>
      <c r="E216" s="71">
        <v>226.096</v>
      </c>
      <c r="F216" s="71">
        <f>C216*E216</f>
        <v>334.16988800000001</v>
      </c>
      <c r="G216" s="69" t="e">
        <f ca="1">((C216*O23)-F216)</f>
        <v>#N/A</v>
      </c>
      <c r="H216" s="69"/>
      <c r="I216" s="69"/>
      <c r="J216" s="69"/>
      <c r="K216" s="153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</row>
    <row r="217" spans="1:33" ht="13">
      <c r="A217" s="76"/>
      <c r="B217" s="69"/>
      <c r="C217" s="69">
        <v>-1.478</v>
      </c>
      <c r="D217" s="69"/>
      <c r="E217" s="127">
        <f>F217/-C217</f>
        <v>-161.4494061043452</v>
      </c>
      <c r="F217" s="71">
        <f>-322.14/1.35</f>
        <v>-238.62222222222221</v>
      </c>
      <c r="G217" s="69" t="e">
        <f ca="1">((C217*O23)-F217)</f>
        <v>#N/A</v>
      </c>
      <c r="H217" s="156"/>
      <c r="I217" s="156"/>
      <c r="J217" s="156"/>
      <c r="K217" s="157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</row>
    <row r="218" spans="1:33" ht="13">
      <c r="A218" s="160"/>
      <c r="B218" s="161"/>
      <c r="C218" s="158">
        <f>SUM(C216:C217)</f>
        <v>0</v>
      </c>
      <c r="D218" s="202"/>
      <c r="E218" s="161"/>
      <c r="F218" s="159">
        <f>SUM(F216:F217)</f>
        <v>95.547665777777809</v>
      </c>
      <c r="G218" s="200"/>
      <c r="H218" s="200" t="e">
        <f>F218/C218</f>
        <v>#DIV/0!</v>
      </c>
      <c r="I218" s="200" t="e">
        <f>#REF!*C218</f>
        <v>#REF!</v>
      </c>
      <c r="J218" s="200">
        <f>-F218</f>
        <v>-95.547665777777809</v>
      </c>
      <c r="K218" s="203" t="e">
        <f>(I218-F218)/F218</f>
        <v>#REF!</v>
      </c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</row>
    <row r="219" spans="1:33" ht="13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</row>
    <row r="220" spans="1:33" ht="13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</row>
    <row r="221" spans="1:33" ht="13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</row>
    <row r="222" spans="1:33" ht="13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</row>
    <row r="223" spans="1:33" ht="1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</row>
    <row r="224" spans="1:33" ht="13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</row>
    <row r="225" spans="1:33" ht="13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</row>
    <row r="226" spans="1:33" ht="13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</row>
    <row r="227" spans="1:33" ht="13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</row>
    <row r="228" spans="1:33" ht="13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</row>
    <row r="229" spans="1:33" ht="13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</row>
    <row r="230" spans="1:33" ht="13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</row>
    <row r="231" spans="1:33" ht="13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</row>
    <row r="232" spans="1:33" ht="13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</row>
    <row r="233" spans="1:33" ht="1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</row>
    <row r="234" spans="1:33" ht="13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</row>
    <row r="235" spans="1:33" ht="13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</row>
    <row r="236" spans="1:33" ht="1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</row>
    <row r="237" spans="1:33" ht="1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</row>
    <row r="238" spans="1:33" ht="1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</row>
    <row r="239" spans="1:33" ht="13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</row>
    <row r="240" spans="1:33" ht="13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</row>
    <row r="241" spans="1:33" ht="13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</row>
    <row r="242" spans="1:33" ht="13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</row>
    <row r="243" spans="1:33" ht="1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</row>
    <row r="244" spans="1:33" ht="13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</row>
    <row r="245" spans="1:33" ht="13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</row>
    <row r="246" spans="1:33" ht="13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</row>
    <row r="247" spans="1:33" ht="13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</row>
    <row r="248" spans="1:33" ht="13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</row>
    <row r="249" spans="1:33" ht="13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</row>
    <row r="250" spans="1:33" ht="13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</row>
    <row r="251" spans="1:33" ht="13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</row>
    <row r="252" spans="1:33" ht="13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</row>
    <row r="253" spans="1:33" ht="1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</row>
    <row r="254" spans="1:33" ht="13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</row>
    <row r="255" spans="1:33" ht="13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</row>
    <row r="256" spans="1:33" ht="13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</row>
    <row r="257" spans="1:33" ht="13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</row>
    <row r="258" spans="1:33" ht="13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</row>
    <row r="259" spans="1:33" ht="13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</row>
    <row r="260" spans="1:33" ht="13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</row>
    <row r="261" spans="1:33" ht="13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</row>
    <row r="262" spans="1:33" ht="13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</row>
    <row r="263" spans="1:33" ht="1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</row>
    <row r="264" spans="1:33" ht="13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</row>
    <row r="265" spans="1:33" ht="13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</row>
    <row r="266" spans="1:33" ht="13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</row>
    <row r="267" spans="1:33" ht="1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</row>
    <row r="268" spans="1:33" ht="13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</row>
    <row r="269" spans="1:33" ht="13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</row>
    <row r="270" spans="1:33" ht="13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</row>
    <row r="271" spans="1:33" ht="13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</row>
    <row r="272" spans="1:33" ht="13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</row>
    <row r="273" spans="1:33" ht="1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</row>
    <row r="274" spans="1:33" ht="13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</row>
    <row r="275" spans="1:33" ht="1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</row>
    <row r="276" spans="1:33" ht="13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</row>
    <row r="277" spans="1:33" ht="13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</row>
    <row r="278" spans="1:33" ht="13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</row>
    <row r="279" spans="1:33" ht="13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</row>
    <row r="280" spans="1:33" ht="13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</row>
    <row r="281" spans="1:33" ht="13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</row>
    <row r="282" spans="1:33" ht="13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</row>
    <row r="283" spans="1:33" ht="1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</row>
    <row r="284" spans="1:33" ht="13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</row>
    <row r="285" spans="1:33" ht="13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</row>
    <row r="286" spans="1:33" ht="13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</row>
    <row r="287" spans="1:33" ht="13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</row>
    <row r="288" spans="1:33" ht="13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</row>
    <row r="289" spans="1:33" ht="13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</row>
    <row r="290" spans="1:33" ht="13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</row>
    <row r="291" spans="1:33" ht="1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</row>
    <row r="292" spans="1:33" ht="1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</row>
    <row r="293" spans="1:33" ht="1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</row>
    <row r="294" spans="1:33" ht="13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</row>
    <row r="295" spans="1:33" ht="13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</row>
    <row r="296" spans="1:33" ht="13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</row>
    <row r="297" spans="1:33" ht="13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</row>
    <row r="298" spans="1:33" ht="13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</row>
    <row r="299" spans="1:33" ht="13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</row>
    <row r="300" spans="1:33" ht="1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</row>
    <row r="301" spans="1:33" ht="13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</row>
    <row r="302" spans="1:33" ht="13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</row>
    <row r="303" spans="1:33" ht="1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</row>
    <row r="304" spans="1:33" ht="13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</row>
    <row r="305" spans="1:33" ht="13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</row>
    <row r="306" spans="1:33" ht="13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</row>
    <row r="307" spans="1:33" ht="13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</row>
    <row r="308" spans="1:33" ht="1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</row>
    <row r="309" spans="1:33" ht="1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</row>
    <row r="310" spans="1:33" ht="13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</row>
    <row r="311" spans="1:33" ht="13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</row>
    <row r="312" spans="1:33" ht="13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</row>
    <row r="313" spans="1:33" ht="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</row>
    <row r="314" spans="1:33" ht="13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</row>
    <row r="315" spans="1:33" ht="13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</row>
    <row r="316" spans="1:33" ht="13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</row>
    <row r="317" spans="1:33" ht="1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</row>
    <row r="318" spans="1:33" ht="1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</row>
    <row r="319" spans="1:33" ht="13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</row>
    <row r="320" spans="1:33" ht="13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</row>
    <row r="321" spans="1:33" ht="13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</row>
    <row r="322" spans="1:33" ht="13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</row>
    <row r="323" spans="1:33" ht="1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</row>
    <row r="324" spans="1:33" ht="13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</row>
    <row r="325" spans="1:33" ht="13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</row>
    <row r="326" spans="1:33" ht="1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</row>
    <row r="327" spans="1:33" ht="1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</row>
    <row r="328" spans="1:33" ht="13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</row>
    <row r="329" spans="1:33" ht="13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</row>
    <row r="330" spans="1:33" ht="13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</row>
    <row r="331" spans="1:33" ht="13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</row>
    <row r="332" spans="1:33" ht="13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</row>
    <row r="333" spans="1:33" ht="1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</row>
    <row r="334" spans="1:33" ht="13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</row>
    <row r="335" spans="1:33" ht="13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</row>
    <row r="336" spans="1:33" ht="13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</row>
    <row r="337" spans="1:33" ht="13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</row>
    <row r="338" spans="1:33" ht="13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</row>
    <row r="339" spans="1:33" ht="13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</row>
    <row r="340" spans="1:33" ht="13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</row>
    <row r="341" spans="1:33" ht="13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</row>
    <row r="342" spans="1:33" ht="13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</row>
    <row r="343" spans="1:33" ht="1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</row>
    <row r="344" spans="1:33" ht="13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</row>
    <row r="345" spans="1:33" ht="13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</row>
    <row r="346" spans="1:33" ht="13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</row>
    <row r="347" spans="1:33" ht="13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</row>
    <row r="348" spans="1:33" ht="13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</row>
    <row r="349" spans="1:33" ht="13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</row>
    <row r="350" spans="1:33" ht="13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</row>
    <row r="351" spans="1:33" ht="13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</row>
    <row r="352" spans="1:33" ht="13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</row>
    <row r="353" spans="1:33" ht="1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</row>
    <row r="354" spans="1:33" ht="13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</row>
    <row r="355" spans="1:33" ht="13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</row>
    <row r="356" spans="1:33" ht="13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</row>
    <row r="357" spans="1:33" ht="13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</row>
    <row r="358" spans="1:33" ht="13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</row>
    <row r="359" spans="1:33" ht="13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</row>
    <row r="360" spans="1:33" ht="13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</row>
    <row r="361" spans="1:33" ht="13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</row>
    <row r="362" spans="1:33" ht="13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</row>
    <row r="363" spans="1:33" ht="1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</row>
    <row r="364" spans="1:33" ht="13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</row>
    <row r="365" spans="1:33" ht="13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</row>
    <row r="366" spans="1:33" ht="13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</row>
    <row r="367" spans="1:33" ht="13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</row>
    <row r="368" spans="1:33" ht="13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</row>
    <row r="369" spans="1:33" ht="13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</row>
    <row r="370" spans="1:33" ht="13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</row>
    <row r="371" spans="1:33" ht="13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</row>
    <row r="372" spans="1:33" ht="13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</row>
    <row r="373" spans="1:33" ht="1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</row>
    <row r="374" spans="1:33" ht="13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</row>
    <row r="375" spans="1:33" ht="13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</row>
    <row r="376" spans="1:33" ht="13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</row>
    <row r="377" spans="1:33" ht="13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</row>
    <row r="378" spans="1:33" ht="13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</row>
    <row r="379" spans="1:33" ht="13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</row>
    <row r="380" spans="1:33" ht="13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</row>
    <row r="381" spans="1:33" ht="13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</row>
    <row r="382" spans="1:33" ht="13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</row>
    <row r="383" spans="1:33" ht="1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</row>
    <row r="384" spans="1:33" ht="13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</row>
    <row r="385" spans="1:33" ht="13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</row>
    <row r="386" spans="1:33" ht="13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</row>
    <row r="387" spans="1:33" ht="13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</row>
    <row r="388" spans="1:33" ht="13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</row>
    <row r="389" spans="1:33" ht="13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</row>
    <row r="390" spans="1:33" ht="13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</row>
    <row r="391" spans="1:33" ht="13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</row>
    <row r="392" spans="1:33" ht="13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</row>
    <row r="393" spans="1:33" ht="1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</row>
    <row r="394" spans="1:33" ht="1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</row>
    <row r="395" spans="1:33" ht="13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</row>
    <row r="396" spans="1:33" ht="13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</row>
    <row r="397" spans="1:33" ht="13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</row>
    <row r="398" spans="1:33" ht="13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</row>
    <row r="399" spans="1:33" ht="13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</row>
    <row r="400" spans="1:33" ht="13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</row>
    <row r="401" spans="1:33" ht="13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</row>
    <row r="402" spans="1:33" ht="1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</row>
    <row r="403" spans="1:33" ht="1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</row>
    <row r="404" spans="1:33" ht="13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</row>
    <row r="405" spans="1:33" ht="13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</row>
    <row r="406" spans="1:33" ht="13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</row>
    <row r="407" spans="1:33" ht="13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</row>
    <row r="408" spans="1:33" ht="13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</row>
    <row r="409" spans="1:33" ht="13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</row>
    <row r="410" spans="1:33" ht="1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</row>
    <row r="411" spans="1:33" ht="13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</row>
    <row r="412" spans="1:33" ht="13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</row>
    <row r="413" spans="1:33" ht="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</row>
    <row r="414" spans="1:33" ht="13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</row>
    <row r="415" spans="1:33" ht="13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</row>
    <row r="416" spans="1:33" ht="13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</row>
    <row r="417" spans="1:33" ht="13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</row>
    <row r="418" spans="1:33" ht="1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</row>
    <row r="419" spans="1:33" ht="1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</row>
    <row r="420" spans="1:33" ht="13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</row>
    <row r="421" spans="1:33" ht="13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</row>
    <row r="422" spans="1:33" ht="13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</row>
    <row r="423" spans="1:33" ht="1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</row>
    <row r="424" spans="1:33" ht="13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</row>
    <row r="425" spans="1:33" ht="13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</row>
    <row r="426" spans="1:33" ht="13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</row>
    <row r="427" spans="1:33" ht="1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</row>
    <row r="428" spans="1:33" ht="1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</row>
    <row r="429" spans="1:33" ht="1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</row>
    <row r="430" spans="1:33" ht="1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</row>
    <row r="431" spans="1:33" ht="1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</row>
    <row r="432" spans="1:33" ht="13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</row>
    <row r="433" spans="1:33" ht="1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</row>
    <row r="434" spans="1:33" ht="13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</row>
    <row r="435" spans="1:33" ht="13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</row>
    <row r="436" spans="1:33" ht="13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</row>
    <row r="437" spans="1:33" ht="13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</row>
    <row r="438" spans="1:33" ht="13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</row>
    <row r="439" spans="1:33" ht="1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</row>
    <row r="440" spans="1:33" ht="1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</row>
    <row r="441" spans="1:33" ht="1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</row>
    <row r="442" spans="1:33" ht="13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</row>
    <row r="443" spans="1:33" ht="1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</row>
    <row r="444" spans="1:33" ht="13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</row>
    <row r="445" spans="1:33" ht="13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</row>
    <row r="446" spans="1:33" ht="13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</row>
    <row r="447" spans="1:33" ht="13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</row>
    <row r="448" spans="1:33" ht="13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</row>
    <row r="449" spans="1:33" ht="1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</row>
    <row r="450" spans="1:33" ht="1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</row>
    <row r="451" spans="1:33" ht="1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</row>
    <row r="452" spans="1:33" ht="13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</row>
    <row r="453" spans="1:33" ht="1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</row>
    <row r="454" spans="1:33" ht="13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</row>
    <row r="455" spans="1:33" ht="13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</row>
    <row r="456" spans="1:33" ht="13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</row>
    <row r="457" spans="1:33" ht="13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</row>
    <row r="458" spans="1:33" ht="13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</row>
    <row r="459" spans="1:33" ht="13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</row>
    <row r="460" spans="1:33" ht="13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</row>
    <row r="461" spans="1:33" ht="13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</row>
    <row r="462" spans="1:33" ht="13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</row>
    <row r="463" spans="1:33" ht="1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</row>
    <row r="464" spans="1:33" ht="13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</row>
    <row r="465" spans="1:33" ht="13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</row>
    <row r="466" spans="1:33" ht="13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</row>
    <row r="467" spans="1:33" ht="13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</row>
    <row r="468" spans="1:33" ht="1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</row>
    <row r="469" spans="1:33" ht="1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</row>
    <row r="470" spans="1:33" ht="1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</row>
    <row r="471" spans="1:33" ht="13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</row>
    <row r="472" spans="1:33" ht="13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</row>
    <row r="473" spans="1:33" ht="1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</row>
    <row r="474" spans="1:33" ht="13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</row>
    <row r="475" spans="1:33" ht="1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</row>
    <row r="476" spans="1:33" ht="1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</row>
    <row r="477" spans="1:33" ht="1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</row>
    <row r="478" spans="1:33" ht="13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</row>
    <row r="479" spans="1:33" ht="13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</row>
    <row r="480" spans="1:33" ht="13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</row>
    <row r="481" spans="1:33" ht="13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</row>
    <row r="482" spans="1:33" ht="13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</row>
    <row r="483" spans="1:33" ht="1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</row>
    <row r="484" spans="1:33" ht="13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</row>
    <row r="485" spans="1:33" ht="13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</row>
    <row r="486" spans="1:33" ht="13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</row>
    <row r="487" spans="1:33" ht="13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</row>
    <row r="488" spans="1:33" ht="13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</row>
    <row r="489" spans="1:33" ht="13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</row>
    <row r="490" spans="1:33" ht="13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</row>
    <row r="491" spans="1:33" ht="13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</row>
    <row r="492" spans="1:33" ht="13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</row>
    <row r="493" spans="1:33" ht="1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</row>
    <row r="494" spans="1:33" ht="13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</row>
    <row r="495" spans="1:33" ht="13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</row>
    <row r="496" spans="1:33" ht="13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</row>
    <row r="497" spans="1:33" ht="13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</row>
    <row r="498" spans="1:33" ht="13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</row>
    <row r="499" spans="1:33" ht="13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</row>
    <row r="500" spans="1:33" ht="13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</row>
    <row r="501" spans="1:33" ht="13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</row>
    <row r="502" spans="1:33" ht="13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</row>
    <row r="503" spans="1:33" ht="1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</row>
    <row r="504" spans="1:33" ht="13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</row>
    <row r="505" spans="1:33" ht="13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</row>
    <row r="506" spans="1:33" ht="13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</row>
    <row r="507" spans="1:33" ht="13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</row>
    <row r="508" spans="1:33" ht="13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</row>
    <row r="509" spans="1:33" ht="13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</row>
    <row r="510" spans="1:33" ht="13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</row>
    <row r="511" spans="1:33" ht="13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</row>
    <row r="512" spans="1:33" ht="13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</row>
    <row r="513" spans="1:33" ht="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</row>
    <row r="514" spans="1:33" ht="13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</row>
    <row r="515" spans="1:33" ht="13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</row>
    <row r="516" spans="1:33" ht="13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</row>
    <row r="517" spans="1:33" ht="13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</row>
    <row r="518" spans="1:33" ht="13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</row>
    <row r="519" spans="1:33" ht="13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</row>
    <row r="520" spans="1:33" ht="13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</row>
    <row r="521" spans="1:33" ht="13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</row>
    <row r="522" spans="1:33" ht="13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</row>
    <row r="523" spans="1:33" ht="1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</row>
    <row r="524" spans="1:33" ht="13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</row>
    <row r="525" spans="1:33" ht="13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</row>
    <row r="526" spans="1:33" ht="13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</row>
    <row r="527" spans="1:33" ht="13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</row>
    <row r="528" spans="1:33" ht="13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</row>
    <row r="529" spans="1:33" ht="13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</row>
    <row r="530" spans="1:33" ht="13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</row>
    <row r="531" spans="1:33" ht="13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</row>
    <row r="532" spans="1:33" ht="1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</row>
    <row r="533" spans="1:33" ht="1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</row>
    <row r="534" spans="1:33" ht="13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</row>
    <row r="535" spans="1:33" ht="13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</row>
    <row r="536" spans="1:33" ht="13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</row>
    <row r="537" spans="1:33" ht="13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</row>
    <row r="538" spans="1:33" ht="13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</row>
    <row r="539" spans="1:33" ht="1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</row>
    <row r="540" spans="1:33" ht="13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</row>
    <row r="541" spans="1:33" ht="13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</row>
    <row r="542" spans="1:33" ht="13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</row>
    <row r="543" spans="1:33" ht="1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</row>
    <row r="544" spans="1:33" ht="13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</row>
    <row r="545" spans="1:33" ht="13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</row>
    <row r="546" spans="1:33" ht="13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</row>
    <row r="547" spans="1:33" ht="13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</row>
    <row r="548" spans="1:33" ht="13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</row>
    <row r="549" spans="1:33" ht="13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</row>
    <row r="550" spans="1:33" ht="13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</row>
    <row r="551" spans="1:33" ht="13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</row>
    <row r="552" spans="1:33" ht="13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</row>
    <row r="553" spans="1:33" ht="1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</row>
    <row r="554" spans="1:33" ht="13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</row>
    <row r="555" spans="1:33" ht="13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</row>
    <row r="556" spans="1:33" ht="13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</row>
    <row r="557" spans="1:33" ht="1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</row>
    <row r="558" spans="1:33" ht="1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</row>
    <row r="559" spans="1:33" ht="13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</row>
    <row r="560" spans="1:33" ht="13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</row>
    <row r="561" spans="1:33" ht="13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</row>
    <row r="562" spans="1:33" ht="13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</row>
    <row r="563" spans="1:33" ht="1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</row>
    <row r="564" spans="1:33" ht="1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</row>
    <row r="565" spans="1:33" ht="1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</row>
    <row r="566" spans="1:33" ht="1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</row>
    <row r="567" spans="1:33" ht="13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</row>
    <row r="568" spans="1:33" ht="13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</row>
    <row r="569" spans="1:33" ht="13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</row>
    <row r="570" spans="1:33" ht="13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</row>
    <row r="571" spans="1:33" ht="13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</row>
    <row r="572" spans="1:33" ht="13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</row>
    <row r="573" spans="1:33" ht="1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</row>
    <row r="574" spans="1:33" ht="13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</row>
    <row r="575" spans="1:33" ht="13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</row>
    <row r="576" spans="1:33" ht="13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</row>
    <row r="577" spans="1:33" ht="13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</row>
    <row r="578" spans="1:33" ht="13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</row>
    <row r="579" spans="1:33" ht="13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</row>
    <row r="580" spans="1:33" ht="13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</row>
    <row r="581" spans="1:33" ht="13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</row>
    <row r="582" spans="1:33" ht="1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</row>
    <row r="583" spans="1:33" ht="1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</row>
    <row r="584" spans="1:33" ht="1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</row>
    <row r="585" spans="1:33" ht="13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</row>
    <row r="586" spans="1:33" ht="13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</row>
    <row r="587" spans="1:33" ht="13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</row>
    <row r="588" spans="1:33" ht="13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</row>
    <row r="589" spans="1:33" ht="13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</row>
    <row r="590" spans="1:33" ht="1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</row>
    <row r="591" spans="1:33" ht="1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</row>
    <row r="592" spans="1:33" ht="13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</row>
    <row r="593" spans="1:33" ht="1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</row>
    <row r="594" spans="1:33" ht="13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</row>
    <row r="595" spans="1:33" ht="13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</row>
    <row r="596" spans="1:33" ht="13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</row>
    <row r="597" spans="1:33" ht="13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</row>
    <row r="598" spans="1:33" ht="13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</row>
    <row r="599" spans="1:33" ht="13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</row>
    <row r="600" spans="1:33" ht="13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</row>
    <row r="601" spans="1:33" ht="13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</row>
    <row r="602" spans="1:33" ht="13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</row>
    <row r="603" spans="1:33" ht="1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</row>
    <row r="604" spans="1:33" ht="13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</row>
    <row r="605" spans="1:33" ht="13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</row>
    <row r="606" spans="1:33" ht="13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</row>
    <row r="607" spans="1:33" ht="13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</row>
    <row r="608" spans="1:33" ht="13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</row>
    <row r="609" spans="1:33" ht="13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</row>
    <row r="610" spans="1:33" ht="13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</row>
    <row r="611" spans="1:33" ht="13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</row>
    <row r="612" spans="1:33" ht="13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</row>
    <row r="613" spans="1:33" ht="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</row>
    <row r="614" spans="1:33" ht="13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</row>
    <row r="615" spans="1:33" ht="13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</row>
    <row r="616" spans="1:33" ht="13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</row>
    <row r="617" spans="1:33" ht="13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</row>
    <row r="618" spans="1:33" ht="13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</row>
    <row r="619" spans="1:33" ht="13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</row>
    <row r="620" spans="1:33" ht="13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</row>
    <row r="621" spans="1:33" ht="13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</row>
    <row r="622" spans="1:33" ht="13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</row>
    <row r="623" spans="1:33" ht="1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</row>
    <row r="624" spans="1:33" ht="13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</row>
    <row r="625" spans="1:33" ht="13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</row>
    <row r="626" spans="1:33" ht="13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</row>
    <row r="627" spans="1:33" ht="13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</row>
    <row r="628" spans="1:33" ht="13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</row>
    <row r="629" spans="1:33" ht="13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</row>
    <row r="630" spans="1:33" ht="13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</row>
    <row r="631" spans="1:33" ht="13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</row>
    <row r="632" spans="1:33" ht="13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</row>
    <row r="633" spans="1:33" ht="1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</row>
    <row r="634" spans="1:33" ht="13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</row>
    <row r="635" spans="1:33" ht="13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</row>
    <row r="636" spans="1:33" ht="13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</row>
    <row r="637" spans="1:33" ht="13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</row>
    <row r="638" spans="1:33" ht="13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</row>
    <row r="639" spans="1:33" ht="13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</row>
    <row r="640" spans="1:33" ht="13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</row>
    <row r="641" spans="1:33" ht="13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</row>
    <row r="642" spans="1:33" ht="13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</row>
    <row r="643" spans="1:33" ht="1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</row>
    <row r="644" spans="1:33" ht="13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</row>
    <row r="645" spans="1:33" ht="13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</row>
    <row r="646" spans="1:33" ht="13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</row>
    <row r="647" spans="1:33" ht="13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</row>
    <row r="648" spans="1:33" ht="13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</row>
    <row r="649" spans="1:33" ht="13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</row>
    <row r="650" spans="1:33" ht="13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</row>
    <row r="651" spans="1:33" ht="13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</row>
    <row r="652" spans="1:33" ht="13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</row>
    <row r="653" spans="1:33" ht="1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</row>
    <row r="654" spans="1:33" ht="13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</row>
    <row r="655" spans="1:33" ht="13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</row>
    <row r="656" spans="1:33" ht="13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</row>
    <row r="657" spans="1:33" ht="13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</row>
    <row r="658" spans="1:33" ht="13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</row>
    <row r="659" spans="1:33" ht="13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</row>
    <row r="660" spans="1:33" ht="13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</row>
    <row r="661" spans="1:33" ht="13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</row>
    <row r="662" spans="1:33" ht="13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</row>
    <row r="663" spans="1:33" ht="1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</row>
    <row r="664" spans="1:33" ht="13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</row>
    <row r="665" spans="1:33" ht="13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</row>
    <row r="666" spans="1:33" ht="13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</row>
    <row r="667" spans="1:33" ht="13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</row>
    <row r="668" spans="1:33" ht="13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</row>
    <row r="669" spans="1:33" ht="13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</row>
    <row r="670" spans="1:33" ht="13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</row>
    <row r="671" spans="1:33" ht="13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</row>
    <row r="672" spans="1:33" ht="13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</row>
    <row r="673" spans="1:33" ht="1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</row>
    <row r="674" spans="1:33" ht="13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</row>
    <row r="675" spans="1:33" ht="13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</row>
    <row r="676" spans="1:33" ht="13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</row>
    <row r="677" spans="1:33" ht="13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</row>
    <row r="678" spans="1:33" ht="13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</row>
    <row r="679" spans="1:33" ht="13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</row>
    <row r="680" spans="1:33" ht="13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</row>
    <row r="681" spans="1:33" ht="13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</row>
    <row r="682" spans="1:33" ht="13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</row>
    <row r="683" spans="1:33" ht="1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</row>
    <row r="684" spans="1:33" ht="13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</row>
    <row r="685" spans="1:33" ht="13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</row>
    <row r="686" spans="1:33" ht="13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</row>
    <row r="687" spans="1:33" ht="13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</row>
    <row r="688" spans="1:33" ht="13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</row>
    <row r="689" spans="1:33" ht="13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</row>
    <row r="690" spans="1:33" ht="13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</row>
    <row r="691" spans="1:33" ht="13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</row>
    <row r="692" spans="1:33" ht="13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</row>
    <row r="693" spans="1:33" ht="1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</row>
    <row r="694" spans="1:33" ht="13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</row>
    <row r="695" spans="1:33" ht="13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</row>
    <row r="696" spans="1:33" ht="13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</row>
    <row r="697" spans="1:33" ht="13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</row>
    <row r="698" spans="1:33" ht="13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</row>
    <row r="699" spans="1:33" ht="13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</row>
    <row r="700" spans="1:33" ht="13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</row>
    <row r="701" spans="1:33" ht="13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</row>
    <row r="702" spans="1:33" ht="13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</row>
    <row r="703" spans="1:33" ht="1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</row>
    <row r="704" spans="1:33" ht="13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</row>
    <row r="705" spans="1:33" ht="13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</row>
    <row r="706" spans="1:33" ht="13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</row>
    <row r="707" spans="1:33" ht="13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</row>
    <row r="708" spans="1:33" ht="13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</row>
    <row r="709" spans="1:33" ht="13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</row>
    <row r="710" spans="1:33" ht="13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</row>
    <row r="711" spans="1:33" ht="13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</row>
    <row r="712" spans="1:33" ht="13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</row>
    <row r="713" spans="1:33" ht="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</row>
    <row r="714" spans="1:33" ht="13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</row>
    <row r="715" spans="1:33" ht="13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</row>
    <row r="716" spans="1:33" ht="13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</row>
    <row r="717" spans="1:33" ht="13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</row>
    <row r="718" spans="1:33" ht="13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</row>
    <row r="719" spans="1:33" ht="13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</row>
    <row r="720" spans="1:33" ht="13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</row>
    <row r="721" spans="1:33" ht="13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</row>
    <row r="722" spans="1:33" ht="13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</row>
    <row r="723" spans="1:33" ht="1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</row>
    <row r="724" spans="1:33" ht="13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</row>
    <row r="725" spans="1:33" ht="13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</row>
    <row r="726" spans="1:33" ht="13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</row>
    <row r="727" spans="1:33" ht="13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</row>
    <row r="728" spans="1:33" ht="13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</row>
    <row r="729" spans="1:33" ht="13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</row>
    <row r="730" spans="1:33" ht="13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</row>
    <row r="731" spans="1:33" ht="13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</row>
    <row r="732" spans="1:33" ht="13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</row>
    <row r="733" spans="1:33" ht="1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</row>
    <row r="734" spans="1:33" ht="13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</row>
    <row r="735" spans="1:33" ht="13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</row>
    <row r="736" spans="1:33" ht="13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</row>
    <row r="737" spans="1:33" ht="13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</row>
    <row r="738" spans="1:33" ht="13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</row>
    <row r="739" spans="1:33" ht="13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</row>
    <row r="740" spans="1:33" ht="13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</row>
    <row r="741" spans="1:33" ht="13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</row>
    <row r="742" spans="1:33" ht="13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</row>
    <row r="743" spans="1:33" ht="1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</row>
    <row r="744" spans="1:33" ht="13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</row>
    <row r="745" spans="1:33" ht="13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</row>
    <row r="746" spans="1:33" ht="13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</row>
    <row r="747" spans="1:33" ht="13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</row>
    <row r="748" spans="1:33" ht="13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</row>
    <row r="749" spans="1:33" ht="13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</row>
    <row r="750" spans="1:33" ht="13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</row>
    <row r="751" spans="1:33" ht="13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</row>
    <row r="752" spans="1:33" ht="13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</row>
    <row r="753" spans="1:33" ht="1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</row>
    <row r="754" spans="1:33" ht="13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</row>
    <row r="755" spans="1:33" ht="13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</row>
    <row r="756" spans="1:33" ht="13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</row>
    <row r="757" spans="1:33" ht="13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</row>
    <row r="758" spans="1:33" ht="13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</row>
    <row r="759" spans="1:33" ht="13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</row>
    <row r="760" spans="1:33" ht="13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</row>
    <row r="761" spans="1:33" ht="13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</row>
    <row r="762" spans="1:33" ht="13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</row>
    <row r="763" spans="1:33" ht="1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</row>
    <row r="764" spans="1:33" ht="13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</row>
    <row r="765" spans="1:33" ht="13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</row>
    <row r="766" spans="1:33" ht="13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</row>
    <row r="767" spans="1:33" ht="13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</row>
    <row r="768" spans="1:33" ht="13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</row>
    <row r="769" spans="1:33" ht="13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</row>
    <row r="770" spans="1:33" ht="13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</row>
    <row r="771" spans="1:33" ht="13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</row>
    <row r="772" spans="1:33" ht="13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</row>
    <row r="773" spans="1:33" ht="1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</row>
    <row r="774" spans="1:33" ht="13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</row>
    <row r="775" spans="1:33" ht="13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</row>
    <row r="776" spans="1:33" ht="13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</row>
    <row r="777" spans="1:33" ht="13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</row>
    <row r="778" spans="1:33" ht="13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</row>
    <row r="779" spans="1:33" ht="13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</row>
    <row r="780" spans="1:33" ht="13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</row>
    <row r="781" spans="1:33" ht="13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</row>
    <row r="782" spans="1:33" ht="13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</row>
    <row r="783" spans="1:33" ht="1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</row>
    <row r="784" spans="1:33" ht="13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</row>
    <row r="785" spans="1:33" ht="13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</row>
    <row r="786" spans="1:33" ht="13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</row>
    <row r="787" spans="1:33" ht="13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</row>
    <row r="788" spans="1:33" ht="13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</row>
    <row r="789" spans="1:33" ht="13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</row>
    <row r="790" spans="1:33" ht="13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</row>
    <row r="791" spans="1:33" ht="13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</row>
    <row r="792" spans="1:33" ht="13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</row>
    <row r="793" spans="1:33" ht="1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</row>
    <row r="794" spans="1:33" ht="13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</row>
    <row r="795" spans="1:33" ht="13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</row>
    <row r="796" spans="1:33" ht="13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</row>
    <row r="797" spans="1:33" ht="13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</row>
    <row r="798" spans="1:33" ht="13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</row>
    <row r="799" spans="1:33" ht="13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</row>
    <row r="800" spans="1:33" ht="13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</row>
    <row r="801" spans="1:33" ht="13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</row>
    <row r="802" spans="1:33" ht="13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</row>
    <row r="803" spans="1:33" ht="1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</row>
    <row r="804" spans="1:33" ht="13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</row>
    <row r="805" spans="1:33" ht="13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</row>
    <row r="806" spans="1:33" ht="13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</row>
    <row r="807" spans="1:33" ht="13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</row>
    <row r="808" spans="1:33" ht="13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</row>
    <row r="809" spans="1:33" ht="13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</row>
    <row r="810" spans="1:33" ht="13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</row>
    <row r="811" spans="1:33" ht="13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</row>
    <row r="812" spans="1:33" ht="13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</row>
    <row r="813" spans="1:33" ht="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</row>
    <row r="814" spans="1:33" ht="13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</row>
    <row r="815" spans="1:33" ht="13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</row>
    <row r="816" spans="1:33" ht="13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</row>
    <row r="817" spans="1:33" ht="13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</row>
    <row r="818" spans="1:33" ht="13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</row>
    <row r="819" spans="1:33" ht="13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</row>
    <row r="820" spans="1:33" ht="13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</row>
    <row r="821" spans="1:33" ht="13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</row>
    <row r="822" spans="1:33" ht="13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</row>
    <row r="823" spans="1:33" ht="1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</row>
    <row r="824" spans="1:33" ht="13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</row>
    <row r="825" spans="1:33" ht="13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</row>
    <row r="826" spans="1:33" ht="13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</row>
    <row r="827" spans="1:33" ht="13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</row>
    <row r="828" spans="1:33" ht="13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</row>
    <row r="829" spans="1:33" ht="13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</row>
    <row r="830" spans="1:33" ht="13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</row>
    <row r="831" spans="1:33" ht="13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</row>
    <row r="832" spans="1:33" ht="13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</row>
    <row r="833" spans="1:33" ht="1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</row>
    <row r="834" spans="1:33" ht="13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</row>
    <row r="835" spans="1:33" ht="13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</row>
    <row r="836" spans="1:33" ht="13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</row>
    <row r="837" spans="1:33" ht="13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</row>
    <row r="838" spans="1:33" ht="13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</row>
    <row r="839" spans="1:33" ht="13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</row>
    <row r="840" spans="1:33" ht="13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</row>
    <row r="841" spans="1:33" ht="13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</row>
    <row r="842" spans="1:33" ht="13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</row>
    <row r="843" spans="1:33" ht="1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</row>
    <row r="844" spans="1:33" ht="13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</row>
    <row r="845" spans="1:33" ht="13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</row>
    <row r="846" spans="1:33" ht="13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</row>
    <row r="847" spans="1:33" ht="13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</row>
    <row r="848" spans="1:33" ht="13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</row>
    <row r="849" spans="1:33" ht="13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</row>
    <row r="850" spans="1:33" ht="13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</row>
    <row r="851" spans="1:33" ht="13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</row>
    <row r="852" spans="1:33" ht="13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</row>
    <row r="853" spans="1:33" ht="1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</row>
    <row r="854" spans="1:33" ht="13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</row>
    <row r="855" spans="1:33" ht="13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</row>
    <row r="856" spans="1:33" ht="13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</row>
    <row r="857" spans="1:33" ht="13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</row>
    <row r="858" spans="1:33" ht="13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</row>
    <row r="859" spans="1:33" ht="13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</row>
    <row r="860" spans="1:33" ht="13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</row>
    <row r="861" spans="1:33" ht="13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</row>
    <row r="862" spans="1:33" ht="13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</row>
    <row r="863" spans="1:33" ht="1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</row>
    <row r="864" spans="1:33" ht="13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</row>
    <row r="865" spans="1:33" ht="13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</row>
    <row r="866" spans="1:33" ht="13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</row>
    <row r="867" spans="1:33" ht="13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</row>
    <row r="868" spans="1:33" ht="13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</row>
    <row r="869" spans="1:33" ht="13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</row>
    <row r="870" spans="1:33" ht="13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</row>
    <row r="871" spans="1:33" ht="13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</row>
    <row r="872" spans="1:33" ht="13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</row>
    <row r="873" spans="1:33" ht="1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</row>
    <row r="874" spans="1:33" ht="13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</row>
    <row r="875" spans="1:33" ht="13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</row>
    <row r="876" spans="1:33" ht="13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</row>
    <row r="877" spans="1:33" ht="13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</row>
    <row r="878" spans="1:33" ht="13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</row>
    <row r="879" spans="1:33" ht="13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</row>
    <row r="880" spans="1:33" ht="13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</row>
    <row r="881" spans="1:33" ht="13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</row>
    <row r="882" spans="1:33" ht="13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</row>
    <row r="883" spans="1:33" ht="1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</row>
    <row r="884" spans="1:33" ht="13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</row>
    <row r="885" spans="1:33" ht="13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</row>
    <row r="886" spans="1:33" ht="13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</row>
    <row r="887" spans="1:33" ht="13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</row>
    <row r="888" spans="1:33" ht="13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</row>
    <row r="889" spans="1:33" ht="13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</row>
    <row r="890" spans="1:33" ht="13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</row>
    <row r="891" spans="1:33" ht="13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</row>
    <row r="892" spans="1:33" ht="13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</row>
    <row r="893" spans="1:33" ht="1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</row>
    <row r="894" spans="1:33" ht="13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</row>
    <row r="895" spans="1:33" ht="13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</row>
    <row r="896" spans="1:33" ht="13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</row>
    <row r="897" spans="1:33" ht="13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</row>
    <row r="898" spans="1:33" ht="13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</row>
    <row r="899" spans="1:33" ht="13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</row>
    <row r="900" spans="1:33" ht="13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</row>
    <row r="901" spans="1:33" ht="13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</row>
    <row r="902" spans="1:33" ht="13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</row>
    <row r="903" spans="1:33" ht="1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</row>
    <row r="904" spans="1:33" ht="13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</row>
    <row r="905" spans="1:33" ht="13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</row>
    <row r="906" spans="1:33" ht="13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</row>
    <row r="907" spans="1:33" ht="13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</row>
    <row r="908" spans="1:33" ht="13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</row>
    <row r="909" spans="1:33" ht="13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</row>
    <row r="910" spans="1:33" ht="13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</row>
    <row r="911" spans="1:33" ht="13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</row>
    <row r="912" spans="1:33" ht="13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</row>
    <row r="913" spans="1:33" ht="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</row>
    <row r="914" spans="1:33" ht="13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</row>
    <row r="915" spans="1:33" ht="13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</row>
    <row r="916" spans="1:33" ht="13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</row>
    <row r="917" spans="1:33" ht="13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</row>
    <row r="918" spans="1:33" ht="13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</row>
    <row r="919" spans="1:33" ht="13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</row>
    <row r="920" spans="1:33" ht="13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</row>
    <row r="921" spans="1:33" ht="13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</row>
    <row r="922" spans="1:33" ht="13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</row>
    <row r="923" spans="1:33" ht="1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</row>
    <row r="924" spans="1:33" ht="13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</row>
    <row r="925" spans="1:33" ht="13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</row>
    <row r="926" spans="1:33" ht="13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</row>
    <row r="927" spans="1:33" ht="13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</row>
    <row r="928" spans="1:33" ht="13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</row>
    <row r="929" spans="1:33" ht="13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</row>
    <row r="930" spans="1:33" ht="13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</row>
    <row r="931" spans="1:33" ht="13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</row>
    <row r="932" spans="1:33" ht="13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</row>
    <row r="933" spans="1:33" ht="1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</row>
    <row r="934" spans="1:33" ht="13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</row>
    <row r="935" spans="1:33" ht="13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</row>
    <row r="936" spans="1:33" ht="13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</row>
    <row r="937" spans="1:33" ht="13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</row>
    <row r="938" spans="1:33" ht="13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</row>
    <row r="939" spans="1:33" ht="13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</row>
    <row r="940" spans="1:33" ht="13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</row>
    <row r="941" spans="1:33" ht="13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</row>
    <row r="942" spans="1:33" ht="13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</row>
    <row r="943" spans="1:33" ht="1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</row>
    <row r="944" spans="1:33" ht="13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</row>
    <row r="945" spans="1:33" ht="13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</row>
    <row r="946" spans="1:33" ht="13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</row>
    <row r="947" spans="1:33" ht="13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</row>
    <row r="948" spans="1:33" ht="13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</row>
    <row r="949" spans="1:33" ht="13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</row>
    <row r="950" spans="1:33" ht="13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</row>
    <row r="951" spans="1:33" ht="13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</row>
    <row r="952" spans="1:33" ht="13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</row>
    <row r="953" spans="1:33" ht="1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</row>
    <row r="954" spans="1:33" ht="1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</row>
    <row r="955" spans="1:33" ht="1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</row>
    <row r="956" spans="1:33" ht="1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</row>
    <row r="957" spans="1:33" ht="1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</row>
    <row r="958" spans="1:33" ht="1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</row>
    <row r="959" spans="1:33" ht="1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</row>
    <row r="960" spans="1:33" ht="1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</row>
    <row r="961" spans="1:33" ht="1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</row>
    <row r="962" spans="1:33" ht="1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</row>
    <row r="963" spans="1:33" ht="1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</row>
    <row r="964" spans="1:33" ht="1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</row>
    <row r="965" spans="1:33" ht="1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</row>
    <row r="966" spans="1:33" ht="1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</row>
    <row r="967" spans="1:33" ht="1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</row>
    <row r="968" spans="1:33" ht="1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</row>
    <row r="969" spans="1:33" ht="1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</row>
    <row r="970" spans="1:33" ht="1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</row>
    <row r="971" spans="1:33" ht="1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</row>
    <row r="972" spans="1:33" ht="1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</row>
    <row r="973" spans="1:33" ht="1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</row>
    <row r="974" spans="1:33" ht="1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</row>
    <row r="975" spans="1:33" ht="1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</row>
    <row r="976" spans="1:33" ht="1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</row>
    <row r="977" spans="1:33" ht="1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</row>
    <row r="978" spans="1:33" ht="1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</row>
    <row r="979" spans="1:33" ht="1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</row>
    <row r="980" spans="1:33" ht="1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</row>
    <row r="981" spans="1:33" ht="1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</row>
    <row r="982" spans="1:33" ht="1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</row>
    <row r="983" spans="1:33" ht="1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</row>
    <row r="984" spans="1:33" ht="1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</row>
    <row r="985" spans="1:33" ht="1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</row>
    <row r="986" spans="1:33" ht="1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</row>
    <row r="987" spans="1:33" ht="1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</row>
    <row r="988" spans="1:33" ht="1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</row>
    <row r="989" spans="1:33" ht="1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</row>
    <row r="990" spans="1:33" ht="1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</row>
    <row r="991" spans="1:33" ht="1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</row>
    <row r="992" spans="1:33" ht="1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</row>
    <row r="993" spans="1:33" ht="1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</row>
    <row r="994" spans="1:33" ht="1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</row>
    <row r="995" spans="1:33" ht="1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</row>
    <row r="996" spans="1:33" ht="1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</row>
    <row r="997" spans="1:33" ht="1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</row>
    <row r="998" spans="1:33" ht="1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</row>
    <row r="999" spans="1:33" ht="1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</row>
    <row r="1000" spans="1:33" ht="13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</row>
    <row r="1001" spans="1:33" ht="13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  <c r="AC1001" s="16"/>
      <c r="AD1001" s="16"/>
      <c r="AE1001" s="16"/>
      <c r="AF1001" s="16"/>
      <c r="AG1001" s="16"/>
    </row>
    <row r="1002" spans="1:33" ht="13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  <c r="AC1002" s="16"/>
      <c r="AD1002" s="16"/>
      <c r="AE1002" s="16"/>
      <c r="AF1002" s="16"/>
      <c r="AG1002" s="16"/>
    </row>
    <row r="1003" spans="1:33" ht="1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  <c r="AC1003" s="16"/>
      <c r="AD1003" s="16"/>
      <c r="AE1003" s="16"/>
      <c r="AF1003" s="16"/>
      <c r="AG1003" s="16"/>
    </row>
    <row r="1004" spans="1:33" ht="13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  <c r="AC1004" s="16"/>
      <c r="AD1004" s="16"/>
      <c r="AE1004" s="16"/>
      <c r="AF1004" s="16"/>
      <c r="AG1004" s="16"/>
    </row>
    <row r="1005" spans="1:33" ht="13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  <c r="AC1005" s="16"/>
      <c r="AD1005" s="16"/>
      <c r="AE1005" s="16"/>
      <c r="AF1005" s="16"/>
      <c r="AG1005" s="16"/>
    </row>
    <row r="1006" spans="1:33" ht="13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  <c r="AC1006" s="16"/>
      <c r="AD1006" s="16"/>
      <c r="AE1006" s="16"/>
      <c r="AF1006" s="16"/>
      <c r="AG1006" s="16"/>
    </row>
    <row r="1007" spans="1:33" ht="13">
      <c r="A1007" s="16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  <c r="AC1007" s="16"/>
      <c r="AD1007" s="16"/>
      <c r="AE1007" s="16"/>
      <c r="AF1007" s="16"/>
      <c r="AG1007" s="16"/>
    </row>
    <row r="1008" spans="1:33" ht="13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  <c r="AC1008" s="16"/>
      <c r="AD1008" s="16"/>
      <c r="AE1008" s="16"/>
      <c r="AF1008" s="16"/>
      <c r="AG1008" s="16"/>
    </row>
    <row r="1009" spans="1:33" ht="13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  <c r="AC1009" s="16"/>
      <c r="AD1009" s="16"/>
      <c r="AE1009" s="16"/>
      <c r="AF1009" s="16"/>
      <c r="AG1009" s="16"/>
    </row>
    <row r="1010" spans="1:33" ht="13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  <c r="AC1010" s="16"/>
      <c r="AD1010" s="16"/>
      <c r="AE1010" s="16"/>
      <c r="AF1010" s="16"/>
      <c r="AG1010" s="16"/>
    </row>
    <row r="1011" spans="1:33" ht="13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  <c r="AC1011" s="16"/>
      <c r="AD1011" s="16"/>
      <c r="AE1011" s="16"/>
      <c r="AF1011" s="16"/>
      <c r="AG1011" s="16"/>
    </row>
    <row r="1012" spans="1:33" ht="13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  <c r="AC1012" s="16"/>
      <c r="AD1012" s="16"/>
      <c r="AE1012" s="16"/>
      <c r="AF1012" s="16"/>
      <c r="AG1012" s="16"/>
    </row>
    <row r="1013" spans="1:33" ht="13">
      <c r="A1013" s="16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  <c r="AC1013" s="16"/>
      <c r="AD1013" s="16"/>
      <c r="AE1013" s="16"/>
      <c r="AF1013" s="16"/>
      <c r="AG1013" s="16"/>
    </row>
    <row r="1014" spans="1:33" ht="13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  <c r="AC1014" s="16"/>
      <c r="AD1014" s="16"/>
      <c r="AE1014" s="16"/>
      <c r="AF1014" s="16"/>
      <c r="AG1014" s="16"/>
    </row>
    <row r="1015" spans="1:33" ht="13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  <c r="AC1015" s="16"/>
      <c r="AD1015" s="16"/>
      <c r="AE1015" s="16"/>
      <c r="AF1015" s="16"/>
      <c r="AG1015" s="16"/>
    </row>
    <row r="1016" spans="1:33" ht="13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  <c r="AC1016" s="16"/>
      <c r="AD1016" s="16"/>
      <c r="AE1016" s="16"/>
      <c r="AF1016" s="16"/>
      <c r="AG1016" s="16"/>
    </row>
    <row r="1017" spans="1:33" ht="13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  <c r="AC1017" s="16"/>
      <c r="AD1017" s="16"/>
      <c r="AE1017" s="16"/>
      <c r="AF1017" s="16"/>
      <c r="AG1017" s="16"/>
    </row>
    <row r="1018" spans="1:33" ht="13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  <c r="AC1018" s="16"/>
      <c r="AD1018" s="16"/>
      <c r="AE1018" s="16"/>
      <c r="AF1018" s="16"/>
      <c r="AG1018" s="16"/>
    </row>
    <row r="1019" spans="1:33" ht="13">
      <c r="A1019" s="16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  <c r="AC1019" s="16"/>
      <c r="AD1019" s="16"/>
      <c r="AE1019" s="16"/>
      <c r="AF1019" s="16"/>
      <c r="AG1019" s="16"/>
    </row>
    <row r="1020" spans="1:33" ht="13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  <c r="AC1020" s="16"/>
      <c r="AD1020" s="16"/>
      <c r="AE1020" s="16"/>
      <c r="AF1020" s="16"/>
      <c r="AG1020" s="16"/>
    </row>
    <row r="1021" spans="1:33" ht="13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  <c r="AC1021" s="16"/>
      <c r="AD1021" s="16"/>
      <c r="AE1021" s="16"/>
      <c r="AF1021" s="16"/>
      <c r="AG1021" s="16"/>
    </row>
    <row r="1022" spans="1:33" ht="13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  <c r="AC1022" s="16"/>
      <c r="AD1022" s="16"/>
      <c r="AE1022" s="16"/>
      <c r="AF1022" s="16"/>
      <c r="AG1022" s="16"/>
    </row>
    <row r="1023" spans="1:33" ht="1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  <c r="AC1023" s="16"/>
      <c r="AD1023" s="16"/>
      <c r="AE1023" s="16"/>
      <c r="AF1023" s="16"/>
      <c r="AG1023" s="16"/>
    </row>
    <row r="1024" spans="1:33" ht="13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  <c r="AC1024" s="16"/>
      <c r="AD1024" s="16"/>
      <c r="AE1024" s="16"/>
      <c r="AF1024" s="16"/>
      <c r="AG1024" s="16"/>
    </row>
    <row r="1025" spans="1:33" ht="13">
      <c r="A1025" s="16"/>
      <c r="B1025" s="16"/>
      <c r="C1025" s="16"/>
      <c r="D1025" s="16"/>
      <c r="E1025" s="16"/>
      <c r="F1025" s="16"/>
      <c r="G1025" s="16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  <c r="AC1025" s="16"/>
      <c r="AD1025" s="16"/>
      <c r="AE1025" s="16"/>
      <c r="AF1025" s="16"/>
      <c r="AG1025" s="16"/>
    </row>
    <row r="1026" spans="1:33" ht="13">
      <c r="A1026" s="16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  <c r="AC1026" s="16"/>
      <c r="AD1026" s="16"/>
      <c r="AE1026" s="16"/>
      <c r="AF1026" s="16"/>
      <c r="AG1026" s="16"/>
    </row>
    <row r="1027" spans="1:33" ht="13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  <c r="AC1027" s="16"/>
      <c r="AD1027" s="16"/>
      <c r="AE1027" s="16"/>
      <c r="AF1027" s="16"/>
      <c r="AG1027" s="16"/>
    </row>
    <row r="1028" spans="1:33" ht="13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  <c r="AC1028" s="16"/>
      <c r="AD1028" s="16"/>
      <c r="AE1028" s="16"/>
      <c r="AF1028" s="16"/>
      <c r="AG1028" s="16"/>
    </row>
    <row r="1029" spans="1:33" ht="13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  <c r="AC1029" s="16"/>
      <c r="AD1029" s="16"/>
      <c r="AE1029" s="16"/>
      <c r="AF1029" s="16"/>
      <c r="AG1029" s="16"/>
    </row>
    <row r="1030" spans="1:33" ht="13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  <c r="AC1030" s="16"/>
      <c r="AD1030" s="16"/>
      <c r="AE1030" s="16"/>
      <c r="AF1030" s="16"/>
      <c r="AG1030" s="16"/>
    </row>
    <row r="1031" spans="1:33" ht="13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  <c r="AC1031" s="16"/>
      <c r="AD1031" s="16"/>
      <c r="AE1031" s="16"/>
      <c r="AF1031" s="16"/>
      <c r="AG1031" s="16"/>
    </row>
    <row r="1032" spans="1:33" ht="13">
      <c r="A1032" s="16"/>
      <c r="B1032" s="16"/>
      <c r="C1032" s="16"/>
      <c r="D1032" s="16"/>
      <c r="E1032" s="16"/>
      <c r="F1032" s="16"/>
      <c r="G1032" s="16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  <c r="AC1032" s="16"/>
      <c r="AD1032" s="16"/>
      <c r="AE1032" s="16"/>
      <c r="AF1032" s="16"/>
      <c r="AG1032" s="16"/>
    </row>
    <row r="1033" spans="1:33" ht="13">
      <c r="A1033" s="16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  <c r="AC1033" s="16"/>
      <c r="AD1033" s="16"/>
      <c r="AE1033" s="16"/>
      <c r="AF1033" s="16"/>
      <c r="AG1033" s="16"/>
    </row>
    <row r="1034" spans="1:33" ht="13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  <c r="AC1034" s="16"/>
      <c r="AD1034" s="16"/>
      <c r="AE1034" s="16"/>
      <c r="AF1034" s="16"/>
      <c r="AG1034" s="16"/>
    </row>
    <row r="1035" spans="1:33" ht="13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  <c r="AC1035" s="16"/>
      <c r="AD1035" s="16"/>
      <c r="AE1035" s="16"/>
      <c r="AF1035" s="16"/>
      <c r="AG1035" s="16"/>
    </row>
    <row r="1036" spans="1:33" ht="13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  <c r="AC1036" s="16"/>
      <c r="AD1036" s="16"/>
      <c r="AE1036" s="16"/>
      <c r="AF1036" s="16"/>
      <c r="AG1036" s="16"/>
    </row>
    <row r="1037" spans="1:33" ht="13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  <c r="AC1037" s="16"/>
      <c r="AD1037" s="16"/>
      <c r="AE1037" s="16"/>
      <c r="AF1037" s="16"/>
      <c r="AG1037" s="16"/>
    </row>
    <row r="1038" spans="1:33" ht="13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  <c r="AC1038" s="16"/>
      <c r="AD1038" s="16"/>
      <c r="AE1038" s="16"/>
      <c r="AF1038" s="16"/>
      <c r="AG1038" s="16"/>
    </row>
    <row r="1039" spans="1:33" ht="13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  <c r="AC1039" s="16"/>
      <c r="AD1039" s="16"/>
      <c r="AE1039" s="16"/>
      <c r="AF1039" s="16"/>
      <c r="AG1039" s="16"/>
    </row>
    <row r="1040" spans="1:33" ht="13">
      <c r="A1040" s="16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  <c r="AC1040" s="16"/>
      <c r="AD1040" s="16"/>
      <c r="AE1040" s="16"/>
      <c r="AF1040" s="16"/>
      <c r="AG1040" s="16"/>
    </row>
    <row r="1041" spans="1:33" ht="13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  <c r="AC1041" s="16"/>
      <c r="AD1041" s="16"/>
      <c r="AE1041" s="16"/>
      <c r="AF1041" s="16"/>
      <c r="AG1041" s="16"/>
    </row>
    <row r="1042" spans="1:33" ht="13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  <c r="AC1042" s="16"/>
      <c r="AD1042" s="16"/>
      <c r="AE1042" s="16"/>
      <c r="AF1042" s="16"/>
      <c r="AG1042" s="16"/>
    </row>
    <row r="1043" spans="1:33" ht="1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  <c r="AC1043" s="16"/>
      <c r="AD1043" s="16"/>
      <c r="AE1043" s="16"/>
      <c r="AF1043" s="16"/>
      <c r="AG1043" s="16"/>
    </row>
    <row r="1044" spans="1:33" ht="13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  <c r="AC1044" s="16"/>
      <c r="AD1044" s="16"/>
      <c r="AE1044" s="16"/>
      <c r="AF1044" s="16"/>
      <c r="AG1044" s="16"/>
    </row>
    <row r="1045" spans="1:33" ht="13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  <c r="AC1045" s="16"/>
      <c r="AD1045" s="16"/>
      <c r="AE1045" s="16"/>
      <c r="AF1045" s="16"/>
      <c r="AG1045" s="16"/>
    </row>
    <row r="1046" spans="1:33" ht="13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  <c r="AC1046" s="16"/>
      <c r="AD1046" s="16"/>
      <c r="AE1046" s="16"/>
      <c r="AF1046" s="16"/>
      <c r="AG1046" s="16"/>
    </row>
    <row r="1047" spans="1:33" ht="13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  <c r="AC1047" s="16"/>
      <c r="AD1047" s="16"/>
      <c r="AE1047" s="16"/>
      <c r="AF1047" s="16"/>
      <c r="AG1047" s="16"/>
    </row>
    <row r="1048" spans="1:33" ht="13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  <c r="AC1048" s="16"/>
      <c r="AD1048" s="16"/>
      <c r="AE1048" s="16"/>
      <c r="AF1048" s="16"/>
      <c r="AG1048" s="16"/>
    </row>
    <row r="1049" spans="1:33" ht="13">
      <c r="A1049" s="16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  <c r="AC1049" s="16"/>
      <c r="AD1049" s="16"/>
      <c r="AE1049" s="16"/>
      <c r="AF1049" s="16"/>
      <c r="AG1049" s="16"/>
    </row>
    <row r="1050" spans="1:33" ht="13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  <c r="AC1050" s="16"/>
      <c r="AD1050" s="16"/>
      <c r="AE1050" s="16"/>
      <c r="AF1050" s="16"/>
      <c r="AG1050" s="16"/>
    </row>
    <row r="1051" spans="1:33" ht="13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  <c r="AC1051" s="16"/>
      <c r="AD1051" s="16"/>
      <c r="AE1051" s="16"/>
      <c r="AF1051" s="16"/>
      <c r="AG1051" s="16"/>
    </row>
    <row r="1052" spans="1:33" ht="13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  <c r="AC1052" s="16"/>
      <c r="AD1052" s="16"/>
      <c r="AE1052" s="16"/>
      <c r="AF1052" s="16"/>
      <c r="AG1052" s="16"/>
    </row>
    <row r="1053" spans="1:33" ht="13">
      <c r="A1053" s="16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  <c r="AC1053" s="16"/>
      <c r="AD1053" s="16"/>
      <c r="AE1053" s="16"/>
      <c r="AF1053" s="16"/>
      <c r="AG1053" s="16"/>
    </row>
    <row r="1054" spans="1:33" ht="13">
      <c r="A1054" s="16"/>
      <c r="B1054" s="16"/>
      <c r="C1054" s="16"/>
      <c r="D1054" s="16"/>
      <c r="E1054" s="16"/>
      <c r="F1054" s="16"/>
      <c r="G1054" s="16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  <c r="AC1054" s="16"/>
      <c r="AD1054" s="16"/>
      <c r="AE1054" s="16"/>
      <c r="AF1054" s="16"/>
      <c r="AG1054" s="16"/>
    </row>
    <row r="1055" spans="1:33" ht="13">
      <c r="A1055" s="16"/>
      <c r="B1055" s="16"/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  <c r="AC1055" s="16"/>
      <c r="AD1055" s="16"/>
      <c r="AE1055" s="16"/>
      <c r="AF1055" s="16"/>
      <c r="AG1055" s="16"/>
    </row>
    <row r="1056" spans="1:33" ht="13">
      <c r="A1056" s="16"/>
      <c r="B1056" s="16"/>
      <c r="C1056" s="16"/>
      <c r="D1056" s="16"/>
      <c r="E1056" s="16"/>
      <c r="F1056" s="16"/>
      <c r="G1056" s="16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  <c r="AC1056" s="16"/>
      <c r="AD1056" s="16"/>
      <c r="AE1056" s="16"/>
      <c r="AF1056" s="16"/>
      <c r="AG1056" s="16"/>
    </row>
    <row r="1057" spans="1:33" ht="13">
      <c r="A1057" s="16"/>
      <c r="B1057" s="16"/>
      <c r="C1057" s="16"/>
      <c r="D1057" s="16"/>
      <c r="E1057" s="16"/>
      <c r="F1057" s="16"/>
      <c r="G1057" s="16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  <c r="AC1057" s="16"/>
      <c r="AD1057" s="16"/>
      <c r="AE1057" s="16"/>
      <c r="AF1057" s="16"/>
      <c r="AG1057" s="16"/>
    </row>
    <row r="1058" spans="1:33" ht="13">
      <c r="A1058" s="16"/>
      <c r="B1058" s="16"/>
      <c r="C1058" s="16"/>
      <c r="D1058" s="16"/>
      <c r="E1058" s="16"/>
      <c r="F1058" s="16"/>
      <c r="G1058" s="16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  <c r="AC1058" s="16"/>
      <c r="AD1058" s="16"/>
      <c r="AE1058" s="16"/>
      <c r="AF1058" s="16"/>
      <c r="AG1058" s="16"/>
    </row>
    <row r="1059" spans="1:33" ht="13">
      <c r="A1059" s="16"/>
      <c r="B1059" s="16"/>
      <c r="C1059" s="16"/>
      <c r="D1059" s="16"/>
      <c r="E1059" s="16"/>
      <c r="F1059" s="16"/>
      <c r="G1059" s="16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  <c r="AC1059" s="16"/>
      <c r="AD1059" s="16"/>
      <c r="AE1059" s="16"/>
      <c r="AF1059" s="16"/>
      <c r="AG1059" s="16"/>
    </row>
    <row r="1060" spans="1:33" ht="13">
      <c r="A1060" s="16"/>
      <c r="B1060" s="16"/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  <c r="AC1060" s="16"/>
      <c r="AD1060" s="16"/>
      <c r="AE1060" s="16"/>
      <c r="AF1060" s="16"/>
      <c r="AG1060" s="16"/>
    </row>
    <row r="1061" spans="1:33" ht="13">
      <c r="A1061" s="16"/>
      <c r="B1061" s="16"/>
      <c r="C1061" s="16"/>
      <c r="D1061" s="16"/>
      <c r="E1061" s="16"/>
      <c r="F1061" s="16"/>
      <c r="G1061" s="16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  <c r="AC1061" s="16"/>
      <c r="AD1061" s="16"/>
      <c r="AE1061" s="16"/>
      <c r="AF1061" s="16"/>
      <c r="AG1061" s="16"/>
    </row>
    <row r="1062" spans="1:33" ht="13">
      <c r="A1062" s="16"/>
      <c r="B1062" s="16"/>
      <c r="C1062" s="16"/>
      <c r="D1062" s="16"/>
      <c r="E1062" s="16"/>
      <c r="F1062" s="16"/>
      <c r="G1062" s="16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  <c r="AC1062" s="16"/>
      <c r="AD1062" s="16"/>
      <c r="AE1062" s="16"/>
      <c r="AF1062" s="16"/>
      <c r="AG1062" s="16"/>
    </row>
    <row r="1063" spans="1:33" ht="13">
      <c r="A1063" s="16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  <c r="AC1063" s="16"/>
      <c r="AD1063" s="16"/>
      <c r="AE1063" s="16"/>
      <c r="AF1063" s="16"/>
      <c r="AG1063" s="16"/>
    </row>
    <row r="1064" spans="1:33" ht="13">
      <c r="A1064" s="16"/>
      <c r="B1064" s="16"/>
      <c r="C1064" s="16"/>
      <c r="D1064" s="16"/>
      <c r="E1064" s="16"/>
      <c r="F1064" s="16"/>
      <c r="G1064" s="16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  <c r="AC1064" s="16"/>
      <c r="AD1064" s="16"/>
      <c r="AE1064" s="16"/>
      <c r="AF1064" s="16"/>
      <c r="AG1064" s="16"/>
    </row>
    <row r="1065" spans="1:33" ht="13">
      <c r="A1065" s="16"/>
      <c r="B1065" s="16"/>
      <c r="C1065" s="16"/>
      <c r="D1065" s="16"/>
      <c r="E1065" s="16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  <c r="AC1065" s="16"/>
      <c r="AD1065" s="16"/>
      <c r="AE1065" s="16"/>
      <c r="AF1065" s="16"/>
      <c r="AG1065" s="16"/>
    </row>
    <row r="1066" spans="1:33" ht="13">
      <c r="A1066" s="16"/>
      <c r="B1066" s="16"/>
      <c r="C1066" s="16"/>
      <c r="D1066" s="16"/>
      <c r="E1066" s="16"/>
      <c r="F1066" s="16"/>
      <c r="G1066" s="16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  <c r="AC1066" s="16"/>
      <c r="AD1066" s="16"/>
      <c r="AE1066" s="16"/>
      <c r="AF1066" s="16"/>
      <c r="AG1066" s="16"/>
    </row>
    <row r="1067" spans="1:33" ht="13">
      <c r="A1067" s="16"/>
      <c r="B1067" s="16"/>
      <c r="C1067" s="16"/>
      <c r="D1067" s="16"/>
      <c r="E1067" s="16"/>
      <c r="F1067" s="16"/>
      <c r="G1067" s="16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  <c r="AC1067" s="16"/>
      <c r="AD1067" s="16"/>
      <c r="AE1067" s="16"/>
      <c r="AF1067" s="16"/>
      <c r="AG1067" s="16"/>
    </row>
    <row r="1068" spans="1:33" ht="13">
      <c r="A1068" s="16"/>
      <c r="B1068" s="16"/>
      <c r="C1068" s="16"/>
      <c r="D1068" s="16"/>
      <c r="E1068" s="16"/>
      <c r="F1068" s="16"/>
      <c r="G1068" s="16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  <c r="AC1068" s="16"/>
      <c r="AD1068" s="16"/>
      <c r="AE1068" s="16"/>
      <c r="AF1068" s="16"/>
      <c r="AG1068" s="16"/>
    </row>
    <row r="1069" spans="1:33" ht="13">
      <c r="A1069" s="16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  <c r="AC1069" s="16"/>
      <c r="AD1069" s="16"/>
      <c r="AE1069" s="16"/>
      <c r="AF1069" s="16"/>
      <c r="AG1069" s="16"/>
    </row>
    <row r="1070" spans="1:33" ht="13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  <c r="AB1070" s="16"/>
      <c r="AC1070" s="16"/>
      <c r="AD1070" s="16"/>
      <c r="AE1070" s="16"/>
      <c r="AF1070" s="16"/>
      <c r="AG1070" s="16"/>
    </row>
    <row r="1071" spans="1:33" ht="13">
      <c r="A1071" s="16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  <c r="AC1071" s="16"/>
      <c r="AD1071" s="16"/>
      <c r="AE1071" s="16"/>
      <c r="AF1071" s="16"/>
      <c r="AG1071" s="16"/>
    </row>
    <row r="1072" spans="1:33" ht="13">
      <c r="A1072" s="16"/>
      <c r="B1072" s="16"/>
      <c r="C1072" s="16"/>
      <c r="D1072" s="16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  <c r="AC1072" s="16"/>
      <c r="AD1072" s="16"/>
      <c r="AE1072" s="16"/>
      <c r="AF1072" s="16"/>
      <c r="AG1072" s="16"/>
    </row>
    <row r="1073" spans="1:33" ht="13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  <c r="AC1073" s="16"/>
      <c r="AD1073" s="16"/>
      <c r="AE1073" s="16"/>
      <c r="AF1073" s="16"/>
      <c r="AG1073" s="16"/>
    </row>
    <row r="1074" spans="1:33" ht="13">
      <c r="A1074" s="16"/>
      <c r="B1074" s="16"/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  <c r="AC1074" s="16"/>
      <c r="AD1074" s="16"/>
      <c r="AE1074" s="16"/>
      <c r="AF1074" s="16"/>
      <c r="AG1074" s="16"/>
    </row>
    <row r="1075" spans="1:33" ht="13">
      <c r="A1075" s="16"/>
      <c r="B1075" s="16"/>
      <c r="C1075" s="16"/>
      <c r="D1075" s="16"/>
      <c r="E1075" s="16"/>
      <c r="F1075" s="16"/>
      <c r="G1075" s="16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  <c r="AB1075" s="16"/>
      <c r="AC1075" s="16"/>
      <c r="AD1075" s="16"/>
      <c r="AE1075" s="16"/>
      <c r="AF1075" s="16"/>
      <c r="AG1075" s="16"/>
    </row>
    <row r="1076" spans="1:33" ht="13">
      <c r="A1076" s="16"/>
      <c r="B1076" s="16"/>
      <c r="C1076" s="16"/>
      <c r="D1076" s="16"/>
      <c r="E1076" s="16"/>
      <c r="F1076" s="16"/>
      <c r="G1076" s="16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  <c r="AC1076" s="16"/>
      <c r="AD1076" s="16"/>
      <c r="AE1076" s="16"/>
      <c r="AF1076" s="16"/>
      <c r="AG1076" s="16"/>
    </row>
    <row r="1077" spans="1:33" ht="13">
      <c r="A1077" s="16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  <c r="AC1077" s="16"/>
      <c r="AD1077" s="16"/>
      <c r="AE1077" s="16"/>
      <c r="AF1077" s="16"/>
      <c r="AG1077" s="16"/>
    </row>
    <row r="1078" spans="1:33" ht="13">
      <c r="A1078" s="16"/>
      <c r="B1078" s="16"/>
      <c r="C1078" s="16"/>
      <c r="D1078" s="16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  <c r="AB1078" s="16"/>
      <c r="AC1078" s="16"/>
      <c r="AD1078" s="16"/>
      <c r="AE1078" s="16"/>
      <c r="AF1078" s="16"/>
      <c r="AG1078" s="16"/>
    </row>
    <row r="1079" spans="1:33" ht="13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  <c r="AB1079" s="16"/>
      <c r="AC1079" s="16"/>
      <c r="AD1079" s="16"/>
      <c r="AE1079" s="16"/>
      <c r="AF1079" s="16"/>
      <c r="AG1079" s="16"/>
    </row>
    <row r="1080" spans="1:33" ht="13">
      <c r="A1080" s="16"/>
      <c r="B1080" s="16"/>
      <c r="C1080" s="16"/>
      <c r="D1080" s="16"/>
      <c r="E1080" s="16"/>
      <c r="F1080" s="16"/>
      <c r="G1080" s="16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  <c r="AB1080" s="16"/>
      <c r="AC1080" s="16"/>
      <c r="AD1080" s="16"/>
      <c r="AE1080" s="16"/>
      <c r="AF1080" s="16"/>
      <c r="AG1080" s="16"/>
    </row>
    <row r="1081" spans="1:33" ht="13">
      <c r="A1081" s="16"/>
      <c r="B1081" s="16"/>
      <c r="C1081" s="16"/>
      <c r="D1081" s="16"/>
      <c r="E1081" s="16"/>
      <c r="F1081" s="16"/>
      <c r="G1081" s="16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  <c r="AB1081" s="16"/>
      <c r="AC1081" s="16"/>
      <c r="AD1081" s="16"/>
      <c r="AE1081" s="16"/>
      <c r="AF1081" s="16"/>
      <c r="AG1081" s="16"/>
    </row>
    <row r="1082" spans="1:33" ht="13">
      <c r="A1082" s="16"/>
      <c r="B1082" s="16"/>
      <c r="C1082" s="16"/>
      <c r="D1082" s="16"/>
      <c r="E1082" s="16"/>
      <c r="F1082" s="16"/>
      <c r="G1082" s="16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  <c r="AB1082" s="16"/>
      <c r="AC1082" s="16"/>
      <c r="AD1082" s="16"/>
      <c r="AE1082" s="16"/>
      <c r="AF1082" s="16"/>
      <c r="AG1082" s="16"/>
    </row>
    <row r="1083" spans="1:33" ht="13">
      <c r="A1083" s="16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  <c r="AB1083" s="16"/>
      <c r="AC1083" s="16"/>
      <c r="AD1083" s="16"/>
      <c r="AE1083" s="16"/>
      <c r="AF1083" s="16"/>
      <c r="AG1083" s="16"/>
    </row>
    <row r="1084" spans="1:33" ht="13">
      <c r="A1084" s="16"/>
      <c r="B1084" s="16"/>
      <c r="C1084" s="16"/>
      <c r="D1084" s="16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  <c r="AB1084" s="16"/>
      <c r="AC1084" s="16"/>
      <c r="AD1084" s="16"/>
      <c r="AE1084" s="16"/>
      <c r="AF1084" s="16"/>
      <c r="AG1084" s="16"/>
    </row>
    <row r="1085" spans="1:33" ht="13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  <c r="AB1085" s="16"/>
      <c r="AC1085" s="16"/>
      <c r="AD1085" s="16"/>
      <c r="AE1085" s="16"/>
      <c r="AF1085" s="16"/>
      <c r="AG1085" s="16"/>
    </row>
    <row r="1086" spans="1:33" ht="13">
      <c r="A1086" s="16"/>
      <c r="B1086" s="16"/>
      <c r="C1086" s="16"/>
      <c r="D1086" s="16"/>
      <c r="E1086" s="16"/>
      <c r="F1086" s="16"/>
      <c r="G1086" s="16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  <c r="AB1086" s="16"/>
      <c r="AC1086" s="16"/>
      <c r="AD1086" s="16"/>
      <c r="AE1086" s="16"/>
      <c r="AF1086" s="16"/>
      <c r="AG1086" s="16"/>
    </row>
    <row r="1087" spans="1:33" ht="13">
      <c r="A1087" s="16"/>
      <c r="B1087" s="16"/>
      <c r="C1087" s="16"/>
      <c r="D1087" s="16"/>
      <c r="E1087" s="16"/>
      <c r="F1087" s="16"/>
      <c r="G1087" s="16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  <c r="AB1087" s="16"/>
      <c r="AC1087" s="16"/>
      <c r="AD1087" s="16"/>
      <c r="AE1087" s="16"/>
      <c r="AF1087" s="16"/>
      <c r="AG1087" s="16"/>
    </row>
    <row r="1088" spans="1:33" ht="13">
      <c r="A1088" s="16"/>
      <c r="B1088" s="16"/>
      <c r="C1088" s="16"/>
      <c r="D1088" s="16"/>
      <c r="E1088" s="16"/>
      <c r="F1088" s="16"/>
      <c r="G1088" s="16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  <c r="AB1088" s="16"/>
      <c r="AC1088" s="16"/>
      <c r="AD1088" s="16"/>
      <c r="AE1088" s="16"/>
      <c r="AF1088" s="16"/>
      <c r="AG1088" s="16"/>
    </row>
    <row r="1089" spans="1:33" ht="13">
      <c r="A1089" s="16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  <c r="AB1089" s="16"/>
      <c r="AC1089" s="16"/>
      <c r="AD1089" s="16"/>
      <c r="AE1089" s="16"/>
      <c r="AF1089" s="16"/>
      <c r="AG1089" s="16"/>
    </row>
    <row r="1090" spans="1:33" ht="13">
      <c r="A1090" s="16"/>
      <c r="B1090" s="16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  <c r="AB1090" s="16"/>
      <c r="AC1090" s="16"/>
      <c r="AD1090" s="16"/>
      <c r="AE1090" s="16"/>
      <c r="AF1090" s="16"/>
      <c r="AG1090" s="16"/>
    </row>
    <row r="1091" spans="1:33" ht="13">
      <c r="A1091" s="16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  <c r="AB1091" s="16"/>
      <c r="AC1091" s="16"/>
      <c r="AD1091" s="16"/>
      <c r="AE1091" s="16"/>
      <c r="AF1091" s="16"/>
      <c r="AG1091" s="16"/>
    </row>
    <row r="1092" spans="1:33" ht="13">
      <c r="A1092" s="16"/>
      <c r="B1092" s="16"/>
      <c r="C1092" s="16"/>
      <c r="D1092" s="16"/>
      <c r="E1092" s="16"/>
      <c r="F1092" s="16"/>
      <c r="G1092" s="16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  <c r="AB1092" s="16"/>
      <c r="AC1092" s="16"/>
      <c r="AD1092" s="16"/>
      <c r="AE1092" s="16"/>
      <c r="AF1092" s="16"/>
      <c r="AG1092" s="16"/>
    </row>
    <row r="1093" spans="1:33" ht="13">
      <c r="A1093" s="16"/>
      <c r="B1093" s="16"/>
      <c r="C1093" s="16"/>
      <c r="D1093" s="16"/>
      <c r="E1093" s="16"/>
      <c r="F1093" s="16"/>
      <c r="G1093" s="16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  <c r="AB1093" s="16"/>
      <c r="AC1093" s="16"/>
      <c r="AD1093" s="16"/>
      <c r="AE1093" s="16"/>
      <c r="AF1093" s="16"/>
      <c r="AG1093" s="16"/>
    </row>
    <row r="1094" spans="1:33" ht="13">
      <c r="A1094" s="16"/>
      <c r="B1094" s="16"/>
      <c r="C1094" s="16"/>
      <c r="D1094" s="16"/>
      <c r="E1094" s="16"/>
      <c r="F1094" s="16"/>
      <c r="G1094" s="16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  <c r="AB1094" s="16"/>
      <c r="AC1094" s="16"/>
      <c r="AD1094" s="16"/>
      <c r="AE1094" s="16"/>
      <c r="AF1094" s="16"/>
      <c r="AG1094" s="16"/>
    </row>
    <row r="1095" spans="1:33" ht="13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  <c r="AB1095" s="16"/>
      <c r="AC1095" s="16"/>
      <c r="AD1095" s="16"/>
      <c r="AE1095" s="16"/>
      <c r="AF1095" s="16"/>
      <c r="AG1095" s="16"/>
    </row>
    <row r="1096" spans="1:33" ht="13">
      <c r="A1096" s="16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  <c r="AB1096" s="16"/>
      <c r="AC1096" s="16"/>
      <c r="AD1096" s="16"/>
      <c r="AE1096" s="16"/>
      <c r="AF1096" s="16"/>
      <c r="AG1096" s="16"/>
    </row>
    <row r="1097" spans="1:33" ht="13">
      <c r="A1097" s="16"/>
      <c r="B1097" s="16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  <c r="AB1097" s="16"/>
      <c r="AC1097" s="16"/>
      <c r="AD1097" s="16"/>
      <c r="AE1097" s="16"/>
      <c r="AF1097" s="16"/>
      <c r="AG1097" s="16"/>
    </row>
    <row r="1098" spans="1:33" ht="13">
      <c r="A1098" s="16"/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  <c r="AB1098" s="16"/>
      <c r="AC1098" s="16"/>
      <c r="AD1098" s="16"/>
      <c r="AE1098" s="16"/>
      <c r="AF1098" s="16"/>
      <c r="AG1098" s="16"/>
    </row>
    <row r="1099" spans="1:33" ht="13">
      <c r="A1099" s="16"/>
      <c r="B1099" s="1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  <c r="AB1099" s="16"/>
      <c r="AC1099" s="16"/>
      <c r="AD1099" s="16"/>
      <c r="AE1099" s="16"/>
      <c r="AF1099" s="16"/>
      <c r="AG1099" s="16"/>
    </row>
    <row r="1100" spans="1:33" ht="13">
      <c r="A1100" s="16"/>
      <c r="B1100" s="16"/>
      <c r="C1100" s="16"/>
      <c r="D1100" s="16"/>
      <c r="E1100" s="16"/>
      <c r="F1100" s="16"/>
      <c r="G1100" s="16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  <c r="AB1100" s="16"/>
      <c r="AC1100" s="16"/>
      <c r="AD1100" s="16"/>
      <c r="AE1100" s="16"/>
      <c r="AF1100" s="16"/>
      <c r="AG1100" s="16"/>
    </row>
    <row r="1101" spans="1:33" ht="13">
      <c r="A1101" s="16"/>
      <c r="B1101" s="16"/>
      <c r="C1101" s="16"/>
      <c r="D1101" s="16"/>
      <c r="E1101" s="16"/>
      <c r="F1101" s="16"/>
      <c r="G1101" s="16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6"/>
      <c r="U1101" s="16"/>
      <c r="V1101" s="16"/>
      <c r="W1101" s="16"/>
      <c r="X1101" s="16"/>
      <c r="Y1101" s="16"/>
      <c r="Z1101" s="16"/>
      <c r="AA1101" s="16"/>
      <c r="AB1101" s="16"/>
      <c r="AC1101" s="16"/>
      <c r="AD1101" s="16"/>
      <c r="AE1101" s="16"/>
      <c r="AF1101" s="16"/>
      <c r="AG1101" s="16"/>
    </row>
    <row r="1102" spans="1:33" ht="13">
      <c r="A1102" s="16"/>
      <c r="B1102" s="16"/>
      <c r="C1102" s="16"/>
      <c r="D1102" s="16"/>
      <c r="E1102" s="16"/>
      <c r="F1102" s="16"/>
      <c r="G1102" s="16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6"/>
      <c r="U1102" s="16"/>
      <c r="V1102" s="16"/>
      <c r="W1102" s="16"/>
      <c r="X1102" s="16"/>
      <c r="Y1102" s="16"/>
      <c r="Z1102" s="16"/>
      <c r="AA1102" s="16"/>
      <c r="AB1102" s="16"/>
      <c r="AC1102" s="16"/>
      <c r="AD1102" s="16"/>
      <c r="AE1102" s="16"/>
      <c r="AF1102" s="16"/>
      <c r="AG1102" s="16"/>
    </row>
    <row r="1103" spans="1:33" ht="13">
      <c r="A1103" s="16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6"/>
      <c r="U1103" s="16"/>
      <c r="V1103" s="16"/>
      <c r="W1103" s="16"/>
      <c r="X1103" s="16"/>
      <c r="Y1103" s="16"/>
      <c r="Z1103" s="16"/>
      <c r="AA1103" s="16"/>
      <c r="AB1103" s="16"/>
      <c r="AC1103" s="16"/>
      <c r="AD1103" s="16"/>
      <c r="AE1103" s="16"/>
      <c r="AF1103" s="16"/>
      <c r="AG1103" s="16"/>
    </row>
    <row r="1104" spans="1:33" ht="13">
      <c r="A1104" s="16"/>
      <c r="B1104" s="16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6"/>
      <c r="U1104" s="16"/>
      <c r="V1104" s="16"/>
      <c r="W1104" s="16"/>
      <c r="X1104" s="16"/>
      <c r="Y1104" s="16"/>
      <c r="Z1104" s="16"/>
      <c r="AA1104" s="16"/>
      <c r="AB1104" s="16"/>
      <c r="AC1104" s="16"/>
      <c r="AD1104" s="16"/>
      <c r="AE1104" s="16"/>
      <c r="AF1104" s="16"/>
      <c r="AG1104" s="16"/>
    </row>
    <row r="1105" spans="1:33" ht="13">
      <c r="A1105" s="16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6"/>
      <c r="U1105" s="16"/>
      <c r="V1105" s="16"/>
      <c r="W1105" s="16"/>
      <c r="X1105" s="16"/>
      <c r="Y1105" s="16"/>
      <c r="Z1105" s="16"/>
      <c r="AA1105" s="16"/>
      <c r="AB1105" s="16"/>
      <c r="AC1105" s="16"/>
      <c r="AD1105" s="16"/>
      <c r="AE1105" s="16"/>
      <c r="AF1105" s="16"/>
      <c r="AG1105" s="16"/>
    </row>
    <row r="1106" spans="1:33" ht="13">
      <c r="A1106" s="16"/>
      <c r="B1106" s="16"/>
      <c r="C1106" s="16"/>
      <c r="D1106" s="16"/>
      <c r="E1106" s="16"/>
      <c r="F1106" s="16"/>
      <c r="G1106" s="16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6"/>
      <c r="U1106" s="16"/>
      <c r="V1106" s="16"/>
      <c r="W1106" s="16"/>
      <c r="X1106" s="16"/>
      <c r="Y1106" s="16"/>
      <c r="Z1106" s="16"/>
      <c r="AA1106" s="16"/>
      <c r="AB1106" s="16"/>
      <c r="AC1106" s="16"/>
      <c r="AD1106" s="16"/>
      <c r="AE1106" s="16"/>
      <c r="AF1106" s="16"/>
      <c r="AG1106" s="16"/>
    </row>
    <row r="1107" spans="1:33" ht="13">
      <c r="A1107" s="16"/>
      <c r="B1107" s="16"/>
      <c r="C1107" s="16"/>
      <c r="D1107" s="16"/>
      <c r="E1107" s="16"/>
      <c r="F1107" s="16"/>
      <c r="G1107" s="16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6"/>
      <c r="U1107" s="16"/>
      <c r="V1107" s="16"/>
      <c r="W1107" s="16"/>
      <c r="X1107" s="16"/>
      <c r="Y1107" s="16"/>
      <c r="Z1107" s="16"/>
      <c r="AA1107" s="16"/>
      <c r="AB1107" s="16"/>
      <c r="AC1107" s="16"/>
      <c r="AD1107" s="16"/>
      <c r="AE1107" s="16"/>
      <c r="AF1107" s="16"/>
      <c r="AG1107" s="16"/>
    </row>
    <row r="1108" spans="1:33" ht="13">
      <c r="A1108" s="16"/>
      <c r="B1108" s="16"/>
      <c r="C1108" s="16"/>
      <c r="D1108" s="16"/>
      <c r="E1108" s="16"/>
      <c r="F1108" s="16"/>
      <c r="G1108" s="16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  <c r="Y1108" s="16"/>
      <c r="Z1108" s="16"/>
      <c r="AA1108" s="16"/>
      <c r="AB1108" s="16"/>
      <c r="AC1108" s="16"/>
      <c r="AD1108" s="16"/>
      <c r="AE1108" s="16"/>
      <c r="AF1108" s="16"/>
      <c r="AG1108" s="16"/>
    </row>
    <row r="1109" spans="1:33" ht="13">
      <c r="A1109" s="16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  <c r="Y1109" s="16"/>
      <c r="Z1109" s="16"/>
      <c r="AA1109" s="16"/>
      <c r="AB1109" s="16"/>
      <c r="AC1109" s="16"/>
      <c r="AD1109" s="16"/>
      <c r="AE1109" s="16"/>
      <c r="AF1109" s="16"/>
      <c r="AG1109" s="16"/>
    </row>
    <row r="1110" spans="1:33" ht="13">
      <c r="A1110" s="16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6"/>
      <c r="U1110" s="16"/>
      <c r="V1110" s="16"/>
      <c r="W1110" s="16"/>
      <c r="X1110" s="16"/>
      <c r="Y1110" s="16"/>
      <c r="Z1110" s="16"/>
      <c r="AA1110" s="16"/>
      <c r="AB1110" s="16"/>
      <c r="AC1110" s="16"/>
      <c r="AD1110" s="16"/>
      <c r="AE1110" s="16"/>
      <c r="AF1110" s="16"/>
      <c r="AG1110" s="16"/>
    </row>
    <row r="1111" spans="1:33" ht="13">
      <c r="A1111" s="16"/>
      <c r="B1111" s="16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  <c r="Y1111" s="16"/>
      <c r="Z1111" s="16"/>
      <c r="AA1111" s="16"/>
      <c r="AB1111" s="16"/>
      <c r="AC1111" s="16"/>
      <c r="AD1111" s="16"/>
      <c r="AE1111" s="16"/>
      <c r="AF1111" s="16"/>
      <c r="AG1111" s="16"/>
    </row>
    <row r="1112" spans="1:33" ht="13">
      <c r="A1112" s="16"/>
      <c r="B1112" s="1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  <c r="Y1112" s="16"/>
      <c r="Z1112" s="16"/>
      <c r="AA1112" s="16"/>
      <c r="AB1112" s="16"/>
      <c r="AC1112" s="16"/>
      <c r="AD1112" s="16"/>
      <c r="AE1112" s="16"/>
      <c r="AF1112" s="16"/>
      <c r="AG1112" s="16"/>
    </row>
    <row r="1113" spans="1:33" ht="13">
      <c r="A1113" s="16"/>
      <c r="B1113" s="16"/>
      <c r="C1113" s="16"/>
      <c r="D1113" s="16"/>
      <c r="E1113" s="16"/>
      <c r="F1113" s="16"/>
      <c r="G1113" s="16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6"/>
      <c r="U1113" s="16"/>
      <c r="V1113" s="16"/>
      <c r="W1113" s="16"/>
      <c r="X1113" s="16"/>
      <c r="Y1113" s="16"/>
      <c r="Z1113" s="16"/>
      <c r="AA1113" s="16"/>
      <c r="AB1113" s="16"/>
      <c r="AC1113" s="16"/>
      <c r="AD1113" s="16"/>
      <c r="AE1113" s="16"/>
      <c r="AF1113" s="16"/>
      <c r="AG1113" s="16"/>
    </row>
    <row r="1114" spans="1:33" ht="13">
      <c r="A1114" s="16"/>
      <c r="B1114" s="16"/>
      <c r="C1114" s="16"/>
      <c r="D1114" s="16"/>
      <c r="E1114" s="16"/>
      <c r="F1114" s="16"/>
      <c r="G1114" s="16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6"/>
      <c r="U1114" s="16"/>
      <c r="V1114" s="16"/>
      <c r="W1114" s="16"/>
      <c r="X1114" s="16"/>
      <c r="Y1114" s="16"/>
      <c r="Z1114" s="16"/>
      <c r="AA1114" s="16"/>
      <c r="AB1114" s="16"/>
      <c r="AC1114" s="16"/>
      <c r="AD1114" s="16"/>
      <c r="AE1114" s="16"/>
      <c r="AF1114" s="16"/>
      <c r="AG1114" s="16"/>
    </row>
    <row r="1115" spans="1:33" ht="13">
      <c r="A1115" s="16"/>
      <c r="B1115" s="16"/>
      <c r="C1115" s="16"/>
      <c r="D1115" s="16"/>
      <c r="E1115" s="16"/>
      <c r="F1115" s="16"/>
      <c r="G1115" s="16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6"/>
      <c r="U1115" s="16"/>
      <c r="V1115" s="16"/>
      <c r="W1115" s="16"/>
      <c r="X1115" s="16"/>
      <c r="Y1115" s="16"/>
      <c r="Z1115" s="16"/>
      <c r="AA1115" s="16"/>
      <c r="AB1115" s="16"/>
      <c r="AC1115" s="16"/>
      <c r="AD1115" s="16"/>
      <c r="AE1115" s="16"/>
      <c r="AF1115" s="16"/>
      <c r="AG1115" s="16"/>
    </row>
    <row r="1116" spans="1:33" ht="13">
      <c r="A1116" s="16"/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6"/>
      <c r="U1116" s="16"/>
      <c r="V1116" s="16"/>
      <c r="W1116" s="16"/>
      <c r="X1116" s="16"/>
      <c r="Y1116" s="16"/>
      <c r="Z1116" s="16"/>
      <c r="AA1116" s="16"/>
      <c r="AB1116" s="16"/>
      <c r="AC1116" s="16"/>
      <c r="AD1116" s="16"/>
      <c r="AE1116" s="16"/>
      <c r="AF1116" s="16"/>
      <c r="AG1116" s="16"/>
    </row>
    <row r="1117" spans="1:33" ht="13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6"/>
      <c r="U1117" s="16"/>
      <c r="V1117" s="16"/>
      <c r="W1117" s="16"/>
      <c r="X1117" s="16"/>
      <c r="Y1117" s="16"/>
      <c r="Z1117" s="16"/>
      <c r="AA1117" s="16"/>
      <c r="AB1117" s="16"/>
      <c r="AC1117" s="16"/>
      <c r="AD1117" s="16"/>
      <c r="AE1117" s="16"/>
      <c r="AF1117" s="16"/>
      <c r="AG1117" s="16"/>
    </row>
    <row r="1118" spans="1:33" ht="13">
      <c r="A1118" s="16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6"/>
      <c r="U1118" s="16"/>
      <c r="V1118" s="16"/>
      <c r="W1118" s="16"/>
      <c r="X1118" s="16"/>
      <c r="Y1118" s="16"/>
      <c r="Z1118" s="16"/>
      <c r="AA1118" s="16"/>
      <c r="AB1118" s="16"/>
      <c r="AC1118" s="16"/>
      <c r="AD1118" s="16"/>
      <c r="AE1118" s="16"/>
      <c r="AF1118" s="16"/>
      <c r="AG1118" s="16"/>
    </row>
    <row r="1119" spans="1:33" ht="13">
      <c r="A1119" s="16"/>
      <c r="B1119" s="16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6"/>
      <c r="U1119" s="16"/>
      <c r="V1119" s="16"/>
      <c r="W1119" s="16"/>
      <c r="X1119" s="16"/>
      <c r="Y1119" s="16"/>
      <c r="Z1119" s="16"/>
      <c r="AA1119" s="16"/>
      <c r="AB1119" s="16"/>
      <c r="AC1119" s="16"/>
      <c r="AD1119" s="16"/>
      <c r="AE1119" s="16"/>
      <c r="AF1119" s="16"/>
      <c r="AG1119" s="16"/>
    </row>
    <row r="1120" spans="1:33" ht="13">
      <c r="A1120" s="16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6"/>
      <c r="U1120" s="16"/>
      <c r="V1120" s="16"/>
      <c r="W1120" s="16"/>
      <c r="X1120" s="16"/>
      <c r="Y1120" s="16"/>
      <c r="Z1120" s="16"/>
      <c r="AA1120" s="16"/>
      <c r="AB1120" s="16"/>
      <c r="AC1120" s="16"/>
      <c r="AD1120" s="16"/>
      <c r="AE1120" s="16"/>
      <c r="AF1120" s="16"/>
      <c r="AG1120" s="16"/>
    </row>
    <row r="1121" spans="1:33" ht="13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6"/>
      <c r="U1121" s="16"/>
      <c r="V1121" s="16"/>
      <c r="W1121" s="16"/>
      <c r="X1121" s="16"/>
      <c r="Y1121" s="16"/>
      <c r="Z1121" s="16"/>
      <c r="AA1121" s="16"/>
      <c r="AB1121" s="16"/>
      <c r="AC1121" s="16"/>
      <c r="AD1121" s="16"/>
      <c r="AE1121" s="16"/>
      <c r="AF1121" s="16"/>
      <c r="AG1121" s="16"/>
    </row>
    <row r="1122" spans="1:33" ht="13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  <c r="Y1122" s="16"/>
      <c r="Z1122" s="16"/>
      <c r="AA1122" s="16"/>
      <c r="AB1122" s="16"/>
      <c r="AC1122" s="16"/>
      <c r="AD1122" s="16"/>
      <c r="AE1122" s="16"/>
      <c r="AF1122" s="16"/>
      <c r="AG1122" s="16"/>
    </row>
    <row r="1123" spans="1:33" ht="13">
      <c r="A1123" s="16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6"/>
      <c r="U1123" s="16"/>
      <c r="V1123" s="16"/>
      <c r="W1123" s="16"/>
      <c r="X1123" s="16"/>
      <c r="Y1123" s="16"/>
      <c r="Z1123" s="16"/>
      <c r="AA1123" s="16"/>
      <c r="AB1123" s="16"/>
      <c r="AC1123" s="16"/>
      <c r="AD1123" s="16"/>
      <c r="AE1123" s="16"/>
      <c r="AF1123" s="16"/>
      <c r="AG1123" s="16"/>
    </row>
    <row r="1124" spans="1:33" ht="13">
      <c r="A1124" s="16"/>
      <c r="B1124" s="16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6"/>
      <c r="U1124" s="16"/>
      <c r="V1124" s="16"/>
      <c r="W1124" s="16"/>
      <c r="X1124" s="16"/>
      <c r="Y1124" s="16"/>
      <c r="Z1124" s="16"/>
      <c r="AA1124" s="16"/>
      <c r="AB1124" s="16"/>
      <c r="AC1124" s="16"/>
      <c r="AD1124" s="16"/>
      <c r="AE1124" s="16"/>
      <c r="AF1124" s="16"/>
      <c r="AG1124" s="16"/>
    </row>
    <row r="1125" spans="1:33" ht="13">
      <c r="A1125" s="16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6"/>
      <c r="U1125" s="16"/>
      <c r="V1125" s="16"/>
      <c r="W1125" s="16"/>
      <c r="X1125" s="16"/>
      <c r="Y1125" s="16"/>
      <c r="Z1125" s="16"/>
      <c r="AA1125" s="16"/>
      <c r="AB1125" s="16"/>
      <c r="AC1125" s="16"/>
      <c r="AD1125" s="16"/>
      <c r="AE1125" s="16"/>
      <c r="AF1125" s="16"/>
      <c r="AG1125" s="16"/>
    </row>
    <row r="1126" spans="1:33" ht="13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  <c r="Y1126" s="16"/>
      <c r="Z1126" s="16"/>
      <c r="AA1126" s="16"/>
      <c r="AB1126" s="16"/>
      <c r="AC1126" s="16"/>
      <c r="AD1126" s="16"/>
      <c r="AE1126" s="16"/>
      <c r="AF1126" s="16"/>
      <c r="AG1126" s="16"/>
    </row>
    <row r="1127" spans="1:33" ht="13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6"/>
      <c r="U1127" s="16"/>
      <c r="V1127" s="16"/>
      <c r="W1127" s="16"/>
      <c r="X1127" s="16"/>
      <c r="Y1127" s="16"/>
      <c r="Z1127" s="16"/>
      <c r="AA1127" s="16"/>
      <c r="AB1127" s="16"/>
      <c r="AC1127" s="16"/>
      <c r="AD1127" s="16"/>
      <c r="AE1127" s="16"/>
      <c r="AF1127" s="16"/>
      <c r="AG1127" s="16"/>
    </row>
    <row r="1128" spans="1:33" ht="13">
      <c r="A1128" s="16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  <c r="Y1128" s="16"/>
      <c r="Z1128" s="16"/>
      <c r="AA1128" s="16"/>
      <c r="AB1128" s="16"/>
      <c r="AC1128" s="16"/>
      <c r="AD1128" s="16"/>
      <c r="AE1128" s="16"/>
      <c r="AF1128" s="16"/>
      <c r="AG1128" s="16"/>
    </row>
    <row r="1129" spans="1:33" ht="13">
      <c r="A1129" s="16"/>
      <c r="B1129" s="16"/>
      <c r="C1129" s="16"/>
      <c r="D1129" s="16"/>
      <c r="E1129" s="16"/>
      <c r="F1129" s="16"/>
      <c r="G1129" s="16"/>
      <c r="H1129" s="16"/>
      <c r="I1129" s="16"/>
      <c r="J1129" s="16"/>
      <c r="K1129" s="16"/>
      <c r="L1129" s="16"/>
      <c r="M1129" s="16"/>
      <c r="N1129" s="16"/>
      <c r="O1129" s="16"/>
      <c r="P1129" s="16"/>
      <c r="Q1129" s="16"/>
      <c r="R1129" s="16"/>
      <c r="S1129" s="16"/>
      <c r="T1129" s="16"/>
      <c r="U1129" s="16"/>
      <c r="V1129" s="16"/>
      <c r="W1129" s="16"/>
      <c r="X1129" s="16"/>
      <c r="Y1129" s="16"/>
      <c r="Z1129" s="16"/>
      <c r="AA1129" s="16"/>
      <c r="AB1129" s="16"/>
      <c r="AC1129" s="16"/>
      <c r="AD1129" s="16"/>
      <c r="AE1129" s="16"/>
      <c r="AF1129" s="16"/>
      <c r="AG1129" s="16"/>
    </row>
    <row r="1130" spans="1:33" ht="13">
      <c r="A1130" s="16"/>
      <c r="B1130" s="16"/>
      <c r="C1130" s="16"/>
      <c r="D1130" s="16"/>
      <c r="E1130" s="16"/>
      <c r="F1130" s="16"/>
      <c r="G1130" s="16"/>
      <c r="H1130" s="16"/>
      <c r="I1130" s="16"/>
      <c r="J1130" s="16"/>
      <c r="K1130" s="16"/>
      <c r="L1130" s="16"/>
      <c r="M1130" s="16"/>
      <c r="N1130" s="16"/>
      <c r="O1130" s="16"/>
      <c r="P1130" s="16"/>
      <c r="Q1130" s="16"/>
      <c r="R1130" s="16"/>
      <c r="S1130" s="16"/>
      <c r="T1130" s="16"/>
      <c r="U1130" s="16"/>
      <c r="V1130" s="16"/>
      <c r="W1130" s="16"/>
      <c r="X1130" s="16"/>
      <c r="Y1130" s="16"/>
      <c r="Z1130" s="16"/>
      <c r="AA1130" s="16"/>
      <c r="AB1130" s="16"/>
      <c r="AC1130" s="16"/>
      <c r="AD1130" s="16"/>
      <c r="AE1130" s="16"/>
      <c r="AF1130" s="16"/>
      <c r="AG1130" s="16"/>
    </row>
    <row r="1131" spans="1:33" ht="13">
      <c r="A1131" s="16"/>
      <c r="B1131" s="16"/>
      <c r="C1131" s="16"/>
      <c r="D1131" s="16"/>
      <c r="E1131" s="16"/>
      <c r="F1131" s="16"/>
      <c r="G1131" s="16"/>
      <c r="H1131" s="16"/>
      <c r="I1131" s="16"/>
      <c r="J1131" s="16"/>
      <c r="K1131" s="16"/>
      <c r="L1131" s="16"/>
      <c r="M1131" s="16"/>
      <c r="N1131" s="16"/>
      <c r="O1131" s="16"/>
      <c r="P1131" s="16"/>
      <c r="Q1131" s="16"/>
      <c r="R1131" s="16"/>
      <c r="S1131" s="16"/>
      <c r="T1131" s="16"/>
      <c r="U1131" s="16"/>
      <c r="V1131" s="16"/>
      <c r="W1131" s="16"/>
      <c r="X1131" s="16"/>
      <c r="Y1131" s="16"/>
      <c r="Z1131" s="16"/>
      <c r="AA1131" s="16"/>
      <c r="AB1131" s="16"/>
      <c r="AC1131" s="16"/>
      <c r="AD1131" s="16"/>
      <c r="AE1131" s="16"/>
      <c r="AF1131" s="16"/>
      <c r="AG1131" s="16"/>
    </row>
    <row r="1132" spans="1:33" ht="13">
      <c r="A1132" s="16"/>
      <c r="B1132" s="16"/>
      <c r="C1132" s="16"/>
      <c r="D1132" s="16"/>
      <c r="E1132" s="16"/>
      <c r="F1132" s="16"/>
      <c r="G1132" s="16"/>
      <c r="H1132" s="16"/>
      <c r="I1132" s="16"/>
      <c r="J1132" s="16"/>
      <c r="K1132" s="16"/>
      <c r="L1132" s="16"/>
      <c r="M1132" s="16"/>
      <c r="N1132" s="16"/>
      <c r="O1132" s="16"/>
      <c r="P1132" s="16"/>
      <c r="Q1132" s="16"/>
      <c r="R1132" s="16"/>
      <c r="S1132" s="16"/>
      <c r="T1132" s="16"/>
      <c r="U1132" s="16"/>
      <c r="V1132" s="16"/>
      <c r="W1132" s="16"/>
      <c r="X1132" s="16"/>
      <c r="Y1132" s="16"/>
      <c r="Z1132" s="16"/>
      <c r="AA1132" s="16"/>
      <c r="AB1132" s="16"/>
      <c r="AC1132" s="16"/>
      <c r="AD1132" s="16"/>
      <c r="AE1132" s="16"/>
      <c r="AF1132" s="16"/>
      <c r="AG1132" s="16"/>
    </row>
    <row r="1133" spans="1:33" ht="13">
      <c r="A1133" s="16"/>
      <c r="B1133" s="16"/>
      <c r="C1133" s="16"/>
      <c r="D1133" s="16"/>
      <c r="E1133" s="16"/>
      <c r="F1133" s="16"/>
      <c r="G1133" s="16"/>
      <c r="H1133" s="16"/>
      <c r="I1133" s="16"/>
      <c r="J1133" s="16"/>
      <c r="K1133" s="16"/>
      <c r="L1133" s="16"/>
      <c r="M1133" s="16"/>
      <c r="N1133" s="16"/>
      <c r="O1133" s="16"/>
      <c r="P1133" s="16"/>
      <c r="Q1133" s="16"/>
      <c r="R1133" s="16"/>
      <c r="S1133" s="16"/>
      <c r="T1133" s="16"/>
      <c r="U1133" s="16"/>
      <c r="V1133" s="16"/>
      <c r="W1133" s="16"/>
      <c r="X1133" s="16"/>
      <c r="Y1133" s="16"/>
      <c r="Z1133" s="16"/>
      <c r="AA1133" s="16"/>
      <c r="AB1133" s="16"/>
      <c r="AC1133" s="16"/>
      <c r="AD1133" s="16"/>
      <c r="AE1133" s="16"/>
      <c r="AF1133" s="16"/>
      <c r="AG1133" s="16"/>
    </row>
    <row r="1134" spans="1:33" ht="13">
      <c r="A1134" s="16"/>
      <c r="B1134" s="16"/>
      <c r="C1134" s="16"/>
      <c r="D1134" s="16"/>
      <c r="E1134" s="16"/>
      <c r="F1134" s="16"/>
      <c r="G1134" s="16"/>
      <c r="H1134" s="16"/>
      <c r="I1134" s="16"/>
      <c r="J1134" s="16"/>
      <c r="K1134" s="16"/>
      <c r="L1134" s="16"/>
      <c r="M1134" s="16"/>
      <c r="N1134" s="16"/>
      <c r="O1134" s="16"/>
      <c r="P1134" s="16"/>
      <c r="Q1134" s="16"/>
      <c r="R1134" s="16"/>
      <c r="S1134" s="16"/>
      <c r="T1134" s="16"/>
      <c r="U1134" s="16"/>
      <c r="V1134" s="16"/>
      <c r="W1134" s="16"/>
      <c r="X1134" s="16"/>
      <c r="Y1134" s="16"/>
      <c r="Z1134" s="16"/>
      <c r="AA1134" s="16"/>
      <c r="AB1134" s="16"/>
      <c r="AC1134" s="16"/>
      <c r="AD1134" s="16"/>
      <c r="AE1134" s="16"/>
      <c r="AF1134" s="16"/>
      <c r="AG1134" s="16"/>
    </row>
    <row r="1135" spans="1:33" ht="13">
      <c r="A1135" s="16"/>
      <c r="B1135" s="16"/>
      <c r="C1135" s="16"/>
      <c r="D1135" s="16"/>
      <c r="E1135" s="16"/>
      <c r="F1135" s="16"/>
      <c r="G1135" s="16"/>
      <c r="H1135" s="16"/>
      <c r="I1135" s="16"/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  <c r="Y1135" s="16"/>
      <c r="Z1135" s="16"/>
      <c r="AA1135" s="16"/>
      <c r="AB1135" s="16"/>
      <c r="AC1135" s="16"/>
      <c r="AD1135" s="16"/>
      <c r="AE1135" s="16"/>
      <c r="AF1135" s="16"/>
      <c r="AG1135" s="16"/>
    </row>
    <row r="1136" spans="1:33" ht="13">
      <c r="A1136" s="16"/>
      <c r="B1136" s="16"/>
      <c r="C1136" s="16"/>
      <c r="D1136" s="16"/>
      <c r="E1136" s="16"/>
      <c r="F1136" s="16"/>
      <c r="G1136" s="16"/>
      <c r="H1136" s="16"/>
      <c r="I1136" s="16"/>
      <c r="J1136" s="16"/>
      <c r="K1136" s="16"/>
      <c r="L1136" s="16"/>
      <c r="M1136" s="16"/>
      <c r="N1136" s="16"/>
      <c r="O1136" s="16"/>
      <c r="P1136" s="16"/>
      <c r="Q1136" s="16"/>
      <c r="R1136" s="16"/>
      <c r="S1136" s="16"/>
      <c r="T1136" s="16"/>
      <c r="U1136" s="16"/>
      <c r="V1136" s="16"/>
      <c r="W1136" s="16"/>
      <c r="X1136" s="16"/>
      <c r="Y1136" s="16"/>
      <c r="Z1136" s="16"/>
      <c r="AA1136" s="16"/>
      <c r="AB1136" s="16"/>
      <c r="AC1136" s="16"/>
      <c r="AD1136" s="16"/>
      <c r="AE1136" s="16"/>
      <c r="AF1136" s="16"/>
      <c r="AG1136" s="16"/>
    </row>
    <row r="1137" spans="1:33" ht="13">
      <c r="A1137" s="16"/>
      <c r="B1137" s="16"/>
      <c r="C1137" s="16"/>
      <c r="D1137" s="16"/>
      <c r="E1137" s="16"/>
      <c r="F1137" s="16"/>
      <c r="G1137" s="16"/>
      <c r="H1137" s="16"/>
      <c r="I1137" s="16"/>
      <c r="J1137" s="16"/>
      <c r="K1137" s="16"/>
      <c r="L1137" s="16"/>
      <c r="M1137" s="16"/>
      <c r="N1137" s="16"/>
      <c r="O1137" s="16"/>
      <c r="P1137" s="16"/>
      <c r="Q1137" s="16"/>
      <c r="R1137" s="16"/>
      <c r="S1137" s="16"/>
      <c r="T1137" s="16"/>
      <c r="U1137" s="16"/>
      <c r="V1137" s="16"/>
      <c r="W1137" s="16"/>
      <c r="X1137" s="16"/>
      <c r="Y1137" s="16"/>
      <c r="Z1137" s="16"/>
      <c r="AA1137" s="16"/>
      <c r="AB1137" s="16"/>
      <c r="AC1137" s="16"/>
      <c r="AD1137" s="16"/>
      <c r="AE1137" s="16"/>
      <c r="AF1137" s="16"/>
      <c r="AG1137" s="16"/>
    </row>
    <row r="1138" spans="1:33" ht="13">
      <c r="A1138" s="16"/>
      <c r="B1138" s="16"/>
      <c r="C1138" s="16"/>
      <c r="D1138" s="16"/>
      <c r="E1138" s="16"/>
      <c r="F1138" s="16"/>
      <c r="G1138" s="16"/>
      <c r="H1138" s="16"/>
      <c r="I1138" s="16"/>
      <c r="J1138" s="16"/>
      <c r="K1138" s="16"/>
      <c r="L1138" s="16"/>
      <c r="M1138" s="16"/>
      <c r="N1138" s="16"/>
      <c r="O1138" s="16"/>
      <c r="P1138" s="16"/>
      <c r="Q1138" s="16"/>
      <c r="R1138" s="16"/>
      <c r="S1138" s="16"/>
      <c r="T1138" s="16"/>
      <c r="U1138" s="16"/>
      <c r="V1138" s="16"/>
      <c r="W1138" s="16"/>
      <c r="X1138" s="16"/>
      <c r="Y1138" s="16"/>
      <c r="Z1138" s="16"/>
      <c r="AA1138" s="16"/>
      <c r="AB1138" s="16"/>
      <c r="AC1138" s="16"/>
      <c r="AD1138" s="16"/>
      <c r="AE1138" s="16"/>
      <c r="AF1138" s="16"/>
      <c r="AG1138" s="16"/>
    </row>
    <row r="1139" spans="1:33" ht="13">
      <c r="A1139" s="16"/>
      <c r="B1139" s="16"/>
      <c r="C1139" s="16"/>
      <c r="D1139" s="16"/>
      <c r="E1139" s="16"/>
      <c r="F1139" s="16"/>
      <c r="G1139" s="16"/>
      <c r="H1139" s="16"/>
      <c r="I1139" s="16"/>
      <c r="J1139" s="16"/>
      <c r="K1139" s="16"/>
      <c r="L1139" s="16"/>
      <c r="M1139" s="16"/>
      <c r="N1139" s="16"/>
      <c r="O1139" s="16"/>
      <c r="P1139" s="16"/>
      <c r="Q1139" s="16"/>
      <c r="R1139" s="16"/>
      <c r="S1139" s="16"/>
      <c r="T1139" s="16"/>
      <c r="U1139" s="16"/>
      <c r="V1139" s="16"/>
      <c r="W1139" s="16"/>
      <c r="X1139" s="16"/>
      <c r="Y1139" s="16"/>
      <c r="Z1139" s="16"/>
      <c r="AA1139" s="16"/>
      <c r="AB1139" s="16"/>
      <c r="AC1139" s="16"/>
      <c r="AD1139" s="16"/>
      <c r="AE1139" s="16"/>
      <c r="AF1139" s="16"/>
      <c r="AG1139" s="16"/>
    </row>
    <row r="1140" spans="1:33" ht="13">
      <c r="A1140" s="16"/>
      <c r="B1140" s="16"/>
      <c r="C1140" s="16"/>
      <c r="D1140" s="16"/>
      <c r="E1140" s="16"/>
      <c r="F1140" s="16"/>
      <c r="G1140" s="16"/>
      <c r="H1140" s="16"/>
      <c r="I1140" s="16"/>
      <c r="J1140" s="16"/>
      <c r="K1140" s="16"/>
      <c r="L1140" s="16"/>
      <c r="M1140" s="16"/>
      <c r="N1140" s="16"/>
      <c r="O1140" s="16"/>
      <c r="P1140" s="16"/>
      <c r="Q1140" s="16"/>
      <c r="R1140" s="16"/>
      <c r="S1140" s="16"/>
      <c r="T1140" s="16"/>
      <c r="U1140" s="16"/>
      <c r="V1140" s="16"/>
      <c r="W1140" s="16"/>
      <c r="X1140" s="16"/>
      <c r="Y1140" s="16"/>
      <c r="Z1140" s="16"/>
      <c r="AA1140" s="16"/>
      <c r="AB1140" s="16"/>
      <c r="AC1140" s="16"/>
      <c r="AD1140" s="16"/>
      <c r="AE1140" s="16"/>
      <c r="AF1140" s="16"/>
      <c r="AG1140" s="16"/>
    </row>
    <row r="1141" spans="1:33" ht="13">
      <c r="A1141" s="16"/>
      <c r="B1141" s="16"/>
      <c r="C1141" s="16"/>
      <c r="D1141" s="16"/>
      <c r="E1141" s="16"/>
      <c r="F1141" s="16"/>
      <c r="G1141" s="16"/>
      <c r="H1141" s="16"/>
      <c r="I1141" s="16"/>
      <c r="J1141" s="16"/>
      <c r="K1141" s="16"/>
      <c r="L1141" s="16"/>
      <c r="M1141" s="16"/>
      <c r="N1141" s="16"/>
      <c r="O1141" s="16"/>
      <c r="P1141" s="16"/>
      <c r="Q1141" s="16"/>
      <c r="R1141" s="16"/>
      <c r="S1141" s="16"/>
      <c r="T1141" s="16"/>
      <c r="U1141" s="16"/>
      <c r="V1141" s="16"/>
      <c r="W1141" s="16"/>
      <c r="X1141" s="16"/>
      <c r="Y1141" s="16"/>
      <c r="Z1141" s="16"/>
      <c r="AA1141" s="16"/>
      <c r="AB1141" s="16"/>
      <c r="AC1141" s="16"/>
      <c r="AD1141" s="16"/>
      <c r="AE1141" s="16"/>
      <c r="AF1141" s="16"/>
      <c r="AG1141" s="16"/>
    </row>
    <row r="1142" spans="1:33" ht="13">
      <c r="A1142" s="16"/>
      <c r="B1142" s="16"/>
      <c r="C1142" s="16"/>
      <c r="D1142" s="16"/>
      <c r="E1142" s="16"/>
      <c r="F1142" s="16"/>
      <c r="G1142" s="16"/>
      <c r="H1142" s="16"/>
      <c r="I1142" s="16"/>
      <c r="J1142" s="16"/>
      <c r="K1142" s="16"/>
      <c r="L1142" s="16"/>
      <c r="M1142" s="16"/>
      <c r="N1142" s="16"/>
      <c r="O1142" s="16"/>
      <c r="P1142" s="16"/>
      <c r="Q1142" s="16"/>
      <c r="R1142" s="16"/>
      <c r="S1142" s="16"/>
      <c r="T1142" s="16"/>
      <c r="U1142" s="16"/>
      <c r="V1142" s="16"/>
      <c r="W1142" s="16"/>
      <c r="X1142" s="16"/>
      <c r="Y1142" s="16"/>
      <c r="Z1142" s="16"/>
      <c r="AA1142" s="16"/>
      <c r="AB1142" s="16"/>
      <c r="AC1142" s="16"/>
      <c r="AD1142" s="16"/>
      <c r="AE1142" s="16"/>
      <c r="AF1142" s="16"/>
      <c r="AG1142" s="16"/>
    </row>
    <row r="1143" spans="1:33" ht="13">
      <c r="A1143" s="16"/>
      <c r="B1143" s="16"/>
      <c r="C1143" s="16"/>
      <c r="D1143" s="16"/>
      <c r="E1143" s="16"/>
      <c r="F1143" s="16"/>
      <c r="G1143" s="16"/>
      <c r="H1143" s="16"/>
      <c r="I1143" s="16"/>
      <c r="J1143" s="16"/>
      <c r="K1143" s="16"/>
      <c r="L1143" s="16"/>
      <c r="M1143" s="16"/>
      <c r="W1143" s="16"/>
      <c r="X1143" s="16"/>
      <c r="Y1143" s="16"/>
      <c r="Z1143" s="16"/>
      <c r="AA1143" s="16"/>
      <c r="AB1143" s="16"/>
      <c r="AC1143" s="16"/>
      <c r="AD1143" s="16"/>
      <c r="AE1143" s="16"/>
      <c r="AF1143" s="16"/>
      <c r="AG1143" s="16"/>
    </row>
    <row r="1144" spans="1:33" ht="13">
      <c r="A1144" s="16"/>
      <c r="B1144" s="16"/>
      <c r="C1144" s="16"/>
      <c r="D1144" s="16"/>
      <c r="E1144" s="16"/>
      <c r="F1144" s="16"/>
      <c r="G1144" s="16"/>
      <c r="H1144" s="16"/>
      <c r="I1144" s="16"/>
      <c r="J1144" s="16"/>
      <c r="K1144" s="16"/>
      <c r="L1144" s="16"/>
      <c r="M1144" s="16"/>
      <c r="W1144" s="16"/>
      <c r="X1144" s="16"/>
      <c r="Y1144" s="16"/>
      <c r="Z1144" s="16"/>
      <c r="AA1144" s="16"/>
      <c r="AB1144" s="16"/>
      <c r="AC1144" s="16"/>
      <c r="AD1144" s="16"/>
      <c r="AE1144" s="16"/>
      <c r="AF1144" s="16"/>
      <c r="AG1144" s="16"/>
    </row>
    <row r="1145" spans="1:33" ht="13">
      <c r="A1145" s="16"/>
      <c r="B1145" s="1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W1145" s="16"/>
      <c r="X1145" s="16"/>
      <c r="Y1145" s="16"/>
      <c r="Z1145" s="16"/>
      <c r="AA1145" s="16"/>
      <c r="AB1145" s="16"/>
      <c r="AC1145" s="16"/>
      <c r="AD1145" s="16"/>
      <c r="AE1145" s="16"/>
      <c r="AF1145" s="16"/>
      <c r="AG1145" s="16"/>
    </row>
    <row r="1146" spans="1:33" ht="13">
      <c r="A1146" s="16"/>
      <c r="B1146" s="16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W1146" s="16"/>
      <c r="X1146" s="16"/>
      <c r="Y1146" s="16"/>
      <c r="Z1146" s="16"/>
      <c r="AA1146" s="16"/>
      <c r="AB1146" s="16"/>
      <c r="AC1146" s="16"/>
      <c r="AD1146" s="16"/>
      <c r="AE1146" s="16"/>
      <c r="AF1146" s="16"/>
      <c r="AG1146" s="16"/>
    </row>
    <row r="1147" spans="1:33" ht="13">
      <c r="A1147" s="16"/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W1147" s="16"/>
      <c r="X1147" s="16"/>
      <c r="Y1147" s="16"/>
      <c r="Z1147" s="16"/>
      <c r="AA1147" s="16"/>
      <c r="AB1147" s="16"/>
      <c r="AC1147" s="16"/>
      <c r="AD1147" s="16"/>
      <c r="AE1147" s="16"/>
      <c r="AF1147" s="16"/>
      <c r="AG1147" s="16"/>
    </row>
    <row r="1148" spans="1:33" ht="13">
      <c r="A1148" s="16"/>
      <c r="B1148" s="16"/>
      <c r="C1148" s="16"/>
      <c r="D1148" s="16"/>
      <c r="E1148" s="16"/>
      <c r="F1148" s="16"/>
      <c r="G1148" s="16"/>
      <c r="H1148" s="16"/>
      <c r="I1148" s="16"/>
      <c r="J1148" s="16"/>
      <c r="K1148" s="16"/>
      <c r="L1148" s="16"/>
      <c r="M1148" s="16"/>
      <c r="W1148" s="16"/>
      <c r="X1148" s="16"/>
      <c r="Y1148" s="16"/>
      <c r="Z1148" s="16"/>
      <c r="AA1148" s="16"/>
      <c r="AB1148" s="16"/>
      <c r="AC1148" s="16"/>
      <c r="AD1148" s="16"/>
      <c r="AE1148" s="16"/>
      <c r="AF1148" s="16"/>
      <c r="AG1148" s="16"/>
    </row>
    <row r="1149" spans="1:33" ht="13">
      <c r="A1149" s="16"/>
      <c r="B1149" s="16"/>
      <c r="C1149" s="16"/>
      <c r="D1149" s="16"/>
      <c r="E1149" s="16"/>
      <c r="F1149" s="16"/>
      <c r="G1149" s="16"/>
      <c r="H1149" s="16"/>
      <c r="I1149" s="16"/>
      <c r="J1149" s="16"/>
      <c r="K1149" s="16"/>
      <c r="L1149" s="16"/>
      <c r="M1149" s="16"/>
      <c r="W1149" s="16"/>
      <c r="X1149" s="16"/>
      <c r="Y1149" s="16"/>
      <c r="Z1149" s="16"/>
      <c r="AA1149" s="16"/>
      <c r="AB1149" s="16"/>
      <c r="AC1149" s="16"/>
      <c r="AD1149" s="16"/>
      <c r="AE1149" s="16"/>
      <c r="AF1149" s="16"/>
      <c r="AG1149" s="16"/>
    </row>
    <row r="1150" spans="1:33" ht="13">
      <c r="A1150" s="16"/>
      <c r="B1150" s="16"/>
      <c r="C1150" s="16"/>
      <c r="D1150" s="16"/>
      <c r="E1150" s="16"/>
      <c r="F1150" s="16"/>
      <c r="G1150" s="16"/>
      <c r="H1150" s="16"/>
      <c r="I1150" s="16"/>
      <c r="J1150" s="16"/>
      <c r="K1150" s="16"/>
      <c r="L1150" s="16"/>
      <c r="M1150" s="16"/>
      <c r="W1150" s="16"/>
      <c r="X1150" s="16"/>
      <c r="Y1150" s="16"/>
      <c r="Z1150" s="16"/>
      <c r="AA1150" s="16"/>
      <c r="AB1150" s="16"/>
      <c r="AC1150" s="16"/>
      <c r="AD1150" s="16"/>
      <c r="AE1150" s="16"/>
      <c r="AF1150" s="16"/>
      <c r="AG1150" s="16"/>
    </row>
    <row r="1151" spans="1:33" ht="13">
      <c r="A1151" s="16"/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W1151" s="16"/>
      <c r="X1151" s="16"/>
      <c r="Y1151" s="16"/>
      <c r="Z1151" s="16"/>
      <c r="AA1151" s="16"/>
      <c r="AB1151" s="16"/>
      <c r="AC1151" s="16"/>
      <c r="AD1151" s="16"/>
      <c r="AE1151" s="16"/>
      <c r="AF1151" s="16"/>
      <c r="AG1151" s="16"/>
    </row>
    <row r="1152" spans="1:33" ht="13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W1152" s="16"/>
      <c r="X1152" s="16"/>
      <c r="Y1152" s="16"/>
      <c r="Z1152" s="16"/>
      <c r="AA1152" s="16"/>
      <c r="AB1152" s="16"/>
      <c r="AC1152" s="16"/>
      <c r="AD1152" s="16"/>
      <c r="AE1152" s="16"/>
      <c r="AF1152" s="16"/>
      <c r="AG1152" s="16"/>
    </row>
    <row r="1153" spans="1:33" ht="13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W1153" s="16"/>
      <c r="X1153" s="16"/>
      <c r="Y1153" s="16"/>
      <c r="Z1153" s="16"/>
      <c r="AA1153" s="16"/>
      <c r="AB1153" s="16"/>
      <c r="AC1153" s="16"/>
      <c r="AD1153" s="16"/>
      <c r="AE1153" s="16"/>
      <c r="AF1153" s="16"/>
      <c r="AG1153" s="16"/>
    </row>
    <row r="1154" spans="1:33" ht="13">
      <c r="A1154" s="16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W1154" s="16"/>
      <c r="X1154" s="16"/>
      <c r="Y1154" s="16"/>
      <c r="Z1154" s="16"/>
      <c r="AA1154" s="16"/>
      <c r="AB1154" s="16"/>
      <c r="AC1154" s="16"/>
      <c r="AD1154" s="16"/>
      <c r="AE1154" s="16"/>
      <c r="AF1154" s="16"/>
      <c r="AG1154" s="16"/>
    </row>
    <row r="1155" spans="1:33" ht="13">
      <c r="A1155" s="16"/>
      <c r="B1155" s="16"/>
      <c r="C1155" s="16"/>
      <c r="D1155" s="16"/>
      <c r="E1155" s="16"/>
      <c r="F1155" s="16"/>
      <c r="G1155" s="16"/>
      <c r="H1155" s="16"/>
      <c r="I1155" s="16"/>
      <c r="J1155" s="16"/>
      <c r="K1155" s="16"/>
      <c r="L1155" s="16"/>
      <c r="M1155" s="16"/>
      <c r="W1155" s="16"/>
      <c r="X1155" s="16"/>
      <c r="Y1155" s="16"/>
      <c r="Z1155" s="16"/>
      <c r="AA1155" s="16"/>
      <c r="AB1155" s="16"/>
      <c r="AC1155" s="16"/>
      <c r="AD1155" s="16"/>
      <c r="AE1155" s="16"/>
      <c r="AF1155" s="16"/>
      <c r="AG1155" s="16"/>
    </row>
    <row r="1156" spans="1:33" ht="13">
      <c r="A1156" s="16"/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W1156" s="16"/>
      <c r="X1156" s="16"/>
      <c r="Y1156" s="16"/>
      <c r="Z1156" s="16"/>
      <c r="AA1156" s="16"/>
      <c r="AB1156" s="16"/>
      <c r="AC1156" s="16"/>
      <c r="AD1156" s="16"/>
      <c r="AE1156" s="16"/>
      <c r="AF1156" s="16"/>
      <c r="AG1156" s="16"/>
    </row>
    <row r="1157" spans="1:33" ht="13">
      <c r="A1157" s="16"/>
      <c r="B1157" s="16"/>
      <c r="C1157" s="16"/>
      <c r="D1157" s="16"/>
      <c r="E1157" s="16"/>
      <c r="F1157" s="16"/>
      <c r="G1157" s="16"/>
      <c r="H1157" s="16"/>
      <c r="I1157" s="16"/>
      <c r="J1157" s="16"/>
      <c r="K1157" s="16"/>
      <c r="L1157" s="16"/>
      <c r="M1157" s="16"/>
      <c r="W1157" s="16"/>
      <c r="X1157" s="16"/>
      <c r="Y1157" s="16"/>
      <c r="Z1157" s="16"/>
      <c r="AA1157" s="16"/>
      <c r="AB1157" s="16"/>
      <c r="AC1157" s="16"/>
      <c r="AD1157" s="16"/>
      <c r="AE1157" s="16"/>
      <c r="AF1157" s="16"/>
      <c r="AG1157" s="16"/>
    </row>
    <row r="1158" spans="1:33" ht="13">
      <c r="L1158" s="16"/>
      <c r="M1158" s="16"/>
      <c r="W1158" s="16"/>
      <c r="X1158" s="16"/>
      <c r="Y1158" s="16"/>
      <c r="Z1158" s="16"/>
      <c r="AA1158" s="16"/>
      <c r="AB1158" s="16"/>
      <c r="AC1158" s="16"/>
      <c r="AD1158" s="16"/>
      <c r="AE1158" s="16"/>
      <c r="AF1158" s="16"/>
      <c r="AG1158" s="16"/>
    </row>
    <row r="1159" spans="1:33" ht="13">
      <c r="L1159" s="16"/>
      <c r="M1159" s="16"/>
      <c r="W1159" s="16"/>
      <c r="X1159" s="16"/>
      <c r="Y1159" s="16"/>
      <c r="Z1159" s="16"/>
      <c r="AA1159" s="16"/>
      <c r="AB1159" s="16"/>
      <c r="AC1159" s="16"/>
      <c r="AD1159" s="16"/>
      <c r="AE1159" s="16"/>
      <c r="AF1159" s="16"/>
      <c r="AG1159" s="16"/>
    </row>
    <row r="1160" spans="1:33" ht="13">
      <c r="L1160" s="16"/>
      <c r="M1160" s="16"/>
      <c r="W1160" s="16"/>
      <c r="X1160" s="16"/>
      <c r="Y1160" s="16"/>
      <c r="Z1160" s="16"/>
      <c r="AA1160" s="16"/>
      <c r="AB1160" s="16"/>
      <c r="AC1160" s="16"/>
      <c r="AD1160" s="16"/>
      <c r="AE1160" s="16"/>
      <c r="AF1160" s="16"/>
      <c r="AG1160" s="16"/>
    </row>
    <row r="1161" spans="1:33" ht="13">
      <c r="L1161" s="16"/>
      <c r="M1161" s="16"/>
      <c r="W1161" s="16"/>
      <c r="X1161" s="16"/>
      <c r="Y1161" s="16"/>
      <c r="Z1161" s="16"/>
      <c r="AA1161" s="16"/>
      <c r="AB1161" s="16"/>
      <c r="AC1161" s="16"/>
      <c r="AD1161" s="16"/>
      <c r="AE1161" s="16"/>
      <c r="AF1161" s="16"/>
      <c r="AG1161" s="16"/>
    </row>
    <row r="1162" spans="1:33" ht="13">
      <c r="L1162" s="16"/>
      <c r="M1162" s="16"/>
      <c r="W1162" s="16"/>
      <c r="X1162" s="16"/>
      <c r="Y1162" s="16"/>
      <c r="Z1162" s="16"/>
      <c r="AA1162" s="16"/>
      <c r="AB1162" s="16"/>
      <c r="AC1162" s="16"/>
      <c r="AD1162" s="16"/>
      <c r="AE1162" s="16"/>
      <c r="AF1162" s="16"/>
      <c r="AG1162" s="16"/>
    </row>
    <row r="1163" spans="1:33" ht="13">
      <c r="L1163" s="16"/>
      <c r="M1163" s="16"/>
      <c r="W1163" s="16"/>
      <c r="X1163" s="16"/>
      <c r="Y1163" s="16"/>
      <c r="Z1163" s="16"/>
      <c r="AA1163" s="16"/>
      <c r="AB1163" s="16"/>
      <c r="AC1163" s="16"/>
      <c r="AD1163" s="16"/>
      <c r="AE1163" s="16"/>
      <c r="AF1163" s="16"/>
      <c r="AG1163" s="16"/>
    </row>
    <row r="1164" spans="1:33" ht="13">
      <c r="L1164" s="16"/>
      <c r="M1164" s="16"/>
      <c r="W1164" s="16"/>
      <c r="X1164" s="16"/>
      <c r="Y1164" s="16"/>
      <c r="AA1164" s="16"/>
      <c r="AB1164" s="16"/>
      <c r="AC1164" s="16"/>
      <c r="AD1164" s="16"/>
      <c r="AE1164" s="16"/>
      <c r="AF1164" s="16"/>
      <c r="AG1164" s="16"/>
    </row>
    <row r="1165" spans="1:33" ht="13">
      <c r="L1165" s="16"/>
      <c r="M1165" s="16"/>
      <c r="W1165" s="16"/>
      <c r="X1165" s="16"/>
      <c r="AA1165" s="16"/>
      <c r="AB1165" s="16"/>
      <c r="AC1165" s="16"/>
      <c r="AD1165" s="16"/>
      <c r="AE1165" s="16"/>
      <c r="AF1165" s="16"/>
      <c r="AG1165" s="16"/>
    </row>
    <row r="1166" spans="1:33" ht="13">
      <c r="L1166" s="16"/>
      <c r="M1166" s="16"/>
      <c r="W1166" s="16"/>
      <c r="X1166" s="16"/>
      <c r="AA1166" s="16"/>
      <c r="AB1166" s="16"/>
      <c r="AC1166" s="16"/>
      <c r="AD1166" s="16"/>
      <c r="AE1166" s="16"/>
      <c r="AF1166" s="16"/>
      <c r="AG1166" s="16"/>
    </row>
    <row r="1167" spans="1:33" ht="13">
      <c r="L1167" s="16"/>
      <c r="M1167" s="16"/>
      <c r="W1167" s="16"/>
      <c r="X1167" s="16"/>
      <c r="AA1167" s="16"/>
      <c r="AB1167" s="16"/>
      <c r="AC1167" s="16"/>
      <c r="AD1167" s="16"/>
      <c r="AE1167" s="16"/>
      <c r="AF1167" s="16"/>
      <c r="AG1167" s="16"/>
    </row>
    <row r="1168" spans="1:33" ht="13">
      <c r="L1168" s="16"/>
      <c r="M1168" s="16"/>
      <c r="AA1168" s="16"/>
      <c r="AB1168" s="16"/>
      <c r="AC1168" s="16"/>
      <c r="AD1168" s="16"/>
      <c r="AE1168" s="16"/>
      <c r="AF1168" s="16"/>
      <c r="AG1168" s="16"/>
    </row>
    <row r="1169" spans="12:33" ht="13">
      <c r="L1169" s="16"/>
      <c r="M1169" s="16"/>
      <c r="AA1169" s="16"/>
      <c r="AB1169" s="16"/>
      <c r="AC1169" s="16"/>
      <c r="AD1169" s="16"/>
      <c r="AE1169" s="16"/>
      <c r="AF1169" s="16"/>
      <c r="AG1169" s="16"/>
    </row>
  </sheetData>
  <mergeCells count="15">
    <mergeCell ref="V25:W25"/>
    <mergeCell ref="V28:W28"/>
    <mergeCell ref="V31:W31"/>
    <mergeCell ref="V34:W34"/>
    <mergeCell ref="V39:W39"/>
    <mergeCell ref="B174:B175"/>
    <mergeCell ref="B180:B185"/>
    <mergeCell ref="B193:B194"/>
    <mergeCell ref="A1:B1"/>
    <mergeCell ref="N25:O25"/>
    <mergeCell ref="B92:B94"/>
    <mergeCell ref="B113:B122"/>
    <mergeCell ref="B139:B141"/>
    <mergeCell ref="B145:B147"/>
    <mergeCell ref="B168:B169"/>
  </mergeCells>
  <conditionalFormatting sqref="B4:B5">
    <cfRule type="cellIs" dxfId="11" priority="11" operator="greaterThanOrEqual">
      <formula>0</formula>
    </cfRule>
    <cfRule type="cellIs" dxfId="10" priority="12" operator="lessThan">
      <formula>0</formula>
    </cfRule>
  </conditionalFormatting>
  <conditionalFormatting sqref="R2:S25">
    <cfRule type="cellIs" dxfId="9" priority="5" operator="greaterThan">
      <formula>0</formula>
    </cfRule>
    <cfRule type="cellIs" dxfId="8" priority="6" operator="lessThan">
      <formula>0</formula>
    </cfRule>
  </conditionalFormatting>
  <conditionalFormatting sqref="S24:S31 T28:T36">
    <cfRule type="cellIs" dxfId="7" priority="7" operator="greaterThan">
      <formula>0</formula>
    </cfRule>
    <cfRule type="cellIs" dxfId="6" priority="8" operator="lessThan">
      <formula>0</formula>
    </cfRule>
  </conditionalFormatting>
  <conditionalFormatting sqref="U1 V1:V25 U17:U24">
    <cfRule type="cellIs" dxfId="5" priority="3" operator="greaterThan">
      <formula>0</formula>
    </cfRule>
    <cfRule type="cellIs" dxfId="4" priority="4" operator="lessThan">
      <formula>0</formula>
    </cfRule>
  </conditionalFormatting>
  <conditionalFormatting sqref="X1 W1:W24">
    <cfRule type="cellIs" dxfId="3" priority="2" operator="lessThan">
      <formula>0</formula>
    </cfRule>
  </conditionalFormatting>
  <conditionalFormatting sqref="X1:X6 W1:W24">
    <cfRule type="cellIs" dxfId="2" priority="1" operator="greaterThan">
      <formula>0</formula>
    </cfRule>
  </conditionalFormatting>
  <conditionalFormatting sqref="X2:X6 X8:X23">
    <cfRule type="cellIs" dxfId="1" priority="10" operator="lessThan">
      <formula>0</formula>
    </cfRule>
  </conditionalFormatting>
  <conditionalFormatting sqref="X8:X23">
    <cfRule type="cellIs" dxfId="0" priority="9" operator="greaterThan">
      <formula>0</formula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349AC-9F8A-0A4C-8ABE-2005F44788D1}">
  <dimension ref="A1:C11"/>
  <sheetViews>
    <sheetView tabSelected="1" zoomScale="200" workbookViewId="0">
      <selection activeCell="A12" sqref="A12:XFD12"/>
    </sheetView>
  </sheetViews>
  <sheetFormatPr baseColWidth="10" defaultRowHeight="13"/>
  <sheetData>
    <row r="1" spans="1:3" ht="14">
      <c r="A1" s="6" t="s">
        <v>2</v>
      </c>
      <c r="B1" s="7" t="s">
        <v>5</v>
      </c>
      <c r="C1" s="8" t="s">
        <v>8</v>
      </c>
    </row>
    <row r="2" spans="1:3">
      <c r="A2" s="18" t="s">
        <v>15</v>
      </c>
      <c r="B2" s="19">
        <v>7979.0985079212387</v>
      </c>
      <c r="C2" s="22">
        <v>0.30053627999999999</v>
      </c>
    </row>
    <row r="3" spans="1:3">
      <c r="A3" s="18" t="s">
        <v>18</v>
      </c>
      <c r="B3" s="19">
        <v>0</v>
      </c>
      <c r="C3" s="33">
        <v>2.3629572962182016E-2</v>
      </c>
    </row>
    <row r="4" spans="1:3">
      <c r="A4" s="18" t="s">
        <v>14</v>
      </c>
      <c r="B4" s="19">
        <v>0</v>
      </c>
      <c r="C4" s="33">
        <v>5260.242088</v>
      </c>
    </row>
    <row r="5" spans="1:3">
      <c r="A5" s="18" t="s">
        <v>1</v>
      </c>
      <c r="B5" s="19">
        <v>3.8146397709581943</v>
      </c>
      <c r="C5" s="43">
        <v>251.86442367068616</v>
      </c>
    </row>
    <row r="6" spans="1:3">
      <c r="A6" s="44" t="s">
        <v>22</v>
      </c>
      <c r="B6" s="19">
        <v>2.9955067398901646E-2</v>
      </c>
      <c r="C6" s="43">
        <v>10015</v>
      </c>
    </row>
    <row r="7" spans="1:3">
      <c r="A7" s="44" t="s">
        <v>17</v>
      </c>
      <c r="B7" s="19">
        <v>0</v>
      </c>
      <c r="C7" s="43">
        <v>38000000</v>
      </c>
    </row>
    <row r="8" spans="1:3">
      <c r="A8" s="18" t="s">
        <v>35</v>
      </c>
      <c r="B8" s="19">
        <v>0.1105125</v>
      </c>
      <c r="C8" s="33">
        <v>4000</v>
      </c>
    </row>
    <row r="9" spans="1:3">
      <c r="A9" s="18" t="s">
        <v>37</v>
      </c>
      <c r="B9" s="19">
        <v>21.120375004081392</v>
      </c>
      <c r="C9" s="43">
        <v>177.6354</v>
      </c>
    </row>
    <row r="10" spans="1:3">
      <c r="A10" s="18" t="s">
        <v>99</v>
      </c>
      <c r="B10" s="19">
        <v>0</v>
      </c>
      <c r="C10" s="43">
        <v>2009</v>
      </c>
    </row>
    <row r="11" spans="1:3">
      <c r="A11" s="44" t="s">
        <v>42</v>
      </c>
      <c r="B11" s="65">
        <v>1.1782886793502086E-2</v>
      </c>
      <c r="C11" s="66">
        <v>6666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V2523"/>
  <sheetViews>
    <sheetView workbookViewId="0"/>
  </sheetViews>
  <sheetFormatPr baseColWidth="10" defaultColWidth="12.5" defaultRowHeight="15.75" customHeight="1"/>
  <cols>
    <col min="8" max="8" width="16.5" customWidth="1"/>
    <col min="10" max="10" width="15.5" customWidth="1"/>
    <col min="15" max="15" width="17.5" customWidth="1"/>
  </cols>
  <sheetData>
    <row r="1" spans="1:11" ht="15.75" customHeight="1">
      <c r="A1" s="204" t="b">
        <v>1</v>
      </c>
    </row>
    <row r="2" spans="1:11" ht="15.75" customHeight="1">
      <c r="A2" s="204" t="e">
        <f ca="1">CRYPTOFINANCE("CRYPTOWATCH", "", $A$1)</f>
        <v>#NAME?</v>
      </c>
    </row>
    <row r="3" spans="1:11" ht="15.75" customHeight="1">
      <c r="J3" s="205"/>
      <c r="K3" s="205"/>
    </row>
    <row r="4" spans="1:11" ht="15.75" customHeight="1">
      <c r="J4" s="205"/>
      <c r="K4" s="205"/>
    </row>
    <row r="5" spans="1:11" ht="15.75" customHeight="1">
      <c r="J5" s="205"/>
      <c r="K5" s="205"/>
    </row>
    <row r="6" spans="1:11" ht="15.75" customHeight="1">
      <c r="J6" s="205"/>
      <c r="K6" s="205"/>
    </row>
    <row r="7" spans="1:11" ht="15.75" customHeight="1">
      <c r="J7" s="205"/>
      <c r="K7" s="205"/>
    </row>
    <row r="8" spans="1:11" ht="15.75" customHeight="1">
      <c r="J8" s="205"/>
      <c r="K8" s="205"/>
    </row>
    <row r="9" spans="1:11" ht="15.75" customHeight="1">
      <c r="J9" s="205"/>
      <c r="K9" s="205"/>
    </row>
    <row r="10" spans="1:11" ht="15.75" customHeight="1">
      <c r="J10" s="205"/>
      <c r="K10" s="205"/>
    </row>
    <row r="11" spans="1:11" ht="15.75" customHeight="1">
      <c r="J11" s="205"/>
      <c r="K11" s="205"/>
    </row>
    <row r="12" spans="1:11" ht="15.75" customHeight="1">
      <c r="J12" s="205"/>
      <c r="K12" s="205"/>
    </row>
    <row r="13" spans="1:11" ht="15.75" customHeight="1">
      <c r="J13" s="205"/>
      <c r="K13" s="205"/>
    </row>
    <row r="14" spans="1:11" ht="15.75" customHeight="1">
      <c r="J14" s="205"/>
      <c r="K14" s="205"/>
    </row>
    <row r="15" spans="1:11" ht="15.75" customHeight="1">
      <c r="J15" s="205"/>
      <c r="K15" s="205"/>
    </row>
    <row r="16" spans="1:11" ht="15.75" customHeight="1">
      <c r="J16" s="205"/>
      <c r="K16" s="205"/>
    </row>
    <row r="17" spans="10:11" ht="15.75" customHeight="1">
      <c r="J17" s="205"/>
      <c r="K17" s="205"/>
    </row>
    <row r="18" spans="10:11" ht="15.75" customHeight="1">
      <c r="J18" s="205"/>
      <c r="K18" s="205"/>
    </row>
    <row r="19" spans="10:11" ht="15.75" customHeight="1">
      <c r="J19" s="205"/>
      <c r="K19" s="205"/>
    </row>
    <row r="20" spans="10:11" ht="15.75" customHeight="1">
      <c r="J20" s="205"/>
      <c r="K20" s="205"/>
    </row>
    <row r="21" spans="10:11" ht="15.75" customHeight="1">
      <c r="J21" s="205"/>
      <c r="K21" s="205"/>
    </row>
    <row r="22" spans="10:11" ht="15.75" customHeight="1">
      <c r="J22" s="205"/>
      <c r="K22" s="205"/>
    </row>
    <row r="23" spans="10:11" ht="15.75" customHeight="1">
      <c r="J23" s="205"/>
      <c r="K23" s="205"/>
    </row>
    <row r="24" spans="10:11" ht="15.75" customHeight="1">
      <c r="J24" s="205"/>
      <c r="K24" s="205"/>
    </row>
    <row r="25" spans="10:11" ht="15.75" customHeight="1">
      <c r="J25" s="205"/>
      <c r="K25" s="205"/>
    </row>
    <row r="26" spans="10:11" ht="15.75" customHeight="1">
      <c r="J26" s="205"/>
      <c r="K26" s="205"/>
    </row>
    <row r="27" spans="10:11" ht="15.75" customHeight="1">
      <c r="J27" s="205"/>
      <c r="K27" s="205"/>
    </row>
    <row r="28" spans="10:11" ht="15.75" customHeight="1">
      <c r="J28" s="205"/>
      <c r="K28" s="205"/>
    </row>
    <row r="29" spans="10:11" ht="15.75" customHeight="1">
      <c r="J29" s="205"/>
      <c r="K29" s="205"/>
    </row>
    <row r="30" spans="10:11" ht="15.75" customHeight="1">
      <c r="J30" s="205"/>
      <c r="K30" s="205"/>
    </row>
    <row r="31" spans="10:11" ht="15.75" customHeight="1">
      <c r="J31" s="205"/>
      <c r="K31" s="205"/>
    </row>
    <row r="32" spans="10:11" ht="15.75" customHeight="1">
      <c r="J32" s="205"/>
      <c r="K32" s="205"/>
    </row>
    <row r="33" spans="10:11" ht="15.75" customHeight="1">
      <c r="J33" s="205"/>
      <c r="K33" s="205"/>
    </row>
    <row r="34" spans="10:11" ht="15.75" customHeight="1">
      <c r="J34" s="205"/>
      <c r="K34" s="205"/>
    </row>
    <row r="35" spans="10:11" ht="15.75" customHeight="1">
      <c r="J35" s="205"/>
      <c r="K35" s="205"/>
    </row>
    <row r="36" spans="10:11" ht="15.75" customHeight="1">
      <c r="J36" s="205"/>
      <c r="K36" s="205"/>
    </row>
    <row r="37" spans="10:11" ht="15.75" customHeight="1">
      <c r="J37" s="205"/>
      <c r="K37" s="205"/>
    </row>
    <row r="38" spans="10:11" ht="15.75" customHeight="1">
      <c r="J38" s="205"/>
      <c r="K38" s="205"/>
    </row>
    <row r="39" spans="10:11" ht="15.75" customHeight="1">
      <c r="J39" s="205"/>
      <c r="K39" s="205"/>
    </row>
    <row r="40" spans="10:11" ht="15.75" customHeight="1">
      <c r="J40" s="205"/>
      <c r="K40" s="205"/>
    </row>
    <row r="41" spans="10:11" ht="15.75" customHeight="1">
      <c r="J41" s="205"/>
      <c r="K41" s="205"/>
    </row>
    <row r="42" spans="10:11" ht="15.75" customHeight="1">
      <c r="J42" s="205"/>
      <c r="K42" s="205"/>
    </row>
    <row r="43" spans="10:11" ht="15.75" customHeight="1">
      <c r="J43" s="205"/>
      <c r="K43" s="205"/>
    </row>
    <row r="44" spans="10:11" ht="13">
      <c r="J44" s="205"/>
      <c r="K44" s="205"/>
    </row>
    <row r="45" spans="10:11" ht="13">
      <c r="J45" s="205"/>
      <c r="K45" s="205"/>
    </row>
    <row r="46" spans="10:11" ht="13">
      <c r="J46" s="205"/>
      <c r="K46" s="205"/>
    </row>
    <row r="47" spans="10:11" ht="13">
      <c r="J47" s="205"/>
      <c r="K47" s="205"/>
    </row>
    <row r="48" spans="10:11" ht="13">
      <c r="J48" s="205"/>
      <c r="K48" s="205"/>
    </row>
    <row r="49" spans="10:11" ht="13">
      <c r="J49" s="205"/>
      <c r="K49" s="205"/>
    </row>
    <row r="50" spans="10:11" ht="13">
      <c r="J50" s="205"/>
      <c r="K50" s="205"/>
    </row>
    <row r="51" spans="10:11" ht="13">
      <c r="J51" s="205"/>
      <c r="K51" s="205"/>
    </row>
    <row r="52" spans="10:11" ht="13">
      <c r="J52" s="205"/>
      <c r="K52" s="205"/>
    </row>
    <row r="53" spans="10:11" ht="13">
      <c r="J53" s="205"/>
      <c r="K53" s="205"/>
    </row>
    <row r="54" spans="10:11" ht="13">
      <c r="J54" s="205"/>
      <c r="K54" s="205"/>
    </row>
    <row r="55" spans="10:11" ht="13">
      <c r="J55" s="205"/>
      <c r="K55" s="205"/>
    </row>
    <row r="56" spans="10:11" ht="13">
      <c r="J56" s="205"/>
      <c r="K56" s="205"/>
    </row>
    <row r="57" spans="10:11" ht="13">
      <c r="J57" s="205"/>
      <c r="K57" s="205"/>
    </row>
    <row r="58" spans="10:11" ht="13">
      <c r="J58" s="205"/>
      <c r="K58" s="205"/>
    </row>
    <row r="59" spans="10:11" ht="13">
      <c r="J59" s="205"/>
      <c r="K59" s="205"/>
    </row>
    <row r="60" spans="10:11" ht="13">
      <c r="J60" s="205"/>
      <c r="K60" s="205"/>
    </row>
    <row r="61" spans="10:11" ht="13">
      <c r="J61" s="205"/>
      <c r="K61" s="205"/>
    </row>
    <row r="62" spans="10:11" ht="13">
      <c r="J62" s="205"/>
      <c r="K62" s="205"/>
    </row>
    <row r="63" spans="10:11" ht="13">
      <c r="J63" s="205"/>
      <c r="K63" s="205"/>
    </row>
    <row r="64" spans="10:11" ht="13">
      <c r="J64" s="205"/>
      <c r="K64" s="205"/>
    </row>
    <row r="65" spans="10:11" ht="13">
      <c r="J65" s="205"/>
      <c r="K65" s="205"/>
    </row>
    <row r="66" spans="10:11" ht="13">
      <c r="J66" s="205"/>
      <c r="K66" s="205"/>
    </row>
    <row r="67" spans="10:11" ht="13">
      <c r="J67" s="205"/>
      <c r="K67" s="205"/>
    </row>
    <row r="68" spans="10:11" ht="13">
      <c r="J68" s="205"/>
      <c r="K68" s="205"/>
    </row>
    <row r="69" spans="10:11" ht="13">
      <c r="J69" s="205"/>
      <c r="K69" s="205"/>
    </row>
    <row r="70" spans="10:11" ht="13">
      <c r="J70" s="205"/>
      <c r="K70" s="205"/>
    </row>
    <row r="71" spans="10:11" ht="13">
      <c r="J71" s="205"/>
      <c r="K71" s="205"/>
    </row>
    <row r="72" spans="10:11" ht="13">
      <c r="J72" s="205"/>
      <c r="K72" s="205"/>
    </row>
    <row r="73" spans="10:11" ht="13">
      <c r="J73" s="205"/>
      <c r="K73" s="205"/>
    </row>
    <row r="74" spans="10:11" ht="13">
      <c r="J74" s="205"/>
      <c r="K74" s="205"/>
    </row>
    <row r="75" spans="10:11" ht="13">
      <c r="J75" s="205"/>
      <c r="K75" s="205"/>
    </row>
    <row r="76" spans="10:11" ht="13">
      <c r="J76" s="205"/>
      <c r="K76" s="205"/>
    </row>
    <row r="77" spans="10:11" ht="13">
      <c r="J77" s="205"/>
      <c r="K77" s="205"/>
    </row>
    <row r="78" spans="10:11" ht="13">
      <c r="J78" s="205"/>
      <c r="K78" s="205"/>
    </row>
    <row r="79" spans="10:11" ht="13">
      <c r="J79" s="205"/>
      <c r="K79" s="205"/>
    </row>
    <row r="80" spans="10:11" ht="13">
      <c r="J80" s="205"/>
      <c r="K80" s="205"/>
    </row>
    <row r="81" spans="10:11" ht="13">
      <c r="J81" s="205"/>
      <c r="K81" s="205"/>
    </row>
    <row r="82" spans="10:11" ht="13">
      <c r="J82" s="205"/>
      <c r="K82" s="205"/>
    </row>
    <row r="83" spans="10:11" ht="13">
      <c r="J83" s="205"/>
      <c r="K83" s="205"/>
    </row>
    <row r="84" spans="10:11" ht="13">
      <c r="J84" s="205"/>
      <c r="K84" s="205"/>
    </row>
    <row r="85" spans="10:11" ht="13">
      <c r="J85" s="205"/>
      <c r="K85" s="205"/>
    </row>
    <row r="86" spans="10:11" ht="13">
      <c r="J86" s="205"/>
      <c r="K86" s="205"/>
    </row>
    <row r="87" spans="10:11" ht="13">
      <c r="J87" s="205"/>
      <c r="K87" s="205"/>
    </row>
    <row r="88" spans="10:11" ht="13">
      <c r="J88" s="205"/>
      <c r="K88" s="205"/>
    </row>
    <row r="89" spans="10:11" ht="13">
      <c r="J89" s="205"/>
      <c r="K89" s="205"/>
    </row>
    <row r="90" spans="10:11" ht="13">
      <c r="J90" s="205"/>
      <c r="K90" s="205"/>
    </row>
    <row r="91" spans="10:11" ht="13">
      <c r="J91" s="205"/>
      <c r="K91" s="205"/>
    </row>
    <row r="92" spans="10:11" ht="13">
      <c r="J92" s="205"/>
      <c r="K92" s="205"/>
    </row>
    <row r="93" spans="10:11" ht="13">
      <c r="J93" s="205"/>
      <c r="K93" s="205"/>
    </row>
    <row r="94" spans="10:11" ht="13">
      <c r="J94" s="205"/>
      <c r="K94" s="205"/>
    </row>
    <row r="95" spans="10:11" ht="13">
      <c r="J95" s="205"/>
      <c r="K95" s="205"/>
    </row>
    <row r="96" spans="10:11" ht="13">
      <c r="J96" s="205"/>
      <c r="K96" s="205"/>
    </row>
    <row r="97" spans="10:11" ht="13">
      <c r="J97" s="205"/>
      <c r="K97" s="205"/>
    </row>
    <row r="98" spans="10:11" ht="13">
      <c r="J98" s="205"/>
      <c r="K98" s="205"/>
    </row>
    <row r="99" spans="10:11" ht="13">
      <c r="J99" s="205"/>
      <c r="K99" s="205"/>
    </row>
    <row r="100" spans="10:11" ht="13">
      <c r="J100" s="205"/>
      <c r="K100" s="205"/>
    </row>
    <row r="101" spans="10:11" ht="13">
      <c r="J101" s="205"/>
      <c r="K101" s="205"/>
    </row>
    <row r="102" spans="10:11" ht="13">
      <c r="J102" s="205"/>
      <c r="K102" s="205"/>
    </row>
    <row r="103" spans="10:11" ht="13">
      <c r="J103" s="205"/>
      <c r="K103" s="205"/>
    </row>
    <row r="104" spans="10:11" ht="13">
      <c r="J104" s="205"/>
      <c r="K104" s="205"/>
    </row>
    <row r="105" spans="10:11" ht="13">
      <c r="J105" s="205"/>
      <c r="K105" s="205"/>
    </row>
    <row r="106" spans="10:11" ht="13">
      <c r="J106" s="205"/>
      <c r="K106" s="205"/>
    </row>
    <row r="107" spans="10:11" ht="13">
      <c r="J107" s="205"/>
      <c r="K107" s="205"/>
    </row>
    <row r="108" spans="10:11" ht="13">
      <c r="J108" s="205"/>
      <c r="K108" s="205"/>
    </row>
    <row r="109" spans="10:11" ht="13">
      <c r="J109" s="205"/>
      <c r="K109" s="205"/>
    </row>
    <row r="110" spans="10:11" ht="13">
      <c r="J110" s="205"/>
      <c r="K110" s="205"/>
    </row>
    <row r="111" spans="10:11" ht="13">
      <c r="J111" s="205"/>
      <c r="K111" s="205"/>
    </row>
    <row r="112" spans="10:11" ht="13">
      <c r="J112" s="205"/>
      <c r="K112" s="205"/>
    </row>
    <row r="113" spans="10:11" ht="13">
      <c r="J113" s="205"/>
      <c r="K113" s="205"/>
    </row>
    <row r="114" spans="10:11" ht="13">
      <c r="J114" s="205"/>
      <c r="K114" s="205"/>
    </row>
    <row r="115" spans="10:11" ht="13">
      <c r="J115" s="205"/>
      <c r="K115" s="205"/>
    </row>
    <row r="116" spans="10:11" ht="13">
      <c r="J116" s="205"/>
      <c r="K116" s="205"/>
    </row>
    <row r="117" spans="10:11" ht="13">
      <c r="J117" s="205"/>
      <c r="K117" s="205"/>
    </row>
    <row r="118" spans="10:11" ht="13">
      <c r="J118" s="205"/>
      <c r="K118" s="205"/>
    </row>
    <row r="119" spans="10:11" ht="13">
      <c r="J119" s="205"/>
      <c r="K119" s="205"/>
    </row>
    <row r="120" spans="10:11" ht="13">
      <c r="J120" s="205"/>
      <c r="K120" s="205"/>
    </row>
    <row r="121" spans="10:11" ht="13">
      <c r="J121" s="205"/>
      <c r="K121" s="205"/>
    </row>
    <row r="122" spans="10:11" ht="13">
      <c r="J122" s="205"/>
      <c r="K122" s="205"/>
    </row>
    <row r="123" spans="10:11" ht="13">
      <c r="J123" s="205"/>
      <c r="K123" s="205"/>
    </row>
    <row r="124" spans="10:11" ht="13">
      <c r="J124" s="205"/>
      <c r="K124" s="205"/>
    </row>
    <row r="125" spans="10:11" ht="13">
      <c r="J125" s="205"/>
      <c r="K125" s="205"/>
    </row>
    <row r="126" spans="10:11" ht="13">
      <c r="J126" s="205"/>
      <c r="K126" s="205"/>
    </row>
    <row r="127" spans="10:11" ht="13">
      <c r="J127" s="205"/>
      <c r="K127" s="205"/>
    </row>
    <row r="128" spans="10:11" ht="13">
      <c r="J128" s="205"/>
      <c r="K128" s="205"/>
    </row>
    <row r="129" spans="10:11" ht="13">
      <c r="J129" s="205"/>
      <c r="K129" s="205"/>
    </row>
    <row r="130" spans="10:11" ht="13">
      <c r="J130" s="205"/>
      <c r="K130" s="205"/>
    </row>
    <row r="131" spans="10:11" ht="13">
      <c r="J131" s="205"/>
      <c r="K131" s="205"/>
    </row>
    <row r="132" spans="10:11" ht="13">
      <c r="J132" s="205"/>
      <c r="K132" s="205"/>
    </row>
    <row r="133" spans="10:11" ht="13">
      <c r="J133" s="205"/>
      <c r="K133" s="205"/>
    </row>
    <row r="134" spans="10:11" ht="13">
      <c r="J134" s="205"/>
      <c r="K134" s="205"/>
    </row>
    <row r="135" spans="10:11" ht="13">
      <c r="J135" s="205"/>
      <c r="K135" s="205"/>
    </row>
    <row r="136" spans="10:11" ht="13">
      <c r="J136" s="205"/>
      <c r="K136" s="205"/>
    </row>
    <row r="137" spans="10:11" ht="13">
      <c r="J137" s="205"/>
      <c r="K137" s="205"/>
    </row>
    <row r="138" spans="10:11" ht="13">
      <c r="J138" s="205"/>
      <c r="K138" s="205"/>
    </row>
    <row r="139" spans="10:11" ht="13">
      <c r="J139" s="205"/>
      <c r="K139" s="205"/>
    </row>
    <row r="140" spans="10:11" ht="13">
      <c r="J140" s="205"/>
      <c r="K140" s="205"/>
    </row>
    <row r="141" spans="10:11" ht="13">
      <c r="J141" s="205"/>
      <c r="K141" s="205"/>
    </row>
    <row r="142" spans="10:11" ht="13">
      <c r="J142" s="205"/>
      <c r="K142" s="205"/>
    </row>
    <row r="143" spans="10:11" ht="13">
      <c r="J143" s="205"/>
      <c r="K143" s="205"/>
    </row>
    <row r="144" spans="10:11" ht="13">
      <c r="J144" s="205"/>
      <c r="K144" s="205"/>
    </row>
    <row r="145" spans="10:11" ht="13">
      <c r="J145" s="205"/>
      <c r="K145" s="205"/>
    </row>
    <row r="146" spans="10:11" ht="13">
      <c r="J146" s="205"/>
      <c r="K146" s="205"/>
    </row>
    <row r="147" spans="10:11" ht="13">
      <c r="J147" s="205"/>
      <c r="K147" s="205"/>
    </row>
    <row r="148" spans="10:11" ht="13">
      <c r="J148" s="205"/>
      <c r="K148" s="205"/>
    </row>
    <row r="149" spans="10:11" ht="13">
      <c r="J149" s="205"/>
      <c r="K149" s="205"/>
    </row>
    <row r="150" spans="10:11" ht="13">
      <c r="J150" s="205"/>
      <c r="K150" s="205"/>
    </row>
    <row r="151" spans="10:11" ht="13">
      <c r="J151" s="205"/>
      <c r="K151" s="205"/>
    </row>
    <row r="152" spans="10:11" ht="13">
      <c r="J152" s="205"/>
      <c r="K152" s="205"/>
    </row>
    <row r="153" spans="10:11" ht="13">
      <c r="J153" s="205"/>
      <c r="K153" s="205"/>
    </row>
    <row r="154" spans="10:11" ht="13">
      <c r="J154" s="205"/>
      <c r="K154" s="205"/>
    </row>
    <row r="155" spans="10:11" ht="13">
      <c r="J155" s="205"/>
      <c r="K155" s="205"/>
    </row>
    <row r="156" spans="10:11" ht="13">
      <c r="J156" s="205"/>
      <c r="K156" s="205"/>
    </row>
    <row r="157" spans="10:11" ht="13">
      <c r="J157" s="205"/>
      <c r="K157" s="205"/>
    </row>
    <row r="158" spans="10:11" ht="13">
      <c r="J158" s="205"/>
      <c r="K158" s="205"/>
    </row>
    <row r="159" spans="10:11" ht="13">
      <c r="J159" s="205"/>
      <c r="K159" s="205"/>
    </row>
    <row r="160" spans="10:11" ht="13">
      <c r="J160" s="205"/>
      <c r="K160" s="205"/>
    </row>
    <row r="161" spans="8:22" ht="13">
      <c r="J161" s="205"/>
      <c r="K161" s="205"/>
    </row>
    <row r="162" spans="8:22" ht="13">
      <c r="J162" s="205"/>
      <c r="K162" s="205"/>
    </row>
    <row r="163" spans="8:22" ht="13">
      <c r="J163" s="205"/>
      <c r="K163" s="205"/>
    </row>
    <row r="164" spans="8:22" ht="13">
      <c r="J164" s="205"/>
      <c r="K164" s="205"/>
    </row>
    <row r="165" spans="8:22" ht="13">
      <c r="J165" s="205"/>
      <c r="K165" s="205"/>
    </row>
    <row r="166" spans="8:22" ht="13">
      <c r="J166" s="205"/>
      <c r="K166" s="205"/>
    </row>
    <row r="167" spans="8:22" ht="13">
      <c r="J167" s="205"/>
      <c r="K167" s="205"/>
    </row>
    <row r="168" spans="8:22" ht="13">
      <c r="J168" s="205"/>
      <c r="K168" s="205"/>
    </row>
    <row r="169" spans="8:22" ht="13">
      <c r="H169" s="205"/>
      <c r="J169" s="205"/>
      <c r="K169" s="205"/>
      <c r="V169" s="25">
        <f>V166*V168</f>
        <v>0</v>
      </c>
    </row>
    <row r="170" spans="8:22" ht="13">
      <c r="J170" s="205"/>
      <c r="K170" s="205"/>
    </row>
    <row r="171" spans="8:22" ht="13">
      <c r="J171" s="205"/>
      <c r="K171" s="205"/>
    </row>
    <row r="172" spans="8:22" ht="13">
      <c r="J172" s="205"/>
      <c r="K172" s="205"/>
    </row>
    <row r="173" spans="8:22" ht="13">
      <c r="J173" s="205"/>
      <c r="K173" s="205"/>
    </row>
    <row r="174" spans="8:22" ht="13">
      <c r="J174" s="205"/>
      <c r="K174" s="205"/>
    </row>
    <row r="175" spans="8:22" ht="13">
      <c r="J175" s="205"/>
      <c r="K175" s="205"/>
    </row>
    <row r="176" spans="8:22" ht="13">
      <c r="J176" s="205"/>
      <c r="K176" s="205"/>
    </row>
    <row r="177" spans="10:11" ht="13">
      <c r="J177" s="205"/>
      <c r="K177" s="205"/>
    </row>
    <row r="178" spans="10:11" ht="13">
      <c r="J178" s="205"/>
      <c r="K178" s="205"/>
    </row>
    <row r="179" spans="10:11" ht="13">
      <c r="J179" s="205"/>
      <c r="K179" s="205"/>
    </row>
    <row r="180" spans="10:11" ht="13">
      <c r="J180" s="205"/>
      <c r="K180" s="205"/>
    </row>
    <row r="181" spans="10:11" ht="13">
      <c r="J181" s="205"/>
      <c r="K181" s="205"/>
    </row>
    <row r="182" spans="10:11" ht="13">
      <c r="J182" s="205"/>
      <c r="K182" s="205"/>
    </row>
    <row r="183" spans="10:11" ht="13">
      <c r="J183" s="205"/>
      <c r="K183" s="205"/>
    </row>
    <row r="184" spans="10:11" ht="13">
      <c r="J184" s="205"/>
      <c r="K184" s="205"/>
    </row>
    <row r="185" spans="10:11" ht="13">
      <c r="J185" s="205"/>
      <c r="K185" s="205"/>
    </row>
    <row r="186" spans="10:11" ht="13">
      <c r="J186" s="205"/>
      <c r="K186" s="205"/>
    </row>
    <row r="187" spans="10:11" ht="13">
      <c r="J187" s="205"/>
      <c r="K187" s="205"/>
    </row>
    <row r="188" spans="10:11" ht="13">
      <c r="J188" s="205"/>
      <c r="K188" s="205"/>
    </row>
    <row r="189" spans="10:11" ht="13">
      <c r="J189" s="205"/>
      <c r="K189" s="205"/>
    </row>
    <row r="190" spans="10:11" ht="13">
      <c r="J190" s="205"/>
      <c r="K190" s="205"/>
    </row>
    <row r="191" spans="10:11" ht="13">
      <c r="J191" s="205"/>
      <c r="K191" s="205"/>
    </row>
    <row r="192" spans="10:11" ht="13">
      <c r="J192" s="205"/>
      <c r="K192" s="205"/>
    </row>
    <row r="193" spans="10:11" ht="13">
      <c r="J193" s="205"/>
      <c r="K193" s="205"/>
    </row>
    <row r="194" spans="10:11" ht="13">
      <c r="J194" s="205"/>
      <c r="K194" s="205"/>
    </row>
    <row r="195" spans="10:11" ht="13">
      <c r="J195" s="205"/>
      <c r="K195" s="205"/>
    </row>
    <row r="196" spans="10:11" ht="13">
      <c r="J196" s="205"/>
      <c r="K196" s="205"/>
    </row>
    <row r="197" spans="10:11" ht="13">
      <c r="J197" s="205"/>
      <c r="K197" s="205"/>
    </row>
    <row r="198" spans="10:11" ht="13">
      <c r="J198" s="205"/>
      <c r="K198" s="205"/>
    </row>
    <row r="199" spans="10:11" ht="13">
      <c r="J199" s="205"/>
      <c r="K199" s="205"/>
    </row>
    <row r="200" spans="10:11" ht="13">
      <c r="J200" s="205"/>
      <c r="K200" s="205"/>
    </row>
    <row r="201" spans="10:11" ht="13">
      <c r="J201" s="205"/>
      <c r="K201" s="205"/>
    </row>
    <row r="202" spans="10:11" ht="13">
      <c r="J202" s="205"/>
      <c r="K202" s="205"/>
    </row>
    <row r="203" spans="10:11" ht="13">
      <c r="J203" s="205"/>
      <c r="K203" s="205"/>
    </row>
    <row r="204" spans="10:11" ht="13">
      <c r="J204" s="205"/>
      <c r="K204" s="205"/>
    </row>
    <row r="205" spans="10:11" ht="13">
      <c r="J205" s="205"/>
      <c r="K205" s="205"/>
    </row>
    <row r="206" spans="10:11" ht="13">
      <c r="J206" s="205"/>
      <c r="K206" s="205"/>
    </row>
    <row r="207" spans="10:11" ht="13">
      <c r="J207" s="205"/>
      <c r="K207" s="205"/>
    </row>
    <row r="208" spans="10:11" ht="13">
      <c r="J208" s="205"/>
      <c r="K208" s="205"/>
    </row>
    <row r="209" spans="10:11" ht="13">
      <c r="J209" s="205"/>
      <c r="K209" s="205"/>
    </row>
    <row r="210" spans="10:11" ht="13">
      <c r="J210" s="205"/>
      <c r="K210" s="205"/>
    </row>
    <row r="211" spans="10:11" ht="13">
      <c r="J211" s="205"/>
      <c r="K211" s="205"/>
    </row>
    <row r="212" spans="10:11" ht="13">
      <c r="J212" s="205"/>
      <c r="K212" s="205"/>
    </row>
    <row r="213" spans="10:11" ht="13">
      <c r="J213" s="205"/>
      <c r="K213" s="205"/>
    </row>
    <row r="214" spans="10:11" ht="13">
      <c r="J214" s="205"/>
      <c r="K214" s="205"/>
    </row>
    <row r="215" spans="10:11" ht="13">
      <c r="J215" s="205"/>
      <c r="K215" s="205"/>
    </row>
    <row r="216" spans="10:11" ht="13">
      <c r="J216" s="205"/>
      <c r="K216" s="205"/>
    </row>
    <row r="217" spans="10:11" ht="13">
      <c r="J217" s="205"/>
      <c r="K217" s="205"/>
    </row>
    <row r="218" spans="10:11" ht="13">
      <c r="J218" s="205"/>
      <c r="K218" s="205"/>
    </row>
    <row r="219" spans="10:11" ht="13">
      <c r="J219" s="205"/>
      <c r="K219" s="205"/>
    </row>
    <row r="220" spans="10:11" ht="13">
      <c r="J220" s="205"/>
      <c r="K220" s="205"/>
    </row>
    <row r="221" spans="10:11" ht="13">
      <c r="J221" s="205"/>
      <c r="K221" s="205"/>
    </row>
    <row r="222" spans="10:11" ht="13">
      <c r="J222" s="205"/>
      <c r="K222" s="205"/>
    </row>
    <row r="223" spans="10:11" ht="13">
      <c r="J223" s="205"/>
      <c r="K223" s="205"/>
    </row>
    <row r="224" spans="10:11" ht="13">
      <c r="J224" s="205"/>
      <c r="K224" s="205"/>
    </row>
    <row r="225" spans="10:11" ht="13">
      <c r="J225" s="205"/>
      <c r="K225" s="205"/>
    </row>
    <row r="226" spans="10:11" ht="13">
      <c r="J226" s="205"/>
      <c r="K226" s="205"/>
    </row>
    <row r="227" spans="10:11" ht="13">
      <c r="J227" s="205"/>
      <c r="K227" s="205"/>
    </row>
    <row r="228" spans="10:11" ht="13">
      <c r="J228" s="205"/>
      <c r="K228" s="205"/>
    </row>
    <row r="229" spans="10:11" ht="13">
      <c r="J229" s="205"/>
      <c r="K229" s="205"/>
    </row>
    <row r="230" spans="10:11" ht="13">
      <c r="J230" s="205"/>
      <c r="K230" s="205"/>
    </row>
    <row r="231" spans="10:11" ht="13">
      <c r="J231" s="205"/>
      <c r="K231" s="205"/>
    </row>
    <row r="232" spans="10:11" ht="13">
      <c r="J232" s="205"/>
      <c r="K232" s="205"/>
    </row>
    <row r="233" spans="10:11" ht="13">
      <c r="J233" s="205"/>
      <c r="K233" s="205"/>
    </row>
    <row r="234" spans="10:11" ht="13">
      <c r="J234" s="205"/>
      <c r="K234" s="205"/>
    </row>
    <row r="235" spans="10:11" ht="13">
      <c r="J235" s="205"/>
      <c r="K235" s="205"/>
    </row>
    <row r="236" spans="10:11" ht="13">
      <c r="J236" s="205"/>
      <c r="K236" s="205"/>
    </row>
    <row r="237" spans="10:11" ht="13">
      <c r="J237" s="205"/>
      <c r="K237" s="205"/>
    </row>
    <row r="238" spans="10:11" ht="13">
      <c r="J238" s="205"/>
      <c r="K238" s="205"/>
    </row>
    <row r="239" spans="10:11" ht="13">
      <c r="J239" s="205"/>
      <c r="K239" s="205"/>
    </row>
    <row r="240" spans="10:11" ht="13">
      <c r="J240" s="205"/>
      <c r="K240" s="205"/>
    </row>
    <row r="241" spans="10:11" ht="13">
      <c r="J241" s="205"/>
      <c r="K241" s="205"/>
    </row>
    <row r="242" spans="10:11" ht="13">
      <c r="J242" s="205"/>
      <c r="K242" s="205"/>
    </row>
    <row r="243" spans="10:11" ht="13">
      <c r="J243" s="205"/>
      <c r="K243" s="205"/>
    </row>
    <row r="244" spans="10:11" ht="13">
      <c r="J244" s="205"/>
      <c r="K244" s="205"/>
    </row>
    <row r="245" spans="10:11" ht="13">
      <c r="J245" s="205"/>
      <c r="K245" s="205"/>
    </row>
    <row r="246" spans="10:11" ht="13">
      <c r="J246" s="205"/>
      <c r="K246" s="205"/>
    </row>
    <row r="247" spans="10:11" ht="13">
      <c r="J247" s="205"/>
      <c r="K247" s="205"/>
    </row>
    <row r="248" spans="10:11" ht="13">
      <c r="J248" s="205"/>
      <c r="K248" s="205"/>
    </row>
    <row r="249" spans="10:11" ht="13">
      <c r="J249" s="205"/>
      <c r="K249" s="205"/>
    </row>
    <row r="250" spans="10:11" ht="13">
      <c r="J250" s="205"/>
      <c r="K250" s="205"/>
    </row>
    <row r="251" spans="10:11" ht="13">
      <c r="J251" s="205"/>
      <c r="K251" s="205"/>
    </row>
    <row r="252" spans="10:11" ht="13">
      <c r="J252" s="205"/>
      <c r="K252" s="205"/>
    </row>
    <row r="253" spans="10:11" ht="13">
      <c r="J253" s="205"/>
      <c r="K253" s="205"/>
    </row>
    <row r="254" spans="10:11" ht="13">
      <c r="J254" s="205"/>
      <c r="K254" s="205"/>
    </row>
    <row r="255" spans="10:11" ht="13">
      <c r="J255" s="205"/>
      <c r="K255" s="205"/>
    </row>
    <row r="256" spans="10:11" ht="13">
      <c r="J256" s="205"/>
      <c r="K256" s="205"/>
    </row>
    <row r="257" spans="10:11" ht="13">
      <c r="J257" s="205"/>
      <c r="K257" s="205"/>
    </row>
    <row r="258" spans="10:11" ht="13">
      <c r="J258" s="205"/>
      <c r="K258" s="205"/>
    </row>
    <row r="259" spans="10:11" ht="13">
      <c r="J259" s="205"/>
      <c r="K259" s="205"/>
    </row>
    <row r="260" spans="10:11" ht="13">
      <c r="J260" s="205"/>
      <c r="K260" s="205"/>
    </row>
    <row r="261" spans="10:11" ht="13">
      <c r="J261" s="205"/>
      <c r="K261" s="205"/>
    </row>
    <row r="262" spans="10:11" ht="13">
      <c r="J262" s="205"/>
      <c r="K262" s="205"/>
    </row>
    <row r="263" spans="10:11" ht="13">
      <c r="J263" s="205"/>
      <c r="K263" s="205"/>
    </row>
    <row r="264" spans="10:11" ht="13">
      <c r="J264" s="205"/>
      <c r="K264" s="205"/>
    </row>
    <row r="265" spans="10:11" ht="13">
      <c r="J265" s="205"/>
      <c r="K265" s="205"/>
    </row>
    <row r="266" spans="10:11" ht="13">
      <c r="J266" s="205"/>
      <c r="K266" s="205"/>
    </row>
    <row r="267" spans="10:11" ht="13">
      <c r="J267" s="205"/>
      <c r="K267" s="205"/>
    </row>
    <row r="268" spans="10:11" ht="13">
      <c r="J268" s="205"/>
      <c r="K268" s="205"/>
    </row>
    <row r="269" spans="10:11" ht="13">
      <c r="J269" s="205"/>
      <c r="K269" s="205"/>
    </row>
    <row r="270" spans="10:11" ht="13">
      <c r="J270" s="205"/>
      <c r="K270" s="205"/>
    </row>
    <row r="271" spans="10:11" ht="13">
      <c r="J271" s="205"/>
      <c r="K271" s="205"/>
    </row>
    <row r="272" spans="10:11" ht="13">
      <c r="J272" s="205"/>
      <c r="K272" s="205"/>
    </row>
    <row r="273" spans="8:11" ht="13">
      <c r="J273" s="205"/>
      <c r="K273" s="205"/>
    </row>
    <row r="274" spans="8:11" ht="13">
      <c r="J274" s="205"/>
      <c r="K274" s="205"/>
    </row>
    <row r="275" spans="8:11" ht="13">
      <c r="J275" s="205"/>
      <c r="K275" s="205"/>
    </row>
    <row r="276" spans="8:11" ht="13">
      <c r="H276" s="205"/>
      <c r="J276" s="205"/>
      <c r="K276" s="205"/>
    </row>
    <row r="277" spans="8:11" ht="13">
      <c r="J277" s="205"/>
      <c r="K277" s="205"/>
    </row>
    <row r="278" spans="8:11" ht="13">
      <c r="J278" s="205"/>
      <c r="K278" s="205"/>
    </row>
    <row r="279" spans="8:11" ht="13">
      <c r="J279" s="205"/>
      <c r="K279" s="205"/>
    </row>
    <row r="280" spans="8:11" ht="13">
      <c r="J280" s="205"/>
      <c r="K280" s="205"/>
    </row>
    <row r="281" spans="8:11" ht="13">
      <c r="J281" s="205"/>
      <c r="K281" s="205"/>
    </row>
    <row r="282" spans="8:11" ht="13">
      <c r="J282" s="205"/>
      <c r="K282" s="205"/>
    </row>
    <row r="283" spans="8:11" ht="13">
      <c r="J283" s="205"/>
      <c r="K283" s="205"/>
    </row>
    <row r="284" spans="8:11" ht="13">
      <c r="J284" s="205"/>
      <c r="K284" s="205"/>
    </row>
    <row r="285" spans="8:11" ht="13">
      <c r="J285" s="205"/>
      <c r="K285" s="205"/>
    </row>
    <row r="286" spans="8:11" ht="13">
      <c r="J286" s="205"/>
      <c r="K286" s="205"/>
    </row>
    <row r="287" spans="8:11" ht="13">
      <c r="J287" s="205"/>
      <c r="K287" s="205"/>
    </row>
    <row r="288" spans="8:11" ht="13">
      <c r="J288" s="205"/>
      <c r="K288" s="205"/>
    </row>
    <row r="289" spans="10:11" ht="13">
      <c r="J289" s="205"/>
      <c r="K289" s="205"/>
    </row>
    <row r="290" spans="10:11" ht="13">
      <c r="J290" s="205"/>
      <c r="K290" s="205"/>
    </row>
    <row r="291" spans="10:11" ht="13">
      <c r="J291" s="205"/>
      <c r="K291" s="205"/>
    </row>
    <row r="292" spans="10:11" ht="13">
      <c r="J292" s="205"/>
      <c r="K292" s="205"/>
    </row>
    <row r="293" spans="10:11" ht="13">
      <c r="J293" s="205"/>
      <c r="K293" s="205"/>
    </row>
    <row r="294" spans="10:11" ht="13">
      <c r="J294" s="205"/>
      <c r="K294" s="205"/>
    </row>
    <row r="295" spans="10:11" ht="13">
      <c r="J295" s="205"/>
      <c r="K295" s="205"/>
    </row>
    <row r="296" spans="10:11" ht="13">
      <c r="J296" s="205"/>
      <c r="K296" s="205"/>
    </row>
    <row r="297" spans="10:11" ht="13">
      <c r="J297" s="205"/>
      <c r="K297" s="205"/>
    </row>
    <row r="298" spans="10:11" ht="13">
      <c r="J298" s="205"/>
      <c r="K298" s="205"/>
    </row>
    <row r="299" spans="10:11" ht="13">
      <c r="J299" s="205"/>
      <c r="K299" s="205"/>
    </row>
    <row r="300" spans="10:11" ht="13">
      <c r="J300" s="205"/>
      <c r="K300" s="205"/>
    </row>
    <row r="301" spans="10:11" ht="13">
      <c r="J301" s="205"/>
      <c r="K301" s="205"/>
    </row>
    <row r="302" spans="10:11" ht="13">
      <c r="J302" s="205"/>
      <c r="K302" s="205"/>
    </row>
    <row r="303" spans="10:11" ht="13">
      <c r="J303" s="205"/>
      <c r="K303" s="205"/>
    </row>
    <row r="304" spans="10:11" ht="13">
      <c r="J304" s="205"/>
      <c r="K304" s="205"/>
    </row>
    <row r="305" spans="10:11" ht="13">
      <c r="J305" s="205"/>
      <c r="K305" s="205"/>
    </row>
    <row r="306" spans="10:11" ht="13">
      <c r="J306" s="205"/>
      <c r="K306" s="205"/>
    </row>
    <row r="307" spans="10:11" ht="13">
      <c r="J307" s="205"/>
      <c r="K307" s="205"/>
    </row>
    <row r="308" spans="10:11" ht="13">
      <c r="J308" s="205"/>
      <c r="K308" s="205"/>
    </row>
    <row r="309" spans="10:11" ht="13">
      <c r="J309" s="205"/>
      <c r="K309" s="205"/>
    </row>
    <row r="310" spans="10:11" ht="13">
      <c r="J310" s="205"/>
      <c r="K310" s="205"/>
    </row>
    <row r="311" spans="10:11" ht="13">
      <c r="J311" s="205"/>
      <c r="K311" s="205"/>
    </row>
    <row r="312" spans="10:11" ht="13">
      <c r="J312" s="205"/>
      <c r="K312" s="205"/>
    </row>
    <row r="313" spans="10:11" ht="13">
      <c r="J313" s="205"/>
      <c r="K313" s="205"/>
    </row>
    <row r="314" spans="10:11" ht="13">
      <c r="J314" s="205"/>
      <c r="K314" s="205"/>
    </row>
    <row r="315" spans="10:11" ht="13">
      <c r="J315" s="205"/>
      <c r="K315" s="205"/>
    </row>
    <row r="316" spans="10:11" ht="13">
      <c r="J316" s="205"/>
      <c r="K316" s="205"/>
    </row>
    <row r="317" spans="10:11" ht="13">
      <c r="J317" s="205"/>
      <c r="K317" s="205"/>
    </row>
    <row r="318" spans="10:11" ht="13">
      <c r="J318" s="205"/>
      <c r="K318" s="205"/>
    </row>
    <row r="319" spans="10:11" ht="13">
      <c r="J319" s="205"/>
      <c r="K319" s="205"/>
    </row>
    <row r="320" spans="10:11" ht="13">
      <c r="J320" s="205"/>
      <c r="K320" s="205"/>
    </row>
    <row r="321" spans="10:11" ht="13">
      <c r="J321" s="205"/>
      <c r="K321" s="205"/>
    </row>
    <row r="322" spans="10:11" ht="13">
      <c r="J322" s="205"/>
      <c r="K322" s="205"/>
    </row>
    <row r="323" spans="10:11" ht="13">
      <c r="J323" s="205"/>
      <c r="K323" s="205"/>
    </row>
    <row r="324" spans="10:11" ht="13">
      <c r="J324" s="205"/>
      <c r="K324" s="205"/>
    </row>
    <row r="325" spans="10:11" ht="13">
      <c r="J325" s="205"/>
      <c r="K325" s="205"/>
    </row>
    <row r="326" spans="10:11" ht="13">
      <c r="J326" s="205"/>
      <c r="K326" s="205"/>
    </row>
    <row r="327" spans="10:11" ht="13">
      <c r="J327" s="205"/>
      <c r="K327" s="205"/>
    </row>
    <row r="328" spans="10:11" ht="13">
      <c r="J328" s="205"/>
      <c r="K328" s="205"/>
    </row>
    <row r="329" spans="10:11" ht="13">
      <c r="J329" s="205"/>
      <c r="K329" s="205"/>
    </row>
    <row r="330" spans="10:11" ht="13">
      <c r="J330" s="205"/>
      <c r="K330" s="205"/>
    </row>
    <row r="331" spans="10:11" ht="13">
      <c r="J331" s="205"/>
      <c r="K331" s="205"/>
    </row>
    <row r="332" spans="10:11" ht="13">
      <c r="J332" s="205"/>
      <c r="K332" s="205"/>
    </row>
    <row r="333" spans="10:11" ht="13">
      <c r="J333" s="205"/>
      <c r="K333" s="205"/>
    </row>
    <row r="334" spans="10:11" ht="13">
      <c r="J334" s="205"/>
      <c r="K334" s="205"/>
    </row>
    <row r="335" spans="10:11" ht="13">
      <c r="J335" s="205"/>
      <c r="K335" s="205"/>
    </row>
    <row r="336" spans="10:11" ht="13">
      <c r="J336" s="205"/>
      <c r="K336" s="205"/>
    </row>
    <row r="337" spans="10:11" ht="13">
      <c r="J337" s="205"/>
      <c r="K337" s="205"/>
    </row>
    <row r="338" spans="10:11" ht="13">
      <c r="J338" s="205"/>
      <c r="K338" s="205"/>
    </row>
    <row r="339" spans="10:11" ht="13">
      <c r="J339" s="205"/>
      <c r="K339" s="205"/>
    </row>
    <row r="340" spans="10:11" ht="13">
      <c r="J340" s="205"/>
      <c r="K340" s="205"/>
    </row>
    <row r="341" spans="10:11" ht="13">
      <c r="J341" s="205"/>
      <c r="K341" s="205"/>
    </row>
    <row r="342" spans="10:11" ht="13">
      <c r="J342" s="205"/>
      <c r="K342" s="205"/>
    </row>
    <row r="343" spans="10:11" ht="13">
      <c r="J343" s="205"/>
      <c r="K343" s="205"/>
    </row>
    <row r="344" spans="10:11" ht="13">
      <c r="J344" s="205"/>
      <c r="K344" s="205"/>
    </row>
    <row r="345" spans="10:11" ht="13">
      <c r="J345" s="205"/>
      <c r="K345" s="205"/>
    </row>
    <row r="346" spans="10:11" ht="13">
      <c r="J346" s="205"/>
      <c r="K346" s="205"/>
    </row>
    <row r="347" spans="10:11" ht="13">
      <c r="J347" s="205"/>
      <c r="K347" s="205"/>
    </row>
    <row r="348" spans="10:11" ht="13">
      <c r="J348" s="205"/>
      <c r="K348" s="205"/>
    </row>
    <row r="349" spans="10:11" ht="13">
      <c r="J349" s="205"/>
      <c r="K349" s="205"/>
    </row>
    <row r="350" spans="10:11" ht="13">
      <c r="J350" s="205"/>
      <c r="K350" s="205"/>
    </row>
    <row r="351" spans="10:11" ht="13">
      <c r="J351" s="205"/>
      <c r="K351" s="205"/>
    </row>
    <row r="352" spans="10:11" ht="13">
      <c r="J352" s="205"/>
      <c r="K352" s="205"/>
    </row>
    <row r="353" spans="10:11" ht="13">
      <c r="J353" s="205"/>
      <c r="K353" s="205"/>
    </row>
    <row r="354" spans="10:11" ht="13">
      <c r="J354" s="205"/>
      <c r="K354" s="205"/>
    </row>
    <row r="355" spans="10:11" ht="13">
      <c r="J355" s="205"/>
      <c r="K355" s="205"/>
    </row>
    <row r="356" spans="10:11" ht="13">
      <c r="J356" s="205"/>
      <c r="K356" s="205"/>
    </row>
    <row r="357" spans="10:11" ht="13">
      <c r="J357" s="205"/>
      <c r="K357" s="205"/>
    </row>
    <row r="358" spans="10:11" ht="13">
      <c r="J358" s="205"/>
      <c r="K358" s="205"/>
    </row>
    <row r="359" spans="10:11" ht="13">
      <c r="J359" s="205"/>
      <c r="K359" s="205"/>
    </row>
    <row r="360" spans="10:11" ht="13">
      <c r="J360" s="205"/>
      <c r="K360" s="205"/>
    </row>
    <row r="361" spans="10:11" ht="13">
      <c r="J361" s="205"/>
      <c r="K361" s="205"/>
    </row>
    <row r="362" spans="10:11" ht="13">
      <c r="J362" s="205"/>
      <c r="K362" s="205"/>
    </row>
    <row r="363" spans="10:11" ht="13">
      <c r="J363" s="205"/>
      <c r="K363" s="205"/>
    </row>
    <row r="364" spans="10:11" ht="13">
      <c r="J364" s="205"/>
      <c r="K364" s="205"/>
    </row>
    <row r="365" spans="10:11" ht="13">
      <c r="J365" s="205"/>
      <c r="K365" s="205"/>
    </row>
    <row r="366" spans="10:11" ht="13">
      <c r="J366" s="205"/>
      <c r="K366" s="205"/>
    </row>
    <row r="367" spans="10:11" ht="13">
      <c r="J367" s="205"/>
      <c r="K367" s="205"/>
    </row>
    <row r="368" spans="10:11" ht="13">
      <c r="J368" s="205"/>
      <c r="K368" s="205"/>
    </row>
    <row r="369" spans="10:11" ht="13">
      <c r="J369" s="205"/>
      <c r="K369" s="205"/>
    </row>
    <row r="370" spans="10:11" ht="13">
      <c r="J370" s="205"/>
      <c r="K370" s="205"/>
    </row>
    <row r="371" spans="10:11" ht="13">
      <c r="J371" s="205"/>
      <c r="K371" s="205"/>
    </row>
    <row r="372" spans="10:11" ht="13">
      <c r="J372" s="205"/>
      <c r="K372" s="205"/>
    </row>
    <row r="373" spans="10:11" ht="13">
      <c r="J373" s="205"/>
      <c r="K373" s="205"/>
    </row>
    <row r="374" spans="10:11" ht="13">
      <c r="J374" s="205"/>
      <c r="K374" s="205"/>
    </row>
    <row r="375" spans="10:11" ht="13">
      <c r="J375" s="205"/>
      <c r="K375" s="205"/>
    </row>
    <row r="376" spans="10:11" ht="13">
      <c r="J376" s="205"/>
      <c r="K376" s="205"/>
    </row>
    <row r="377" spans="10:11" ht="13">
      <c r="J377" s="205"/>
      <c r="K377" s="205"/>
    </row>
    <row r="378" spans="10:11" ht="13">
      <c r="J378" s="205"/>
      <c r="K378" s="205"/>
    </row>
    <row r="379" spans="10:11" ht="13">
      <c r="J379" s="205"/>
      <c r="K379" s="205"/>
    </row>
    <row r="380" spans="10:11" ht="13">
      <c r="J380" s="205"/>
      <c r="K380" s="205"/>
    </row>
    <row r="381" spans="10:11" ht="13">
      <c r="J381" s="205"/>
      <c r="K381" s="205"/>
    </row>
    <row r="382" spans="10:11" ht="13">
      <c r="J382" s="205"/>
      <c r="K382" s="205"/>
    </row>
    <row r="383" spans="10:11" ht="13">
      <c r="J383" s="205"/>
      <c r="K383" s="205"/>
    </row>
    <row r="384" spans="10:11" ht="13">
      <c r="J384" s="205"/>
      <c r="K384" s="205"/>
    </row>
    <row r="385" spans="10:11" ht="13">
      <c r="J385" s="205"/>
      <c r="K385" s="205"/>
    </row>
    <row r="386" spans="10:11" ht="13">
      <c r="J386" s="205"/>
      <c r="K386" s="205"/>
    </row>
    <row r="387" spans="10:11" ht="13">
      <c r="J387" s="205"/>
      <c r="K387" s="205"/>
    </row>
    <row r="388" spans="10:11" ht="13">
      <c r="J388" s="205"/>
      <c r="K388" s="205"/>
    </row>
    <row r="389" spans="10:11" ht="13">
      <c r="J389" s="205"/>
      <c r="K389" s="205"/>
    </row>
    <row r="390" spans="10:11" ht="13">
      <c r="J390" s="205"/>
      <c r="K390" s="205"/>
    </row>
    <row r="391" spans="10:11" ht="13">
      <c r="J391" s="205"/>
      <c r="K391" s="205"/>
    </row>
    <row r="392" spans="10:11" ht="13">
      <c r="J392" s="205"/>
      <c r="K392" s="205"/>
    </row>
    <row r="393" spans="10:11" ht="13">
      <c r="J393" s="205"/>
      <c r="K393" s="205"/>
    </row>
    <row r="394" spans="10:11" ht="13">
      <c r="J394" s="205"/>
      <c r="K394" s="205"/>
    </row>
    <row r="395" spans="10:11" ht="13">
      <c r="J395" s="205"/>
      <c r="K395" s="205"/>
    </row>
    <row r="396" spans="10:11" ht="13">
      <c r="J396" s="205"/>
      <c r="K396" s="205"/>
    </row>
    <row r="397" spans="10:11" ht="13">
      <c r="J397" s="205"/>
      <c r="K397" s="205"/>
    </row>
    <row r="398" spans="10:11" ht="13">
      <c r="J398" s="205"/>
      <c r="K398" s="205"/>
    </row>
    <row r="399" spans="10:11" ht="13">
      <c r="J399" s="205"/>
      <c r="K399" s="205"/>
    </row>
    <row r="400" spans="10:11" ht="13">
      <c r="J400" s="205"/>
      <c r="K400" s="205"/>
    </row>
    <row r="401" spans="10:11" ht="13">
      <c r="J401" s="205"/>
      <c r="K401" s="205"/>
    </row>
    <row r="402" spans="10:11" ht="13">
      <c r="J402" s="205"/>
      <c r="K402" s="205"/>
    </row>
    <row r="403" spans="10:11" ht="13">
      <c r="J403" s="205"/>
      <c r="K403" s="205"/>
    </row>
    <row r="404" spans="10:11" ht="13">
      <c r="J404" s="205"/>
      <c r="K404" s="205"/>
    </row>
    <row r="405" spans="10:11" ht="13">
      <c r="J405" s="205"/>
      <c r="K405" s="205"/>
    </row>
    <row r="406" spans="10:11" ht="13">
      <c r="J406" s="205"/>
      <c r="K406" s="205"/>
    </row>
    <row r="407" spans="10:11" ht="13">
      <c r="J407" s="205"/>
      <c r="K407" s="205"/>
    </row>
    <row r="408" spans="10:11" ht="13">
      <c r="J408" s="205"/>
      <c r="K408" s="205"/>
    </row>
    <row r="409" spans="10:11" ht="13">
      <c r="J409" s="205"/>
      <c r="K409" s="205"/>
    </row>
    <row r="410" spans="10:11" ht="13">
      <c r="J410" s="205"/>
      <c r="K410" s="205"/>
    </row>
    <row r="411" spans="10:11" ht="13">
      <c r="J411" s="205"/>
      <c r="K411" s="205"/>
    </row>
    <row r="412" spans="10:11" ht="13">
      <c r="J412" s="205"/>
      <c r="K412" s="205"/>
    </row>
    <row r="413" spans="10:11" ht="13">
      <c r="J413" s="205"/>
      <c r="K413" s="205"/>
    </row>
    <row r="414" spans="10:11" ht="13">
      <c r="J414" s="205"/>
      <c r="K414" s="205"/>
    </row>
    <row r="415" spans="10:11" ht="13">
      <c r="J415" s="205"/>
      <c r="K415" s="205"/>
    </row>
    <row r="416" spans="10:11" ht="13">
      <c r="J416" s="205"/>
      <c r="K416" s="205"/>
    </row>
    <row r="417" spans="10:11" ht="13">
      <c r="J417" s="205"/>
      <c r="K417" s="205"/>
    </row>
    <row r="418" spans="10:11" ht="13">
      <c r="J418" s="205"/>
      <c r="K418" s="205"/>
    </row>
    <row r="419" spans="10:11" ht="13">
      <c r="J419" s="205"/>
      <c r="K419" s="205"/>
    </row>
    <row r="420" spans="10:11" ht="13">
      <c r="J420" s="205"/>
      <c r="K420" s="205"/>
    </row>
    <row r="421" spans="10:11" ht="13">
      <c r="J421" s="205"/>
      <c r="K421" s="205"/>
    </row>
    <row r="422" spans="10:11" ht="13">
      <c r="J422" s="205"/>
      <c r="K422" s="205"/>
    </row>
    <row r="423" spans="10:11" ht="13">
      <c r="J423" s="205"/>
      <c r="K423" s="205"/>
    </row>
    <row r="424" spans="10:11" ht="13">
      <c r="J424" s="205"/>
      <c r="K424" s="205"/>
    </row>
    <row r="425" spans="10:11" ht="13">
      <c r="J425" s="205"/>
      <c r="K425" s="205"/>
    </row>
    <row r="426" spans="10:11" ht="13">
      <c r="J426" s="205"/>
      <c r="K426" s="205"/>
    </row>
    <row r="427" spans="10:11" ht="13">
      <c r="J427" s="205"/>
      <c r="K427" s="205"/>
    </row>
    <row r="428" spans="10:11" ht="13">
      <c r="J428" s="205"/>
      <c r="K428" s="205"/>
    </row>
    <row r="429" spans="10:11" ht="13">
      <c r="J429" s="205"/>
      <c r="K429" s="205"/>
    </row>
    <row r="430" spans="10:11" ht="13">
      <c r="J430" s="205"/>
      <c r="K430" s="205"/>
    </row>
    <row r="431" spans="10:11" ht="13">
      <c r="J431" s="205"/>
      <c r="K431" s="205"/>
    </row>
    <row r="432" spans="10:11" ht="13">
      <c r="J432" s="205"/>
      <c r="K432" s="205"/>
    </row>
    <row r="433" spans="8:11" ht="13">
      <c r="J433" s="205"/>
      <c r="K433" s="205"/>
    </row>
    <row r="434" spans="8:11" ht="13">
      <c r="H434" s="205"/>
      <c r="J434" s="205"/>
      <c r="K434" s="205"/>
    </row>
    <row r="435" spans="8:11" ht="13">
      <c r="J435" s="205"/>
      <c r="K435" s="205"/>
    </row>
    <row r="436" spans="8:11" ht="13">
      <c r="J436" s="205"/>
      <c r="K436" s="205"/>
    </row>
    <row r="437" spans="8:11" ht="13">
      <c r="J437" s="205"/>
      <c r="K437" s="205"/>
    </row>
    <row r="438" spans="8:11" ht="13">
      <c r="J438" s="205"/>
      <c r="K438" s="205"/>
    </row>
    <row r="439" spans="8:11" ht="13">
      <c r="J439" s="205"/>
      <c r="K439" s="205"/>
    </row>
    <row r="440" spans="8:11" ht="13">
      <c r="J440" s="205"/>
      <c r="K440" s="205"/>
    </row>
    <row r="441" spans="8:11" ht="13">
      <c r="J441" s="205"/>
      <c r="K441" s="205"/>
    </row>
    <row r="442" spans="8:11" ht="13">
      <c r="J442" s="205"/>
      <c r="K442" s="205"/>
    </row>
    <row r="443" spans="8:11" ht="13">
      <c r="J443" s="205"/>
      <c r="K443" s="205"/>
    </row>
    <row r="444" spans="8:11" ht="13">
      <c r="J444" s="205"/>
      <c r="K444" s="205"/>
    </row>
    <row r="445" spans="8:11" ht="13">
      <c r="J445" s="205"/>
      <c r="K445" s="205"/>
    </row>
    <row r="446" spans="8:11" ht="13">
      <c r="J446" s="205"/>
      <c r="K446" s="205"/>
    </row>
    <row r="447" spans="8:11" ht="13">
      <c r="J447" s="205"/>
      <c r="K447" s="205"/>
    </row>
    <row r="448" spans="8:11" ht="13">
      <c r="J448" s="205"/>
      <c r="K448" s="205"/>
    </row>
    <row r="449" spans="10:11" ht="13">
      <c r="J449" s="205"/>
      <c r="K449" s="205"/>
    </row>
    <row r="450" spans="10:11" ht="13">
      <c r="J450" s="205"/>
      <c r="K450" s="205"/>
    </row>
    <row r="451" spans="10:11" ht="13">
      <c r="J451" s="205"/>
      <c r="K451" s="205"/>
    </row>
    <row r="452" spans="10:11" ht="13">
      <c r="J452" s="205"/>
      <c r="K452" s="205"/>
    </row>
    <row r="453" spans="10:11" ht="13">
      <c r="J453" s="205"/>
      <c r="K453" s="205"/>
    </row>
    <row r="454" spans="10:11" ht="13">
      <c r="J454" s="205"/>
      <c r="K454" s="205"/>
    </row>
    <row r="455" spans="10:11" ht="13">
      <c r="J455" s="205"/>
      <c r="K455" s="205"/>
    </row>
    <row r="456" spans="10:11" ht="13">
      <c r="J456" s="205"/>
      <c r="K456" s="205"/>
    </row>
    <row r="457" spans="10:11" ht="13">
      <c r="J457" s="205"/>
      <c r="K457" s="205"/>
    </row>
    <row r="458" spans="10:11" ht="13">
      <c r="J458" s="205"/>
      <c r="K458" s="205"/>
    </row>
    <row r="459" spans="10:11" ht="13">
      <c r="J459" s="205"/>
      <c r="K459" s="205"/>
    </row>
    <row r="460" spans="10:11" ht="13">
      <c r="J460" s="205"/>
      <c r="K460" s="205"/>
    </row>
    <row r="461" spans="10:11" ht="13">
      <c r="J461" s="205"/>
      <c r="K461" s="205"/>
    </row>
    <row r="462" spans="10:11" ht="13">
      <c r="J462" s="205"/>
      <c r="K462" s="205"/>
    </row>
    <row r="463" spans="10:11" ht="13">
      <c r="J463" s="205"/>
      <c r="K463" s="205"/>
    </row>
    <row r="464" spans="10:11" ht="13">
      <c r="J464" s="205"/>
      <c r="K464" s="205"/>
    </row>
    <row r="465" spans="8:11" ht="13">
      <c r="J465" s="205"/>
      <c r="K465" s="205"/>
    </row>
    <row r="466" spans="8:11" ht="13">
      <c r="J466" s="205"/>
      <c r="K466" s="205"/>
    </row>
    <row r="467" spans="8:11" ht="13">
      <c r="J467" s="205"/>
      <c r="K467" s="205"/>
    </row>
    <row r="468" spans="8:11" ht="13">
      <c r="J468" s="205"/>
      <c r="K468" s="205"/>
    </row>
    <row r="469" spans="8:11" ht="13">
      <c r="J469" s="205"/>
      <c r="K469" s="205"/>
    </row>
    <row r="470" spans="8:11" ht="13">
      <c r="J470" s="205"/>
      <c r="K470" s="205"/>
    </row>
    <row r="471" spans="8:11" ht="13">
      <c r="J471" s="205"/>
      <c r="K471" s="205"/>
    </row>
    <row r="472" spans="8:11" ht="13">
      <c r="J472" s="205"/>
      <c r="K472" s="205"/>
    </row>
    <row r="473" spans="8:11" ht="13">
      <c r="J473" s="205"/>
      <c r="K473" s="205"/>
    </row>
    <row r="474" spans="8:11" ht="13">
      <c r="J474" s="205"/>
      <c r="K474" s="205"/>
    </row>
    <row r="475" spans="8:11" ht="13">
      <c r="J475" s="205"/>
      <c r="K475" s="205"/>
    </row>
    <row r="476" spans="8:11" ht="13">
      <c r="H476" s="205"/>
      <c r="J476" s="205"/>
      <c r="K476" s="205"/>
    </row>
    <row r="477" spans="8:11" ht="13">
      <c r="J477" s="205"/>
      <c r="K477" s="205"/>
    </row>
    <row r="478" spans="8:11" ht="13">
      <c r="J478" s="205"/>
      <c r="K478" s="205"/>
    </row>
    <row r="479" spans="8:11" ht="13">
      <c r="J479" s="205"/>
      <c r="K479" s="205"/>
    </row>
    <row r="480" spans="8:11" ht="13">
      <c r="J480" s="205"/>
      <c r="K480" s="205"/>
    </row>
    <row r="481" spans="8:11" ht="13">
      <c r="J481" s="205"/>
      <c r="K481" s="205"/>
    </row>
    <row r="482" spans="8:11" ht="13">
      <c r="J482" s="205"/>
      <c r="K482" s="205"/>
    </row>
    <row r="483" spans="8:11" ht="13">
      <c r="J483" s="205"/>
      <c r="K483" s="205"/>
    </row>
    <row r="484" spans="8:11" ht="13">
      <c r="J484" s="205"/>
      <c r="K484" s="205"/>
    </row>
    <row r="485" spans="8:11" ht="13">
      <c r="J485" s="205"/>
      <c r="K485" s="205"/>
    </row>
    <row r="486" spans="8:11" ht="13">
      <c r="H486" s="205"/>
      <c r="J486" s="205"/>
      <c r="K486" s="205"/>
    </row>
    <row r="487" spans="8:11" ht="13">
      <c r="J487" s="205"/>
      <c r="K487" s="205"/>
    </row>
    <row r="488" spans="8:11" ht="13">
      <c r="J488" s="205"/>
      <c r="K488" s="205"/>
    </row>
    <row r="489" spans="8:11" ht="13">
      <c r="J489" s="205"/>
      <c r="K489" s="205"/>
    </row>
    <row r="490" spans="8:11" ht="13">
      <c r="J490" s="205"/>
      <c r="K490" s="205"/>
    </row>
    <row r="491" spans="8:11" ht="13">
      <c r="J491" s="205"/>
      <c r="K491" s="205"/>
    </row>
    <row r="492" spans="8:11" ht="13">
      <c r="J492" s="205"/>
      <c r="K492" s="205"/>
    </row>
    <row r="493" spans="8:11" ht="13">
      <c r="J493" s="205"/>
      <c r="K493" s="205"/>
    </row>
    <row r="494" spans="8:11" ht="13">
      <c r="J494" s="205"/>
      <c r="K494" s="205"/>
    </row>
    <row r="495" spans="8:11" ht="13">
      <c r="J495" s="205"/>
      <c r="K495" s="205"/>
    </row>
    <row r="496" spans="8:11" ht="13">
      <c r="J496" s="205"/>
      <c r="K496" s="205"/>
    </row>
    <row r="497" spans="10:11" ht="13">
      <c r="J497" s="205"/>
      <c r="K497" s="205"/>
    </row>
    <row r="498" spans="10:11" ht="13">
      <c r="J498" s="205"/>
      <c r="K498" s="205"/>
    </row>
    <row r="499" spans="10:11" ht="13">
      <c r="J499" s="205"/>
      <c r="K499" s="205"/>
    </row>
    <row r="500" spans="10:11" ht="13">
      <c r="J500" s="205"/>
      <c r="K500" s="205"/>
    </row>
    <row r="501" spans="10:11" ht="13">
      <c r="J501" s="205"/>
      <c r="K501" s="205"/>
    </row>
    <row r="502" spans="10:11" ht="13">
      <c r="J502" s="205"/>
      <c r="K502" s="205"/>
    </row>
    <row r="503" spans="10:11" ht="13">
      <c r="J503" s="205"/>
      <c r="K503" s="205"/>
    </row>
    <row r="504" spans="10:11" ht="13">
      <c r="J504" s="205"/>
      <c r="K504" s="205"/>
    </row>
    <row r="505" spans="10:11" ht="13">
      <c r="J505" s="205"/>
      <c r="K505" s="205"/>
    </row>
    <row r="506" spans="10:11" ht="13">
      <c r="J506" s="205"/>
      <c r="K506" s="205"/>
    </row>
    <row r="507" spans="10:11" ht="13">
      <c r="J507" s="205"/>
      <c r="K507" s="205"/>
    </row>
    <row r="508" spans="10:11" ht="13">
      <c r="J508" s="205"/>
      <c r="K508" s="205"/>
    </row>
    <row r="509" spans="10:11" ht="13">
      <c r="J509" s="205"/>
      <c r="K509" s="205"/>
    </row>
    <row r="510" spans="10:11" ht="13">
      <c r="J510" s="205"/>
      <c r="K510" s="205"/>
    </row>
    <row r="511" spans="10:11" ht="13">
      <c r="J511" s="205"/>
      <c r="K511" s="205"/>
    </row>
    <row r="512" spans="10:11" ht="13">
      <c r="J512" s="205"/>
      <c r="K512" s="205"/>
    </row>
    <row r="513" spans="10:11" ht="13">
      <c r="J513" s="205"/>
      <c r="K513" s="205"/>
    </row>
    <row r="514" spans="10:11" ht="13">
      <c r="J514" s="205"/>
      <c r="K514" s="205"/>
    </row>
    <row r="515" spans="10:11" ht="13">
      <c r="J515" s="205"/>
      <c r="K515" s="205"/>
    </row>
    <row r="516" spans="10:11" ht="13">
      <c r="J516" s="205"/>
      <c r="K516" s="205"/>
    </row>
    <row r="517" spans="10:11" ht="13">
      <c r="J517" s="205"/>
      <c r="K517" s="205"/>
    </row>
    <row r="518" spans="10:11" ht="13">
      <c r="J518" s="205"/>
      <c r="K518" s="205"/>
    </row>
    <row r="519" spans="10:11" ht="13">
      <c r="J519" s="205"/>
      <c r="K519" s="205"/>
    </row>
    <row r="520" spans="10:11" ht="13">
      <c r="J520" s="205"/>
      <c r="K520" s="205"/>
    </row>
    <row r="521" spans="10:11" ht="13">
      <c r="J521" s="205"/>
      <c r="K521" s="205"/>
    </row>
    <row r="522" spans="10:11" ht="13">
      <c r="J522" s="205"/>
      <c r="K522" s="205"/>
    </row>
    <row r="523" spans="10:11" ht="13">
      <c r="J523" s="205"/>
      <c r="K523" s="205"/>
    </row>
    <row r="524" spans="10:11" ht="13">
      <c r="J524" s="205"/>
      <c r="K524" s="205"/>
    </row>
    <row r="525" spans="10:11" ht="13">
      <c r="J525" s="205"/>
      <c r="K525" s="205"/>
    </row>
    <row r="526" spans="10:11" ht="13">
      <c r="J526" s="205"/>
      <c r="K526" s="205"/>
    </row>
    <row r="527" spans="10:11" ht="13">
      <c r="J527" s="205"/>
      <c r="K527" s="205"/>
    </row>
    <row r="528" spans="10:11" ht="13">
      <c r="J528" s="205"/>
      <c r="K528" s="205"/>
    </row>
    <row r="529" spans="10:11" ht="13">
      <c r="J529" s="205"/>
      <c r="K529" s="205"/>
    </row>
    <row r="530" spans="10:11" ht="13">
      <c r="J530" s="205"/>
      <c r="K530" s="205"/>
    </row>
    <row r="531" spans="10:11" ht="13">
      <c r="J531" s="205"/>
      <c r="K531" s="205"/>
    </row>
    <row r="532" spans="10:11" ht="13">
      <c r="J532" s="205"/>
      <c r="K532" s="205"/>
    </row>
    <row r="533" spans="10:11" ht="13">
      <c r="J533" s="205"/>
      <c r="K533" s="205"/>
    </row>
    <row r="534" spans="10:11" ht="13">
      <c r="J534" s="205"/>
      <c r="K534" s="205"/>
    </row>
    <row r="535" spans="10:11" ht="13">
      <c r="J535" s="205"/>
      <c r="K535" s="205"/>
    </row>
    <row r="536" spans="10:11" ht="13">
      <c r="J536" s="205"/>
      <c r="K536" s="205"/>
    </row>
    <row r="537" spans="10:11" ht="13">
      <c r="J537" s="205"/>
      <c r="K537" s="205"/>
    </row>
    <row r="538" spans="10:11" ht="13">
      <c r="J538" s="205"/>
      <c r="K538" s="205"/>
    </row>
    <row r="539" spans="10:11" ht="13">
      <c r="J539" s="205"/>
      <c r="K539" s="205"/>
    </row>
    <row r="540" spans="10:11" ht="13">
      <c r="J540" s="205"/>
      <c r="K540" s="205"/>
    </row>
    <row r="541" spans="10:11" ht="13">
      <c r="J541" s="205"/>
      <c r="K541" s="205"/>
    </row>
    <row r="542" spans="10:11" ht="13">
      <c r="J542" s="205"/>
      <c r="K542" s="205"/>
    </row>
    <row r="543" spans="10:11" ht="13">
      <c r="J543" s="205"/>
      <c r="K543" s="205"/>
    </row>
    <row r="544" spans="10:11" ht="13">
      <c r="J544" s="205"/>
      <c r="K544" s="205"/>
    </row>
    <row r="545" spans="8:22" ht="13">
      <c r="J545" s="205"/>
      <c r="K545" s="205"/>
    </row>
    <row r="546" spans="8:22" ht="13">
      <c r="J546" s="205"/>
      <c r="K546" s="205"/>
    </row>
    <row r="547" spans="8:22" ht="13">
      <c r="J547" s="205"/>
      <c r="K547" s="205"/>
    </row>
    <row r="548" spans="8:22" ht="13">
      <c r="H548" s="205"/>
      <c r="J548" s="205"/>
      <c r="K548" s="205"/>
      <c r="V548" s="25">
        <v>500</v>
      </c>
    </row>
    <row r="549" spans="8:22" ht="13">
      <c r="J549" s="205"/>
      <c r="K549" s="205"/>
    </row>
    <row r="550" spans="8:22" ht="13">
      <c r="J550" s="205"/>
      <c r="K550" s="205"/>
    </row>
    <row r="551" spans="8:22" ht="13">
      <c r="J551" s="205"/>
      <c r="K551" s="205"/>
    </row>
    <row r="552" spans="8:22" ht="13">
      <c r="J552" s="205"/>
      <c r="K552" s="205"/>
    </row>
    <row r="553" spans="8:22" ht="13">
      <c r="J553" s="205"/>
      <c r="K553" s="205"/>
    </row>
    <row r="554" spans="8:22" ht="13">
      <c r="J554" s="205"/>
      <c r="K554" s="205"/>
    </row>
    <row r="555" spans="8:22" ht="13">
      <c r="J555" s="205"/>
      <c r="K555" s="205"/>
    </row>
    <row r="556" spans="8:22" ht="13">
      <c r="J556" s="205"/>
      <c r="K556" s="205"/>
    </row>
    <row r="557" spans="8:22" ht="13">
      <c r="J557" s="205"/>
      <c r="K557" s="205"/>
    </row>
    <row r="558" spans="8:22" ht="13">
      <c r="J558" s="205"/>
      <c r="K558" s="205"/>
    </row>
    <row r="559" spans="8:22" ht="13">
      <c r="J559" s="205"/>
      <c r="K559" s="205"/>
    </row>
    <row r="560" spans="8:22" ht="13">
      <c r="J560" s="205"/>
      <c r="K560" s="205"/>
    </row>
    <row r="561" spans="10:11" ht="13">
      <c r="J561" s="205"/>
      <c r="K561" s="205"/>
    </row>
    <row r="562" spans="10:11" ht="13">
      <c r="J562" s="205"/>
      <c r="K562" s="205"/>
    </row>
    <row r="563" spans="10:11" ht="13">
      <c r="J563" s="205"/>
      <c r="K563" s="205"/>
    </row>
    <row r="564" spans="10:11" ht="13">
      <c r="J564" s="205"/>
      <c r="K564" s="205"/>
    </row>
    <row r="565" spans="10:11" ht="13">
      <c r="J565" s="205"/>
      <c r="K565" s="205"/>
    </row>
    <row r="566" spans="10:11" ht="13">
      <c r="J566" s="205"/>
      <c r="K566" s="205"/>
    </row>
    <row r="567" spans="10:11" ht="13">
      <c r="J567" s="205"/>
      <c r="K567" s="205"/>
    </row>
    <row r="568" spans="10:11" ht="13">
      <c r="J568" s="205"/>
      <c r="K568" s="205"/>
    </row>
    <row r="569" spans="10:11" ht="13">
      <c r="J569" s="205"/>
      <c r="K569" s="205"/>
    </row>
    <row r="570" spans="10:11" ht="13">
      <c r="J570" s="205"/>
      <c r="K570" s="205"/>
    </row>
    <row r="571" spans="10:11" ht="13">
      <c r="J571" s="205"/>
      <c r="K571" s="205"/>
    </row>
    <row r="572" spans="10:11" ht="13">
      <c r="J572" s="205"/>
      <c r="K572" s="205"/>
    </row>
    <row r="573" spans="10:11" ht="13">
      <c r="J573" s="205"/>
      <c r="K573" s="205"/>
    </row>
    <row r="574" spans="10:11" ht="13">
      <c r="J574" s="205"/>
      <c r="K574" s="205"/>
    </row>
    <row r="575" spans="10:11" ht="13">
      <c r="J575" s="205"/>
      <c r="K575" s="205"/>
    </row>
    <row r="576" spans="10:11" ht="13">
      <c r="J576" s="205"/>
      <c r="K576" s="205"/>
    </row>
    <row r="577" spans="10:11" ht="13">
      <c r="J577" s="205"/>
      <c r="K577" s="205"/>
    </row>
    <row r="578" spans="10:11" ht="13">
      <c r="J578" s="205"/>
      <c r="K578" s="205"/>
    </row>
    <row r="579" spans="10:11" ht="13">
      <c r="J579" s="205"/>
      <c r="K579" s="205"/>
    </row>
    <row r="580" spans="10:11" ht="13">
      <c r="J580" s="205"/>
      <c r="K580" s="205"/>
    </row>
    <row r="581" spans="10:11" ht="13">
      <c r="J581" s="205"/>
      <c r="K581" s="205"/>
    </row>
    <row r="582" spans="10:11" ht="13">
      <c r="J582" s="205"/>
      <c r="K582" s="205"/>
    </row>
    <row r="583" spans="10:11" ht="13">
      <c r="J583" s="205"/>
      <c r="K583" s="205"/>
    </row>
    <row r="584" spans="10:11" ht="13">
      <c r="J584" s="205"/>
      <c r="K584" s="205"/>
    </row>
    <row r="585" spans="10:11" ht="13">
      <c r="J585" s="205"/>
      <c r="K585" s="205"/>
    </row>
    <row r="586" spans="10:11" ht="13">
      <c r="J586" s="205"/>
      <c r="K586" s="205"/>
    </row>
    <row r="587" spans="10:11" ht="13">
      <c r="J587" s="205"/>
      <c r="K587" s="205"/>
    </row>
    <row r="588" spans="10:11" ht="13">
      <c r="J588" s="205"/>
      <c r="K588" s="205"/>
    </row>
    <row r="589" spans="10:11" ht="13">
      <c r="J589" s="205"/>
      <c r="K589" s="205"/>
    </row>
    <row r="590" spans="10:11" ht="13">
      <c r="J590" s="205"/>
      <c r="K590" s="205"/>
    </row>
    <row r="591" spans="10:11" ht="13">
      <c r="J591" s="205"/>
      <c r="K591" s="205"/>
    </row>
    <row r="592" spans="10:11" ht="13">
      <c r="J592" s="205"/>
      <c r="K592" s="205"/>
    </row>
    <row r="593" spans="10:11" ht="13">
      <c r="J593" s="205"/>
      <c r="K593" s="205"/>
    </row>
    <row r="594" spans="10:11" ht="13">
      <c r="J594" s="205"/>
      <c r="K594" s="205"/>
    </row>
    <row r="595" spans="10:11" ht="13">
      <c r="J595" s="205"/>
      <c r="K595" s="205"/>
    </row>
    <row r="596" spans="10:11" ht="13">
      <c r="J596" s="205"/>
      <c r="K596" s="205"/>
    </row>
    <row r="597" spans="10:11" ht="13">
      <c r="J597" s="205"/>
      <c r="K597" s="205"/>
    </row>
    <row r="598" spans="10:11" ht="13">
      <c r="J598" s="205"/>
      <c r="K598" s="205"/>
    </row>
    <row r="599" spans="10:11" ht="13">
      <c r="J599" s="205"/>
      <c r="K599" s="205"/>
    </row>
    <row r="600" spans="10:11" ht="13">
      <c r="J600" s="205"/>
      <c r="K600" s="205"/>
    </row>
    <row r="601" spans="10:11" ht="13">
      <c r="J601" s="205"/>
      <c r="K601" s="205"/>
    </row>
    <row r="602" spans="10:11" ht="13">
      <c r="J602" s="205"/>
      <c r="K602" s="205"/>
    </row>
    <row r="603" spans="10:11" ht="13">
      <c r="J603" s="205"/>
      <c r="K603" s="205"/>
    </row>
    <row r="604" spans="10:11" ht="13">
      <c r="J604" s="205"/>
      <c r="K604" s="205"/>
    </row>
    <row r="605" spans="10:11" ht="13">
      <c r="J605" s="205"/>
      <c r="K605" s="205"/>
    </row>
    <row r="606" spans="10:11" ht="13">
      <c r="J606" s="205"/>
      <c r="K606" s="205"/>
    </row>
    <row r="607" spans="10:11" ht="13">
      <c r="J607" s="205"/>
      <c r="K607" s="205"/>
    </row>
    <row r="608" spans="10:11" ht="13">
      <c r="J608" s="205"/>
      <c r="K608" s="205"/>
    </row>
    <row r="609" spans="10:11" ht="13">
      <c r="J609" s="205"/>
      <c r="K609" s="205"/>
    </row>
    <row r="610" spans="10:11" ht="13">
      <c r="J610" s="205"/>
      <c r="K610" s="205"/>
    </row>
    <row r="611" spans="10:11" ht="13">
      <c r="J611" s="205"/>
      <c r="K611" s="205"/>
    </row>
    <row r="612" spans="10:11" ht="13">
      <c r="J612" s="205"/>
      <c r="K612" s="205"/>
    </row>
    <row r="613" spans="10:11" ht="13">
      <c r="J613" s="205"/>
      <c r="K613" s="205"/>
    </row>
    <row r="614" spans="10:11" ht="13">
      <c r="J614" s="205"/>
      <c r="K614" s="205"/>
    </row>
    <row r="615" spans="10:11" ht="13">
      <c r="J615" s="205"/>
      <c r="K615" s="205"/>
    </row>
    <row r="616" spans="10:11" ht="13">
      <c r="J616" s="205"/>
      <c r="K616" s="205"/>
    </row>
    <row r="617" spans="10:11" ht="13">
      <c r="J617" s="205"/>
      <c r="K617" s="205"/>
    </row>
    <row r="618" spans="10:11" ht="13">
      <c r="J618" s="205"/>
      <c r="K618" s="205"/>
    </row>
    <row r="619" spans="10:11" ht="13">
      <c r="J619" s="205"/>
      <c r="K619" s="205"/>
    </row>
    <row r="620" spans="10:11" ht="13">
      <c r="J620" s="205"/>
      <c r="K620" s="205"/>
    </row>
    <row r="621" spans="10:11" ht="13">
      <c r="J621" s="205"/>
      <c r="K621" s="205"/>
    </row>
    <row r="622" spans="10:11" ht="13">
      <c r="J622" s="205"/>
      <c r="K622" s="205"/>
    </row>
    <row r="623" spans="10:11" ht="13">
      <c r="J623" s="205"/>
      <c r="K623" s="205"/>
    </row>
    <row r="624" spans="10:11" ht="13">
      <c r="J624" s="205"/>
      <c r="K624" s="205"/>
    </row>
    <row r="625" spans="10:11" ht="13">
      <c r="J625" s="205"/>
      <c r="K625" s="205"/>
    </row>
    <row r="626" spans="10:11" ht="13">
      <c r="J626" s="205"/>
      <c r="K626" s="205"/>
    </row>
    <row r="627" spans="10:11" ht="13">
      <c r="J627" s="205"/>
      <c r="K627" s="205"/>
    </row>
    <row r="628" spans="10:11" ht="13">
      <c r="J628" s="205"/>
      <c r="K628" s="205"/>
    </row>
    <row r="629" spans="10:11" ht="13">
      <c r="J629" s="205"/>
      <c r="K629" s="205"/>
    </row>
    <row r="630" spans="10:11" ht="13">
      <c r="J630" s="205"/>
      <c r="K630" s="205"/>
    </row>
    <row r="631" spans="10:11" ht="13">
      <c r="J631" s="205"/>
      <c r="K631" s="205"/>
    </row>
    <row r="632" spans="10:11" ht="13">
      <c r="J632" s="205"/>
      <c r="K632" s="205"/>
    </row>
    <row r="633" spans="10:11" ht="13">
      <c r="J633" s="205"/>
      <c r="K633" s="205"/>
    </row>
    <row r="634" spans="10:11" ht="13">
      <c r="J634" s="205"/>
      <c r="K634" s="205"/>
    </row>
    <row r="635" spans="10:11" ht="13">
      <c r="J635" s="205"/>
      <c r="K635" s="205"/>
    </row>
    <row r="636" spans="10:11" ht="13">
      <c r="J636" s="205"/>
      <c r="K636" s="205"/>
    </row>
    <row r="637" spans="10:11" ht="13">
      <c r="J637" s="205"/>
      <c r="K637" s="205"/>
    </row>
    <row r="638" spans="10:11" ht="13">
      <c r="J638" s="205"/>
      <c r="K638" s="205"/>
    </row>
    <row r="639" spans="10:11" ht="13">
      <c r="J639" s="205"/>
      <c r="K639" s="205"/>
    </row>
    <row r="640" spans="10:11" ht="13">
      <c r="J640" s="205"/>
      <c r="K640" s="205"/>
    </row>
    <row r="641" spans="10:11" ht="13">
      <c r="J641" s="205"/>
      <c r="K641" s="205"/>
    </row>
    <row r="642" spans="10:11" ht="13">
      <c r="J642" s="205"/>
      <c r="K642" s="205"/>
    </row>
    <row r="643" spans="10:11" ht="13">
      <c r="J643" s="205"/>
      <c r="K643" s="205"/>
    </row>
    <row r="644" spans="10:11" ht="13">
      <c r="J644" s="205"/>
      <c r="K644" s="205"/>
    </row>
    <row r="645" spans="10:11" ht="13">
      <c r="J645" s="205"/>
      <c r="K645" s="205"/>
    </row>
    <row r="646" spans="10:11" ht="13">
      <c r="J646" s="205"/>
      <c r="K646" s="205"/>
    </row>
    <row r="647" spans="10:11" ht="13">
      <c r="J647" s="205"/>
      <c r="K647" s="205"/>
    </row>
    <row r="648" spans="10:11" ht="13">
      <c r="J648" s="205"/>
      <c r="K648" s="205"/>
    </row>
    <row r="649" spans="10:11" ht="13">
      <c r="J649" s="205"/>
      <c r="K649" s="205"/>
    </row>
    <row r="650" spans="10:11" ht="13">
      <c r="J650" s="205"/>
      <c r="K650" s="205"/>
    </row>
    <row r="651" spans="10:11" ht="13">
      <c r="J651" s="205"/>
      <c r="K651" s="205"/>
    </row>
    <row r="652" spans="10:11" ht="13">
      <c r="J652" s="205"/>
      <c r="K652" s="205"/>
    </row>
    <row r="653" spans="10:11" ht="13">
      <c r="J653" s="205"/>
      <c r="K653" s="205"/>
    </row>
    <row r="654" spans="10:11" ht="13">
      <c r="J654" s="205"/>
      <c r="K654" s="205"/>
    </row>
    <row r="655" spans="10:11" ht="13">
      <c r="J655" s="205"/>
      <c r="K655" s="205"/>
    </row>
    <row r="656" spans="10:11" ht="13">
      <c r="J656" s="205"/>
      <c r="K656" s="205"/>
    </row>
    <row r="657" spans="8:11" ht="13">
      <c r="J657" s="205"/>
      <c r="K657" s="205"/>
    </row>
    <row r="658" spans="8:11" ht="13">
      <c r="J658" s="205"/>
      <c r="K658" s="205"/>
    </row>
    <row r="659" spans="8:11" ht="13">
      <c r="J659" s="205"/>
      <c r="K659" s="205"/>
    </row>
    <row r="660" spans="8:11" ht="13">
      <c r="H660" s="205"/>
      <c r="J660" s="205"/>
      <c r="K660" s="205"/>
    </row>
    <row r="661" spans="8:11" ht="13">
      <c r="J661" s="205"/>
      <c r="K661" s="205"/>
    </row>
    <row r="662" spans="8:11" ht="13">
      <c r="J662" s="205"/>
      <c r="K662" s="205"/>
    </row>
    <row r="663" spans="8:11" ht="13">
      <c r="J663" s="205"/>
      <c r="K663" s="205"/>
    </row>
    <row r="664" spans="8:11" ht="13">
      <c r="J664" s="205"/>
      <c r="K664" s="205"/>
    </row>
    <row r="665" spans="8:11" ht="13">
      <c r="J665" s="205"/>
      <c r="K665" s="205"/>
    </row>
    <row r="666" spans="8:11" ht="13">
      <c r="J666" s="205"/>
      <c r="K666" s="205"/>
    </row>
    <row r="667" spans="8:11" ht="13">
      <c r="J667" s="205"/>
      <c r="K667" s="205"/>
    </row>
    <row r="668" spans="8:11" ht="13">
      <c r="J668" s="205"/>
      <c r="K668" s="205"/>
    </row>
    <row r="669" spans="8:11" ht="13">
      <c r="J669" s="205"/>
      <c r="K669" s="205"/>
    </row>
    <row r="670" spans="8:11" ht="13">
      <c r="J670" s="205"/>
      <c r="K670" s="205"/>
    </row>
    <row r="671" spans="8:11" ht="13">
      <c r="J671" s="205"/>
      <c r="K671" s="205"/>
    </row>
    <row r="672" spans="8:11" ht="13">
      <c r="J672" s="205"/>
      <c r="K672" s="205"/>
    </row>
    <row r="673" spans="10:11" ht="13">
      <c r="J673" s="205"/>
      <c r="K673" s="205"/>
    </row>
    <row r="674" spans="10:11" ht="13">
      <c r="J674" s="205"/>
      <c r="K674" s="205"/>
    </row>
    <row r="675" spans="10:11" ht="13">
      <c r="J675" s="205"/>
      <c r="K675" s="205"/>
    </row>
    <row r="676" spans="10:11" ht="13">
      <c r="J676" s="205"/>
      <c r="K676" s="205"/>
    </row>
    <row r="677" spans="10:11" ht="13">
      <c r="J677" s="205"/>
      <c r="K677" s="205"/>
    </row>
    <row r="678" spans="10:11" ht="13">
      <c r="J678" s="205"/>
      <c r="K678" s="205"/>
    </row>
    <row r="679" spans="10:11" ht="13">
      <c r="J679" s="205"/>
      <c r="K679" s="205"/>
    </row>
    <row r="680" spans="10:11" ht="13">
      <c r="J680" s="205"/>
      <c r="K680" s="205"/>
    </row>
    <row r="681" spans="10:11" ht="13">
      <c r="J681" s="205"/>
      <c r="K681" s="205"/>
    </row>
    <row r="682" spans="10:11" ht="13">
      <c r="J682" s="205"/>
      <c r="K682" s="205"/>
    </row>
    <row r="683" spans="10:11" ht="13">
      <c r="J683" s="205"/>
      <c r="K683" s="205"/>
    </row>
    <row r="684" spans="10:11" ht="13">
      <c r="J684" s="205"/>
      <c r="K684" s="205"/>
    </row>
    <row r="685" spans="10:11" ht="13">
      <c r="J685" s="205"/>
      <c r="K685" s="205"/>
    </row>
    <row r="686" spans="10:11" ht="13">
      <c r="J686" s="205"/>
      <c r="K686" s="205"/>
    </row>
    <row r="687" spans="10:11" ht="13">
      <c r="J687" s="205"/>
      <c r="K687" s="205"/>
    </row>
    <row r="688" spans="10:11" ht="13">
      <c r="J688" s="205"/>
      <c r="K688" s="205"/>
    </row>
    <row r="689" spans="10:11" ht="13">
      <c r="J689" s="205"/>
      <c r="K689" s="205"/>
    </row>
    <row r="690" spans="10:11" ht="13">
      <c r="J690" s="205"/>
      <c r="K690" s="205"/>
    </row>
    <row r="691" spans="10:11" ht="13">
      <c r="J691" s="205"/>
      <c r="K691" s="205"/>
    </row>
    <row r="692" spans="10:11" ht="13">
      <c r="J692" s="205"/>
      <c r="K692" s="205"/>
    </row>
    <row r="693" spans="10:11" ht="13">
      <c r="J693" s="205"/>
      <c r="K693" s="205"/>
    </row>
    <row r="694" spans="10:11" ht="13">
      <c r="J694" s="205"/>
      <c r="K694" s="205"/>
    </row>
    <row r="695" spans="10:11" ht="13">
      <c r="J695" s="205"/>
      <c r="K695" s="205"/>
    </row>
    <row r="696" spans="10:11" ht="13">
      <c r="J696" s="205"/>
      <c r="K696" s="205"/>
    </row>
    <row r="697" spans="10:11" ht="13">
      <c r="J697" s="205"/>
      <c r="K697" s="205"/>
    </row>
    <row r="698" spans="10:11" ht="13">
      <c r="J698" s="205"/>
      <c r="K698" s="205"/>
    </row>
    <row r="699" spans="10:11" ht="13">
      <c r="J699" s="205"/>
      <c r="K699" s="205"/>
    </row>
    <row r="700" spans="10:11" ht="13">
      <c r="J700" s="205"/>
      <c r="K700" s="205"/>
    </row>
    <row r="701" spans="10:11" ht="13">
      <c r="J701" s="205"/>
      <c r="K701" s="205"/>
    </row>
    <row r="702" spans="10:11" ht="13">
      <c r="J702" s="205"/>
      <c r="K702" s="205"/>
    </row>
    <row r="703" spans="10:11" ht="13">
      <c r="J703" s="205"/>
      <c r="K703" s="205"/>
    </row>
    <row r="704" spans="10:11" ht="13">
      <c r="J704" s="205"/>
      <c r="K704" s="205"/>
    </row>
    <row r="705" spans="10:11" ht="13">
      <c r="J705" s="205"/>
      <c r="K705" s="205"/>
    </row>
    <row r="706" spans="10:11" ht="13">
      <c r="J706" s="205"/>
      <c r="K706" s="205"/>
    </row>
    <row r="707" spans="10:11" ht="13">
      <c r="J707" s="205"/>
      <c r="K707" s="205"/>
    </row>
    <row r="708" spans="10:11" ht="13">
      <c r="J708" s="205"/>
      <c r="K708" s="205"/>
    </row>
    <row r="709" spans="10:11" ht="13">
      <c r="J709" s="205"/>
      <c r="K709" s="205"/>
    </row>
    <row r="710" spans="10:11" ht="13">
      <c r="J710" s="205"/>
      <c r="K710" s="205"/>
    </row>
    <row r="711" spans="10:11" ht="13">
      <c r="J711" s="205"/>
      <c r="K711" s="205"/>
    </row>
    <row r="712" spans="10:11" ht="13">
      <c r="J712" s="205"/>
      <c r="K712" s="205"/>
    </row>
    <row r="713" spans="10:11" ht="13">
      <c r="J713" s="205"/>
      <c r="K713" s="205"/>
    </row>
    <row r="714" spans="10:11" ht="13">
      <c r="J714" s="205"/>
      <c r="K714" s="205"/>
    </row>
    <row r="715" spans="10:11" ht="13">
      <c r="J715" s="205"/>
      <c r="K715" s="205"/>
    </row>
    <row r="716" spans="10:11" ht="13">
      <c r="J716" s="205"/>
      <c r="K716" s="205"/>
    </row>
    <row r="717" spans="10:11" ht="13">
      <c r="J717" s="205"/>
      <c r="K717" s="205"/>
    </row>
    <row r="718" spans="10:11" ht="13">
      <c r="J718" s="205"/>
      <c r="K718" s="205"/>
    </row>
    <row r="719" spans="10:11" ht="13">
      <c r="J719" s="205"/>
      <c r="K719" s="205"/>
    </row>
    <row r="720" spans="10:11" ht="13">
      <c r="J720" s="205"/>
      <c r="K720" s="205"/>
    </row>
    <row r="721" spans="10:11" ht="13">
      <c r="J721" s="205"/>
      <c r="K721" s="205"/>
    </row>
    <row r="722" spans="10:11" ht="13">
      <c r="J722" s="205"/>
      <c r="K722" s="205"/>
    </row>
    <row r="723" spans="10:11" ht="13">
      <c r="J723" s="205"/>
      <c r="K723" s="205"/>
    </row>
    <row r="724" spans="10:11" ht="13">
      <c r="J724" s="205"/>
      <c r="K724" s="205"/>
    </row>
    <row r="725" spans="10:11" ht="13">
      <c r="J725" s="205"/>
      <c r="K725" s="205"/>
    </row>
    <row r="726" spans="10:11" ht="13">
      <c r="J726" s="205"/>
      <c r="K726" s="205"/>
    </row>
    <row r="727" spans="10:11" ht="13">
      <c r="J727" s="205"/>
      <c r="K727" s="205"/>
    </row>
    <row r="728" spans="10:11" ht="13">
      <c r="J728" s="205"/>
      <c r="K728" s="205"/>
    </row>
    <row r="729" spans="10:11" ht="13">
      <c r="J729" s="205"/>
      <c r="K729" s="205"/>
    </row>
    <row r="730" spans="10:11" ht="13">
      <c r="J730" s="205"/>
      <c r="K730" s="205"/>
    </row>
    <row r="731" spans="10:11" ht="13">
      <c r="J731" s="205"/>
      <c r="K731" s="205"/>
    </row>
    <row r="732" spans="10:11" ht="13">
      <c r="J732" s="205"/>
      <c r="K732" s="205"/>
    </row>
    <row r="733" spans="10:11" ht="13">
      <c r="J733" s="205"/>
      <c r="K733" s="205"/>
    </row>
    <row r="734" spans="10:11" ht="13">
      <c r="J734" s="205"/>
      <c r="K734" s="205"/>
    </row>
    <row r="735" spans="10:11" ht="13">
      <c r="J735" s="205"/>
      <c r="K735" s="205"/>
    </row>
    <row r="736" spans="10:11" ht="13">
      <c r="J736" s="205"/>
      <c r="K736" s="205"/>
    </row>
    <row r="737" spans="10:11" ht="13">
      <c r="J737" s="205"/>
      <c r="K737" s="205"/>
    </row>
    <row r="738" spans="10:11" ht="13">
      <c r="J738" s="205"/>
      <c r="K738" s="205"/>
    </row>
    <row r="739" spans="10:11" ht="13">
      <c r="J739" s="205"/>
      <c r="K739" s="205"/>
    </row>
    <row r="740" spans="10:11" ht="13">
      <c r="J740" s="205"/>
      <c r="K740" s="205"/>
    </row>
    <row r="741" spans="10:11" ht="13">
      <c r="J741" s="205"/>
      <c r="K741" s="205"/>
    </row>
    <row r="742" spans="10:11" ht="13">
      <c r="J742" s="205"/>
      <c r="K742" s="205"/>
    </row>
    <row r="743" spans="10:11" ht="13">
      <c r="J743" s="205"/>
      <c r="K743" s="205"/>
    </row>
    <row r="744" spans="10:11" ht="13">
      <c r="J744" s="205"/>
      <c r="K744" s="205"/>
    </row>
    <row r="745" spans="10:11" ht="13">
      <c r="J745" s="205"/>
      <c r="K745" s="205"/>
    </row>
    <row r="746" spans="10:11" ht="13">
      <c r="J746" s="205"/>
      <c r="K746" s="205"/>
    </row>
    <row r="747" spans="10:11" ht="13">
      <c r="J747" s="205"/>
      <c r="K747" s="205"/>
    </row>
    <row r="748" spans="10:11" ht="13">
      <c r="J748" s="205"/>
      <c r="K748" s="205"/>
    </row>
    <row r="749" spans="10:11" ht="13">
      <c r="J749" s="205"/>
      <c r="K749" s="205"/>
    </row>
    <row r="750" spans="10:11" ht="13">
      <c r="J750" s="205"/>
      <c r="K750" s="205"/>
    </row>
    <row r="751" spans="10:11" ht="13">
      <c r="J751" s="205"/>
      <c r="K751" s="205"/>
    </row>
    <row r="752" spans="10:11" ht="13">
      <c r="J752" s="205"/>
      <c r="K752" s="205"/>
    </row>
    <row r="753" spans="10:11" ht="13">
      <c r="J753" s="205"/>
      <c r="K753" s="205"/>
    </row>
    <row r="754" spans="10:11" ht="13">
      <c r="J754" s="205"/>
      <c r="K754" s="205"/>
    </row>
    <row r="755" spans="10:11" ht="13">
      <c r="J755" s="205"/>
      <c r="K755" s="205"/>
    </row>
    <row r="756" spans="10:11" ht="13">
      <c r="J756" s="205"/>
      <c r="K756" s="205"/>
    </row>
    <row r="757" spans="10:11" ht="13">
      <c r="J757" s="205"/>
      <c r="K757" s="205"/>
    </row>
    <row r="758" spans="10:11" ht="13">
      <c r="J758" s="205"/>
      <c r="K758" s="205"/>
    </row>
    <row r="759" spans="10:11" ht="13">
      <c r="J759" s="205"/>
      <c r="K759" s="205"/>
    </row>
    <row r="760" spans="10:11" ht="13">
      <c r="J760" s="205"/>
      <c r="K760" s="205"/>
    </row>
    <row r="761" spans="10:11" ht="13">
      <c r="J761" s="205"/>
      <c r="K761" s="205"/>
    </row>
    <row r="762" spans="10:11" ht="13">
      <c r="J762" s="205"/>
      <c r="K762" s="205"/>
    </row>
    <row r="763" spans="10:11" ht="13">
      <c r="J763" s="205"/>
      <c r="K763" s="205"/>
    </row>
    <row r="764" spans="10:11" ht="13">
      <c r="J764" s="205"/>
      <c r="K764" s="205"/>
    </row>
    <row r="765" spans="10:11" ht="13">
      <c r="J765" s="205"/>
      <c r="K765" s="205"/>
    </row>
    <row r="766" spans="10:11" ht="13">
      <c r="J766" s="205"/>
      <c r="K766" s="205"/>
    </row>
    <row r="767" spans="10:11" ht="13">
      <c r="J767" s="205"/>
      <c r="K767" s="205"/>
    </row>
    <row r="768" spans="10:11" ht="13">
      <c r="J768" s="205"/>
      <c r="K768" s="205"/>
    </row>
    <row r="769" spans="10:11" ht="13">
      <c r="J769" s="205"/>
      <c r="K769" s="205"/>
    </row>
    <row r="770" spans="10:11" ht="13">
      <c r="J770" s="205"/>
      <c r="K770" s="205"/>
    </row>
    <row r="771" spans="10:11" ht="13">
      <c r="J771" s="205"/>
      <c r="K771" s="205"/>
    </row>
    <row r="772" spans="10:11" ht="13">
      <c r="J772" s="205"/>
      <c r="K772" s="205"/>
    </row>
    <row r="773" spans="10:11" ht="13">
      <c r="J773" s="205"/>
      <c r="K773" s="205"/>
    </row>
    <row r="774" spans="10:11" ht="13">
      <c r="J774" s="205"/>
      <c r="K774" s="205"/>
    </row>
    <row r="775" spans="10:11" ht="13">
      <c r="J775" s="205"/>
      <c r="K775" s="205"/>
    </row>
    <row r="776" spans="10:11" ht="13">
      <c r="J776" s="205"/>
      <c r="K776" s="205"/>
    </row>
    <row r="777" spans="10:11" ht="13">
      <c r="J777" s="205"/>
      <c r="K777" s="205"/>
    </row>
    <row r="778" spans="10:11" ht="13">
      <c r="J778" s="205"/>
      <c r="K778" s="205"/>
    </row>
    <row r="779" spans="10:11" ht="13">
      <c r="J779" s="205"/>
      <c r="K779" s="205"/>
    </row>
    <row r="780" spans="10:11" ht="13">
      <c r="J780" s="205"/>
      <c r="K780" s="205"/>
    </row>
    <row r="781" spans="10:11" ht="13">
      <c r="J781" s="205"/>
      <c r="K781" s="205"/>
    </row>
    <row r="782" spans="10:11" ht="13">
      <c r="J782" s="205"/>
      <c r="K782" s="205"/>
    </row>
    <row r="783" spans="10:11" ht="13">
      <c r="J783" s="205"/>
      <c r="K783" s="205"/>
    </row>
    <row r="784" spans="10:11" ht="13">
      <c r="J784" s="205"/>
      <c r="K784" s="205"/>
    </row>
    <row r="785" spans="10:11" ht="13">
      <c r="J785" s="205"/>
      <c r="K785" s="205"/>
    </row>
    <row r="786" spans="10:11" ht="13">
      <c r="J786" s="205"/>
      <c r="K786" s="205"/>
    </row>
    <row r="787" spans="10:11" ht="13">
      <c r="J787" s="205"/>
      <c r="K787" s="205"/>
    </row>
    <row r="788" spans="10:11" ht="13">
      <c r="J788" s="205"/>
      <c r="K788" s="205"/>
    </row>
    <row r="789" spans="10:11" ht="13">
      <c r="J789" s="205"/>
      <c r="K789" s="205"/>
    </row>
    <row r="790" spans="10:11" ht="13">
      <c r="J790" s="205"/>
      <c r="K790" s="205"/>
    </row>
    <row r="791" spans="10:11" ht="13">
      <c r="J791" s="205"/>
      <c r="K791" s="205"/>
    </row>
    <row r="792" spans="10:11" ht="13">
      <c r="J792" s="205"/>
      <c r="K792" s="205"/>
    </row>
    <row r="793" spans="10:11" ht="13">
      <c r="J793" s="205"/>
      <c r="K793" s="205"/>
    </row>
    <row r="794" spans="10:11" ht="13">
      <c r="J794" s="205"/>
      <c r="K794" s="205"/>
    </row>
    <row r="795" spans="10:11" ht="13">
      <c r="J795" s="205"/>
      <c r="K795" s="205"/>
    </row>
    <row r="796" spans="10:11" ht="13">
      <c r="J796" s="205"/>
      <c r="K796" s="205"/>
    </row>
    <row r="797" spans="10:11" ht="13">
      <c r="J797" s="205"/>
      <c r="K797" s="205"/>
    </row>
    <row r="798" spans="10:11" ht="13">
      <c r="J798" s="205"/>
      <c r="K798" s="205"/>
    </row>
    <row r="799" spans="10:11" ht="13">
      <c r="J799" s="205"/>
      <c r="K799" s="205"/>
    </row>
    <row r="800" spans="10:11" ht="13">
      <c r="J800" s="205"/>
      <c r="K800" s="205"/>
    </row>
    <row r="801" spans="10:11" ht="13">
      <c r="J801" s="205"/>
      <c r="K801" s="205"/>
    </row>
    <row r="802" spans="10:11" ht="13">
      <c r="J802" s="205"/>
      <c r="K802" s="205"/>
    </row>
    <row r="803" spans="10:11" ht="13">
      <c r="J803" s="205"/>
      <c r="K803" s="205"/>
    </row>
    <row r="804" spans="10:11" ht="13">
      <c r="J804" s="205"/>
      <c r="K804" s="205"/>
    </row>
    <row r="805" spans="10:11" ht="13">
      <c r="J805" s="205"/>
      <c r="K805" s="205"/>
    </row>
    <row r="806" spans="10:11" ht="13">
      <c r="J806" s="205"/>
      <c r="K806" s="205"/>
    </row>
    <row r="807" spans="10:11" ht="13">
      <c r="J807" s="205"/>
      <c r="K807" s="205"/>
    </row>
    <row r="808" spans="10:11" ht="13">
      <c r="J808" s="205"/>
      <c r="K808" s="205"/>
    </row>
    <row r="809" spans="10:11" ht="13">
      <c r="J809" s="205"/>
      <c r="K809" s="205"/>
    </row>
    <row r="810" spans="10:11" ht="13">
      <c r="J810" s="205"/>
      <c r="K810" s="205"/>
    </row>
    <row r="811" spans="10:11" ht="13">
      <c r="J811" s="205"/>
      <c r="K811" s="205"/>
    </row>
    <row r="812" spans="10:11" ht="13">
      <c r="J812" s="205"/>
      <c r="K812" s="205"/>
    </row>
    <row r="813" spans="10:11" ht="13">
      <c r="J813" s="205"/>
      <c r="K813" s="205"/>
    </row>
    <row r="814" spans="10:11" ht="13">
      <c r="J814" s="205"/>
      <c r="K814" s="205"/>
    </row>
    <row r="815" spans="10:11" ht="13">
      <c r="J815" s="205"/>
      <c r="K815" s="205"/>
    </row>
    <row r="816" spans="10:11" ht="13">
      <c r="J816" s="205"/>
      <c r="K816" s="205"/>
    </row>
    <row r="817" spans="8:11" ht="13">
      <c r="J817" s="205"/>
      <c r="K817" s="205"/>
    </row>
    <row r="818" spans="8:11" ht="13">
      <c r="J818" s="205"/>
      <c r="K818" s="205"/>
    </row>
    <row r="819" spans="8:11" ht="13">
      <c r="J819" s="205"/>
      <c r="K819" s="205"/>
    </row>
    <row r="820" spans="8:11" ht="13">
      <c r="J820" s="205"/>
      <c r="K820" s="205"/>
    </row>
    <row r="821" spans="8:11" ht="13">
      <c r="J821" s="205"/>
      <c r="K821" s="205"/>
    </row>
    <row r="822" spans="8:11" ht="13">
      <c r="J822" s="205"/>
      <c r="K822" s="205"/>
    </row>
    <row r="823" spans="8:11" ht="13">
      <c r="J823" s="205"/>
      <c r="K823" s="205"/>
    </row>
    <row r="824" spans="8:11" ht="13">
      <c r="J824" s="205"/>
      <c r="K824" s="205"/>
    </row>
    <row r="825" spans="8:11" ht="13">
      <c r="J825" s="205"/>
      <c r="K825" s="205"/>
    </row>
    <row r="826" spans="8:11" ht="13">
      <c r="J826" s="205"/>
      <c r="K826" s="205"/>
    </row>
    <row r="827" spans="8:11" ht="13">
      <c r="J827" s="205"/>
      <c r="K827" s="205"/>
    </row>
    <row r="828" spans="8:11" ht="13">
      <c r="J828" s="205"/>
      <c r="K828" s="205"/>
    </row>
    <row r="829" spans="8:11" ht="13">
      <c r="H829" s="205"/>
      <c r="J829" s="205"/>
      <c r="K829" s="205"/>
    </row>
    <row r="830" spans="8:11" ht="13">
      <c r="J830" s="205"/>
      <c r="K830" s="205"/>
    </row>
    <row r="831" spans="8:11" ht="13">
      <c r="J831" s="205"/>
      <c r="K831" s="205"/>
    </row>
    <row r="832" spans="8:11" ht="13">
      <c r="J832" s="205"/>
      <c r="K832" s="205"/>
    </row>
    <row r="833" spans="10:11" ht="13">
      <c r="J833" s="205"/>
      <c r="K833" s="205"/>
    </row>
    <row r="834" spans="10:11" ht="13">
      <c r="J834" s="205"/>
      <c r="K834" s="205"/>
    </row>
    <row r="835" spans="10:11" ht="13">
      <c r="J835" s="205"/>
      <c r="K835" s="205"/>
    </row>
    <row r="836" spans="10:11" ht="13">
      <c r="J836" s="205"/>
      <c r="K836" s="205"/>
    </row>
    <row r="837" spans="10:11" ht="13">
      <c r="J837" s="205"/>
      <c r="K837" s="205"/>
    </row>
    <row r="838" spans="10:11" ht="13">
      <c r="J838" s="205"/>
      <c r="K838" s="205"/>
    </row>
    <row r="839" spans="10:11" ht="13">
      <c r="J839" s="205"/>
      <c r="K839" s="205"/>
    </row>
    <row r="840" spans="10:11" ht="13">
      <c r="J840" s="205"/>
      <c r="K840" s="205"/>
    </row>
    <row r="841" spans="10:11" ht="13">
      <c r="J841" s="205"/>
      <c r="K841" s="205"/>
    </row>
    <row r="842" spans="10:11" ht="13">
      <c r="J842" s="205"/>
      <c r="K842" s="205"/>
    </row>
    <row r="843" spans="10:11" ht="13">
      <c r="J843" s="205"/>
      <c r="K843" s="205"/>
    </row>
    <row r="844" spans="10:11" ht="13">
      <c r="J844" s="205"/>
      <c r="K844" s="205"/>
    </row>
    <row r="845" spans="10:11" ht="13">
      <c r="J845" s="205"/>
      <c r="K845" s="205"/>
    </row>
    <row r="846" spans="10:11" ht="13">
      <c r="J846" s="205"/>
      <c r="K846" s="205"/>
    </row>
    <row r="847" spans="10:11" ht="13">
      <c r="J847" s="205"/>
      <c r="K847" s="205"/>
    </row>
    <row r="848" spans="10:11" ht="13">
      <c r="J848" s="205"/>
      <c r="K848" s="205"/>
    </row>
    <row r="849" spans="10:11" ht="13">
      <c r="J849" s="205"/>
      <c r="K849" s="205"/>
    </row>
    <row r="850" spans="10:11" ht="13">
      <c r="J850" s="205"/>
      <c r="K850" s="205"/>
    </row>
    <row r="851" spans="10:11" ht="13">
      <c r="J851" s="205"/>
      <c r="K851" s="205"/>
    </row>
    <row r="852" spans="10:11" ht="13">
      <c r="J852" s="205"/>
      <c r="K852" s="205"/>
    </row>
    <row r="853" spans="10:11" ht="13">
      <c r="J853" s="205"/>
      <c r="K853" s="205"/>
    </row>
    <row r="854" spans="10:11" ht="13">
      <c r="J854" s="205"/>
      <c r="K854" s="205"/>
    </row>
    <row r="855" spans="10:11" ht="13">
      <c r="J855" s="205"/>
      <c r="K855" s="205"/>
    </row>
    <row r="856" spans="10:11" ht="13">
      <c r="J856" s="205"/>
      <c r="K856" s="205"/>
    </row>
    <row r="857" spans="10:11" ht="13">
      <c r="J857" s="205"/>
      <c r="K857" s="205"/>
    </row>
    <row r="858" spans="10:11" ht="13">
      <c r="J858" s="205"/>
      <c r="K858" s="205"/>
    </row>
    <row r="859" spans="10:11" ht="13">
      <c r="J859" s="205"/>
      <c r="K859" s="205"/>
    </row>
    <row r="860" spans="10:11" ht="13">
      <c r="J860" s="205"/>
      <c r="K860" s="205"/>
    </row>
    <row r="861" spans="10:11" ht="13">
      <c r="J861" s="205"/>
      <c r="K861" s="205"/>
    </row>
    <row r="862" spans="10:11" ht="13">
      <c r="J862" s="205"/>
      <c r="K862" s="205"/>
    </row>
    <row r="863" spans="10:11" ht="13">
      <c r="J863" s="205"/>
      <c r="K863" s="205"/>
    </row>
    <row r="864" spans="10:11" ht="13">
      <c r="J864" s="205"/>
      <c r="K864" s="205"/>
    </row>
    <row r="865" spans="10:11" ht="13">
      <c r="J865" s="205"/>
      <c r="K865" s="205"/>
    </row>
    <row r="866" spans="10:11" ht="13">
      <c r="J866" s="205"/>
      <c r="K866" s="205"/>
    </row>
    <row r="867" spans="10:11" ht="13">
      <c r="J867" s="205"/>
      <c r="K867" s="205"/>
    </row>
    <row r="868" spans="10:11" ht="13">
      <c r="J868" s="205"/>
      <c r="K868" s="205"/>
    </row>
    <row r="869" spans="10:11" ht="13">
      <c r="J869" s="205"/>
      <c r="K869" s="205"/>
    </row>
    <row r="870" spans="10:11" ht="13">
      <c r="J870" s="205"/>
      <c r="K870" s="205"/>
    </row>
    <row r="871" spans="10:11" ht="13">
      <c r="J871" s="205"/>
      <c r="K871" s="205"/>
    </row>
    <row r="872" spans="10:11" ht="13">
      <c r="J872" s="205"/>
      <c r="K872" s="205"/>
    </row>
    <row r="873" spans="10:11" ht="13">
      <c r="J873" s="205"/>
      <c r="K873" s="205"/>
    </row>
    <row r="874" spans="10:11" ht="13">
      <c r="J874" s="205"/>
      <c r="K874" s="205"/>
    </row>
    <row r="875" spans="10:11" ht="13">
      <c r="J875" s="205"/>
      <c r="K875" s="205"/>
    </row>
    <row r="876" spans="10:11" ht="13">
      <c r="J876" s="205"/>
      <c r="K876" s="205"/>
    </row>
    <row r="877" spans="10:11" ht="13">
      <c r="J877" s="205"/>
      <c r="K877" s="205"/>
    </row>
    <row r="878" spans="10:11" ht="13">
      <c r="J878" s="205"/>
      <c r="K878" s="205"/>
    </row>
    <row r="879" spans="10:11" ht="13">
      <c r="J879" s="205"/>
      <c r="K879" s="205"/>
    </row>
    <row r="880" spans="10:11" ht="13">
      <c r="J880" s="205"/>
      <c r="K880" s="205"/>
    </row>
    <row r="881" spans="10:11" ht="13">
      <c r="J881" s="205"/>
      <c r="K881" s="205"/>
    </row>
    <row r="882" spans="10:11" ht="13">
      <c r="J882" s="205"/>
      <c r="K882" s="205"/>
    </row>
    <row r="883" spans="10:11" ht="13">
      <c r="J883" s="205"/>
      <c r="K883" s="205"/>
    </row>
    <row r="884" spans="10:11" ht="13">
      <c r="J884" s="205"/>
      <c r="K884" s="205"/>
    </row>
    <row r="885" spans="10:11" ht="13">
      <c r="J885" s="205"/>
      <c r="K885" s="205"/>
    </row>
    <row r="886" spans="10:11" ht="13">
      <c r="J886" s="205"/>
      <c r="K886" s="205"/>
    </row>
    <row r="887" spans="10:11" ht="13">
      <c r="J887" s="205"/>
      <c r="K887" s="205"/>
    </row>
    <row r="888" spans="10:11" ht="13">
      <c r="J888" s="205"/>
      <c r="K888" s="205"/>
    </row>
    <row r="889" spans="10:11" ht="13">
      <c r="J889" s="205"/>
      <c r="K889" s="205"/>
    </row>
    <row r="890" spans="10:11" ht="13">
      <c r="J890" s="205"/>
      <c r="K890" s="205"/>
    </row>
    <row r="891" spans="10:11" ht="13">
      <c r="J891" s="205"/>
      <c r="K891" s="205"/>
    </row>
    <row r="892" spans="10:11" ht="13">
      <c r="J892" s="205"/>
      <c r="K892" s="205"/>
    </row>
    <row r="893" spans="10:11" ht="13">
      <c r="J893" s="205"/>
      <c r="K893" s="205"/>
    </row>
    <row r="894" spans="10:11" ht="13">
      <c r="J894" s="205"/>
      <c r="K894" s="205"/>
    </row>
    <row r="895" spans="10:11" ht="13">
      <c r="J895" s="205"/>
      <c r="K895" s="205"/>
    </row>
    <row r="896" spans="10:11" ht="13">
      <c r="J896" s="205"/>
      <c r="K896" s="205"/>
    </row>
    <row r="897" spans="10:11" ht="13">
      <c r="J897" s="205"/>
      <c r="K897" s="205"/>
    </row>
    <row r="898" spans="10:11" ht="13">
      <c r="J898" s="205"/>
      <c r="K898" s="205"/>
    </row>
    <row r="899" spans="10:11" ht="13">
      <c r="J899" s="205"/>
      <c r="K899" s="205"/>
    </row>
    <row r="900" spans="10:11" ht="13">
      <c r="J900" s="205"/>
      <c r="K900" s="205"/>
    </row>
    <row r="901" spans="10:11" ht="13">
      <c r="J901" s="205"/>
      <c r="K901" s="205"/>
    </row>
    <row r="902" spans="10:11" ht="13">
      <c r="J902" s="205"/>
      <c r="K902" s="205"/>
    </row>
    <row r="903" spans="10:11" ht="13">
      <c r="J903" s="205"/>
      <c r="K903" s="205"/>
    </row>
    <row r="904" spans="10:11" ht="13">
      <c r="J904" s="205"/>
      <c r="K904" s="205"/>
    </row>
    <row r="905" spans="10:11" ht="13">
      <c r="J905" s="205"/>
      <c r="K905" s="205"/>
    </row>
    <row r="906" spans="10:11" ht="13">
      <c r="J906" s="205"/>
      <c r="K906" s="205"/>
    </row>
    <row r="907" spans="10:11" ht="13">
      <c r="J907" s="205"/>
      <c r="K907" s="205"/>
    </row>
    <row r="908" spans="10:11" ht="13">
      <c r="J908" s="205"/>
      <c r="K908" s="205"/>
    </row>
    <row r="909" spans="10:11" ht="13">
      <c r="J909" s="205"/>
      <c r="K909" s="205"/>
    </row>
    <row r="910" spans="10:11" ht="13">
      <c r="J910" s="205"/>
      <c r="K910" s="205"/>
    </row>
    <row r="911" spans="10:11" ht="13">
      <c r="J911" s="205"/>
      <c r="K911" s="205"/>
    </row>
    <row r="912" spans="10:11" ht="13">
      <c r="J912" s="205"/>
      <c r="K912" s="205"/>
    </row>
    <row r="913" spans="8:22" ht="13">
      <c r="J913" s="205"/>
      <c r="K913" s="205"/>
    </row>
    <row r="914" spans="8:22" ht="13">
      <c r="H914" s="205"/>
      <c r="J914" s="205"/>
      <c r="K914" s="205"/>
      <c r="V914" s="25">
        <v>2.75</v>
      </c>
    </row>
    <row r="915" spans="8:22" ht="13">
      <c r="J915" s="205"/>
      <c r="K915" s="205"/>
    </row>
    <row r="916" spans="8:22" ht="13">
      <c r="J916" s="205"/>
      <c r="K916" s="205"/>
    </row>
    <row r="917" spans="8:22" ht="13">
      <c r="J917" s="205"/>
      <c r="K917" s="205"/>
    </row>
    <row r="918" spans="8:22" ht="13">
      <c r="J918" s="205"/>
      <c r="K918" s="205"/>
    </row>
    <row r="919" spans="8:22" ht="13">
      <c r="H919" s="205"/>
      <c r="J919" s="205"/>
      <c r="K919" s="205"/>
      <c r="V919" s="25">
        <v>350</v>
      </c>
    </row>
    <row r="920" spans="8:22" ht="13">
      <c r="J920" s="205"/>
      <c r="K920" s="205"/>
    </row>
    <row r="921" spans="8:22" ht="13">
      <c r="J921" s="205"/>
      <c r="K921" s="205"/>
    </row>
    <row r="922" spans="8:22" ht="13">
      <c r="J922" s="205"/>
      <c r="K922" s="205"/>
    </row>
    <row r="923" spans="8:22" ht="13">
      <c r="J923" s="205"/>
      <c r="K923" s="205"/>
    </row>
    <row r="924" spans="8:22" ht="13">
      <c r="J924" s="205"/>
      <c r="K924" s="205"/>
    </row>
    <row r="925" spans="8:22" ht="13">
      <c r="J925" s="205"/>
      <c r="K925" s="205"/>
    </row>
    <row r="926" spans="8:22" ht="13">
      <c r="J926" s="205"/>
      <c r="K926" s="205"/>
    </row>
    <row r="927" spans="8:22" ht="13">
      <c r="J927" s="205"/>
      <c r="K927" s="205"/>
    </row>
    <row r="928" spans="8:22" ht="13">
      <c r="J928" s="205"/>
      <c r="K928" s="205"/>
    </row>
    <row r="929" spans="8:11" ht="13">
      <c r="J929" s="205"/>
      <c r="K929" s="205"/>
    </row>
    <row r="930" spans="8:11" ht="13">
      <c r="J930" s="205"/>
      <c r="K930" s="205"/>
    </row>
    <row r="931" spans="8:11" ht="13">
      <c r="J931" s="205"/>
      <c r="K931" s="205"/>
    </row>
    <row r="932" spans="8:11" ht="13">
      <c r="J932" s="205"/>
      <c r="K932" s="205"/>
    </row>
    <row r="933" spans="8:11" ht="13">
      <c r="J933" s="205"/>
      <c r="K933" s="205"/>
    </row>
    <row r="934" spans="8:11" ht="13">
      <c r="J934" s="205"/>
      <c r="K934" s="205"/>
    </row>
    <row r="935" spans="8:11" ht="13">
      <c r="J935" s="205"/>
      <c r="K935" s="205"/>
    </row>
    <row r="936" spans="8:11" ht="13">
      <c r="J936" s="205"/>
      <c r="K936" s="205"/>
    </row>
    <row r="937" spans="8:11" ht="13">
      <c r="H937" s="205"/>
      <c r="I937" s="205"/>
      <c r="J937" s="205"/>
      <c r="K937" s="205"/>
    </row>
    <row r="938" spans="8:11" ht="13">
      <c r="J938" s="205"/>
      <c r="K938" s="205"/>
    </row>
    <row r="939" spans="8:11" ht="13">
      <c r="J939" s="205"/>
      <c r="K939" s="205"/>
    </row>
    <row r="940" spans="8:11" ht="13">
      <c r="J940" s="205"/>
      <c r="K940" s="205"/>
    </row>
    <row r="941" spans="8:11" ht="13">
      <c r="J941" s="205"/>
      <c r="K941" s="205"/>
    </row>
    <row r="942" spans="8:11" ht="13">
      <c r="J942" s="205"/>
      <c r="K942" s="205"/>
    </row>
    <row r="943" spans="8:11" ht="13">
      <c r="J943" s="205"/>
      <c r="K943" s="205"/>
    </row>
    <row r="944" spans="8:11" ht="13">
      <c r="J944" s="205"/>
      <c r="K944" s="205"/>
    </row>
    <row r="945" spans="8:11" ht="13">
      <c r="J945" s="205"/>
      <c r="K945" s="205"/>
    </row>
    <row r="946" spans="8:11" ht="13">
      <c r="J946" s="205"/>
      <c r="K946" s="205"/>
    </row>
    <row r="947" spans="8:11" ht="13">
      <c r="J947" s="205"/>
      <c r="K947" s="205"/>
    </row>
    <row r="948" spans="8:11" ht="13">
      <c r="J948" s="205"/>
      <c r="K948" s="205"/>
    </row>
    <row r="949" spans="8:11" ht="13">
      <c r="H949" s="205"/>
      <c r="J949" s="205"/>
      <c r="K949" s="205"/>
    </row>
    <row r="950" spans="8:11" ht="13">
      <c r="J950" s="205"/>
      <c r="K950" s="205"/>
    </row>
    <row r="951" spans="8:11" ht="13">
      <c r="J951" s="205"/>
      <c r="K951" s="205"/>
    </row>
    <row r="952" spans="8:11" ht="13">
      <c r="J952" s="205"/>
      <c r="K952" s="205"/>
    </row>
    <row r="953" spans="8:11" ht="13">
      <c r="J953" s="205"/>
      <c r="K953" s="205"/>
    </row>
    <row r="954" spans="8:11" ht="13">
      <c r="J954" s="205"/>
      <c r="K954" s="205"/>
    </row>
    <row r="955" spans="8:11" ht="13">
      <c r="J955" s="205"/>
      <c r="K955" s="205"/>
    </row>
    <row r="956" spans="8:11" ht="13">
      <c r="J956" s="205"/>
      <c r="K956" s="205"/>
    </row>
    <row r="957" spans="8:11" ht="13">
      <c r="J957" s="205"/>
      <c r="K957" s="205"/>
    </row>
    <row r="958" spans="8:11" ht="13">
      <c r="J958" s="205"/>
      <c r="K958" s="205"/>
    </row>
    <row r="959" spans="8:11" ht="13">
      <c r="J959" s="205"/>
      <c r="K959" s="205"/>
    </row>
    <row r="960" spans="8:11" ht="13">
      <c r="J960" s="205"/>
      <c r="K960" s="205"/>
    </row>
    <row r="961" spans="8:22" ht="13">
      <c r="J961" s="205"/>
      <c r="K961" s="205"/>
    </row>
    <row r="962" spans="8:22" ht="13">
      <c r="J962" s="205"/>
      <c r="K962" s="205"/>
    </row>
    <row r="963" spans="8:22" ht="13">
      <c r="J963" s="205"/>
      <c r="K963" s="205"/>
    </row>
    <row r="964" spans="8:22" ht="13">
      <c r="J964" s="205"/>
      <c r="K964" s="205"/>
    </row>
    <row r="965" spans="8:22" ht="13">
      <c r="J965" s="205"/>
      <c r="K965" s="205"/>
    </row>
    <row r="966" spans="8:22" ht="13">
      <c r="J966" s="205"/>
      <c r="K966" s="205"/>
    </row>
    <row r="967" spans="8:22" ht="13">
      <c r="H967" s="205"/>
      <c r="J967" s="205"/>
      <c r="K967" s="205"/>
    </row>
    <row r="968" spans="8:22" ht="13">
      <c r="H968" s="205"/>
      <c r="I968" s="205"/>
      <c r="J968" s="205"/>
      <c r="K968" s="205"/>
      <c r="V968" s="25">
        <f>V967*V966</f>
        <v>0</v>
      </c>
    </row>
    <row r="969" spans="8:22" ht="13">
      <c r="J969" s="205"/>
      <c r="K969" s="205"/>
    </row>
    <row r="970" spans="8:22" ht="13">
      <c r="J970" s="205"/>
      <c r="K970" s="205"/>
    </row>
    <row r="971" spans="8:22" ht="13">
      <c r="J971" s="205"/>
      <c r="K971" s="205"/>
    </row>
    <row r="972" spans="8:22" ht="13">
      <c r="J972" s="205"/>
      <c r="K972" s="205"/>
    </row>
    <row r="973" spans="8:22" ht="13">
      <c r="J973" s="205"/>
      <c r="K973" s="205"/>
    </row>
    <row r="974" spans="8:22" ht="13">
      <c r="J974" s="205"/>
      <c r="K974" s="205"/>
    </row>
    <row r="975" spans="8:22" ht="13">
      <c r="J975" s="205"/>
      <c r="K975" s="205"/>
    </row>
    <row r="976" spans="8:22" ht="13">
      <c r="J976" s="205"/>
      <c r="K976" s="205"/>
    </row>
    <row r="977" spans="8:11" ht="13">
      <c r="J977" s="205"/>
      <c r="K977" s="205"/>
    </row>
    <row r="978" spans="8:11" ht="13">
      <c r="J978" s="205"/>
      <c r="K978" s="205"/>
    </row>
    <row r="979" spans="8:11" ht="13">
      <c r="J979" s="205"/>
      <c r="K979" s="205"/>
    </row>
    <row r="980" spans="8:11" ht="13">
      <c r="J980" s="205"/>
      <c r="K980" s="205"/>
    </row>
    <row r="981" spans="8:11" ht="13">
      <c r="J981" s="205"/>
      <c r="K981" s="205"/>
    </row>
    <row r="982" spans="8:11" ht="13">
      <c r="J982" s="205"/>
      <c r="K982" s="205"/>
    </row>
    <row r="983" spans="8:11" ht="13">
      <c r="H983" s="205"/>
      <c r="J983" s="205"/>
      <c r="K983" s="205"/>
    </row>
    <row r="984" spans="8:11" ht="13">
      <c r="J984" s="205"/>
      <c r="K984" s="205"/>
    </row>
    <row r="985" spans="8:11" ht="13">
      <c r="J985" s="205"/>
      <c r="K985" s="205"/>
    </row>
    <row r="986" spans="8:11" ht="13">
      <c r="J986" s="205"/>
      <c r="K986" s="205"/>
    </row>
    <row r="987" spans="8:11" ht="13">
      <c r="J987" s="205"/>
      <c r="K987" s="205"/>
    </row>
    <row r="988" spans="8:11" ht="13">
      <c r="J988" s="205"/>
      <c r="K988" s="205"/>
    </row>
    <row r="989" spans="8:11" ht="13">
      <c r="J989" s="205"/>
      <c r="K989" s="205"/>
    </row>
    <row r="990" spans="8:11" ht="13">
      <c r="J990" s="205"/>
      <c r="K990" s="205"/>
    </row>
    <row r="991" spans="8:11" ht="13">
      <c r="J991" s="205"/>
      <c r="K991" s="205"/>
    </row>
    <row r="992" spans="8:11" ht="13">
      <c r="J992" s="205"/>
      <c r="K992" s="205"/>
    </row>
    <row r="993" spans="10:11" ht="13">
      <c r="J993" s="205"/>
      <c r="K993" s="205"/>
    </row>
    <row r="994" spans="10:11" ht="13">
      <c r="J994" s="205"/>
      <c r="K994" s="205"/>
    </row>
    <row r="995" spans="10:11" ht="13">
      <c r="J995" s="205"/>
      <c r="K995" s="205"/>
    </row>
    <row r="996" spans="10:11" ht="13">
      <c r="J996" s="205"/>
      <c r="K996" s="205"/>
    </row>
    <row r="997" spans="10:11" ht="13">
      <c r="J997" s="205"/>
      <c r="K997" s="205"/>
    </row>
    <row r="998" spans="10:11" ht="13">
      <c r="J998" s="205"/>
      <c r="K998" s="205"/>
    </row>
    <row r="999" spans="10:11" ht="13">
      <c r="J999" s="205"/>
      <c r="K999" s="205"/>
    </row>
    <row r="1000" spans="10:11" ht="13">
      <c r="J1000" s="205"/>
      <c r="K1000" s="205"/>
    </row>
    <row r="1001" spans="10:11" ht="13">
      <c r="J1001" s="205"/>
      <c r="K1001" s="205"/>
    </row>
    <row r="1002" spans="10:11" ht="13">
      <c r="J1002" s="205"/>
      <c r="K1002" s="205"/>
    </row>
    <row r="1003" spans="10:11" ht="13">
      <c r="J1003" s="205"/>
      <c r="K1003" s="205"/>
    </row>
    <row r="1004" spans="10:11" ht="13">
      <c r="J1004" s="205"/>
      <c r="K1004" s="205"/>
    </row>
    <row r="1005" spans="10:11" ht="13">
      <c r="J1005" s="205"/>
      <c r="K1005" s="205"/>
    </row>
    <row r="1006" spans="10:11" ht="13">
      <c r="J1006" s="205"/>
      <c r="K1006" s="205"/>
    </row>
    <row r="1007" spans="10:11" ht="13">
      <c r="J1007" s="205"/>
      <c r="K1007" s="205"/>
    </row>
    <row r="1008" spans="10:11" ht="13">
      <c r="J1008" s="205"/>
      <c r="K1008" s="205"/>
    </row>
    <row r="1009" spans="10:11" ht="13">
      <c r="J1009" s="205"/>
      <c r="K1009" s="205"/>
    </row>
    <row r="1010" spans="10:11" ht="13">
      <c r="J1010" s="205"/>
      <c r="K1010" s="205"/>
    </row>
    <row r="1011" spans="10:11" ht="13">
      <c r="J1011" s="205"/>
      <c r="K1011" s="205"/>
    </row>
    <row r="1012" spans="10:11" ht="13">
      <c r="J1012" s="205"/>
      <c r="K1012" s="205"/>
    </row>
    <row r="1013" spans="10:11" ht="13">
      <c r="J1013" s="205"/>
      <c r="K1013" s="205"/>
    </row>
    <row r="1014" spans="10:11" ht="13">
      <c r="J1014" s="205"/>
      <c r="K1014" s="205"/>
    </row>
    <row r="1015" spans="10:11" ht="13">
      <c r="J1015" s="205"/>
      <c r="K1015" s="205"/>
    </row>
    <row r="1016" spans="10:11" ht="13">
      <c r="J1016" s="205"/>
      <c r="K1016" s="205"/>
    </row>
    <row r="1017" spans="10:11" ht="13">
      <c r="J1017" s="205"/>
      <c r="K1017" s="205"/>
    </row>
    <row r="1018" spans="10:11" ht="13">
      <c r="J1018" s="205"/>
      <c r="K1018" s="205"/>
    </row>
    <row r="1019" spans="10:11" ht="13">
      <c r="J1019" s="205"/>
      <c r="K1019" s="205"/>
    </row>
    <row r="1020" spans="10:11" ht="13">
      <c r="J1020" s="205"/>
      <c r="K1020" s="205"/>
    </row>
    <row r="1021" spans="10:11" ht="13">
      <c r="J1021" s="205"/>
      <c r="K1021" s="205"/>
    </row>
    <row r="1022" spans="10:11" ht="13">
      <c r="J1022" s="205"/>
      <c r="K1022" s="205"/>
    </row>
    <row r="1023" spans="10:11" ht="13">
      <c r="J1023" s="205"/>
      <c r="K1023" s="205"/>
    </row>
    <row r="1024" spans="10:11" ht="13">
      <c r="J1024" s="205"/>
      <c r="K1024" s="205"/>
    </row>
    <row r="1025" spans="10:11" ht="13">
      <c r="J1025" s="205"/>
      <c r="K1025" s="205"/>
    </row>
    <row r="1026" spans="10:11" ht="13">
      <c r="J1026" s="205"/>
      <c r="K1026" s="205"/>
    </row>
    <row r="1027" spans="10:11" ht="13">
      <c r="J1027" s="205"/>
      <c r="K1027" s="205"/>
    </row>
    <row r="1028" spans="10:11" ht="13">
      <c r="J1028" s="205"/>
      <c r="K1028" s="205"/>
    </row>
    <row r="1029" spans="10:11" ht="13">
      <c r="J1029" s="205"/>
      <c r="K1029" s="205"/>
    </row>
    <row r="1030" spans="10:11" ht="13">
      <c r="J1030" s="205"/>
      <c r="K1030" s="205"/>
    </row>
    <row r="1031" spans="10:11" ht="13">
      <c r="J1031" s="205"/>
      <c r="K1031" s="205"/>
    </row>
    <row r="1032" spans="10:11" ht="13">
      <c r="J1032" s="205"/>
      <c r="K1032" s="205"/>
    </row>
    <row r="1033" spans="10:11" ht="13">
      <c r="J1033" s="205"/>
      <c r="K1033" s="205"/>
    </row>
    <row r="1034" spans="10:11" ht="13">
      <c r="J1034" s="205"/>
      <c r="K1034" s="205"/>
    </row>
    <row r="1035" spans="10:11" ht="13">
      <c r="J1035" s="205"/>
      <c r="K1035" s="205"/>
    </row>
    <row r="1036" spans="10:11" ht="13">
      <c r="J1036" s="205"/>
      <c r="K1036" s="205"/>
    </row>
    <row r="1037" spans="10:11" ht="13">
      <c r="J1037" s="205"/>
      <c r="K1037" s="205"/>
    </row>
    <row r="1038" spans="10:11" ht="13">
      <c r="J1038" s="205"/>
      <c r="K1038" s="205"/>
    </row>
    <row r="1039" spans="10:11" ht="13">
      <c r="J1039" s="205"/>
      <c r="K1039" s="205"/>
    </row>
    <row r="1040" spans="10:11" ht="13">
      <c r="J1040" s="205"/>
      <c r="K1040" s="205"/>
    </row>
    <row r="1041" spans="10:11" ht="13">
      <c r="J1041" s="205"/>
      <c r="K1041" s="205"/>
    </row>
    <row r="1042" spans="10:11" ht="13">
      <c r="J1042" s="205"/>
      <c r="K1042" s="205"/>
    </row>
    <row r="1043" spans="10:11" ht="13">
      <c r="J1043" s="205"/>
      <c r="K1043" s="205"/>
    </row>
    <row r="1044" spans="10:11" ht="13">
      <c r="J1044" s="205"/>
      <c r="K1044" s="205"/>
    </row>
    <row r="1045" spans="10:11" ht="13">
      <c r="J1045" s="205"/>
      <c r="K1045" s="205"/>
    </row>
    <row r="1046" spans="10:11" ht="13">
      <c r="J1046" s="205"/>
      <c r="K1046" s="205"/>
    </row>
    <row r="1047" spans="10:11" ht="13">
      <c r="J1047" s="205"/>
      <c r="K1047" s="205"/>
    </row>
    <row r="1048" spans="10:11" ht="13">
      <c r="J1048" s="205"/>
      <c r="K1048" s="205"/>
    </row>
    <row r="1049" spans="10:11" ht="13">
      <c r="J1049" s="205"/>
      <c r="K1049" s="205"/>
    </row>
    <row r="1050" spans="10:11" ht="13">
      <c r="J1050" s="205"/>
      <c r="K1050" s="205"/>
    </row>
    <row r="1051" spans="10:11" ht="13">
      <c r="J1051" s="205"/>
      <c r="K1051" s="205"/>
    </row>
    <row r="1052" spans="10:11" ht="13">
      <c r="J1052" s="205"/>
      <c r="K1052" s="205"/>
    </row>
    <row r="1053" spans="10:11" ht="13">
      <c r="J1053" s="205"/>
      <c r="K1053" s="205"/>
    </row>
    <row r="1054" spans="10:11" ht="13">
      <c r="J1054" s="205"/>
      <c r="K1054" s="205"/>
    </row>
    <row r="1055" spans="10:11" ht="13">
      <c r="J1055" s="205"/>
      <c r="K1055" s="205"/>
    </row>
    <row r="1056" spans="10:11" ht="13">
      <c r="J1056" s="205"/>
      <c r="K1056" s="205"/>
    </row>
    <row r="1057" spans="10:11" ht="13">
      <c r="J1057" s="205"/>
      <c r="K1057" s="205"/>
    </row>
    <row r="1058" spans="10:11" ht="13">
      <c r="J1058" s="205"/>
      <c r="K1058" s="205"/>
    </row>
    <row r="1059" spans="10:11" ht="13">
      <c r="J1059" s="205"/>
      <c r="K1059" s="205"/>
    </row>
    <row r="1060" spans="10:11" ht="13">
      <c r="J1060" s="205"/>
      <c r="K1060" s="205"/>
    </row>
    <row r="1061" spans="10:11" ht="13">
      <c r="J1061" s="205"/>
      <c r="K1061" s="205"/>
    </row>
    <row r="1062" spans="10:11" ht="13">
      <c r="J1062" s="205"/>
      <c r="K1062" s="205"/>
    </row>
    <row r="1063" spans="10:11" ht="13">
      <c r="J1063" s="205"/>
      <c r="K1063" s="205"/>
    </row>
    <row r="1064" spans="10:11" ht="13">
      <c r="J1064" s="205"/>
      <c r="K1064" s="205"/>
    </row>
    <row r="1065" spans="10:11" ht="13">
      <c r="J1065" s="205"/>
      <c r="K1065" s="205"/>
    </row>
    <row r="1066" spans="10:11" ht="13">
      <c r="J1066" s="205"/>
      <c r="K1066" s="205"/>
    </row>
    <row r="1067" spans="10:11" ht="13">
      <c r="J1067" s="205"/>
      <c r="K1067" s="205"/>
    </row>
    <row r="1068" spans="10:11" ht="13">
      <c r="J1068" s="205"/>
      <c r="K1068" s="205"/>
    </row>
    <row r="1069" spans="10:11" ht="13">
      <c r="J1069" s="205"/>
      <c r="K1069" s="205"/>
    </row>
    <row r="1070" spans="10:11" ht="13">
      <c r="J1070" s="205"/>
      <c r="K1070" s="205"/>
    </row>
    <row r="1071" spans="10:11" ht="13">
      <c r="J1071" s="205"/>
      <c r="K1071" s="205"/>
    </row>
    <row r="1072" spans="10:11" ht="13">
      <c r="J1072" s="205"/>
      <c r="K1072" s="205"/>
    </row>
    <row r="1073" spans="10:11" ht="13">
      <c r="J1073" s="205"/>
      <c r="K1073" s="205"/>
    </row>
    <row r="1074" spans="10:11" ht="13">
      <c r="J1074" s="205"/>
      <c r="K1074" s="205"/>
    </row>
    <row r="1075" spans="10:11" ht="13">
      <c r="J1075" s="205"/>
      <c r="K1075" s="205"/>
    </row>
    <row r="1076" spans="10:11" ht="13">
      <c r="J1076" s="205"/>
      <c r="K1076" s="205"/>
    </row>
    <row r="1077" spans="10:11" ht="13">
      <c r="J1077" s="205"/>
      <c r="K1077" s="205"/>
    </row>
    <row r="1078" spans="10:11" ht="13">
      <c r="J1078" s="205"/>
      <c r="K1078" s="205"/>
    </row>
    <row r="1079" spans="10:11" ht="13">
      <c r="J1079" s="205"/>
      <c r="K1079" s="205"/>
    </row>
    <row r="1080" spans="10:11" ht="13">
      <c r="J1080" s="205"/>
      <c r="K1080" s="205"/>
    </row>
    <row r="1081" spans="10:11" ht="13">
      <c r="J1081" s="205"/>
      <c r="K1081" s="205"/>
    </row>
    <row r="1082" spans="10:11" ht="13">
      <c r="J1082" s="205"/>
      <c r="K1082" s="205"/>
    </row>
    <row r="1083" spans="10:11" ht="13">
      <c r="J1083" s="205"/>
      <c r="K1083" s="205"/>
    </row>
    <row r="1084" spans="10:11" ht="13">
      <c r="J1084" s="205"/>
      <c r="K1084" s="205"/>
    </row>
    <row r="1085" spans="10:11" ht="13">
      <c r="J1085" s="205"/>
      <c r="K1085" s="205"/>
    </row>
    <row r="1086" spans="10:11" ht="13">
      <c r="J1086" s="205"/>
      <c r="K1086" s="205"/>
    </row>
    <row r="1087" spans="10:11" ht="13">
      <c r="J1087" s="205"/>
      <c r="K1087" s="205"/>
    </row>
    <row r="1088" spans="10:11" ht="13">
      <c r="J1088" s="205"/>
      <c r="K1088" s="205"/>
    </row>
    <row r="1089" spans="10:11" ht="13">
      <c r="J1089" s="205"/>
      <c r="K1089" s="205"/>
    </row>
    <row r="1090" spans="10:11" ht="13">
      <c r="J1090" s="205"/>
      <c r="K1090" s="205"/>
    </row>
    <row r="1091" spans="10:11" ht="13">
      <c r="J1091" s="205"/>
      <c r="K1091" s="205"/>
    </row>
    <row r="1092" spans="10:11" ht="13">
      <c r="J1092" s="205"/>
      <c r="K1092" s="205"/>
    </row>
    <row r="1093" spans="10:11" ht="13">
      <c r="J1093" s="205"/>
      <c r="K1093" s="205"/>
    </row>
    <row r="1094" spans="10:11" ht="13">
      <c r="J1094" s="205"/>
      <c r="K1094" s="205"/>
    </row>
    <row r="1095" spans="10:11" ht="13">
      <c r="J1095" s="205"/>
      <c r="K1095" s="205"/>
    </row>
    <row r="1096" spans="10:11" ht="13">
      <c r="J1096" s="205"/>
      <c r="K1096" s="205"/>
    </row>
    <row r="1097" spans="10:11" ht="13">
      <c r="J1097" s="205"/>
      <c r="K1097" s="205"/>
    </row>
    <row r="1098" spans="10:11" ht="13">
      <c r="J1098" s="205"/>
      <c r="K1098" s="205"/>
    </row>
    <row r="1099" spans="10:11" ht="13">
      <c r="J1099" s="205"/>
      <c r="K1099" s="205"/>
    </row>
    <row r="1100" spans="10:11" ht="13">
      <c r="J1100" s="205"/>
      <c r="K1100" s="205"/>
    </row>
    <row r="1101" spans="10:11" ht="13">
      <c r="J1101" s="205"/>
      <c r="K1101" s="205"/>
    </row>
    <row r="1102" spans="10:11" ht="13">
      <c r="J1102" s="205"/>
      <c r="K1102" s="205"/>
    </row>
    <row r="1103" spans="10:11" ht="13">
      <c r="J1103" s="205"/>
      <c r="K1103" s="205"/>
    </row>
    <row r="1104" spans="10:11" ht="13">
      <c r="J1104" s="205"/>
      <c r="K1104" s="205"/>
    </row>
    <row r="1105" spans="10:11" ht="13">
      <c r="J1105" s="205"/>
      <c r="K1105" s="205"/>
    </row>
    <row r="1106" spans="10:11" ht="13">
      <c r="J1106" s="205"/>
      <c r="K1106" s="205"/>
    </row>
    <row r="1107" spans="10:11" ht="13">
      <c r="J1107" s="205"/>
      <c r="K1107" s="205"/>
    </row>
    <row r="1108" spans="10:11" ht="13">
      <c r="J1108" s="205"/>
      <c r="K1108" s="205"/>
    </row>
    <row r="1109" spans="10:11" ht="13">
      <c r="J1109" s="205"/>
      <c r="K1109" s="205"/>
    </row>
    <row r="1110" spans="10:11" ht="13">
      <c r="J1110" s="205"/>
      <c r="K1110" s="205"/>
    </row>
    <row r="1111" spans="10:11" ht="13">
      <c r="J1111" s="205"/>
      <c r="K1111" s="205"/>
    </row>
    <row r="1112" spans="10:11" ht="13">
      <c r="J1112" s="205"/>
      <c r="K1112" s="205"/>
    </row>
    <row r="1113" spans="10:11" ht="13">
      <c r="J1113" s="205"/>
      <c r="K1113" s="205"/>
    </row>
    <row r="1114" spans="10:11" ht="13">
      <c r="J1114" s="205"/>
      <c r="K1114" s="205"/>
    </row>
    <row r="1115" spans="10:11" ht="13">
      <c r="J1115" s="205"/>
      <c r="K1115" s="205"/>
    </row>
    <row r="1116" spans="10:11" ht="13">
      <c r="J1116" s="205"/>
      <c r="K1116" s="205"/>
    </row>
    <row r="1117" spans="10:11" ht="13">
      <c r="J1117" s="205"/>
      <c r="K1117" s="205"/>
    </row>
    <row r="1118" spans="10:11" ht="13">
      <c r="J1118" s="205"/>
      <c r="K1118" s="205"/>
    </row>
    <row r="1119" spans="10:11" ht="13">
      <c r="J1119" s="205"/>
      <c r="K1119" s="205"/>
    </row>
    <row r="1120" spans="10:11" ht="13">
      <c r="J1120" s="205"/>
      <c r="K1120" s="205"/>
    </row>
    <row r="1121" spans="10:11" ht="13">
      <c r="J1121" s="205"/>
      <c r="K1121" s="205"/>
    </row>
    <row r="1122" spans="10:11" ht="13">
      <c r="J1122" s="205"/>
      <c r="K1122" s="205"/>
    </row>
    <row r="1123" spans="10:11" ht="13">
      <c r="J1123" s="205"/>
      <c r="K1123" s="205"/>
    </row>
    <row r="1124" spans="10:11" ht="13">
      <c r="J1124" s="205"/>
      <c r="K1124" s="205"/>
    </row>
    <row r="1125" spans="10:11" ht="13">
      <c r="J1125" s="205"/>
      <c r="K1125" s="205"/>
    </row>
    <row r="1126" spans="10:11" ht="13">
      <c r="J1126" s="205"/>
      <c r="K1126" s="205"/>
    </row>
    <row r="1127" spans="10:11" ht="13">
      <c r="J1127" s="205"/>
      <c r="K1127" s="205"/>
    </row>
    <row r="1128" spans="10:11" ht="13">
      <c r="J1128" s="205"/>
      <c r="K1128" s="205"/>
    </row>
    <row r="1129" spans="10:11" ht="13">
      <c r="J1129" s="205"/>
      <c r="K1129" s="205"/>
    </row>
    <row r="1130" spans="10:11" ht="13">
      <c r="J1130" s="205"/>
      <c r="K1130" s="205"/>
    </row>
    <row r="1131" spans="10:11" ht="13">
      <c r="J1131" s="205"/>
      <c r="K1131" s="205"/>
    </row>
    <row r="1132" spans="10:11" ht="13">
      <c r="J1132" s="205"/>
      <c r="K1132" s="205"/>
    </row>
    <row r="1133" spans="10:11" ht="13">
      <c r="J1133" s="205"/>
      <c r="K1133" s="205"/>
    </row>
    <row r="1134" spans="10:11" ht="13">
      <c r="J1134" s="205"/>
      <c r="K1134" s="205"/>
    </row>
    <row r="1135" spans="10:11" ht="13">
      <c r="J1135" s="205"/>
      <c r="K1135" s="205"/>
    </row>
    <row r="1136" spans="10:11" ht="13">
      <c r="J1136" s="205"/>
      <c r="K1136" s="205"/>
    </row>
    <row r="1137" spans="10:11" ht="13">
      <c r="J1137" s="205"/>
      <c r="K1137" s="205"/>
    </row>
    <row r="1138" spans="10:11" ht="13">
      <c r="J1138" s="205"/>
      <c r="K1138" s="205"/>
    </row>
    <row r="1139" spans="10:11" ht="13">
      <c r="J1139" s="205"/>
      <c r="K1139" s="205"/>
    </row>
    <row r="1140" spans="10:11" ht="13">
      <c r="J1140" s="205"/>
      <c r="K1140" s="205"/>
    </row>
    <row r="1141" spans="10:11" ht="13">
      <c r="J1141" s="205"/>
      <c r="K1141" s="205"/>
    </row>
    <row r="1142" spans="10:11" ht="13">
      <c r="J1142" s="205"/>
      <c r="K1142" s="205"/>
    </row>
    <row r="1143" spans="10:11" ht="13">
      <c r="J1143" s="205"/>
      <c r="K1143" s="205"/>
    </row>
    <row r="1144" spans="10:11" ht="13">
      <c r="J1144" s="205"/>
      <c r="K1144" s="205"/>
    </row>
    <row r="1145" spans="10:11" ht="13">
      <c r="J1145" s="205"/>
      <c r="K1145" s="205"/>
    </row>
    <row r="1146" spans="10:11" ht="13">
      <c r="J1146" s="205"/>
      <c r="K1146" s="205"/>
    </row>
    <row r="1147" spans="10:11" ht="13">
      <c r="J1147" s="205"/>
      <c r="K1147" s="205"/>
    </row>
    <row r="1148" spans="10:11" ht="13">
      <c r="J1148" s="205"/>
      <c r="K1148" s="205"/>
    </row>
    <row r="1149" spans="10:11" ht="13">
      <c r="J1149" s="205"/>
      <c r="K1149" s="205"/>
    </row>
    <row r="1150" spans="10:11" ht="13">
      <c r="J1150" s="205"/>
      <c r="K1150" s="205"/>
    </row>
    <row r="1151" spans="10:11" ht="13">
      <c r="J1151" s="205"/>
      <c r="K1151" s="205"/>
    </row>
    <row r="1152" spans="10:11" ht="13">
      <c r="J1152" s="205"/>
      <c r="K1152" s="205"/>
    </row>
    <row r="1153" spans="10:11" ht="13">
      <c r="J1153" s="205"/>
      <c r="K1153" s="205"/>
    </row>
    <row r="1154" spans="10:11" ht="13">
      <c r="J1154" s="205"/>
      <c r="K1154" s="205"/>
    </row>
    <row r="1155" spans="10:11" ht="13">
      <c r="J1155" s="205"/>
      <c r="K1155" s="205"/>
    </row>
    <row r="1156" spans="10:11" ht="13">
      <c r="J1156" s="205"/>
      <c r="K1156" s="205"/>
    </row>
    <row r="1157" spans="10:11" ht="13">
      <c r="J1157" s="205"/>
      <c r="K1157" s="205"/>
    </row>
    <row r="1158" spans="10:11" ht="13">
      <c r="J1158" s="205"/>
      <c r="K1158" s="205"/>
    </row>
    <row r="1159" spans="10:11" ht="13">
      <c r="J1159" s="205"/>
      <c r="K1159" s="205"/>
    </row>
    <row r="1160" spans="10:11" ht="13">
      <c r="J1160" s="205"/>
      <c r="K1160" s="205"/>
    </row>
    <row r="1161" spans="10:11" ht="13">
      <c r="J1161" s="205"/>
      <c r="K1161" s="205"/>
    </row>
    <row r="1162" spans="10:11" ht="13">
      <c r="J1162" s="205"/>
      <c r="K1162" s="205"/>
    </row>
    <row r="1163" spans="10:11" ht="13">
      <c r="J1163" s="205"/>
      <c r="K1163" s="205"/>
    </row>
    <row r="1164" spans="10:11" ht="13">
      <c r="J1164" s="205"/>
      <c r="K1164" s="205"/>
    </row>
    <row r="1165" spans="10:11" ht="13">
      <c r="J1165" s="205"/>
      <c r="K1165" s="205"/>
    </row>
    <row r="1166" spans="10:11" ht="13">
      <c r="J1166" s="205"/>
      <c r="K1166" s="205"/>
    </row>
    <row r="1167" spans="10:11" ht="13">
      <c r="J1167" s="205"/>
      <c r="K1167" s="205"/>
    </row>
    <row r="1168" spans="10:11" ht="13">
      <c r="J1168" s="205"/>
      <c r="K1168" s="205"/>
    </row>
    <row r="1169" spans="10:11" ht="13">
      <c r="J1169" s="205"/>
      <c r="K1169" s="205"/>
    </row>
    <row r="1170" spans="10:11" ht="13">
      <c r="J1170" s="205"/>
      <c r="K1170" s="205"/>
    </row>
    <row r="1171" spans="10:11" ht="13">
      <c r="J1171" s="205"/>
      <c r="K1171" s="205"/>
    </row>
    <row r="1172" spans="10:11" ht="13">
      <c r="J1172" s="205"/>
      <c r="K1172" s="205"/>
    </row>
    <row r="1173" spans="10:11" ht="13">
      <c r="J1173" s="205"/>
      <c r="K1173" s="205"/>
    </row>
    <row r="1174" spans="10:11" ht="13">
      <c r="J1174" s="205"/>
      <c r="K1174" s="205"/>
    </row>
    <row r="1175" spans="10:11" ht="13">
      <c r="J1175" s="205"/>
      <c r="K1175" s="205"/>
    </row>
    <row r="1176" spans="10:11" ht="13">
      <c r="J1176" s="205"/>
      <c r="K1176" s="205"/>
    </row>
    <row r="1177" spans="10:11" ht="13">
      <c r="J1177" s="205"/>
      <c r="K1177" s="205"/>
    </row>
    <row r="1178" spans="10:11" ht="13">
      <c r="J1178" s="205"/>
      <c r="K1178" s="205"/>
    </row>
    <row r="1179" spans="10:11" ht="13">
      <c r="J1179" s="205"/>
      <c r="K1179" s="205"/>
    </row>
    <row r="1180" spans="10:11" ht="13">
      <c r="J1180" s="205"/>
      <c r="K1180" s="205"/>
    </row>
    <row r="1181" spans="10:11" ht="13">
      <c r="J1181" s="205"/>
      <c r="K1181" s="205"/>
    </row>
    <row r="1182" spans="10:11" ht="13">
      <c r="J1182" s="205"/>
      <c r="K1182" s="205"/>
    </row>
    <row r="1183" spans="10:11" ht="13">
      <c r="J1183" s="205"/>
      <c r="K1183" s="205"/>
    </row>
    <row r="1184" spans="10:11" ht="13">
      <c r="J1184" s="205"/>
      <c r="K1184" s="205"/>
    </row>
    <row r="1185" spans="10:11" ht="13">
      <c r="J1185" s="205"/>
      <c r="K1185" s="205"/>
    </row>
    <row r="1186" spans="10:11" ht="13">
      <c r="J1186" s="205"/>
      <c r="K1186" s="205"/>
    </row>
    <row r="1187" spans="10:11" ht="13">
      <c r="J1187" s="205"/>
      <c r="K1187" s="205"/>
    </row>
    <row r="1188" spans="10:11" ht="13">
      <c r="J1188" s="205"/>
      <c r="K1188" s="205"/>
    </row>
    <row r="1189" spans="10:11" ht="13">
      <c r="J1189" s="205"/>
      <c r="K1189" s="205"/>
    </row>
    <row r="1190" spans="10:11" ht="13">
      <c r="J1190" s="205"/>
      <c r="K1190" s="205"/>
    </row>
    <row r="1191" spans="10:11" ht="13">
      <c r="J1191" s="205"/>
      <c r="K1191" s="205"/>
    </row>
    <row r="1192" spans="10:11" ht="13">
      <c r="J1192" s="205"/>
      <c r="K1192" s="205"/>
    </row>
    <row r="1193" spans="10:11" ht="13">
      <c r="J1193" s="205"/>
      <c r="K1193" s="205"/>
    </row>
    <row r="1194" spans="10:11" ht="13">
      <c r="J1194" s="205"/>
      <c r="K1194" s="205"/>
    </row>
    <row r="1195" spans="10:11" ht="13">
      <c r="J1195" s="205"/>
      <c r="K1195" s="205"/>
    </row>
    <row r="1196" spans="10:11" ht="13">
      <c r="J1196" s="205"/>
      <c r="K1196" s="205"/>
    </row>
    <row r="1197" spans="10:11" ht="13">
      <c r="J1197" s="205"/>
      <c r="K1197" s="205"/>
    </row>
    <row r="1198" spans="10:11" ht="13">
      <c r="J1198" s="205"/>
      <c r="K1198" s="205"/>
    </row>
    <row r="1199" spans="10:11" ht="13">
      <c r="J1199" s="205"/>
      <c r="K1199" s="205"/>
    </row>
    <row r="1200" spans="10:11" ht="13">
      <c r="J1200" s="205"/>
      <c r="K1200" s="205"/>
    </row>
    <row r="1201" spans="10:11" ht="13">
      <c r="J1201" s="205"/>
      <c r="K1201" s="205"/>
    </row>
    <row r="1202" spans="10:11" ht="13">
      <c r="J1202" s="205"/>
      <c r="K1202" s="205"/>
    </row>
    <row r="1203" spans="10:11" ht="13">
      <c r="J1203" s="205"/>
      <c r="K1203" s="205"/>
    </row>
    <row r="1204" spans="10:11" ht="13">
      <c r="J1204" s="205"/>
      <c r="K1204" s="205"/>
    </row>
    <row r="1205" spans="10:11" ht="13">
      <c r="J1205" s="205"/>
      <c r="K1205" s="205"/>
    </row>
    <row r="1206" spans="10:11" ht="13">
      <c r="J1206" s="205"/>
      <c r="K1206" s="205"/>
    </row>
    <row r="1207" spans="10:11" ht="13">
      <c r="J1207" s="205"/>
      <c r="K1207" s="205"/>
    </row>
    <row r="1208" spans="10:11" ht="13">
      <c r="J1208" s="205"/>
      <c r="K1208" s="205"/>
    </row>
    <row r="1209" spans="10:11" ht="13">
      <c r="J1209" s="205"/>
      <c r="K1209" s="205"/>
    </row>
    <row r="1210" spans="10:11" ht="13">
      <c r="J1210" s="205"/>
      <c r="K1210" s="205"/>
    </row>
    <row r="1211" spans="10:11" ht="13">
      <c r="J1211" s="205"/>
      <c r="K1211" s="205"/>
    </row>
    <row r="1212" spans="10:11" ht="13">
      <c r="J1212" s="205"/>
      <c r="K1212" s="205"/>
    </row>
    <row r="1213" spans="10:11" ht="13">
      <c r="J1213" s="205"/>
      <c r="K1213" s="205"/>
    </row>
    <row r="1214" spans="10:11" ht="13">
      <c r="J1214" s="205"/>
      <c r="K1214" s="205"/>
    </row>
    <row r="1215" spans="10:11" ht="13">
      <c r="J1215" s="205"/>
      <c r="K1215" s="205"/>
    </row>
    <row r="1216" spans="10:11" ht="13">
      <c r="J1216" s="205"/>
      <c r="K1216" s="205"/>
    </row>
    <row r="1217" spans="10:11" ht="13">
      <c r="J1217" s="205"/>
      <c r="K1217" s="205"/>
    </row>
    <row r="1218" spans="10:11" ht="13">
      <c r="J1218" s="205"/>
      <c r="K1218" s="205"/>
    </row>
    <row r="1219" spans="10:11" ht="13">
      <c r="J1219" s="205"/>
      <c r="K1219" s="205"/>
    </row>
    <row r="1220" spans="10:11" ht="13">
      <c r="J1220" s="205"/>
      <c r="K1220" s="205"/>
    </row>
    <row r="1221" spans="10:11" ht="13">
      <c r="J1221" s="205"/>
      <c r="K1221" s="205"/>
    </row>
    <row r="1222" spans="10:11" ht="13">
      <c r="J1222" s="205"/>
      <c r="K1222" s="205"/>
    </row>
    <row r="1223" spans="10:11" ht="13">
      <c r="J1223" s="205"/>
      <c r="K1223" s="205"/>
    </row>
    <row r="1224" spans="10:11" ht="13">
      <c r="J1224" s="205"/>
      <c r="K1224" s="205"/>
    </row>
    <row r="1225" spans="10:11" ht="13">
      <c r="J1225" s="205"/>
      <c r="K1225" s="205"/>
    </row>
    <row r="1226" spans="10:11" ht="13">
      <c r="J1226" s="205"/>
      <c r="K1226" s="205"/>
    </row>
    <row r="1227" spans="10:11" ht="13">
      <c r="J1227" s="205"/>
      <c r="K1227" s="205"/>
    </row>
    <row r="1228" spans="10:11" ht="13">
      <c r="J1228" s="205"/>
      <c r="K1228" s="205"/>
    </row>
    <row r="1229" spans="10:11" ht="13">
      <c r="J1229" s="205"/>
      <c r="K1229" s="205"/>
    </row>
    <row r="1230" spans="10:11" ht="13">
      <c r="J1230" s="205"/>
      <c r="K1230" s="205"/>
    </row>
    <row r="1231" spans="10:11" ht="13">
      <c r="J1231" s="205"/>
      <c r="K1231" s="205"/>
    </row>
    <row r="1232" spans="10:11" ht="13">
      <c r="J1232" s="205"/>
      <c r="K1232" s="205"/>
    </row>
    <row r="1233" spans="10:11" ht="13">
      <c r="J1233" s="205"/>
      <c r="K1233" s="205"/>
    </row>
    <row r="1234" spans="10:11" ht="13">
      <c r="J1234" s="205"/>
      <c r="K1234" s="205"/>
    </row>
    <row r="1235" spans="10:11" ht="13">
      <c r="J1235" s="205"/>
      <c r="K1235" s="205"/>
    </row>
    <row r="1236" spans="10:11" ht="13">
      <c r="J1236" s="205"/>
      <c r="K1236" s="205"/>
    </row>
    <row r="1237" spans="10:11" ht="13">
      <c r="J1237" s="205"/>
      <c r="K1237" s="205"/>
    </row>
    <row r="1238" spans="10:11" ht="13">
      <c r="J1238" s="205"/>
      <c r="K1238" s="205"/>
    </row>
    <row r="1239" spans="10:11" ht="13">
      <c r="J1239" s="205"/>
      <c r="K1239" s="205"/>
    </row>
    <row r="1240" spans="10:11" ht="13">
      <c r="J1240" s="205"/>
      <c r="K1240" s="205"/>
    </row>
    <row r="1241" spans="10:11" ht="13">
      <c r="J1241" s="205"/>
      <c r="K1241" s="205"/>
    </row>
    <row r="1242" spans="10:11" ht="13">
      <c r="J1242" s="205"/>
      <c r="K1242" s="205"/>
    </row>
    <row r="1243" spans="10:11" ht="13">
      <c r="J1243" s="205"/>
      <c r="K1243" s="205"/>
    </row>
    <row r="1244" spans="10:11" ht="13">
      <c r="J1244" s="205"/>
      <c r="K1244" s="205"/>
    </row>
    <row r="1245" spans="10:11" ht="13">
      <c r="J1245" s="205"/>
      <c r="K1245" s="205"/>
    </row>
    <row r="1246" spans="10:11" ht="13">
      <c r="J1246" s="205"/>
      <c r="K1246" s="205"/>
    </row>
    <row r="1247" spans="10:11" ht="13">
      <c r="J1247" s="205"/>
      <c r="K1247" s="205"/>
    </row>
    <row r="1248" spans="10:11" ht="13">
      <c r="J1248" s="205"/>
      <c r="K1248" s="205"/>
    </row>
    <row r="1249" spans="10:11" ht="13">
      <c r="J1249" s="205"/>
      <c r="K1249" s="205"/>
    </row>
    <row r="1250" spans="10:11" ht="13">
      <c r="J1250" s="205"/>
      <c r="K1250" s="205"/>
    </row>
    <row r="1251" spans="10:11" ht="13">
      <c r="J1251" s="205"/>
      <c r="K1251" s="205"/>
    </row>
    <row r="1252" spans="10:11" ht="13">
      <c r="J1252" s="205"/>
      <c r="K1252" s="205"/>
    </row>
    <row r="1253" spans="10:11" ht="13">
      <c r="J1253" s="205"/>
      <c r="K1253" s="205"/>
    </row>
    <row r="1254" spans="10:11" ht="13">
      <c r="J1254" s="205"/>
      <c r="K1254" s="205"/>
    </row>
    <row r="1255" spans="10:11" ht="13">
      <c r="J1255" s="205"/>
      <c r="K1255" s="205"/>
    </row>
    <row r="1256" spans="10:11" ht="13">
      <c r="J1256" s="205"/>
      <c r="K1256" s="205"/>
    </row>
    <row r="1257" spans="10:11" ht="13">
      <c r="J1257" s="205"/>
      <c r="K1257" s="205"/>
    </row>
    <row r="1258" spans="10:11" ht="13">
      <c r="J1258" s="205"/>
      <c r="K1258" s="205"/>
    </row>
    <row r="1259" spans="10:11" ht="13">
      <c r="J1259" s="205"/>
      <c r="K1259" s="205"/>
    </row>
    <row r="1260" spans="10:11" ht="13">
      <c r="J1260" s="205"/>
      <c r="K1260" s="205"/>
    </row>
    <row r="1261" spans="10:11" ht="13">
      <c r="J1261" s="205"/>
      <c r="K1261" s="205"/>
    </row>
    <row r="1262" spans="10:11" ht="13">
      <c r="J1262" s="205"/>
      <c r="K1262" s="205"/>
    </row>
    <row r="1263" spans="10:11" ht="13">
      <c r="J1263" s="205"/>
      <c r="K1263" s="205"/>
    </row>
    <row r="1264" spans="10:11" ht="13">
      <c r="J1264" s="205"/>
      <c r="K1264" s="205"/>
    </row>
    <row r="1265" spans="10:11" ht="13">
      <c r="J1265" s="205"/>
      <c r="K1265" s="205"/>
    </row>
    <row r="1266" spans="10:11" ht="13">
      <c r="J1266" s="205"/>
      <c r="K1266" s="205"/>
    </row>
    <row r="1267" spans="10:11" ht="13">
      <c r="J1267" s="205"/>
      <c r="K1267" s="205"/>
    </row>
    <row r="1268" spans="10:11" ht="13">
      <c r="J1268" s="205"/>
      <c r="K1268" s="205"/>
    </row>
    <row r="1269" spans="10:11" ht="13">
      <c r="J1269" s="205"/>
      <c r="K1269" s="205"/>
    </row>
    <row r="1270" spans="10:11" ht="13">
      <c r="J1270" s="205"/>
      <c r="K1270" s="205"/>
    </row>
    <row r="1271" spans="10:11" ht="13">
      <c r="J1271" s="205"/>
      <c r="K1271" s="205"/>
    </row>
    <row r="1272" spans="10:11" ht="13">
      <c r="J1272" s="205"/>
      <c r="K1272" s="205"/>
    </row>
    <row r="1273" spans="10:11" ht="13">
      <c r="J1273" s="205"/>
      <c r="K1273" s="205"/>
    </row>
    <row r="1274" spans="10:11" ht="13">
      <c r="J1274" s="205"/>
      <c r="K1274" s="205"/>
    </row>
    <row r="1275" spans="10:11" ht="13">
      <c r="J1275" s="205"/>
      <c r="K1275" s="205"/>
    </row>
    <row r="1276" spans="10:11" ht="13">
      <c r="J1276" s="205"/>
      <c r="K1276" s="205"/>
    </row>
    <row r="1277" spans="10:11" ht="13">
      <c r="J1277" s="205"/>
      <c r="K1277" s="205"/>
    </row>
    <row r="1278" spans="10:11" ht="13">
      <c r="J1278" s="205"/>
      <c r="K1278" s="205"/>
    </row>
    <row r="1279" spans="10:11" ht="13">
      <c r="J1279" s="205"/>
      <c r="K1279" s="205"/>
    </row>
    <row r="1280" spans="10:11" ht="13">
      <c r="J1280" s="205"/>
      <c r="K1280" s="205"/>
    </row>
    <row r="1281" spans="10:11" ht="13">
      <c r="J1281" s="205"/>
      <c r="K1281" s="205"/>
    </row>
    <row r="1282" spans="10:11" ht="13">
      <c r="J1282" s="205"/>
      <c r="K1282" s="205"/>
    </row>
    <row r="1283" spans="10:11" ht="13">
      <c r="J1283" s="205"/>
      <c r="K1283" s="205"/>
    </row>
    <row r="1284" spans="10:11" ht="13">
      <c r="J1284" s="205"/>
      <c r="K1284" s="205"/>
    </row>
    <row r="1285" spans="10:11" ht="13">
      <c r="J1285" s="205"/>
      <c r="K1285" s="205"/>
    </row>
    <row r="1286" spans="10:11" ht="13">
      <c r="J1286" s="205"/>
      <c r="K1286" s="205"/>
    </row>
    <row r="1287" spans="10:11" ht="13">
      <c r="J1287" s="205"/>
      <c r="K1287" s="205"/>
    </row>
    <row r="1288" spans="10:11" ht="13">
      <c r="J1288" s="205"/>
      <c r="K1288" s="205"/>
    </row>
    <row r="1289" spans="10:11" ht="13">
      <c r="J1289" s="205"/>
      <c r="K1289" s="205"/>
    </row>
    <row r="1290" spans="10:11" ht="13">
      <c r="J1290" s="205"/>
      <c r="K1290" s="205"/>
    </row>
    <row r="1291" spans="10:11" ht="13">
      <c r="J1291" s="205"/>
      <c r="K1291" s="205"/>
    </row>
    <row r="1292" spans="10:11" ht="13">
      <c r="J1292" s="205"/>
      <c r="K1292" s="205"/>
    </row>
    <row r="1293" spans="10:11" ht="13">
      <c r="J1293" s="205"/>
      <c r="K1293" s="205"/>
    </row>
    <row r="1294" spans="10:11" ht="13">
      <c r="J1294" s="205"/>
      <c r="K1294" s="205"/>
    </row>
    <row r="1295" spans="10:11" ht="13">
      <c r="J1295" s="205"/>
      <c r="K1295" s="205"/>
    </row>
    <row r="1296" spans="10:11" ht="13">
      <c r="J1296" s="205"/>
      <c r="K1296" s="205"/>
    </row>
    <row r="1297" spans="10:11" ht="13">
      <c r="J1297" s="205"/>
      <c r="K1297" s="205"/>
    </row>
    <row r="1298" spans="10:11" ht="13">
      <c r="J1298" s="205"/>
      <c r="K1298" s="205"/>
    </row>
    <row r="1299" spans="10:11" ht="13">
      <c r="J1299" s="205"/>
      <c r="K1299" s="205"/>
    </row>
    <row r="1300" spans="10:11" ht="13">
      <c r="J1300" s="205"/>
      <c r="K1300" s="205"/>
    </row>
    <row r="1301" spans="10:11" ht="13">
      <c r="J1301" s="205"/>
      <c r="K1301" s="205"/>
    </row>
    <row r="1302" spans="10:11" ht="13">
      <c r="J1302" s="205"/>
      <c r="K1302" s="205"/>
    </row>
    <row r="1303" spans="10:11" ht="13">
      <c r="J1303" s="205"/>
      <c r="K1303" s="205"/>
    </row>
    <row r="1304" spans="10:11" ht="13">
      <c r="J1304" s="205"/>
      <c r="K1304" s="205"/>
    </row>
    <row r="1305" spans="10:11" ht="13">
      <c r="J1305" s="205"/>
      <c r="K1305" s="205"/>
    </row>
    <row r="1306" spans="10:11" ht="13">
      <c r="J1306" s="205"/>
      <c r="K1306" s="205"/>
    </row>
    <row r="1307" spans="10:11" ht="13">
      <c r="J1307" s="205"/>
      <c r="K1307" s="205"/>
    </row>
    <row r="1308" spans="10:11" ht="13">
      <c r="J1308" s="205"/>
      <c r="K1308" s="205"/>
    </row>
    <row r="1309" spans="10:11" ht="13">
      <c r="J1309" s="205"/>
      <c r="K1309" s="205"/>
    </row>
    <row r="1310" spans="10:11" ht="13">
      <c r="J1310" s="205"/>
      <c r="K1310" s="205"/>
    </row>
    <row r="1311" spans="10:11" ht="13">
      <c r="J1311" s="205"/>
      <c r="K1311" s="205"/>
    </row>
    <row r="1312" spans="10:11" ht="13">
      <c r="J1312" s="205"/>
      <c r="K1312" s="205"/>
    </row>
    <row r="1313" spans="10:11" ht="13">
      <c r="J1313" s="205"/>
      <c r="K1313" s="205"/>
    </row>
    <row r="1314" spans="10:11" ht="13">
      <c r="J1314" s="205"/>
      <c r="K1314" s="205"/>
    </row>
    <row r="1315" spans="10:11" ht="13">
      <c r="J1315" s="205"/>
      <c r="K1315" s="205"/>
    </row>
    <row r="1316" spans="10:11" ht="13">
      <c r="J1316" s="205"/>
      <c r="K1316" s="205"/>
    </row>
    <row r="1317" spans="10:11" ht="13">
      <c r="J1317" s="205"/>
      <c r="K1317" s="205"/>
    </row>
    <row r="1318" spans="10:11" ht="13">
      <c r="J1318" s="205"/>
      <c r="K1318" s="205"/>
    </row>
    <row r="1319" spans="10:11" ht="13">
      <c r="J1319" s="205"/>
      <c r="K1319" s="205"/>
    </row>
    <row r="1320" spans="10:11" ht="13">
      <c r="J1320" s="205"/>
      <c r="K1320" s="205"/>
    </row>
    <row r="1321" spans="10:11" ht="13">
      <c r="J1321" s="205"/>
      <c r="K1321" s="205"/>
    </row>
    <row r="1322" spans="10:11" ht="13">
      <c r="J1322" s="205"/>
      <c r="K1322" s="205"/>
    </row>
    <row r="1323" spans="10:11" ht="13">
      <c r="J1323" s="205"/>
      <c r="K1323" s="205"/>
    </row>
    <row r="1324" spans="10:11" ht="13">
      <c r="J1324" s="205"/>
      <c r="K1324" s="205"/>
    </row>
    <row r="1325" spans="10:11" ht="13">
      <c r="J1325" s="205"/>
      <c r="K1325" s="205"/>
    </row>
    <row r="1326" spans="10:11" ht="13">
      <c r="J1326" s="205"/>
      <c r="K1326" s="205"/>
    </row>
    <row r="1327" spans="10:11" ht="13">
      <c r="J1327" s="205"/>
      <c r="K1327" s="205"/>
    </row>
    <row r="1328" spans="10:11" ht="13">
      <c r="J1328" s="205"/>
      <c r="K1328" s="205"/>
    </row>
    <row r="1329" spans="10:11" ht="13">
      <c r="J1329" s="205"/>
      <c r="K1329" s="205"/>
    </row>
    <row r="1330" spans="10:11" ht="13">
      <c r="J1330" s="205"/>
      <c r="K1330" s="205"/>
    </row>
    <row r="1331" spans="10:11" ht="13">
      <c r="J1331" s="205"/>
      <c r="K1331" s="205"/>
    </row>
    <row r="1332" spans="10:11" ht="13">
      <c r="J1332" s="205"/>
      <c r="K1332" s="205"/>
    </row>
    <row r="1333" spans="10:11" ht="13">
      <c r="J1333" s="205"/>
      <c r="K1333" s="205"/>
    </row>
    <row r="1334" spans="10:11" ht="13">
      <c r="J1334" s="205"/>
      <c r="K1334" s="205"/>
    </row>
    <row r="1335" spans="10:11" ht="13">
      <c r="J1335" s="205"/>
      <c r="K1335" s="205"/>
    </row>
    <row r="1336" spans="10:11" ht="13">
      <c r="J1336" s="205"/>
      <c r="K1336" s="205"/>
    </row>
    <row r="1337" spans="10:11" ht="13">
      <c r="J1337" s="205"/>
      <c r="K1337" s="205"/>
    </row>
    <row r="1338" spans="10:11" ht="13">
      <c r="J1338" s="205"/>
      <c r="K1338" s="205"/>
    </row>
    <row r="1339" spans="10:11" ht="13">
      <c r="J1339" s="205"/>
      <c r="K1339" s="205"/>
    </row>
    <row r="1340" spans="10:11" ht="13">
      <c r="J1340" s="205"/>
      <c r="K1340" s="205"/>
    </row>
    <row r="1341" spans="10:11" ht="13">
      <c r="J1341" s="205"/>
      <c r="K1341" s="205"/>
    </row>
    <row r="1342" spans="10:11" ht="13">
      <c r="J1342" s="205"/>
      <c r="K1342" s="205"/>
    </row>
    <row r="1343" spans="10:11" ht="13">
      <c r="J1343" s="205"/>
      <c r="K1343" s="205"/>
    </row>
    <row r="1344" spans="10:11" ht="13">
      <c r="J1344" s="205"/>
      <c r="K1344" s="205"/>
    </row>
    <row r="1345" spans="10:11" ht="13">
      <c r="J1345" s="205"/>
      <c r="K1345" s="205"/>
    </row>
    <row r="1346" spans="10:11" ht="13">
      <c r="J1346" s="205"/>
      <c r="K1346" s="205"/>
    </row>
    <row r="1347" spans="10:11" ht="13">
      <c r="J1347" s="205"/>
      <c r="K1347" s="205"/>
    </row>
    <row r="1348" spans="10:11" ht="13">
      <c r="J1348" s="205"/>
      <c r="K1348" s="205"/>
    </row>
    <row r="1349" spans="10:11" ht="13">
      <c r="J1349" s="205"/>
      <c r="K1349" s="205"/>
    </row>
    <row r="1350" spans="10:11" ht="13">
      <c r="J1350" s="205"/>
      <c r="K1350" s="205"/>
    </row>
    <row r="1351" spans="10:11" ht="13">
      <c r="J1351" s="205"/>
      <c r="K1351" s="205"/>
    </row>
    <row r="1352" spans="10:11" ht="13">
      <c r="J1352" s="205"/>
      <c r="K1352" s="205"/>
    </row>
    <row r="1353" spans="10:11" ht="13">
      <c r="J1353" s="205"/>
      <c r="K1353" s="205"/>
    </row>
    <row r="1354" spans="10:11" ht="13">
      <c r="J1354" s="205"/>
      <c r="K1354" s="205"/>
    </row>
    <row r="1355" spans="10:11" ht="13">
      <c r="J1355" s="205"/>
      <c r="K1355" s="205"/>
    </row>
    <row r="1356" spans="10:11" ht="13">
      <c r="J1356" s="205"/>
      <c r="K1356" s="205"/>
    </row>
    <row r="1357" spans="10:11" ht="13">
      <c r="J1357" s="205"/>
      <c r="K1357" s="205"/>
    </row>
    <row r="1358" spans="10:11" ht="13">
      <c r="J1358" s="205"/>
      <c r="K1358" s="205"/>
    </row>
    <row r="1359" spans="10:11" ht="13">
      <c r="J1359" s="205"/>
      <c r="K1359" s="205"/>
    </row>
    <row r="1360" spans="10:11" ht="13">
      <c r="J1360" s="205"/>
      <c r="K1360" s="205"/>
    </row>
    <row r="1361" spans="10:11" ht="13">
      <c r="J1361" s="205"/>
      <c r="K1361" s="205"/>
    </row>
    <row r="1362" spans="10:11" ht="13">
      <c r="J1362" s="205"/>
      <c r="K1362" s="205"/>
    </row>
    <row r="1363" spans="10:11" ht="13">
      <c r="J1363" s="205"/>
      <c r="K1363" s="205"/>
    </row>
    <row r="1364" spans="10:11" ht="13">
      <c r="J1364" s="205"/>
      <c r="K1364" s="205"/>
    </row>
    <row r="1365" spans="10:11" ht="13">
      <c r="J1365" s="205"/>
      <c r="K1365" s="205"/>
    </row>
    <row r="1366" spans="10:11" ht="13">
      <c r="J1366" s="205"/>
      <c r="K1366" s="205"/>
    </row>
    <row r="1367" spans="10:11" ht="13">
      <c r="J1367" s="205"/>
      <c r="K1367" s="205"/>
    </row>
    <row r="1368" spans="10:11" ht="13">
      <c r="J1368" s="205"/>
      <c r="K1368" s="205"/>
    </row>
    <row r="1369" spans="10:11" ht="13">
      <c r="J1369" s="205"/>
      <c r="K1369" s="205"/>
    </row>
    <row r="1370" spans="10:11" ht="13">
      <c r="J1370" s="205"/>
      <c r="K1370" s="205"/>
    </row>
    <row r="1371" spans="10:11" ht="13">
      <c r="J1371" s="205"/>
      <c r="K1371" s="205"/>
    </row>
    <row r="1372" spans="10:11" ht="13">
      <c r="J1372" s="205"/>
      <c r="K1372" s="205"/>
    </row>
    <row r="1373" spans="10:11" ht="13">
      <c r="J1373" s="205"/>
      <c r="K1373" s="205"/>
    </row>
    <row r="1374" spans="10:11" ht="13">
      <c r="J1374" s="205"/>
      <c r="K1374" s="205"/>
    </row>
    <row r="1375" spans="10:11" ht="13">
      <c r="J1375" s="205"/>
      <c r="K1375" s="205"/>
    </row>
    <row r="1376" spans="10:11" ht="13">
      <c r="J1376" s="205"/>
      <c r="K1376" s="205"/>
    </row>
    <row r="1377" spans="10:11" ht="13">
      <c r="J1377" s="205"/>
      <c r="K1377" s="205"/>
    </row>
    <row r="1378" spans="10:11" ht="13">
      <c r="J1378" s="205"/>
      <c r="K1378" s="205"/>
    </row>
    <row r="1379" spans="10:11" ht="13">
      <c r="J1379" s="205"/>
      <c r="K1379" s="205"/>
    </row>
    <row r="1380" spans="10:11" ht="13">
      <c r="J1380" s="205"/>
      <c r="K1380" s="205"/>
    </row>
    <row r="1381" spans="10:11" ht="13">
      <c r="J1381" s="205"/>
      <c r="K1381" s="205"/>
    </row>
    <row r="1382" spans="10:11" ht="13">
      <c r="J1382" s="205"/>
      <c r="K1382" s="205"/>
    </row>
    <row r="1383" spans="10:11" ht="13">
      <c r="J1383" s="205"/>
      <c r="K1383" s="205"/>
    </row>
    <row r="1384" spans="10:11" ht="13">
      <c r="J1384" s="205"/>
      <c r="K1384" s="205"/>
    </row>
    <row r="1385" spans="10:11" ht="13">
      <c r="J1385" s="205"/>
      <c r="K1385" s="205"/>
    </row>
    <row r="1386" spans="10:11" ht="13">
      <c r="J1386" s="205"/>
      <c r="K1386" s="205"/>
    </row>
    <row r="1387" spans="10:11" ht="13">
      <c r="J1387" s="205"/>
      <c r="K1387" s="205"/>
    </row>
    <row r="1388" spans="10:11" ht="13">
      <c r="J1388" s="205"/>
      <c r="K1388" s="205"/>
    </row>
    <row r="1389" spans="10:11" ht="13">
      <c r="J1389" s="205"/>
      <c r="K1389" s="205"/>
    </row>
    <row r="1390" spans="10:11" ht="13">
      <c r="J1390" s="205"/>
      <c r="K1390" s="205"/>
    </row>
    <row r="1391" spans="10:11" ht="13">
      <c r="J1391" s="205"/>
      <c r="K1391" s="205"/>
    </row>
    <row r="1392" spans="10:11" ht="13">
      <c r="J1392" s="205"/>
      <c r="K1392" s="205"/>
    </row>
    <row r="1393" spans="10:11" ht="13">
      <c r="J1393" s="205"/>
      <c r="K1393" s="205"/>
    </row>
    <row r="1394" spans="10:11" ht="13">
      <c r="J1394" s="205"/>
      <c r="K1394" s="205"/>
    </row>
    <row r="1395" spans="10:11" ht="13">
      <c r="J1395" s="205"/>
      <c r="K1395" s="205"/>
    </row>
    <row r="1396" spans="10:11" ht="13">
      <c r="J1396" s="205"/>
      <c r="K1396" s="205"/>
    </row>
    <row r="1397" spans="10:11" ht="13">
      <c r="J1397" s="205"/>
      <c r="K1397" s="205"/>
    </row>
    <row r="1398" spans="10:11" ht="13">
      <c r="J1398" s="205"/>
      <c r="K1398" s="205"/>
    </row>
    <row r="1399" spans="10:11" ht="13">
      <c r="J1399" s="205"/>
      <c r="K1399" s="205"/>
    </row>
    <row r="1400" spans="10:11" ht="13">
      <c r="J1400" s="205"/>
      <c r="K1400" s="205"/>
    </row>
    <row r="1401" spans="10:11" ht="13">
      <c r="J1401" s="205"/>
      <c r="K1401" s="205"/>
    </row>
    <row r="1402" spans="10:11" ht="13">
      <c r="J1402" s="205"/>
      <c r="K1402" s="205"/>
    </row>
    <row r="1403" spans="10:11" ht="13">
      <c r="J1403" s="205"/>
      <c r="K1403" s="205"/>
    </row>
    <row r="1404" spans="10:11" ht="13">
      <c r="J1404" s="205"/>
      <c r="K1404" s="205"/>
    </row>
    <row r="1405" spans="10:11" ht="13">
      <c r="J1405" s="205"/>
      <c r="K1405" s="205"/>
    </row>
    <row r="1406" spans="10:11" ht="13">
      <c r="J1406" s="205"/>
      <c r="K1406" s="205"/>
    </row>
    <row r="1407" spans="10:11" ht="13">
      <c r="J1407" s="205"/>
      <c r="K1407" s="205"/>
    </row>
    <row r="1408" spans="10:11" ht="13">
      <c r="J1408" s="205"/>
      <c r="K1408" s="205"/>
    </row>
    <row r="1409" spans="10:11" ht="13">
      <c r="J1409" s="205"/>
      <c r="K1409" s="205"/>
    </row>
    <row r="1410" spans="10:11" ht="13">
      <c r="J1410" s="205"/>
      <c r="K1410" s="205"/>
    </row>
    <row r="1411" spans="10:11" ht="13">
      <c r="J1411" s="205"/>
      <c r="K1411" s="205"/>
    </row>
    <row r="1412" spans="10:11" ht="13">
      <c r="J1412" s="205"/>
      <c r="K1412" s="205"/>
    </row>
    <row r="1413" spans="10:11" ht="13">
      <c r="J1413" s="205"/>
      <c r="K1413" s="205"/>
    </row>
    <row r="1414" spans="10:11" ht="13">
      <c r="J1414" s="205"/>
      <c r="K1414" s="205"/>
    </row>
    <row r="1415" spans="10:11" ht="13">
      <c r="J1415" s="205"/>
      <c r="K1415" s="205"/>
    </row>
    <row r="1416" spans="10:11" ht="13">
      <c r="J1416" s="205"/>
      <c r="K1416" s="205"/>
    </row>
    <row r="1417" spans="10:11" ht="13">
      <c r="J1417" s="205"/>
      <c r="K1417" s="205"/>
    </row>
    <row r="1418" spans="10:11" ht="13">
      <c r="J1418" s="205"/>
      <c r="K1418" s="205"/>
    </row>
    <row r="1419" spans="10:11" ht="13">
      <c r="J1419" s="205"/>
      <c r="K1419" s="205"/>
    </row>
    <row r="1420" spans="10:11" ht="13">
      <c r="J1420" s="205"/>
      <c r="K1420" s="205"/>
    </row>
    <row r="1421" spans="10:11" ht="13">
      <c r="J1421" s="205"/>
      <c r="K1421" s="205"/>
    </row>
    <row r="1422" spans="10:11" ht="13">
      <c r="J1422" s="205"/>
      <c r="K1422" s="205"/>
    </row>
    <row r="1423" spans="10:11" ht="13">
      <c r="J1423" s="205"/>
      <c r="K1423" s="205"/>
    </row>
    <row r="1424" spans="10:11" ht="13">
      <c r="J1424" s="205"/>
      <c r="K1424" s="205"/>
    </row>
    <row r="1425" spans="10:11" ht="13">
      <c r="J1425" s="205"/>
      <c r="K1425" s="205"/>
    </row>
    <row r="1426" spans="10:11" ht="13">
      <c r="J1426" s="205"/>
      <c r="K1426" s="205"/>
    </row>
    <row r="1427" spans="10:11" ht="13">
      <c r="J1427" s="205"/>
      <c r="K1427" s="205"/>
    </row>
    <row r="1428" spans="10:11" ht="13">
      <c r="J1428" s="205"/>
      <c r="K1428" s="205"/>
    </row>
    <row r="1429" spans="10:11" ht="13">
      <c r="J1429" s="205"/>
      <c r="K1429" s="205"/>
    </row>
    <row r="1430" spans="10:11" ht="13">
      <c r="J1430" s="205"/>
      <c r="K1430" s="205"/>
    </row>
    <row r="1431" spans="10:11" ht="13">
      <c r="J1431" s="205"/>
      <c r="K1431" s="205"/>
    </row>
    <row r="1432" spans="10:11" ht="13">
      <c r="J1432" s="205"/>
      <c r="K1432" s="205"/>
    </row>
    <row r="1433" spans="10:11" ht="13">
      <c r="J1433" s="205"/>
      <c r="K1433" s="205"/>
    </row>
    <row r="1434" spans="10:11" ht="13">
      <c r="J1434" s="205"/>
      <c r="K1434" s="205"/>
    </row>
    <row r="1435" spans="10:11" ht="13">
      <c r="J1435" s="205"/>
      <c r="K1435" s="205"/>
    </row>
    <row r="1436" spans="10:11" ht="13">
      <c r="J1436" s="205"/>
      <c r="K1436" s="205"/>
    </row>
    <row r="1437" spans="10:11" ht="13">
      <c r="J1437" s="205"/>
      <c r="K1437" s="205"/>
    </row>
    <row r="1438" spans="10:11" ht="13">
      <c r="J1438" s="205"/>
      <c r="K1438" s="205"/>
    </row>
    <row r="1439" spans="10:11" ht="13">
      <c r="J1439" s="205"/>
      <c r="K1439" s="205"/>
    </row>
    <row r="1440" spans="10:11" ht="13">
      <c r="J1440" s="205"/>
      <c r="K1440" s="205"/>
    </row>
    <row r="1441" spans="10:11" ht="13">
      <c r="J1441" s="205"/>
      <c r="K1441" s="205"/>
    </row>
    <row r="1442" spans="10:11" ht="13">
      <c r="J1442" s="205"/>
      <c r="K1442" s="205"/>
    </row>
    <row r="1443" spans="10:11" ht="13">
      <c r="J1443" s="205"/>
      <c r="K1443" s="205"/>
    </row>
    <row r="1444" spans="10:11" ht="13">
      <c r="J1444" s="205"/>
      <c r="K1444" s="205"/>
    </row>
    <row r="1445" spans="10:11" ht="13">
      <c r="J1445" s="205"/>
      <c r="K1445" s="205"/>
    </row>
    <row r="1446" spans="10:11" ht="13">
      <c r="J1446" s="205"/>
      <c r="K1446" s="205"/>
    </row>
    <row r="1447" spans="10:11" ht="13">
      <c r="J1447" s="205"/>
      <c r="K1447" s="205"/>
    </row>
    <row r="1448" spans="10:11" ht="13">
      <c r="J1448" s="205"/>
      <c r="K1448" s="205"/>
    </row>
    <row r="1449" spans="10:11" ht="13">
      <c r="J1449" s="205"/>
      <c r="K1449" s="205"/>
    </row>
    <row r="1450" spans="10:11" ht="13">
      <c r="J1450" s="205"/>
      <c r="K1450" s="205"/>
    </row>
    <row r="1451" spans="10:11" ht="13">
      <c r="J1451" s="205"/>
      <c r="K1451" s="205"/>
    </row>
    <row r="1452" spans="10:11" ht="13">
      <c r="J1452" s="205"/>
      <c r="K1452" s="205"/>
    </row>
    <row r="1453" spans="10:11" ht="13">
      <c r="J1453" s="205"/>
      <c r="K1453" s="205"/>
    </row>
    <row r="1454" spans="10:11" ht="13">
      <c r="J1454" s="205"/>
      <c r="K1454" s="205"/>
    </row>
    <row r="1455" spans="10:11" ht="13">
      <c r="J1455" s="205"/>
      <c r="K1455" s="205"/>
    </row>
    <row r="1456" spans="10:11" ht="13">
      <c r="J1456" s="205"/>
      <c r="K1456" s="205"/>
    </row>
    <row r="1457" spans="10:11" ht="13">
      <c r="J1457" s="205"/>
      <c r="K1457" s="205"/>
    </row>
    <row r="1458" spans="10:11" ht="13">
      <c r="J1458" s="205"/>
      <c r="K1458" s="205"/>
    </row>
    <row r="1459" spans="10:11" ht="13">
      <c r="J1459" s="205"/>
      <c r="K1459" s="205"/>
    </row>
    <row r="1460" spans="10:11" ht="13">
      <c r="J1460" s="205"/>
      <c r="K1460" s="205"/>
    </row>
    <row r="1461" spans="10:11" ht="13">
      <c r="J1461" s="205"/>
      <c r="K1461" s="205"/>
    </row>
    <row r="1462" spans="10:11" ht="13">
      <c r="J1462" s="205"/>
      <c r="K1462" s="205"/>
    </row>
    <row r="1463" spans="10:11" ht="13">
      <c r="J1463" s="205"/>
      <c r="K1463" s="205"/>
    </row>
    <row r="1464" spans="10:11" ht="13">
      <c r="J1464" s="205"/>
      <c r="K1464" s="205"/>
    </row>
    <row r="1465" spans="10:11" ht="13">
      <c r="J1465" s="205"/>
      <c r="K1465" s="205"/>
    </row>
    <row r="1466" spans="10:11" ht="13">
      <c r="J1466" s="205"/>
      <c r="K1466" s="205"/>
    </row>
    <row r="1467" spans="10:11" ht="13">
      <c r="J1467" s="205"/>
      <c r="K1467" s="205"/>
    </row>
    <row r="1468" spans="10:11" ht="13">
      <c r="J1468" s="205"/>
      <c r="K1468" s="205"/>
    </row>
    <row r="1469" spans="10:11" ht="13">
      <c r="J1469" s="205"/>
      <c r="K1469" s="205"/>
    </row>
    <row r="1470" spans="10:11" ht="13">
      <c r="J1470" s="205"/>
      <c r="K1470" s="205"/>
    </row>
    <row r="1471" spans="10:11" ht="13">
      <c r="J1471" s="205"/>
      <c r="K1471" s="205"/>
    </row>
    <row r="1472" spans="10:11" ht="13">
      <c r="J1472" s="205"/>
      <c r="K1472" s="205"/>
    </row>
    <row r="1473" spans="10:11" ht="13">
      <c r="J1473" s="205"/>
      <c r="K1473" s="205"/>
    </row>
    <row r="1474" spans="10:11" ht="13">
      <c r="J1474" s="205"/>
      <c r="K1474" s="205"/>
    </row>
    <row r="1475" spans="10:11" ht="13">
      <c r="J1475" s="205"/>
      <c r="K1475" s="205"/>
    </row>
    <row r="1476" spans="10:11" ht="13">
      <c r="J1476" s="205"/>
      <c r="K1476" s="205"/>
    </row>
    <row r="1477" spans="10:11" ht="13">
      <c r="J1477" s="205"/>
      <c r="K1477" s="205"/>
    </row>
    <row r="1478" spans="10:11" ht="13">
      <c r="J1478" s="205"/>
      <c r="K1478" s="205"/>
    </row>
    <row r="1479" spans="10:11" ht="13">
      <c r="J1479" s="205"/>
      <c r="K1479" s="205"/>
    </row>
    <row r="1480" spans="10:11" ht="13">
      <c r="J1480" s="205"/>
      <c r="K1480" s="205"/>
    </row>
    <row r="1481" spans="10:11" ht="13">
      <c r="J1481" s="205"/>
      <c r="K1481" s="205"/>
    </row>
    <row r="1482" spans="10:11" ht="13">
      <c r="J1482" s="205"/>
      <c r="K1482" s="205"/>
    </row>
    <row r="1483" spans="10:11" ht="13">
      <c r="J1483" s="205"/>
      <c r="K1483" s="205"/>
    </row>
    <row r="1484" spans="10:11" ht="13">
      <c r="J1484" s="205"/>
      <c r="K1484" s="205"/>
    </row>
    <row r="1485" spans="10:11" ht="13">
      <c r="J1485" s="205"/>
      <c r="K1485" s="205"/>
    </row>
    <row r="1486" spans="10:11" ht="13">
      <c r="J1486" s="205"/>
      <c r="K1486" s="205"/>
    </row>
    <row r="1487" spans="10:11" ht="13">
      <c r="J1487" s="205"/>
      <c r="K1487" s="205"/>
    </row>
    <row r="1488" spans="10:11" ht="13">
      <c r="J1488" s="205"/>
      <c r="K1488" s="205"/>
    </row>
    <row r="1489" spans="10:11" ht="13">
      <c r="J1489" s="205"/>
      <c r="K1489" s="205"/>
    </row>
    <row r="1490" spans="10:11" ht="13">
      <c r="J1490" s="205"/>
      <c r="K1490" s="205"/>
    </row>
    <row r="1491" spans="10:11" ht="13">
      <c r="J1491" s="205"/>
      <c r="K1491" s="205"/>
    </row>
    <row r="1492" spans="10:11" ht="13">
      <c r="J1492" s="205"/>
      <c r="K1492" s="205"/>
    </row>
    <row r="1493" spans="10:11" ht="13">
      <c r="J1493" s="205"/>
      <c r="K1493" s="205"/>
    </row>
    <row r="1494" spans="10:11" ht="13">
      <c r="J1494" s="205"/>
      <c r="K1494" s="205"/>
    </row>
    <row r="1495" spans="10:11" ht="13">
      <c r="J1495" s="205"/>
      <c r="K1495" s="205"/>
    </row>
    <row r="1496" spans="10:11" ht="13">
      <c r="J1496" s="205"/>
      <c r="K1496" s="205"/>
    </row>
    <row r="1497" spans="10:11" ht="13">
      <c r="J1497" s="205"/>
      <c r="K1497" s="205"/>
    </row>
    <row r="1498" spans="10:11" ht="13">
      <c r="J1498" s="205"/>
      <c r="K1498" s="205"/>
    </row>
    <row r="1499" spans="10:11" ht="13">
      <c r="J1499" s="205"/>
      <c r="K1499" s="205"/>
    </row>
    <row r="1500" spans="10:11" ht="13">
      <c r="J1500" s="205"/>
      <c r="K1500" s="205"/>
    </row>
    <row r="1501" spans="10:11" ht="13">
      <c r="J1501" s="205"/>
      <c r="K1501" s="205"/>
    </row>
    <row r="1502" spans="10:11" ht="13">
      <c r="J1502" s="205"/>
      <c r="K1502" s="205"/>
    </row>
    <row r="1503" spans="10:11" ht="13">
      <c r="J1503" s="205"/>
      <c r="K1503" s="205"/>
    </row>
    <row r="1504" spans="10:11" ht="13">
      <c r="J1504" s="205"/>
      <c r="K1504" s="205"/>
    </row>
    <row r="1505" spans="10:11" ht="13">
      <c r="J1505" s="205"/>
      <c r="K1505" s="205"/>
    </row>
    <row r="1506" spans="10:11" ht="13">
      <c r="J1506" s="205"/>
      <c r="K1506" s="205"/>
    </row>
    <row r="1507" spans="10:11" ht="13">
      <c r="J1507" s="205"/>
      <c r="K1507" s="205"/>
    </row>
    <row r="1508" spans="10:11" ht="13">
      <c r="J1508" s="205"/>
      <c r="K1508" s="205"/>
    </row>
    <row r="1509" spans="10:11" ht="13">
      <c r="J1509" s="205"/>
      <c r="K1509" s="205"/>
    </row>
    <row r="1510" spans="10:11" ht="13">
      <c r="J1510" s="205"/>
      <c r="K1510" s="205"/>
    </row>
    <row r="1511" spans="10:11" ht="13">
      <c r="J1511" s="205"/>
      <c r="K1511" s="205"/>
    </row>
    <row r="1512" spans="10:11" ht="13">
      <c r="J1512" s="205"/>
      <c r="K1512" s="205"/>
    </row>
    <row r="1513" spans="10:11" ht="13">
      <c r="J1513" s="205"/>
      <c r="K1513" s="205"/>
    </row>
    <row r="1514" spans="10:11" ht="13">
      <c r="J1514" s="205"/>
      <c r="K1514" s="205"/>
    </row>
    <row r="1515" spans="10:11" ht="13">
      <c r="J1515" s="205"/>
      <c r="K1515" s="205"/>
    </row>
    <row r="1516" spans="10:11" ht="13">
      <c r="J1516" s="205"/>
      <c r="K1516" s="205"/>
    </row>
    <row r="1517" spans="10:11" ht="13">
      <c r="J1517" s="205"/>
      <c r="K1517" s="205"/>
    </row>
    <row r="1518" spans="10:11" ht="13">
      <c r="J1518" s="205"/>
      <c r="K1518" s="205"/>
    </row>
    <row r="1519" spans="10:11" ht="13">
      <c r="J1519" s="205"/>
      <c r="K1519" s="205"/>
    </row>
    <row r="1520" spans="10:11" ht="13">
      <c r="J1520" s="205"/>
      <c r="K1520" s="205"/>
    </row>
    <row r="1521" spans="10:11" ht="13">
      <c r="J1521" s="205"/>
      <c r="K1521" s="205"/>
    </row>
    <row r="1522" spans="10:11" ht="13">
      <c r="J1522" s="205"/>
      <c r="K1522" s="205"/>
    </row>
    <row r="1523" spans="10:11" ht="13">
      <c r="J1523" s="205"/>
      <c r="K1523" s="205"/>
    </row>
    <row r="1524" spans="10:11" ht="13">
      <c r="J1524" s="205"/>
      <c r="K1524" s="205"/>
    </row>
    <row r="1525" spans="10:11" ht="13">
      <c r="J1525" s="205"/>
      <c r="K1525" s="205"/>
    </row>
    <row r="1526" spans="10:11" ht="13">
      <c r="J1526" s="205"/>
      <c r="K1526" s="205"/>
    </row>
    <row r="1527" spans="10:11" ht="13">
      <c r="J1527" s="205"/>
      <c r="K1527" s="205"/>
    </row>
    <row r="1528" spans="10:11" ht="13">
      <c r="J1528" s="205"/>
      <c r="K1528" s="205"/>
    </row>
    <row r="1529" spans="10:11" ht="13">
      <c r="J1529" s="205"/>
      <c r="K1529" s="205"/>
    </row>
    <row r="1530" spans="10:11" ht="13">
      <c r="J1530" s="205"/>
      <c r="K1530" s="205"/>
    </row>
    <row r="1531" spans="10:11" ht="13">
      <c r="J1531" s="205"/>
      <c r="K1531" s="205"/>
    </row>
    <row r="1532" spans="10:11" ht="13">
      <c r="J1532" s="205"/>
      <c r="K1532" s="205"/>
    </row>
    <row r="1533" spans="10:11" ht="13">
      <c r="J1533" s="205"/>
      <c r="K1533" s="205"/>
    </row>
    <row r="1534" spans="10:11" ht="13">
      <c r="J1534" s="205"/>
      <c r="K1534" s="205"/>
    </row>
    <row r="1535" spans="10:11" ht="13">
      <c r="J1535" s="205"/>
      <c r="K1535" s="205"/>
    </row>
    <row r="1536" spans="10:11" ht="13">
      <c r="J1536" s="205"/>
      <c r="K1536" s="205"/>
    </row>
    <row r="1537" spans="10:11" ht="13">
      <c r="J1537" s="205"/>
      <c r="K1537" s="205"/>
    </row>
    <row r="1538" spans="10:11" ht="13">
      <c r="J1538" s="205"/>
      <c r="K1538" s="205"/>
    </row>
    <row r="1539" spans="10:11" ht="13">
      <c r="J1539" s="205"/>
      <c r="K1539" s="205"/>
    </row>
    <row r="1540" spans="10:11" ht="13">
      <c r="J1540" s="205"/>
      <c r="K1540" s="205"/>
    </row>
    <row r="1541" spans="10:11" ht="13">
      <c r="J1541" s="205"/>
      <c r="K1541" s="205"/>
    </row>
    <row r="1542" spans="10:11" ht="13">
      <c r="J1542" s="205"/>
      <c r="K1542" s="205"/>
    </row>
    <row r="1543" spans="10:11" ht="13">
      <c r="J1543" s="205"/>
      <c r="K1543" s="205"/>
    </row>
    <row r="1544" spans="10:11" ht="13">
      <c r="J1544" s="205"/>
      <c r="K1544" s="205"/>
    </row>
    <row r="1545" spans="10:11" ht="13">
      <c r="J1545" s="205"/>
      <c r="K1545" s="205"/>
    </row>
    <row r="1546" spans="10:11" ht="13">
      <c r="J1546" s="205"/>
      <c r="K1546" s="205"/>
    </row>
    <row r="1547" spans="10:11" ht="13">
      <c r="J1547" s="205"/>
      <c r="K1547" s="205"/>
    </row>
    <row r="1548" spans="10:11" ht="13">
      <c r="J1548" s="205"/>
      <c r="K1548" s="205"/>
    </row>
    <row r="1549" spans="10:11" ht="13">
      <c r="J1549" s="205"/>
      <c r="K1549" s="205"/>
    </row>
    <row r="1550" spans="10:11" ht="13">
      <c r="J1550" s="205"/>
      <c r="K1550" s="205"/>
    </row>
    <row r="1551" spans="10:11" ht="13">
      <c r="J1551" s="205"/>
      <c r="K1551" s="205"/>
    </row>
    <row r="1552" spans="10:11" ht="13">
      <c r="J1552" s="205"/>
      <c r="K1552" s="205"/>
    </row>
    <row r="1553" spans="10:11" ht="13">
      <c r="J1553" s="205"/>
      <c r="K1553" s="205"/>
    </row>
    <row r="1554" spans="10:11" ht="13">
      <c r="J1554" s="205"/>
      <c r="K1554" s="205"/>
    </row>
    <row r="1555" spans="10:11" ht="13">
      <c r="J1555" s="205"/>
      <c r="K1555" s="205"/>
    </row>
    <row r="1556" spans="10:11" ht="13">
      <c r="J1556" s="205"/>
      <c r="K1556" s="205"/>
    </row>
    <row r="1557" spans="10:11" ht="13">
      <c r="J1557" s="205"/>
      <c r="K1557" s="205"/>
    </row>
    <row r="1558" spans="10:11" ht="13">
      <c r="J1558" s="205"/>
      <c r="K1558" s="205"/>
    </row>
    <row r="1559" spans="10:11" ht="13">
      <c r="J1559" s="205"/>
      <c r="K1559" s="205"/>
    </row>
    <row r="1560" spans="10:11" ht="13">
      <c r="J1560" s="205"/>
      <c r="K1560" s="205"/>
    </row>
    <row r="1561" spans="10:11" ht="13">
      <c r="J1561" s="205"/>
      <c r="K1561" s="205"/>
    </row>
    <row r="1562" spans="10:11" ht="13">
      <c r="J1562" s="205"/>
      <c r="K1562" s="205"/>
    </row>
    <row r="1563" spans="10:11" ht="13">
      <c r="J1563" s="205"/>
      <c r="K1563" s="205"/>
    </row>
    <row r="1564" spans="10:11" ht="13">
      <c r="J1564" s="205"/>
      <c r="K1564" s="205"/>
    </row>
    <row r="1565" spans="10:11" ht="13">
      <c r="J1565" s="205"/>
      <c r="K1565" s="205"/>
    </row>
    <row r="1566" spans="10:11" ht="13">
      <c r="J1566" s="205"/>
      <c r="K1566" s="205"/>
    </row>
    <row r="1567" spans="10:11" ht="13">
      <c r="J1567" s="205"/>
      <c r="K1567" s="205"/>
    </row>
    <row r="1568" spans="10:11" ht="13">
      <c r="J1568" s="205"/>
      <c r="K1568" s="205"/>
    </row>
    <row r="1569" spans="10:11" ht="13">
      <c r="J1569" s="205"/>
      <c r="K1569" s="205"/>
    </row>
    <row r="1570" spans="10:11" ht="13">
      <c r="J1570" s="205"/>
      <c r="K1570" s="205"/>
    </row>
    <row r="1571" spans="10:11" ht="13">
      <c r="J1571" s="205"/>
      <c r="K1571" s="205"/>
    </row>
    <row r="1572" spans="10:11" ht="13">
      <c r="J1572" s="205"/>
      <c r="K1572" s="205"/>
    </row>
    <row r="1573" spans="10:11" ht="13">
      <c r="J1573" s="205"/>
      <c r="K1573" s="205"/>
    </row>
    <row r="1574" spans="10:11" ht="13">
      <c r="J1574" s="205"/>
      <c r="K1574" s="205"/>
    </row>
    <row r="1575" spans="10:11" ht="13">
      <c r="J1575" s="205"/>
      <c r="K1575" s="205"/>
    </row>
    <row r="1576" spans="10:11" ht="13">
      <c r="J1576" s="205"/>
      <c r="K1576" s="205"/>
    </row>
    <row r="1577" spans="10:11" ht="13">
      <c r="J1577" s="205"/>
      <c r="K1577" s="205"/>
    </row>
    <row r="1578" spans="10:11" ht="13">
      <c r="J1578" s="205"/>
      <c r="K1578" s="205"/>
    </row>
    <row r="1579" spans="10:11" ht="13">
      <c r="J1579" s="205"/>
      <c r="K1579" s="205"/>
    </row>
    <row r="1580" spans="10:11" ht="13">
      <c r="J1580" s="205"/>
      <c r="K1580" s="205"/>
    </row>
    <row r="1581" spans="10:11" ht="13">
      <c r="J1581" s="205"/>
      <c r="K1581" s="205"/>
    </row>
    <row r="1582" spans="10:11" ht="13">
      <c r="J1582" s="205"/>
      <c r="K1582" s="205"/>
    </row>
    <row r="1583" spans="10:11" ht="13">
      <c r="J1583" s="205"/>
      <c r="K1583" s="205"/>
    </row>
    <row r="1584" spans="10:11" ht="13">
      <c r="J1584" s="205"/>
      <c r="K1584" s="205"/>
    </row>
    <row r="1585" spans="10:11" ht="13">
      <c r="J1585" s="205"/>
      <c r="K1585" s="205"/>
    </row>
    <row r="1586" spans="10:11" ht="13">
      <c r="J1586" s="205"/>
      <c r="K1586" s="205"/>
    </row>
    <row r="1587" spans="10:11" ht="13">
      <c r="J1587" s="205"/>
      <c r="K1587" s="205"/>
    </row>
    <row r="1588" spans="10:11" ht="13">
      <c r="J1588" s="205"/>
      <c r="K1588" s="205"/>
    </row>
    <row r="1589" spans="10:11" ht="13">
      <c r="J1589" s="205"/>
      <c r="K1589" s="205"/>
    </row>
    <row r="1590" spans="10:11" ht="13">
      <c r="J1590" s="205"/>
      <c r="K1590" s="205"/>
    </row>
    <row r="1591" spans="10:11" ht="13">
      <c r="J1591" s="205"/>
      <c r="K1591" s="205"/>
    </row>
    <row r="1592" spans="10:11" ht="13">
      <c r="J1592" s="205"/>
      <c r="K1592" s="205"/>
    </row>
    <row r="1593" spans="10:11" ht="13">
      <c r="J1593" s="205"/>
      <c r="K1593" s="205"/>
    </row>
    <row r="1594" spans="10:11" ht="13">
      <c r="J1594" s="205"/>
      <c r="K1594" s="205"/>
    </row>
    <row r="1595" spans="10:11" ht="13">
      <c r="J1595" s="205"/>
      <c r="K1595" s="205"/>
    </row>
    <row r="1596" spans="10:11" ht="13">
      <c r="J1596" s="205"/>
      <c r="K1596" s="205"/>
    </row>
    <row r="1597" spans="10:11" ht="13">
      <c r="J1597" s="205"/>
      <c r="K1597" s="205"/>
    </row>
    <row r="1598" spans="10:11" ht="13">
      <c r="J1598" s="205"/>
      <c r="K1598" s="205"/>
    </row>
    <row r="1599" spans="10:11" ht="13">
      <c r="J1599" s="205"/>
      <c r="K1599" s="205"/>
    </row>
    <row r="1600" spans="10:11" ht="13">
      <c r="J1600" s="205"/>
      <c r="K1600" s="205"/>
    </row>
    <row r="1601" spans="10:11" ht="13">
      <c r="J1601" s="205"/>
      <c r="K1601" s="205"/>
    </row>
    <row r="1602" spans="10:11" ht="13">
      <c r="J1602" s="205"/>
      <c r="K1602" s="205"/>
    </row>
    <row r="1603" spans="10:11" ht="13">
      <c r="J1603" s="205"/>
      <c r="K1603" s="205"/>
    </row>
    <row r="1604" spans="10:11" ht="13">
      <c r="J1604" s="205"/>
      <c r="K1604" s="205"/>
    </row>
    <row r="1605" spans="10:11" ht="13">
      <c r="J1605" s="205"/>
      <c r="K1605" s="205"/>
    </row>
    <row r="1606" spans="10:11" ht="13">
      <c r="J1606" s="205"/>
      <c r="K1606" s="205"/>
    </row>
    <row r="1607" spans="10:11" ht="13">
      <c r="J1607" s="205"/>
      <c r="K1607" s="205"/>
    </row>
    <row r="1608" spans="10:11" ht="13">
      <c r="J1608" s="205"/>
      <c r="K1608" s="205"/>
    </row>
    <row r="1609" spans="10:11" ht="13">
      <c r="J1609" s="205"/>
      <c r="K1609" s="205"/>
    </row>
    <row r="1610" spans="10:11" ht="13">
      <c r="J1610" s="205"/>
      <c r="K1610" s="205"/>
    </row>
    <row r="1611" spans="10:11" ht="13">
      <c r="J1611" s="205"/>
      <c r="K1611" s="205"/>
    </row>
    <row r="1612" spans="10:11" ht="13">
      <c r="J1612" s="205"/>
      <c r="K1612" s="205"/>
    </row>
    <row r="1613" spans="10:11" ht="13">
      <c r="J1613" s="205"/>
      <c r="K1613" s="205"/>
    </row>
    <row r="1614" spans="10:11" ht="13">
      <c r="J1614" s="205"/>
      <c r="K1614" s="205"/>
    </row>
    <row r="1615" spans="10:11" ht="13">
      <c r="J1615" s="205"/>
      <c r="K1615" s="205"/>
    </row>
    <row r="1616" spans="10:11" ht="13">
      <c r="J1616" s="205"/>
      <c r="K1616" s="205"/>
    </row>
    <row r="1617" spans="10:11" ht="13">
      <c r="J1617" s="205"/>
      <c r="K1617" s="205"/>
    </row>
    <row r="1618" spans="10:11" ht="13">
      <c r="J1618" s="205"/>
      <c r="K1618" s="205"/>
    </row>
    <row r="1619" spans="10:11" ht="13">
      <c r="J1619" s="205"/>
      <c r="K1619" s="205"/>
    </row>
    <row r="1620" spans="10:11" ht="13">
      <c r="J1620" s="205"/>
      <c r="K1620" s="205"/>
    </row>
    <row r="1621" spans="10:11" ht="13">
      <c r="J1621" s="205"/>
      <c r="K1621" s="205"/>
    </row>
    <row r="1622" spans="10:11" ht="13">
      <c r="J1622" s="205"/>
      <c r="K1622" s="205"/>
    </row>
    <row r="1623" spans="10:11" ht="13">
      <c r="J1623" s="205"/>
      <c r="K1623" s="205"/>
    </row>
    <row r="1624" spans="10:11" ht="13">
      <c r="J1624" s="205"/>
      <c r="K1624" s="205"/>
    </row>
    <row r="1625" spans="10:11" ht="13">
      <c r="J1625" s="205"/>
      <c r="K1625" s="205"/>
    </row>
    <row r="1626" spans="10:11" ht="13">
      <c r="J1626" s="205"/>
      <c r="K1626" s="205"/>
    </row>
    <row r="1627" spans="10:11" ht="13">
      <c r="J1627" s="205"/>
      <c r="K1627" s="205"/>
    </row>
    <row r="1628" spans="10:11" ht="13">
      <c r="J1628" s="205"/>
      <c r="K1628" s="205"/>
    </row>
    <row r="1629" spans="10:11" ht="13">
      <c r="J1629" s="205"/>
      <c r="K1629" s="205"/>
    </row>
    <row r="1630" spans="10:11" ht="13">
      <c r="J1630" s="205"/>
      <c r="K1630" s="205"/>
    </row>
    <row r="1631" spans="10:11" ht="13">
      <c r="J1631" s="205"/>
      <c r="K1631" s="205"/>
    </row>
    <row r="1632" spans="10:11" ht="13">
      <c r="J1632" s="205"/>
      <c r="K1632" s="205"/>
    </row>
    <row r="1633" spans="10:11" ht="13">
      <c r="J1633" s="205"/>
      <c r="K1633" s="205"/>
    </row>
    <row r="1634" spans="10:11" ht="13">
      <c r="J1634" s="205"/>
      <c r="K1634" s="205"/>
    </row>
    <row r="1635" spans="10:11" ht="13">
      <c r="J1635" s="205"/>
      <c r="K1635" s="205"/>
    </row>
    <row r="1636" spans="10:11" ht="13">
      <c r="J1636" s="205"/>
      <c r="K1636" s="205"/>
    </row>
    <row r="1637" spans="10:11" ht="13">
      <c r="J1637" s="205"/>
      <c r="K1637" s="205"/>
    </row>
    <row r="1638" spans="10:11" ht="13">
      <c r="J1638" s="205"/>
      <c r="K1638" s="205"/>
    </row>
    <row r="1639" spans="10:11" ht="13">
      <c r="J1639" s="205"/>
      <c r="K1639" s="205"/>
    </row>
    <row r="1640" spans="10:11" ht="13">
      <c r="J1640" s="205"/>
      <c r="K1640" s="205"/>
    </row>
    <row r="1641" spans="10:11" ht="13">
      <c r="J1641" s="205"/>
      <c r="K1641" s="205"/>
    </row>
    <row r="1642" spans="10:11" ht="13">
      <c r="J1642" s="205"/>
      <c r="K1642" s="205"/>
    </row>
    <row r="1643" spans="10:11" ht="13">
      <c r="J1643" s="205"/>
      <c r="K1643" s="205"/>
    </row>
    <row r="1644" spans="10:11" ht="13">
      <c r="J1644" s="205"/>
      <c r="K1644" s="205"/>
    </row>
    <row r="1645" spans="10:11" ht="13">
      <c r="J1645" s="205"/>
      <c r="K1645" s="205"/>
    </row>
    <row r="1646" spans="10:11" ht="13">
      <c r="J1646" s="205"/>
      <c r="K1646" s="205"/>
    </row>
    <row r="1647" spans="10:11" ht="13">
      <c r="J1647" s="205"/>
      <c r="K1647" s="205"/>
    </row>
    <row r="1648" spans="10:11" ht="13">
      <c r="J1648" s="205"/>
      <c r="K1648" s="205"/>
    </row>
    <row r="1649" spans="10:11" ht="13">
      <c r="J1649" s="205"/>
      <c r="K1649" s="205"/>
    </row>
    <row r="1650" spans="10:11" ht="13">
      <c r="J1650" s="205"/>
      <c r="K1650" s="205"/>
    </row>
    <row r="1651" spans="10:11" ht="13">
      <c r="J1651" s="205"/>
      <c r="K1651" s="205"/>
    </row>
    <row r="1652" spans="10:11" ht="13">
      <c r="J1652" s="205"/>
      <c r="K1652" s="205"/>
    </row>
    <row r="1653" spans="10:11" ht="13">
      <c r="J1653" s="205"/>
      <c r="K1653" s="205"/>
    </row>
    <row r="1654" spans="10:11" ht="13">
      <c r="J1654" s="205"/>
      <c r="K1654" s="205"/>
    </row>
    <row r="1655" spans="10:11" ht="13">
      <c r="J1655" s="205"/>
      <c r="K1655" s="205"/>
    </row>
    <row r="1656" spans="10:11" ht="13">
      <c r="J1656" s="205"/>
      <c r="K1656" s="205"/>
    </row>
    <row r="1657" spans="10:11" ht="13">
      <c r="J1657" s="205"/>
      <c r="K1657" s="205"/>
    </row>
    <row r="1658" spans="10:11" ht="13">
      <c r="J1658" s="205"/>
      <c r="K1658" s="205"/>
    </row>
    <row r="1659" spans="10:11" ht="13">
      <c r="J1659" s="205"/>
      <c r="K1659" s="205"/>
    </row>
    <row r="1660" spans="10:11" ht="13">
      <c r="J1660" s="205"/>
      <c r="K1660" s="205"/>
    </row>
    <row r="1661" spans="10:11" ht="13">
      <c r="J1661" s="205"/>
      <c r="K1661" s="205"/>
    </row>
    <row r="1662" spans="10:11" ht="13">
      <c r="J1662" s="205"/>
      <c r="K1662" s="205"/>
    </row>
    <row r="1663" spans="10:11" ht="13">
      <c r="J1663" s="205"/>
      <c r="K1663" s="205"/>
    </row>
    <row r="1664" spans="10:11" ht="13">
      <c r="J1664" s="205"/>
      <c r="K1664" s="205"/>
    </row>
    <row r="1665" spans="10:11" ht="13">
      <c r="J1665" s="205"/>
      <c r="K1665" s="205"/>
    </row>
    <row r="1666" spans="10:11" ht="13">
      <c r="J1666" s="205"/>
      <c r="K1666" s="205"/>
    </row>
    <row r="1667" spans="10:11" ht="13">
      <c r="J1667" s="205"/>
      <c r="K1667" s="205"/>
    </row>
    <row r="1668" spans="10:11" ht="13">
      <c r="J1668" s="205"/>
      <c r="K1668" s="205"/>
    </row>
    <row r="1669" spans="10:11" ht="13">
      <c r="J1669" s="205"/>
      <c r="K1669" s="205"/>
    </row>
    <row r="1670" spans="10:11" ht="13">
      <c r="J1670" s="205"/>
      <c r="K1670" s="205"/>
    </row>
    <row r="1671" spans="10:11" ht="13">
      <c r="J1671" s="205"/>
      <c r="K1671" s="205"/>
    </row>
    <row r="1672" spans="10:11" ht="13">
      <c r="J1672" s="205"/>
      <c r="K1672" s="205"/>
    </row>
    <row r="1673" spans="10:11" ht="13">
      <c r="J1673" s="205"/>
      <c r="K1673" s="205"/>
    </row>
    <row r="1674" spans="10:11" ht="13">
      <c r="J1674" s="205"/>
      <c r="K1674" s="205"/>
    </row>
    <row r="1675" spans="10:11" ht="13">
      <c r="J1675" s="205"/>
      <c r="K1675" s="205"/>
    </row>
    <row r="1676" spans="10:11" ht="13">
      <c r="J1676" s="205"/>
      <c r="K1676" s="205"/>
    </row>
    <row r="1677" spans="10:11" ht="13">
      <c r="J1677" s="205"/>
      <c r="K1677" s="205"/>
    </row>
    <row r="1678" spans="10:11" ht="13">
      <c r="J1678" s="205"/>
      <c r="K1678" s="205"/>
    </row>
    <row r="1679" spans="10:11" ht="13">
      <c r="J1679" s="205"/>
      <c r="K1679" s="205"/>
    </row>
    <row r="1680" spans="10:11" ht="13">
      <c r="J1680" s="205"/>
      <c r="K1680" s="205"/>
    </row>
    <row r="1681" spans="10:11" ht="13">
      <c r="J1681" s="205"/>
      <c r="K1681" s="205"/>
    </row>
    <row r="1682" spans="10:11" ht="13">
      <c r="J1682" s="205"/>
      <c r="K1682" s="205"/>
    </row>
    <row r="1683" spans="10:11" ht="13">
      <c r="J1683" s="205"/>
      <c r="K1683" s="205"/>
    </row>
    <row r="1684" spans="10:11" ht="13">
      <c r="J1684" s="205"/>
      <c r="K1684" s="205"/>
    </row>
    <row r="1685" spans="10:11" ht="13">
      <c r="J1685" s="205"/>
      <c r="K1685" s="205"/>
    </row>
    <row r="1686" spans="10:11" ht="13">
      <c r="J1686" s="205"/>
      <c r="K1686" s="205"/>
    </row>
    <row r="1687" spans="10:11" ht="13">
      <c r="J1687" s="205"/>
      <c r="K1687" s="205"/>
    </row>
    <row r="1688" spans="10:11" ht="13">
      <c r="J1688" s="205"/>
      <c r="K1688" s="205"/>
    </row>
    <row r="1689" spans="10:11" ht="13">
      <c r="J1689" s="205"/>
      <c r="K1689" s="205"/>
    </row>
    <row r="1690" spans="10:11" ht="13">
      <c r="J1690" s="205"/>
      <c r="K1690" s="205"/>
    </row>
    <row r="1691" spans="10:11" ht="13">
      <c r="J1691" s="205"/>
      <c r="K1691" s="205"/>
    </row>
    <row r="1692" spans="10:11" ht="13">
      <c r="J1692" s="205"/>
      <c r="K1692" s="205"/>
    </row>
    <row r="1693" spans="10:11" ht="13">
      <c r="J1693" s="205"/>
      <c r="K1693" s="205"/>
    </row>
    <row r="1694" spans="10:11" ht="13">
      <c r="J1694" s="205"/>
      <c r="K1694" s="205"/>
    </row>
    <row r="1695" spans="10:11" ht="13">
      <c r="J1695" s="205"/>
      <c r="K1695" s="205"/>
    </row>
    <row r="1696" spans="10:11" ht="13">
      <c r="J1696" s="205"/>
      <c r="K1696" s="205"/>
    </row>
    <row r="1697" spans="10:11" ht="13">
      <c r="J1697" s="205"/>
      <c r="K1697" s="205"/>
    </row>
    <row r="1698" spans="10:11" ht="13">
      <c r="J1698" s="205"/>
      <c r="K1698" s="205"/>
    </row>
    <row r="1699" spans="10:11" ht="13">
      <c r="J1699" s="205"/>
      <c r="K1699" s="205"/>
    </row>
    <row r="1700" spans="10:11" ht="13">
      <c r="J1700" s="205"/>
      <c r="K1700" s="205"/>
    </row>
    <row r="1701" spans="10:11" ht="13">
      <c r="J1701" s="205"/>
      <c r="K1701" s="205"/>
    </row>
    <row r="1702" spans="10:11" ht="13">
      <c r="J1702" s="205"/>
      <c r="K1702" s="205"/>
    </row>
    <row r="1703" spans="10:11" ht="13">
      <c r="J1703" s="205"/>
      <c r="K1703" s="205"/>
    </row>
    <row r="1704" spans="10:11" ht="13">
      <c r="J1704" s="205"/>
      <c r="K1704" s="205"/>
    </row>
    <row r="1705" spans="10:11" ht="13">
      <c r="J1705" s="205"/>
      <c r="K1705" s="205"/>
    </row>
    <row r="1706" spans="10:11" ht="13">
      <c r="J1706" s="205"/>
      <c r="K1706" s="205"/>
    </row>
    <row r="1707" spans="10:11" ht="13">
      <c r="J1707" s="205"/>
      <c r="K1707" s="205"/>
    </row>
    <row r="1708" spans="10:11" ht="13">
      <c r="J1708" s="205"/>
      <c r="K1708" s="205"/>
    </row>
    <row r="1709" spans="10:11" ht="13">
      <c r="J1709" s="205"/>
      <c r="K1709" s="205"/>
    </row>
    <row r="1710" spans="10:11" ht="13">
      <c r="J1710" s="205"/>
      <c r="K1710" s="205"/>
    </row>
    <row r="1711" spans="10:11" ht="13">
      <c r="J1711" s="205"/>
      <c r="K1711" s="205"/>
    </row>
    <row r="1712" spans="10:11" ht="13">
      <c r="J1712" s="205"/>
      <c r="K1712" s="205"/>
    </row>
    <row r="1713" spans="10:11" ht="13">
      <c r="J1713" s="205"/>
      <c r="K1713" s="205"/>
    </row>
    <row r="1714" spans="10:11" ht="13">
      <c r="J1714" s="205"/>
      <c r="K1714" s="205"/>
    </row>
    <row r="1715" spans="10:11" ht="13">
      <c r="J1715" s="205"/>
      <c r="K1715" s="205"/>
    </row>
    <row r="1716" spans="10:11" ht="13">
      <c r="J1716" s="205"/>
      <c r="K1716" s="205"/>
    </row>
    <row r="1717" spans="10:11" ht="13">
      <c r="J1717" s="205"/>
      <c r="K1717" s="205"/>
    </row>
    <row r="1718" spans="10:11" ht="13">
      <c r="J1718" s="205"/>
      <c r="K1718" s="205"/>
    </row>
    <row r="1719" spans="10:11" ht="13">
      <c r="J1719" s="205"/>
      <c r="K1719" s="205"/>
    </row>
    <row r="1720" spans="10:11" ht="13">
      <c r="J1720" s="205"/>
      <c r="K1720" s="205"/>
    </row>
    <row r="1721" spans="10:11" ht="13">
      <c r="J1721" s="205"/>
      <c r="K1721" s="205"/>
    </row>
    <row r="1722" spans="10:11" ht="13">
      <c r="J1722" s="205"/>
      <c r="K1722" s="205"/>
    </row>
    <row r="1723" spans="10:11" ht="13">
      <c r="J1723" s="205"/>
      <c r="K1723" s="205"/>
    </row>
    <row r="1724" spans="10:11" ht="13">
      <c r="J1724" s="205"/>
      <c r="K1724" s="205"/>
    </row>
    <row r="1725" spans="10:11" ht="13">
      <c r="J1725" s="205"/>
      <c r="K1725" s="205"/>
    </row>
    <row r="1726" spans="10:11" ht="13">
      <c r="J1726" s="205"/>
      <c r="K1726" s="205"/>
    </row>
    <row r="1727" spans="10:11" ht="13">
      <c r="J1727" s="205"/>
      <c r="K1727" s="205"/>
    </row>
    <row r="1728" spans="10:11" ht="13">
      <c r="J1728" s="205"/>
      <c r="K1728" s="205"/>
    </row>
    <row r="1729" spans="10:11" ht="13">
      <c r="J1729" s="205"/>
      <c r="K1729" s="205"/>
    </row>
    <row r="1730" spans="10:11" ht="13">
      <c r="J1730" s="205"/>
      <c r="K1730" s="205"/>
    </row>
    <row r="1731" spans="10:11" ht="13">
      <c r="J1731" s="205"/>
      <c r="K1731" s="205"/>
    </row>
    <row r="1732" spans="10:11" ht="13">
      <c r="J1732" s="205"/>
      <c r="K1732" s="205"/>
    </row>
    <row r="1733" spans="10:11" ht="13">
      <c r="J1733" s="205"/>
      <c r="K1733" s="205"/>
    </row>
    <row r="1734" spans="10:11" ht="13">
      <c r="J1734" s="205"/>
      <c r="K1734" s="205"/>
    </row>
    <row r="1735" spans="10:11" ht="13">
      <c r="J1735" s="205"/>
      <c r="K1735" s="205"/>
    </row>
    <row r="1736" spans="10:11" ht="13">
      <c r="J1736" s="205"/>
      <c r="K1736" s="205"/>
    </row>
    <row r="1737" spans="10:11" ht="13">
      <c r="J1737" s="205"/>
      <c r="K1737" s="205"/>
    </row>
    <row r="1738" spans="10:11" ht="13">
      <c r="J1738" s="205"/>
      <c r="K1738" s="205"/>
    </row>
    <row r="1739" spans="10:11" ht="13">
      <c r="J1739" s="205"/>
      <c r="K1739" s="205"/>
    </row>
    <row r="1740" spans="10:11" ht="13">
      <c r="J1740" s="205"/>
      <c r="K1740" s="205"/>
    </row>
    <row r="1741" spans="10:11" ht="13">
      <c r="J1741" s="205"/>
      <c r="K1741" s="205"/>
    </row>
    <row r="1742" spans="10:11" ht="13">
      <c r="J1742" s="205"/>
      <c r="K1742" s="205"/>
    </row>
    <row r="1743" spans="10:11" ht="13">
      <c r="J1743" s="205"/>
      <c r="K1743" s="205"/>
    </row>
    <row r="1744" spans="10:11" ht="13">
      <c r="J1744" s="205"/>
      <c r="K1744" s="205"/>
    </row>
    <row r="1745" spans="10:11" ht="13">
      <c r="J1745" s="205"/>
      <c r="K1745" s="205"/>
    </row>
    <row r="1746" spans="10:11" ht="13">
      <c r="J1746" s="205"/>
      <c r="K1746" s="205"/>
    </row>
    <row r="1747" spans="10:11" ht="13">
      <c r="J1747" s="205"/>
      <c r="K1747" s="205"/>
    </row>
    <row r="1748" spans="10:11" ht="13">
      <c r="J1748" s="205"/>
      <c r="K1748" s="205"/>
    </row>
    <row r="1749" spans="10:11" ht="13">
      <c r="J1749" s="205"/>
      <c r="K1749" s="205"/>
    </row>
    <row r="1750" spans="10:11" ht="13">
      <c r="J1750" s="205"/>
      <c r="K1750" s="205"/>
    </row>
    <row r="1751" spans="10:11" ht="13">
      <c r="J1751" s="205"/>
      <c r="K1751" s="205"/>
    </row>
    <row r="1752" spans="10:11" ht="13">
      <c r="J1752" s="205"/>
      <c r="K1752" s="205"/>
    </row>
    <row r="1753" spans="10:11" ht="13">
      <c r="J1753" s="205"/>
      <c r="K1753" s="205"/>
    </row>
    <row r="1754" spans="10:11" ht="13">
      <c r="J1754" s="205"/>
      <c r="K1754" s="205"/>
    </row>
    <row r="1755" spans="10:11" ht="13">
      <c r="J1755" s="205"/>
      <c r="K1755" s="205"/>
    </row>
    <row r="1756" spans="10:11" ht="13">
      <c r="J1756" s="205"/>
      <c r="K1756" s="205"/>
    </row>
    <row r="1757" spans="10:11" ht="13">
      <c r="J1757" s="205"/>
      <c r="K1757" s="205"/>
    </row>
    <row r="1758" spans="10:11" ht="13">
      <c r="J1758" s="205"/>
      <c r="K1758" s="205"/>
    </row>
    <row r="1759" spans="10:11" ht="13">
      <c r="J1759" s="205"/>
      <c r="K1759" s="205"/>
    </row>
    <row r="1760" spans="10:11" ht="13">
      <c r="J1760" s="205"/>
      <c r="K1760" s="205"/>
    </row>
    <row r="1761" spans="10:11" ht="13">
      <c r="J1761" s="205"/>
      <c r="K1761" s="205"/>
    </row>
    <row r="1762" spans="10:11" ht="13">
      <c r="J1762" s="205"/>
      <c r="K1762" s="205"/>
    </row>
    <row r="1763" spans="10:11" ht="13">
      <c r="J1763" s="205"/>
      <c r="K1763" s="205"/>
    </row>
    <row r="1764" spans="10:11" ht="13">
      <c r="J1764" s="205"/>
      <c r="K1764" s="205"/>
    </row>
    <row r="1765" spans="10:11" ht="13">
      <c r="J1765" s="205"/>
      <c r="K1765" s="205"/>
    </row>
    <row r="1766" spans="10:11" ht="13">
      <c r="J1766" s="205"/>
      <c r="K1766" s="205"/>
    </row>
    <row r="1767" spans="10:11" ht="13">
      <c r="J1767" s="205"/>
      <c r="K1767" s="205"/>
    </row>
    <row r="1768" spans="10:11" ht="13">
      <c r="J1768" s="205"/>
      <c r="K1768" s="205"/>
    </row>
    <row r="1769" spans="10:11" ht="13">
      <c r="J1769" s="205"/>
      <c r="K1769" s="205"/>
    </row>
    <row r="1770" spans="10:11" ht="13">
      <c r="J1770" s="205"/>
      <c r="K1770" s="205"/>
    </row>
    <row r="1771" spans="10:11" ht="13">
      <c r="J1771" s="205"/>
      <c r="K1771" s="205"/>
    </row>
    <row r="1772" spans="10:11" ht="13">
      <c r="J1772" s="205"/>
      <c r="K1772" s="205"/>
    </row>
    <row r="1773" spans="10:11" ht="13">
      <c r="J1773" s="205"/>
      <c r="K1773" s="205"/>
    </row>
    <row r="1774" spans="10:11" ht="13">
      <c r="J1774" s="205"/>
      <c r="K1774" s="205"/>
    </row>
    <row r="1775" spans="10:11" ht="13">
      <c r="J1775" s="205"/>
      <c r="K1775" s="205"/>
    </row>
    <row r="1776" spans="10:11" ht="13">
      <c r="J1776" s="205"/>
      <c r="K1776" s="205"/>
    </row>
    <row r="1777" spans="10:11" ht="13">
      <c r="J1777" s="205"/>
      <c r="K1777" s="205"/>
    </row>
    <row r="1778" spans="10:11" ht="13">
      <c r="J1778" s="205"/>
      <c r="K1778" s="205"/>
    </row>
    <row r="1779" spans="10:11" ht="13">
      <c r="J1779" s="205"/>
      <c r="K1779" s="205"/>
    </row>
    <row r="1780" spans="10:11" ht="13">
      <c r="J1780" s="205"/>
      <c r="K1780" s="205"/>
    </row>
    <row r="1781" spans="10:11" ht="13">
      <c r="J1781" s="205"/>
      <c r="K1781" s="205"/>
    </row>
    <row r="1782" spans="10:11" ht="13">
      <c r="J1782" s="205"/>
      <c r="K1782" s="205"/>
    </row>
    <row r="1783" spans="10:11" ht="13">
      <c r="J1783" s="205"/>
      <c r="K1783" s="205"/>
    </row>
    <row r="1784" spans="10:11" ht="13">
      <c r="J1784" s="205"/>
      <c r="K1784" s="205"/>
    </row>
    <row r="1785" spans="10:11" ht="13">
      <c r="J1785" s="205"/>
      <c r="K1785" s="205"/>
    </row>
    <row r="1786" spans="10:11" ht="13">
      <c r="J1786" s="205"/>
      <c r="K1786" s="205"/>
    </row>
    <row r="1787" spans="10:11" ht="13">
      <c r="J1787" s="205"/>
      <c r="K1787" s="205"/>
    </row>
    <row r="1788" spans="10:11" ht="13">
      <c r="J1788" s="205"/>
      <c r="K1788" s="205"/>
    </row>
    <row r="1789" spans="10:11" ht="13">
      <c r="J1789" s="205"/>
      <c r="K1789" s="205"/>
    </row>
    <row r="1790" spans="10:11" ht="13">
      <c r="J1790" s="205"/>
      <c r="K1790" s="205"/>
    </row>
    <row r="1791" spans="10:11" ht="13">
      <c r="J1791" s="205"/>
      <c r="K1791" s="205"/>
    </row>
    <row r="1792" spans="10:11" ht="13">
      <c r="J1792" s="205"/>
      <c r="K1792" s="205"/>
    </row>
    <row r="1793" spans="10:11" ht="13">
      <c r="J1793" s="205"/>
      <c r="K1793" s="205"/>
    </row>
    <row r="1794" spans="10:11" ht="13">
      <c r="J1794" s="205"/>
      <c r="K1794" s="205"/>
    </row>
    <row r="1795" spans="10:11" ht="13">
      <c r="J1795" s="205"/>
      <c r="K1795" s="205"/>
    </row>
    <row r="1796" spans="10:11" ht="13">
      <c r="J1796" s="205"/>
      <c r="K1796" s="205"/>
    </row>
    <row r="1797" spans="10:11" ht="13">
      <c r="J1797" s="205"/>
      <c r="K1797" s="205"/>
    </row>
    <row r="1798" spans="10:11" ht="13">
      <c r="J1798" s="205"/>
      <c r="K1798" s="205"/>
    </row>
    <row r="1799" spans="10:11" ht="13">
      <c r="J1799" s="205"/>
      <c r="K1799" s="205"/>
    </row>
    <row r="1800" spans="10:11" ht="13">
      <c r="J1800" s="205"/>
      <c r="K1800" s="205"/>
    </row>
    <row r="1801" spans="10:11" ht="13">
      <c r="J1801" s="205"/>
      <c r="K1801" s="205"/>
    </row>
    <row r="1802" spans="10:11" ht="13">
      <c r="J1802" s="205"/>
      <c r="K1802" s="205"/>
    </row>
    <row r="1803" spans="10:11" ht="13">
      <c r="J1803" s="205"/>
      <c r="K1803" s="205"/>
    </row>
    <row r="1804" spans="10:11" ht="13">
      <c r="J1804" s="205"/>
      <c r="K1804" s="205"/>
    </row>
    <row r="1805" spans="10:11" ht="13">
      <c r="J1805" s="205"/>
      <c r="K1805" s="205"/>
    </row>
    <row r="1806" spans="10:11" ht="13">
      <c r="J1806" s="205"/>
      <c r="K1806" s="205"/>
    </row>
    <row r="1807" spans="10:11" ht="13">
      <c r="J1807" s="205"/>
      <c r="K1807" s="205"/>
    </row>
    <row r="1808" spans="10:11" ht="13">
      <c r="J1808" s="205"/>
      <c r="K1808" s="205"/>
    </row>
    <row r="1809" spans="10:11" ht="13">
      <c r="J1809" s="205"/>
      <c r="K1809" s="205"/>
    </row>
    <row r="1810" spans="10:11" ht="13">
      <c r="J1810" s="205"/>
      <c r="K1810" s="205"/>
    </row>
    <row r="1811" spans="10:11" ht="13">
      <c r="J1811" s="205"/>
      <c r="K1811" s="205"/>
    </row>
    <row r="1812" spans="10:11" ht="13">
      <c r="J1812" s="205"/>
      <c r="K1812" s="205"/>
    </row>
    <row r="1813" spans="10:11" ht="13">
      <c r="J1813" s="205"/>
      <c r="K1813" s="205"/>
    </row>
    <row r="1814" spans="10:11" ht="13">
      <c r="J1814" s="205"/>
      <c r="K1814" s="205"/>
    </row>
    <row r="1815" spans="10:11" ht="13">
      <c r="J1815" s="205"/>
      <c r="K1815" s="205"/>
    </row>
    <row r="1816" spans="10:11" ht="13">
      <c r="J1816" s="205"/>
      <c r="K1816" s="205"/>
    </row>
    <row r="1817" spans="10:11" ht="13">
      <c r="J1817" s="205"/>
      <c r="K1817" s="205"/>
    </row>
    <row r="1818" spans="10:11" ht="13">
      <c r="J1818" s="205"/>
      <c r="K1818" s="205"/>
    </row>
    <row r="1819" spans="10:11" ht="13">
      <c r="J1819" s="205"/>
      <c r="K1819" s="205"/>
    </row>
    <row r="1820" spans="10:11" ht="13">
      <c r="J1820" s="205"/>
      <c r="K1820" s="205"/>
    </row>
    <row r="1821" spans="10:11" ht="13">
      <c r="J1821" s="205"/>
      <c r="K1821" s="205"/>
    </row>
    <row r="1822" spans="10:11" ht="13">
      <c r="J1822" s="205"/>
      <c r="K1822" s="205"/>
    </row>
    <row r="1823" spans="10:11" ht="13">
      <c r="J1823" s="205"/>
      <c r="K1823" s="205"/>
    </row>
    <row r="1824" spans="10:11" ht="13">
      <c r="J1824" s="205"/>
      <c r="K1824" s="205"/>
    </row>
    <row r="1825" spans="10:11" ht="13">
      <c r="J1825" s="205"/>
      <c r="K1825" s="205"/>
    </row>
    <row r="1826" spans="10:11" ht="13">
      <c r="J1826" s="205"/>
      <c r="K1826" s="205"/>
    </row>
    <row r="1827" spans="10:11" ht="13">
      <c r="J1827" s="205"/>
      <c r="K1827" s="205"/>
    </row>
    <row r="1828" spans="10:11" ht="13">
      <c r="J1828" s="205"/>
      <c r="K1828" s="205"/>
    </row>
    <row r="1829" spans="10:11" ht="13">
      <c r="J1829" s="205"/>
      <c r="K1829" s="205"/>
    </row>
    <row r="1830" spans="10:11" ht="13">
      <c r="J1830" s="205"/>
      <c r="K1830" s="205"/>
    </row>
    <row r="1831" spans="10:11" ht="13">
      <c r="J1831" s="205"/>
      <c r="K1831" s="205"/>
    </row>
    <row r="1832" spans="10:11" ht="13">
      <c r="J1832" s="205"/>
      <c r="K1832" s="205"/>
    </row>
    <row r="1833" spans="10:11" ht="13">
      <c r="J1833" s="205"/>
      <c r="K1833" s="205"/>
    </row>
    <row r="1834" spans="10:11" ht="13">
      <c r="J1834" s="205"/>
      <c r="K1834" s="205"/>
    </row>
    <row r="1835" spans="10:11" ht="13">
      <c r="J1835" s="205"/>
      <c r="K1835" s="205"/>
    </row>
    <row r="1836" spans="10:11" ht="13">
      <c r="J1836" s="205"/>
      <c r="K1836" s="205"/>
    </row>
    <row r="1837" spans="10:11" ht="13">
      <c r="J1837" s="205"/>
      <c r="K1837" s="205"/>
    </row>
    <row r="1838" spans="10:11" ht="13">
      <c r="J1838" s="205"/>
      <c r="K1838" s="205"/>
    </row>
    <row r="1839" spans="10:11" ht="13">
      <c r="J1839" s="205"/>
      <c r="K1839" s="205"/>
    </row>
    <row r="1840" spans="10:11" ht="13">
      <c r="J1840" s="205"/>
      <c r="K1840" s="205"/>
    </row>
    <row r="1841" spans="10:11" ht="13">
      <c r="J1841" s="205"/>
      <c r="K1841" s="205"/>
    </row>
    <row r="1842" spans="10:11" ht="13">
      <c r="J1842" s="205"/>
      <c r="K1842" s="205"/>
    </row>
    <row r="1843" spans="10:11" ht="13">
      <c r="J1843" s="205"/>
      <c r="K1843" s="205"/>
    </row>
    <row r="1844" spans="10:11" ht="13">
      <c r="J1844" s="205"/>
      <c r="K1844" s="205"/>
    </row>
    <row r="1845" spans="10:11" ht="13">
      <c r="J1845" s="205"/>
      <c r="K1845" s="205"/>
    </row>
    <row r="1846" spans="10:11" ht="13">
      <c r="J1846" s="205"/>
      <c r="K1846" s="205"/>
    </row>
    <row r="1847" spans="10:11" ht="13">
      <c r="J1847" s="205"/>
      <c r="K1847" s="205"/>
    </row>
    <row r="1848" spans="10:11" ht="13">
      <c r="J1848" s="205"/>
      <c r="K1848" s="205"/>
    </row>
    <row r="1849" spans="10:11" ht="13">
      <c r="J1849" s="205"/>
      <c r="K1849" s="205"/>
    </row>
    <row r="1850" spans="10:11" ht="13">
      <c r="J1850" s="205"/>
      <c r="K1850" s="205"/>
    </row>
    <row r="1851" spans="10:11" ht="13">
      <c r="J1851" s="205"/>
      <c r="K1851" s="205"/>
    </row>
    <row r="1852" spans="10:11" ht="13">
      <c r="J1852" s="205"/>
      <c r="K1852" s="205"/>
    </row>
    <row r="1853" spans="10:11" ht="13">
      <c r="J1853" s="205"/>
      <c r="K1853" s="205"/>
    </row>
    <row r="1854" spans="10:11" ht="13">
      <c r="J1854" s="205"/>
      <c r="K1854" s="205"/>
    </row>
    <row r="1855" spans="10:11" ht="13">
      <c r="J1855" s="205"/>
      <c r="K1855" s="205"/>
    </row>
    <row r="1856" spans="10:11" ht="13">
      <c r="J1856" s="205"/>
      <c r="K1856" s="205"/>
    </row>
    <row r="1857" spans="10:11" ht="13">
      <c r="J1857" s="205"/>
      <c r="K1857" s="205"/>
    </row>
    <row r="1858" spans="10:11" ht="13">
      <c r="J1858" s="205"/>
      <c r="K1858" s="205"/>
    </row>
    <row r="1859" spans="10:11" ht="13">
      <c r="J1859" s="205"/>
      <c r="K1859" s="205"/>
    </row>
    <row r="1860" spans="10:11" ht="13">
      <c r="J1860" s="205"/>
      <c r="K1860" s="205"/>
    </row>
    <row r="1861" spans="10:11" ht="13">
      <c r="J1861" s="205"/>
      <c r="K1861" s="205"/>
    </row>
    <row r="1862" spans="10:11" ht="13">
      <c r="J1862" s="205"/>
      <c r="K1862" s="205"/>
    </row>
    <row r="1863" spans="10:11" ht="13">
      <c r="J1863" s="205"/>
      <c r="K1863" s="205"/>
    </row>
    <row r="1864" spans="10:11" ht="13">
      <c r="J1864" s="205"/>
      <c r="K1864" s="205"/>
    </row>
    <row r="1865" spans="10:11" ht="13">
      <c r="J1865" s="205"/>
      <c r="K1865" s="205"/>
    </row>
    <row r="1866" spans="10:11" ht="13">
      <c r="J1866" s="205"/>
      <c r="K1866" s="205"/>
    </row>
    <row r="1867" spans="10:11" ht="13">
      <c r="J1867" s="205"/>
      <c r="K1867" s="205"/>
    </row>
    <row r="1868" spans="10:11" ht="13">
      <c r="J1868" s="205"/>
      <c r="K1868" s="205"/>
    </row>
    <row r="1869" spans="10:11" ht="13">
      <c r="J1869" s="205"/>
      <c r="K1869" s="205"/>
    </row>
    <row r="1870" spans="10:11" ht="13">
      <c r="J1870" s="205"/>
      <c r="K1870" s="205"/>
    </row>
    <row r="1871" spans="10:11" ht="13">
      <c r="J1871" s="205"/>
      <c r="K1871" s="205"/>
    </row>
    <row r="1872" spans="10:11" ht="13">
      <c r="J1872" s="205"/>
      <c r="K1872" s="205"/>
    </row>
    <row r="1873" spans="10:11" ht="13">
      <c r="J1873" s="205"/>
      <c r="K1873" s="205"/>
    </row>
    <row r="1874" spans="10:11" ht="13">
      <c r="J1874" s="205"/>
      <c r="K1874" s="205"/>
    </row>
    <row r="1875" spans="10:11" ht="13">
      <c r="J1875" s="205"/>
      <c r="K1875" s="205"/>
    </row>
    <row r="1876" spans="10:11" ht="13">
      <c r="J1876" s="205"/>
      <c r="K1876" s="205"/>
    </row>
    <row r="1877" spans="10:11" ht="13">
      <c r="J1877" s="205"/>
      <c r="K1877" s="205"/>
    </row>
    <row r="1878" spans="10:11" ht="13">
      <c r="J1878" s="205"/>
      <c r="K1878" s="205"/>
    </row>
    <row r="1879" spans="10:11" ht="13">
      <c r="J1879" s="205"/>
      <c r="K1879" s="205"/>
    </row>
    <row r="1880" spans="10:11" ht="13">
      <c r="J1880" s="205"/>
      <c r="K1880" s="205"/>
    </row>
    <row r="1881" spans="10:11" ht="13">
      <c r="J1881" s="205"/>
      <c r="K1881" s="205"/>
    </row>
    <row r="1882" spans="10:11" ht="13">
      <c r="J1882" s="205"/>
      <c r="K1882" s="205"/>
    </row>
    <row r="1883" spans="10:11" ht="13">
      <c r="J1883" s="205"/>
      <c r="K1883" s="205"/>
    </row>
    <row r="1884" spans="10:11" ht="13">
      <c r="J1884" s="205"/>
      <c r="K1884" s="205"/>
    </row>
    <row r="1885" spans="10:11" ht="13">
      <c r="J1885" s="205"/>
      <c r="K1885" s="205"/>
    </row>
    <row r="1886" spans="10:11" ht="13">
      <c r="J1886" s="205"/>
      <c r="K1886" s="205"/>
    </row>
    <row r="1887" spans="10:11" ht="13">
      <c r="J1887" s="205"/>
      <c r="K1887" s="205"/>
    </row>
    <row r="1888" spans="10:11" ht="13">
      <c r="J1888" s="205"/>
      <c r="K1888" s="205"/>
    </row>
    <row r="1889" spans="10:11" ht="13">
      <c r="J1889" s="205"/>
      <c r="K1889" s="205"/>
    </row>
    <row r="1890" spans="10:11" ht="13">
      <c r="J1890" s="205"/>
      <c r="K1890" s="205"/>
    </row>
    <row r="1891" spans="10:11" ht="13">
      <c r="J1891" s="205"/>
      <c r="K1891" s="205"/>
    </row>
    <row r="1892" spans="10:11" ht="13">
      <c r="J1892" s="205"/>
      <c r="K1892" s="205"/>
    </row>
    <row r="1893" spans="10:11" ht="13">
      <c r="J1893" s="205"/>
      <c r="K1893" s="205"/>
    </row>
    <row r="1894" spans="10:11" ht="13">
      <c r="J1894" s="205"/>
      <c r="K1894" s="205"/>
    </row>
    <row r="1895" spans="10:11" ht="13">
      <c r="J1895" s="205"/>
      <c r="K1895" s="205"/>
    </row>
    <row r="1896" spans="10:11" ht="13">
      <c r="J1896" s="205"/>
      <c r="K1896" s="205"/>
    </row>
    <row r="1897" spans="10:11" ht="13">
      <c r="J1897" s="205"/>
      <c r="K1897" s="205"/>
    </row>
    <row r="1898" spans="10:11" ht="13">
      <c r="J1898" s="205"/>
      <c r="K1898" s="205"/>
    </row>
    <row r="1899" spans="10:11" ht="13">
      <c r="J1899" s="205"/>
      <c r="K1899" s="205"/>
    </row>
    <row r="1900" spans="10:11" ht="13">
      <c r="J1900" s="205"/>
      <c r="K1900" s="205"/>
    </row>
    <row r="1901" spans="10:11" ht="13">
      <c r="J1901" s="205"/>
      <c r="K1901" s="205"/>
    </row>
    <row r="1902" spans="10:11" ht="13">
      <c r="J1902" s="205"/>
      <c r="K1902" s="205"/>
    </row>
    <row r="1903" spans="10:11" ht="13">
      <c r="J1903" s="205"/>
      <c r="K1903" s="205"/>
    </row>
    <row r="1904" spans="10:11" ht="13">
      <c r="J1904" s="205"/>
      <c r="K1904" s="205"/>
    </row>
    <row r="1905" spans="10:11" ht="13">
      <c r="J1905" s="205"/>
      <c r="K1905" s="205"/>
    </row>
    <row r="1906" spans="10:11" ht="13">
      <c r="J1906" s="205"/>
      <c r="K1906" s="205"/>
    </row>
    <row r="1907" spans="10:11" ht="13">
      <c r="J1907" s="205"/>
      <c r="K1907" s="205"/>
    </row>
    <row r="1908" spans="10:11" ht="13">
      <c r="J1908" s="205"/>
      <c r="K1908" s="205"/>
    </row>
    <row r="1909" spans="10:11" ht="13">
      <c r="J1909" s="205"/>
      <c r="K1909" s="205"/>
    </row>
    <row r="1910" spans="10:11" ht="13">
      <c r="J1910" s="205"/>
      <c r="K1910" s="205"/>
    </row>
    <row r="1911" spans="10:11" ht="13">
      <c r="J1911" s="205"/>
      <c r="K1911" s="205"/>
    </row>
    <row r="1912" spans="10:11" ht="13">
      <c r="J1912" s="205"/>
      <c r="K1912" s="205"/>
    </row>
    <row r="1913" spans="10:11" ht="13">
      <c r="J1913" s="205"/>
      <c r="K1913" s="205"/>
    </row>
    <row r="1914" spans="10:11" ht="13">
      <c r="J1914" s="205"/>
      <c r="K1914" s="205"/>
    </row>
    <row r="1915" spans="10:11" ht="13">
      <c r="J1915" s="205"/>
      <c r="K1915" s="205"/>
    </row>
    <row r="1916" spans="10:11" ht="13">
      <c r="J1916" s="205"/>
      <c r="K1916" s="205"/>
    </row>
    <row r="1917" spans="10:11" ht="13">
      <c r="J1917" s="205"/>
      <c r="K1917" s="205"/>
    </row>
    <row r="1918" spans="10:11" ht="13">
      <c r="J1918" s="205"/>
      <c r="K1918" s="205"/>
    </row>
    <row r="1919" spans="10:11" ht="13">
      <c r="J1919" s="205"/>
      <c r="K1919" s="205"/>
    </row>
    <row r="1920" spans="10:11" ht="13">
      <c r="J1920" s="205"/>
      <c r="K1920" s="205"/>
    </row>
    <row r="1921" spans="10:11" ht="13">
      <c r="J1921" s="205"/>
      <c r="K1921" s="205"/>
    </row>
    <row r="1922" spans="10:11" ht="13">
      <c r="J1922" s="205"/>
      <c r="K1922" s="205"/>
    </row>
    <row r="1923" spans="10:11" ht="13">
      <c r="J1923" s="205"/>
      <c r="K1923" s="205"/>
    </row>
    <row r="1924" spans="10:11" ht="13">
      <c r="J1924" s="205"/>
      <c r="K1924" s="205"/>
    </row>
    <row r="1925" spans="10:11" ht="13">
      <c r="J1925" s="205"/>
      <c r="K1925" s="205"/>
    </row>
    <row r="1926" spans="10:11" ht="13">
      <c r="J1926" s="205"/>
      <c r="K1926" s="205"/>
    </row>
    <row r="1927" spans="10:11" ht="13">
      <c r="J1927" s="205"/>
      <c r="K1927" s="205"/>
    </row>
    <row r="1928" spans="10:11" ht="13">
      <c r="J1928" s="205"/>
      <c r="K1928" s="205"/>
    </row>
    <row r="1929" spans="10:11" ht="13">
      <c r="J1929" s="205"/>
      <c r="K1929" s="205"/>
    </row>
    <row r="1930" spans="10:11" ht="13">
      <c r="J1930" s="205"/>
      <c r="K1930" s="205"/>
    </row>
    <row r="1931" spans="10:11" ht="13">
      <c r="J1931" s="205"/>
      <c r="K1931" s="205"/>
    </row>
    <row r="1932" spans="10:11" ht="13">
      <c r="J1932" s="205"/>
      <c r="K1932" s="205"/>
    </row>
    <row r="1933" spans="10:11" ht="13">
      <c r="J1933" s="205"/>
      <c r="K1933" s="205"/>
    </row>
    <row r="1934" spans="10:11" ht="13">
      <c r="J1934" s="205"/>
      <c r="K1934" s="205"/>
    </row>
    <row r="1935" spans="10:11" ht="13">
      <c r="J1935" s="205"/>
      <c r="K1935" s="205"/>
    </row>
    <row r="1936" spans="10:11" ht="13">
      <c r="J1936" s="205"/>
      <c r="K1936" s="205"/>
    </row>
    <row r="1937" spans="10:11" ht="13">
      <c r="J1937" s="205"/>
      <c r="K1937" s="205"/>
    </row>
    <row r="1938" spans="10:11" ht="13">
      <c r="J1938" s="205"/>
      <c r="K1938" s="205"/>
    </row>
    <row r="1939" spans="10:11" ht="13">
      <c r="J1939" s="205"/>
      <c r="K1939" s="205"/>
    </row>
    <row r="1940" spans="10:11" ht="13">
      <c r="J1940" s="205"/>
      <c r="K1940" s="205"/>
    </row>
    <row r="1941" spans="10:11" ht="13">
      <c r="J1941" s="205"/>
      <c r="K1941" s="205"/>
    </row>
    <row r="1942" spans="10:11" ht="13">
      <c r="J1942" s="205"/>
      <c r="K1942" s="205"/>
    </row>
    <row r="1943" spans="10:11" ht="13">
      <c r="J1943" s="205"/>
      <c r="K1943" s="205"/>
    </row>
    <row r="1944" spans="10:11" ht="13">
      <c r="J1944" s="205"/>
      <c r="K1944" s="205"/>
    </row>
    <row r="1945" spans="10:11" ht="13">
      <c r="J1945" s="205"/>
      <c r="K1945" s="205"/>
    </row>
    <row r="1946" spans="10:11" ht="13">
      <c r="J1946" s="205"/>
      <c r="K1946" s="205"/>
    </row>
    <row r="1947" spans="10:11" ht="13">
      <c r="J1947" s="205"/>
      <c r="K1947" s="205"/>
    </row>
    <row r="1948" spans="10:11" ht="13">
      <c r="J1948" s="205"/>
      <c r="K1948" s="205"/>
    </row>
    <row r="1949" spans="10:11" ht="13">
      <c r="J1949" s="205"/>
      <c r="K1949" s="205"/>
    </row>
    <row r="1950" spans="10:11" ht="13">
      <c r="J1950" s="205"/>
      <c r="K1950" s="205"/>
    </row>
    <row r="1951" spans="10:11" ht="13">
      <c r="J1951" s="205"/>
      <c r="K1951" s="205"/>
    </row>
    <row r="1952" spans="10:11" ht="13">
      <c r="J1952" s="205"/>
      <c r="K1952" s="205"/>
    </row>
    <row r="1953" spans="10:11" ht="13">
      <c r="J1953" s="205"/>
      <c r="K1953" s="205"/>
    </row>
    <row r="1954" spans="10:11" ht="13">
      <c r="J1954" s="205"/>
      <c r="K1954" s="205"/>
    </row>
    <row r="1955" spans="10:11" ht="13">
      <c r="J1955" s="205"/>
      <c r="K1955" s="205"/>
    </row>
    <row r="1956" spans="10:11" ht="13">
      <c r="J1956" s="205"/>
      <c r="K1956" s="205"/>
    </row>
    <row r="1957" spans="10:11" ht="13">
      <c r="J1957" s="205"/>
      <c r="K1957" s="205"/>
    </row>
    <row r="1958" spans="10:11" ht="13">
      <c r="J1958" s="205"/>
      <c r="K1958" s="205"/>
    </row>
    <row r="1959" spans="10:11" ht="13">
      <c r="J1959" s="205"/>
      <c r="K1959" s="205"/>
    </row>
    <row r="1960" spans="10:11" ht="13">
      <c r="J1960" s="205"/>
      <c r="K1960" s="205"/>
    </row>
    <row r="1961" spans="10:11" ht="13">
      <c r="J1961" s="205"/>
      <c r="K1961" s="205"/>
    </row>
    <row r="1962" spans="10:11" ht="13">
      <c r="J1962" s="205"/>
      <c r="K1962" s="205"/>
    </row>
    <row r="1963" spans="10:11" ht="13">
      <c r="J1963" s="205"/>
      <c r="K1963" s="205"/>
    </row>
    <row r="1964" spans="10:11" ht="13">
      <c r="J1964" s="205"/>
      <c r="K1964" s="205"/>
    </row>
    <row r="1965" spans="10:11" ht="13">
      <c r="J1965" s="205"/>
      <c r="K1965" s="205"/>
    </row>
    <row r="1966" spans="10:11" ht="13">
      <c r="J1966" s="205"/>
      <c r="K1966" s="205"/>
    </row>
    <row r="1967" spans="10:11" ht="13">
      <c r="J1967" s="205"/>
      <c r="K1967" s="205"/>
    </row>
    <row r="1968" spans="10:11" ht="13">
      <c r="J1968" s="205"/>
      <c r="K1968" s="205"/>
    </row>
    <row r="1969" spans="10:11" ht="13">
      <c r="J1969" s="205"/>
      <c r="K1969" s="205"/>
    </row>
    <row r="1970" spans="10:11" ht="13">
      <c r="J1970" s="205"/>
      <c r="K1970" s="205"/>
    </row>
    <row r="1971" spans="10:11" ht="13">
      <c r="J1971" s="205"/>
      <c r="K1971" s="205"/>
    </row>
    <row r="1972" spans="10:11" ht="13">
      <c r="J1972" s="205"/>
      <c r="K1972" s="205"/>
    </row>
    <row r="1973" spans="10:11" ht="13">
      <c r="J1973" s="205"/>
      <c r="K1973" s="205"/>
    </row>
    <row r="1974" spans="10:11" ht="13">
      <c r="J1974" s="205"/>
      <c r="K1974" s="205"/>
    </row>
    <row r="1975" spans="10:11" ht="13">
      <c r="J1975" s="205"/>
      <c r="K1975" s="205"/>
    </row>
    <row r="1976" spans="10:11" ht="13">
      <c r="J1976" s="205"/>
      <c r="K1976" s="205"/>
    </row>
    <row r="1977" spans="10:11" ht="13">
      <c r="J1977" s="205"/>
      <c r="K1977" s="205"/>
    </row>
    <row r="1978" spans="10:11" ht="13">
      <c r="J1978" s="205"/>
      <c r="K1978" s="205"/>
    </row>
    <row r="1979" spans="10:11" ht="13">
      <c r="J1979" s="205"/>
      <c r="K1979" s="205"/>
    </row>
    <row r="1980" spans="10:11" ht="13">
      <c r="J1980" s="205"/>
      <c r="K1980" s="205"/>
    </row>
    <row r="1981" spans="10:11" ht="13">
      <c r="J1981" s="205"/>
      <c r="K1981" s="205"/>
    </row>
    <row r="1982" spans="10:11" ht="13">
      <c r="J1982" s="205"/>
      <c r="K1982" s="205"/>
    </row>
    <row r="1983" spans="10:11" ht="13">
      <c r="J1983" s="205"/>
      <c r="K1983" s="205"/>
    </row>
    <row r="1984" spans="10:11" ht="13">
      <c r="J1984" s="205"/>
      <c r="K1984" s="205"/>
    </row>
    <row r="1985" spans="10:11" ht="13">
      <c r="J1985" s="205"/>
      <c r="K1985" s="205"/>
    </row>
    <row r="1986" spans="10:11" ht="13">
      <c r="J1986" s="205"/>
      <c r="K1986" s="205"/>
    </row>
    <row r="1987" spans="10:11" ht="13">
      <c r="J1987" s="205"/>
      <c r="K1987" s="205"/>
    </row>
    <row r="1988" spans="10:11" ht="13">
      <c r="J1988" s="205"/>
      <c r="K1988" s="205"/>
    </row>
    <row r="1989" spans="10:11" ht="13">
      <c r="J1989" s="205"/>
      <c r="K1989" s="205"/>
    </row>
    <row r="1990" spans="10:11" ht="13">
      <c r="J1990" s="205"/>
      <c r="K1990" s="205"/>
    </row>
    <row r="1991" spans="10:11" ht="13">
      <c r="J1991" s="205"/>
      <c r="K1991" s="205"/>
    </row>
    <row r="1992" spans="10:11" ht="13">
      <c r="J1992" s="205"/>
      <c r="K1992" s="205"/>
    </row>
    <row r="1993" spans="10:11" ht="13">
      <c r="J1993" s="205"/>
      <c r="K1993" s="205"/>
    </row>
    <row r="1994" spans="10:11" ht="13">
      <c r="J1994" s="205"/>
      <c r="K1994" s="205"/>
    </row>
    <row r="1995" spans="10:11" ht="13">
      <c r="J1995" s="205"/>
      <c r="K1995" s="205"/>
    </row>
    <row r="1996" spans="10:11" ht="13">
      <c r="J1996" s="205"/>
      <c r="K1996" s="205"/>
    </row>
    <row r="1997" spans="10:11" ht="13">
      <c r="J1997" s="205"/>
      <c r="K1997" s="205"/>
    </row>
    <row r="1998" spans="10:11" ht="13">
      <c r="J1998" s="205"/>
      <c r="K1998" s="205"/>
    </row>
    <row r="1999" spans="10:11" ht="13">
      <c r="J1999" s="205"/>
      <c r="K1999" s="205"/>
    </row>
    <row r="2000" spans="10:11" ht="13">
      <c r="J2000" s="205"/>
      <c r="K2000" s="205"/>
    </row>
    <row r="2001" spans="10:11" ht="13">
      <c r="J2001" s="205"/>
      <c r="K2001" s="205"/>
    </row>
    <row r="2002" spans="10:11" ht="13">
      <c r="J2002" s="205"/>
      <c r="K2002" s="205"/>
    </row>
    <row r="2003" spans="10:11" ht="13">
      <c r="J2003" s="205"/>
      <c r="K2003" s="205"/>
    </row>
    <row r="2004" spans="10:11" ht="13">
      <c r="J2004" s="205"/>
      <c r="K2004" s="205"/>
    </row>
    <row r="2005" spans="10:11" ht="13">
      <c r="J2005" s="205"/>
      <c r="K2005" s="205"/>
    </row>
    <row r="2006" spans="10:11" ht="13">
      <c r="J2006" s="205"/>
      <c r="K2006" s="205"/>
    </row>
    <row r="2007" spans="10:11" ht="13">
      <c r="J2007" s="205"/>
      <c r="K2007" s="205"/>
    </row>
    <row r="2008" spans="10:11" ht="13">
      <c r="J2008" s="205"/>
      <c r="K2008" s="205"/>
    </row>
    <row r="2009" spans="10:11" ht="13">
      <c r="J2009" s="205"/>
      <c r="K2009" s="205"/>
    </row>
    <row r="2010" spans="10:11" ht="13">
      <c r="J2010" s="205"/>
      <c r="K2010" s="205"/>
    </row>
    <row r="2011" spans="10:11" ht="13">
      <c r="J2011" s="205"/>
      <c r="K2011" s="205"/>
    </row>
    <row r="2012" spans="10:11" ht="13">
      <c r="J2012" s="205"/>
      <c r="K2012" s="205"/>
    </row>
    <row r="2013" spans="10:11" ht="13">
      <c r="J2013" s="205"/>
      <c r="K2013" s="205"/>
    </row>
    <row r="2014" spans="10:11" ht="13">
      <c r="J2014" s="205"/>
      <c r="K2014" s="205"/>
    </row>
    <row r="2015" spans="10:11" ht="13">
      <c r="J2015" s="205"/>
      <c r="K2015" s="205"/>
    </row>
    <row r="2016" spans="10:11" ht="13">
      <c r="J2016" s="205"/>
      <c r="K2016" s="205"/>
    </row>
    <row r="2017" spans="10:11" ht="13">
      <c r="J2017" s="205"/>
      <c r="K2017" s="205"/>
    </row>
    <row r="2018" spans="10:11" ht="13">
      <c r="J2018" s="205"/>
      <c r="K2018" s="205"/>
    </row>
    <row r="2019" spans="10:11" ht="13">
      <c r="J2019" s="205"/>
      <c r="K2019" s="205"/>
    </row>
    <row r="2020" spans="10:11" ht="13">
      <c r="J2020" s="205"/>
      <c r="K2020" s="205"/>
    </row>
    <row r="2021" spans="10:11" ht="13">
      <c r="J2021" s="205"/>
      <c r="K2021" s="205"/>
    </row>
    <row r="2022" spans="10:11" ht="13">
      <c r="J2022" s="205"/>
      <c r="K2022" s="205"/>
    </row>
    <row r="2023" spans="10:11" ht="13">
      <c r="J2023" s="205"/>
      <c r="K2023" s="205"/>
    </row>
    <row r="2024" spans="10:11" ht="13">
      <c r="J2024" s="205"/>
      <c r="K2024" s="205"/>
    </row>
    <row r="2025" spans="10:11" ht="13">
      <c r="J2025" s="205"/>
      <c r="K2025" s="205"/>
    </row>
    <row r="2026" spans="10:11" ht="13">
      <c r="J2026" s="205"/>
      <c r="K2026" s="205"/>
    </row>
    <row r="2027" spans="10:11" ht="13">
      <c r="J2027" s="205"/>
      <c r="K2027" s="205"/>
    </row>
    <row r="2028" spans="10:11" ht="13">
      <c r="J2028" s="205"/>
      <c r="K2028" s="205"/>
    </row>
    <row r="2029" spans="10:11" ht="13">
      <c r="J2029" s="205"/>
      <c r="K2029" s="205"/>
    </row>
    <row r="2030" spans="10:11" ht="13">
      <c r="J2030" s="205"/>
      <c r="K2030" s="205"/>
    </row>
    <row r="2031" spans="10:11" ht="13">
      <c r="J2031" s="205"/>
      <c r="K2031" s="205"/>
    </row>
    <row r="2032" spans="10:11" ht="13">
      <c r="J2032" s="205"/>
      <c r="K2032" s="205"/>
    </row>
    <row r="2033" spans="10:11" ht="13">
      <c r="J2033" s="205"/>
      <c r="K2033" s="205"/>
    </row>
    <row r="2034" spans="10:11" ht="13">
      <c r="J2034" s="205"/>
      <c r="K2034" s="205"/>
    </row>
    <row r="2035" spans="10:11" ht="13">
      <c r="J2035" s="205"/>
      <c r="K2035" s="205"/>
    </row>
    <row r="2036" spans="10:11" ht="13">
      <c r="J2036" s="205"/>
      <c r="K2036" s="205"/>
    </row>
    <row r="2037" spans="10:11" ht="13">
      <c r="J2037" s="205"/>
      <c r="K2037" s="205"/>
    </row>
    <row r="2038" spans="10:11" ht="13">
      <c r="J2038" s="205"/>
      <c r="K2038" s="205"/>
    </row>
    <row r="2039" spans="10:11" ht="13">
      <c r="J2039" s="205"/>
      <c r="K2039" s="205"/>
    </row>
    <row r="2040" spans="10:11" ht="13">
      <c r="J2040" s="205"/>
      <c r="K2040" s="205"/>
    </row>
    <row r="2041" spans="10:11" ht="13">
      <c r="J2041" s="205"/>
      <c r="K2041" s="205"/>
    </row>
    <row r="2042" spans="10:11" ht="13">
      <c r="J2042" s="205"/>
      <c r="K2042" s="205"/>
    </row>
    <row r="2043" spans="10:11" ht="13">
      <c r="J2043" s="205"/>
      <c r="K2043" s="205"/>
    </row>
    <row r="2044" spans="10:11" ht="13">
      <c r="J2044" s="205"/>
      <c r="K2044" s="205"/>
    </row>
    <row r="2045" spans="10:11" ht="13">
      <c r="J2045" s="205"/>
      <c r="K2045" s="205"/>
    </row>
    <row r="2046" spans="10:11" ht="13">
      <c r="J2046" s="205"/>
      <c r="K2046" s="205"/>
    </row>
    <row r="2047" spans="10:11" ht="13">
      <c r="J2047" s="205"/>
      <c r="K2047" s="205"/>
    </row>
    <row r="2048" spans="10:11" ht="13">
      <c r="J2048" s="205"/>
      <c r="K2048" s="205"/>
    </row>
    <row r="2049" spans="10:11" ht="13">
      <c r="J2049" s="205"/>
      <c r="K2049" s="205"/>
    </row>
    <row r="2050" spans="10:11" ht="13">
      <c r="J2050" s="205"/>
      <c r="K2050" s="205"/>
    </row>
    <row r="2051" spans="10:11" ht="13">
      <c r="J2051" s="205"/>
      <c r="K2051" s="205"/>
    </row>
    <row r="2052" spans="10:11" ht="13">
      <c r="J2052" s="205"/>
      <c r="K2052" s="205"/>
    </row>
    <row r="2053" spans="10:11" ht="13">
      <c r="J2053" s="205"/>
      <c r="K2053" s="205"/>
    </row>
    <row r="2054" spans="10:11" ht="13">
      <c r="J2054" s="205"/>
      <c r="K2054" s="205"/>
    </row>
    <row r="2055" spans="10:11" ht="13">
      <c r="J2055" s="205"/>
      <c r="K2055" s="205"/>
    </row>
    <row r="2056" spans="10:11" ht="13">
      <c r="J2056" s="205"/>
      <c r="K2056" s="205"/>
    </row>
    <row r="2057" spans="10:11" ht="13">
      <c r="J2057" s="205"/>
      <c r="K2057" s="205"/>
    </row>
    <row r="2058" spans="10:11" ht="13">
      <c r="J2058" s="205"/>
      <c r="K2058" s="205"/>
    </row>
    <row r="2059" spans="10:11" ht="13">
      <c r="J2059" s="205"/>
      <c r="K2059" s="205"/>
    </row>
    <row r="2060" spans="10:11" ht="13">
      <c r="J2060" s="205"/>
      <c r="K2060" s="205"/>
    </row>
    <row r="2061" spans="10:11" ht="13">
      <c r="J2061" s="205"/>
      <c r="K2061" s="205"/>
    </row>
    <row r="2062" spans="10:11" ht="13">
      <c r="J2062" s="205"/>
      <c r="K2062" s="205"/>
    </row>
    <row r="2063" spans="10:11" ht="13">
      <c r="J2063" s="205"/>
      <c r="K2063" s="205"/>
    </row>
    <row r="2064" spans="10:11" ht="13">
      <c r="J2064" s="205"/>
      <c r="K2064" s="205"/>
    </row>
    <row r="2065" spans="10:11" ht="13">
      <c r="J2065" s="205"/>
      <c r="K2065" s="205"/>
    </row>
    <row r="2066" spans="10:11" ht="13">
      <c r="J2066" s="205"/>
      <c r="K2066" s="205"/>
    </row>
    <row r="2067" spans="10:11" ht="13">
      <c r="J2067" s="205"/>
      <c r="K2067" s="205"/>
    </row>
    <row r="2068" spans="10:11" ht="13">
      <c r="J2068" s="205"/>
      <c r="K2068" s="205"/>
    </row>
    <row r="2069" spans="10:11" ht="13">
      <c r="J2069" s="205"/>
      <c r="K2069" s="205"/>
    </row>
    <row r="2070" spans="10:11" ht="13">
      <c r="J2070" s="205"/>
      <c r="K2070" s="205"/>
    </row>
    <row r="2071" spans="10:11" ht="13">
      <c r="J2071" s="205"/>
      <c r="K2071" s="205"/>
    </row>
    <row r="2072" spans="10:11" ht="13">
      <c r="J2072" s="205"/>
      <c r="K2072" s="205"/>
    </row>
    <row r="2073" spans="10:11" ht="13">
      <c r="J2073" s="205"/>
      <c r="K2073" s="205"/>
    </row>
    <row r="2074" spans="10:11" ht="13">
      <c r="J2074" s="205"/>
      <c r="K2074" s="205"/>
    </row>
    <row r="2075" spans="10:11" ht="13">
      <c r="J2075" s="205"/>
      <c r="K2075" s="205"/>
    </row>
    <row r="2076" spans="10:11" ht="13">
      <c r="J2076" s="205"/>
      <c r="K2076" s="205"/>
    </row>
    <row r="2077" spans="10:11" ht="13">
      <c r="J2077" s="205"/>
      <c r="K2077" s="205"/>
    </row>
    <row r="2078" spans="10:11" ht="13">
      <c r="J2078" s="205"/>
      <c r="K2078" s="205"/>
    </row>
    <row r="2079" spans="10:11" ht="13">
      <c r="J2079" s="205"/>
      <c r="K2079" s="205"/>
    </row>
    <row r="2080" spans="10:11" ht="13">
      <c r="J2080" s="205"/>
      <c r="K2080" s="205"/>
    </row>
    <row r="2081" spans="10:11" ht="13">
      <c r="J2081" s="205"/>
      <c r="K2081" s="205"/>
    </row>
    <row r="2082" spans="10:11" ht="13">
      <c r="J2082" s="205"/>
      <c r="K2082" s="205"/>
    </row>
    <row r="2083" spans="10:11" ht="13">
      <c r="J2083" s="205"/>
      <c r="K2083" s="205"/>
    </row>
    <row r="2084" spans="10:11" ht="13">
      <c r="J2084" s="205"/>
      <c r="K2084" s="205"/>
    </row>
    <row r="2085" spans="10:11" ht="13">
      <c r="J2085" s="205"/>
      <c r="K2085" s="205"/>
    </row>
    <row r="2086" spans="10:11" ht="13">
      <c r="J2086" s="205"/>
      <c r="K2086" s="205"/>
    </row>
    <row r="2087" spans="10:11" ht="13">
      <c r="J2087" s="205"/>
      <c r="K2087" s="205"/>
    </row>
    <row r="2088" spans="10:11" ht="13">
      <c r="J2088" s="205"/>
      <c r="K2088" s="205"/>
    </row>
    <row r="2089" spans="10:11" ht="13">
      <c r="J2089" s="205"/>
      <c r="K2089" s="205"/>
    </row>
    <row r="2090" spans="10:11" ht="13">
      <c r="J2090" s="205"/>
      <c r="K2090" s="205"/>
    </row>
    <row r="2091" spans="10:11" ht="13">
      <c r="J2091" s="205"/>
      <c r="K2091" s="205"/>
    </row>
    <row r="2092" spans="10:11" ht="13">
      <c r="J2092" s="205"/>
      <c r="K2092" s="205"/>
    </row>
    <row r="2093" spans="10:11" ht="13">
      <c r="J2093" s="205"/>
      <c r="K2093" s="205"/>
    </row>
    <row r="2094" spans="10:11" ht="13">
      <c r="J2094" s="205"/>
      <c r="K2094" s="205"/>
    </row>
    <row r="2095" spans="10:11" ht="13">
      <c r="J2095" s="205"/>
      <c r="K2095" s="205"/>
    </row>
    <row r="2096" spans="10:11" ht="13">
      <c r="J2096" s="205"/>
      <c r="K2096" s="205"/>
    </row>
    <row r="2097" spans="10:11" ht="13">
      <c r="J2097" s="205"/>
      <c r="K2097" s="205"/>
    </row>
    <row r="2098" spans="10:11" ht="13">
      <c r="J2098" s="205"/>
      <c r="K2098" s="205"/>
    </row>
    <row r="2099" spans="10:11" ht="13">
      <c r="J2099" s="205"/>
      <c r="K2099" s="205"/>
    </row>
    <row r="2100" spans="10:11" ht="13">
      <c r="J2100" s="205"/>
      <c r="K2100" s="205"/>
    </row>
    <row r="2101" spans="10:11" ht="13">
      <c r="J2101" s="205"/>
      <c r="K2101" s="205"/>
    </row>
    <row r="2102" spans="10:11" ht="13">
      <c r="J2102" s="205"/>
      <c r="K2102" s="205"/>
    </row>
    <row r="2103" spans="10:11" ht="13">
      <c r="J2103" s="205"/>
      <c r="K2103" s="205"/>
    </row>
    <row r="2104" spans="10:11" ht="13">
      <c r="J2104" s="205"/>
      <c r="K2104" s="205"/>
    </row>
    <row r="2105" spans="10:11" ht="13">
      <c r="J2105" s="205"/>
      <c r="K2105" s="205"/>
    </row>
    <row r="2106" spans="10:11" ht="13">
      <c r="J2106" s="205"/>
      <c r="K2106" s="205"/>
    </row>
    <row r="2107" spans="10:11" ht="13">
      <c r="J2107" s="205"/>
      <c r="K2107" s="205"/>
    </row>
    <row r="2108" spans="10:11" ht="13">
      <c r="J2108" s="205"/>
      <c r="K2108" s="205"/>
    </row>
    <row r="2109" spans="10:11" ht="13">
      <c r="J2109" s="205"/>
      <c r="K2109" s="205"/>
    </row>
    <row r="2110" spans="10:11" ht="13">
      <c r="J2110" s="205"/>
      <c r="K2110" s="205"/>
    </row>
    <row r="2111" spans="10:11" ht="13">
      <c r="J2111" s="205"/>
      <c r="K2111" s="205"/>
    </row>
    <row r="2112" spans="10:11" ht="13">
      <c r="J2112" s="205"/>
      <c r="K2112" s="205"/>
    </row>
    <row r="2113" spans="10:11" ht="13">
      <c r="J2113" s="205"/>
      <c r="K2113" s="205"/>
    </row>
    <row r="2114" spans="10:11" ht="13">
      <c r="J2114" s="205"/>
      <c r="K2114" s="205"/>
    </row>
    <row r="2115" spans="10:11" ht="13">
      <c r="J2115" s="205"/>
      <c r="K2115" s="205"/>
    </row>
    <row r="2116" spans="10:11" ht="13">
      <c r="J2116" s="205"/>
      <c r="K2116" s="205"/>
    </row>
    <row r="2117" spans="10:11" ht="13">
      <c r="J2117" s="205"/>
      <c r="K2117" s="205"/>
    </row>
    <row r="2118" spans="10:11" ht="13">
      <c r="J2118" s="205"/>
      <c r="K2118" s="205"/>
    </row>
    <row r="2119" spans="10:11" ht="13">
      <c r="J2119" s="205"/>
      <c r="K2119" s="205"/>
    </row>
    <row r="2120" spans="10:11" ht="13">
      <c r="J2120" s="205"/>
      <c r="K2120" s="205"/>
    </row>
    <row r="2121" spans="10:11" ht="13">
      <c r="J2121" s="205"/>
      <c r="K2121" s="205"/>
    </row>
    <row r="2122" spans="10:11" ht="13">
      <c r="J2122" s="205"/>
      <c r="K2122" s="205"/>
    </row>
    <row r="2123" spans="10:11" ht="13">
      <c r="J2123" s="205"/>
      <c r="K2123" s="205"/>
    </row>
    <row r="2124" spans="10:11" ht="13">
      <c r="J2124" s="205"/>
      <c r="K2124" s="205"/>
    </row>
    <row r="2125" spans="10:11" ht="13">
      <c r="J2125" s="205"/>
      <c r="K2125" s="205"/>
    </row>
    <row r="2126" spans="10:11" ht="13">
      <c r="J2126" s="205"/>
      <c r="K2126" s="205"/>
    </row>
    <row r="2127" spans="10:11" ht="13">
      <c r="J2127" s="205"/>
      <c r="K2127" s="205"/>
    </row>
    <row r="2128" spans="10:11" ht="13">
      <c r="J2128" s="205"/>
      <c r="K2128" s="205"/>
    </row>
    <row r="2129" spans="10:11" ht="13">
      <c r="J2129" s="205"/>
      <c r="K2129" s="205"/>
    </row>
    <row r="2130" spans="10:11" ht="13">
      <c r="J2130" s="205"/>
      <c r="K2130" s="205"/>
    </row>
    <row r="2131" spans="10:11" ht="13">
      <c r="J2131" s="205"/>
      <c r="K2131" s="205"/>
    </row>
    <row r="2132" spans="10:11" ht="13">
      <c r="J2132" s="205"/>
      <c r="K2132" s="205"/>
    </row>
    <row r="2133" spans="10:11" ht="13">
      <c r="J2133" s="205"/>
      <c r="K2133" s="205"/>
    </row>
    <row r="2134" spans="10:11" ht="13">
      <c r="J2134" s="205"/>
      <c r="K2134" s="205"/>
    </row>
    <row r="2135" spans="10:11" ht="13">
      <c r="J2135" s="205"/>
      <c r="K2135" s="205"/>
    </row>
    <row r="2136" spans="10:11" ht="13">
      <c r="J2136" s="205"/>
      <c r="K2136" s="205"/>
    </row>
    <row r="2137" spans="10:11" ht="13">
      <c r="J2137" s="205"/>
      <c r="K2137" s="205"/>
    </row>
    <row r="2138" spans="10:11" ht="13">
      <c r="J2138" s="205"/>
      <c r="K2138" s="205"/>
    </row>
    <row r="2139" spans="10:11" ht="13">
      <c r="J2139" s="205"/>
      <c r="K2139" s="205"/>
    </row>
    <row r="2140" spans="10:11" ht="13">
      <c r="J2140" s="205"/>
      <c r="K2140" s="205"/>
    </row>
    <row r="2141" spans="10:11" ht="13">
      <c r="J2141" s="205"/>
      <c r="K2141" s="205"/>
    </row>
    <row r="2142" spans="10:11" ht="13">
      <c r="J2142" s="205"/>
      <c r="K2142" s="205"/>
    </row>
    <row r="2143" spans="10:11" ht="13">
      <c r="J2143" s="205"/>
      <c r="K2143" s="205"/>
    </row>
    <row r="2144" spans="10:11" ht="13">
      <c r="J2144" s="205"/>
      <c r="K2144" s="205"/>
    </row>
    <row r="2145" spans="10:11" ht="13">
      <c r="J2145" s="205"/>
      <c r="K2145" s="205"/>
    </row>
    <row r="2146" spans="10:11" ht="13">
      <c r="J2146" s="205"/>
      <c r="K2146" s="205"/>
    </row>
    <row r="2147" spans="10:11" ht="13">
      <c r="J2147" s="205"/>
      <c r="K2147" s="205"/>
    </row>
    <row r="2148" spans="10:11" ht="13">
      <c r="J2148" s="205"/>
      <c r="K2148" s="205"/>
    </row>
    <row r="2149" spans="10:11" ht="13">
      <c r="J2149" s="205"/>
      <c r="K2149" s="205"/>
    </row>
    <row r="2150" spans="10:11" ht="13">
      <c r="J2150" s="205"/>
      <c r="K2150" s="205"/>
    </row>
    <row r="2151" spans="10:11" ht="13">
      <c r="J2151" s="205"/>
      <c r="K2151" s="205"/>
    </row>
    <row r="2152" spans="10:11" ht="13">
      <c r="J2152" s="205"/>
      <c r="K2152" s="205"/>
    </row>
    <row r="2153" spans="10:11" ht="13">
      <c r="J2153" s="205"/>
      <c r="K2153" s="205"/>
    </row>
    <row r="2154" spans="10:11" ht="13">
      <c r="J2154" s="205"/>
      <c r="K2154" s="205"/>
    </row>
    <row r="2155" spans="10:11" ht="13">
      <c r="J2155" s="205"/>
      <c r="K2155" s="205"/>
    </row>
    <row r="2156" spans="10:11" ht="13">
      <c r="J2156" s="205"/>
      <c r="K2156" s="205"/>
    </row>
    <row r="2157" spans="10:11" ht="13">
      <c r="J2157" s="205"/>
      <c r="K2157" s="205"/>
    </row>
    <row r="2158" spans="10:11" ht="13">
      <c r="J2158" s="205"/>
      <c r="K2158" s="205"/>
    </row>
    <row r="2159" spans="10:11" ht="13">
      <c r="J2159" s="205"/>
      <c r="K2159" s="205"/>
    </row>
    <row r="2160" spans="10:11" ht="13">
      <c r="J2160" s="205"/>
      <c r="K2160" s="205"/>
    </row>
    <row r="2161" spans="10:11" ht="13">
      <c r="J2161" s="205"/>
      <c r="K2161" s="205"/>
    </row>
    <row r="2162" spans="10:11" ht="13">
      <c r="J2162" s="205"/>
      <c r="K2162" s="205"/>
    </row>
    <row r="2163" spans="10:11" ht="13">
      <c r="J2163" s="205"/>
      <c r="K2163" s="205"/>
    </row>
    <row r="2164" spans="10:11" ht="13">
      <c r="J2164" s="205"/>
      <c r="K2164" s="205"/>
    </row>
    <row r="2165" spans="10:11" ht="13">
      <c r="J2165" s="205"/>
      <c r="K2165" s="205"/>
    </row>
    <row r="2166" spans="10:11" ht="13">
      <c r="J2166" s="205"/>
      <c r="K2166" s="205"/>
    </row>
    <row r="2167" spans="10:11" ht="13">
      <c r="J2167" s="205"/>
      <c r="K2167" s="205"/>
    </row>
    <row r="2168" spans="10:11" ht="13">
      <c r="J2168" s="205"/>
      <c r="K2168" s="205"/>
    </row>
    <row r="2169" spans="10:11" ht="13">
      <c r="J2169" s="205"/>
      <c r="K2169" s="205"/>
    </row>
    <row r="2170" spans="10:11" ht="13">
      <c r="J2170" s="205"/>
      <c r="K2170" s="205"/>
    </row>
    <row r="2171" spans="10:11" ht="13">
      <c r="J2171" s="205"/>
      <c r="K2171" s="205"/>
    </row>
    <row r="2172" spans="10:11" ht="13">
      <c r="J2172" s="205"/>
      <c r="K2172" s="205"/>
    </row>
    <row r="2173" spans="10:11" ht="13">
      <c r="J2173" s="205"/>
      <c r="K2173" s="205"/>
    </row>
    <row r="2174" spans="10:11" ht="13">
      <c r="J2174" s="205"/>
      <c r="K2174" s="205"/>
    </row>
    <row r="2175" spans="10:11" ht="13">
      <c r="J2175" s="205"/>
      <c r="K2175" s="205"/>
    </row>
    <row r="2176" spans="10:11" ht="13">
      <c r="J2176" s="205"/>
      <c r="K2176" s="205"/>
    </row>
    <row r="2177" spans="10:11" ht="13">
      <c r="J2177" s="205"/>
      <c r="K2177" s="205"/>
    </row>
    <row r="2178" spans="10:11" ht="13">
      <c r="J2178" s="205"/>
      <c r="K2178" s="205"/>
    </row>
    <row r="2179" spans="10:11" ht="13">
      <c r="J2179" s="205"/>
      <c r="K2179" s="205"/>
    </row>
    <row r="2180" spans="10:11" ht="13">
      <c r="J2180" s="205"/>
      <c r="K2180" s="205"/>
    </row>
    <row r="2181" spans="10:11" ht="13">
      <c r="J2181" s="205"/>
      <c r="K2181" s="205"/>
    </row>
    <row r="2182" spans="10:11" ht="13">
      <c r="J2182" s="205"/>
      <c r="K2182" s="205"/>
    </row>
    <row r="2183" spans="10:11" ht="13">
      <c r="J2183" s="205"/>
      <c r="K2183" s="205"/>
    </row>
    <row r="2184" spans="10:11" ht="13">
      <c r="J2184" s="205"/>
      <c r="K2184" s="205"/>
    </row>
    <row r="2185" spans="10:11" ht="13">
      <c r="J2185" s="205"/>
      <c r="K2185" s="205"/>
    </row>
    <row r="2186" spans="10:11" ht="13">
      <c r="J2186" s="205"/>
      <c r="K2186" s="205"/>
    </row>
    <row r="2187" spans="10:11" ht="13">
      <c r="J2187" s="205"/>
      <c r="K2187" s="205"/>
    </row>
    <row r="2188" spans="10:11" ht="13">
      <c r="J2188" s="205"/>
      <c r="K2188" s="205"/>
    </row>
    <row r="2189" spans="10:11" ht="13">
      <c r="J2189" s="205"/>
      <c r="K2189" s="205"/>
    </row>
    <row r="2190" spans="10:11" ht="13">
      <c r="J2190" s="205"/>
      <c r="K2190" s="205"/>
    </row>
    <row r="2191" spans="10:11" ht="13">
      <c r="J2191" s="205"/>
      <c r="K2191" s="205"/>
    </row>
    <row r="2192" spans="10:11" ht="13">
      <c r="J2192" s="205"/>
      <c r="K2192" s="205"/>
    </row>
    <row r="2193" spans="10:11" ht="13">
      <c r="J2193" s="205"/>
      <c r="K2193" s="205"/>
    </row>
    <row r="2194" spans="10:11" ht="13">
      <c r="J2194" s="205"/>
      <c r="K2194" s="205"/>
    </row>
    <row r="2195" spans="10:11" ht="13">
      <c r="J2195" s="205"/>
      <c r="K2195" s="205"/>
    </row>
    <row r="2196" spans="10:11" ht="13">
      <c r="J2196" s="205"/>
      <c r="K2196" s="205"/>
    </row>
    <row r="2197" spans="10:11" ht="13">
      <c r="J2197" s="205"/>
      <c r="K2197" s="205"/>
    </row>
    <row r="2198" spans="10:11" ht="13">
      <c r="J2198" s="205"/>
      <c r="K2198" s="205"/>
    </row>
    <row r="2199" spans="10:11" ht="13">
      <c r="J2199" s="205"/>
      <c r="K2199" s="205"/>
    </row>
    <row r="2200" spans="10:11" ht="13">
      <c r="J2200" s="205"/>
      <c r="K2200" s="205"/>
    </row>
    <row r="2201" spans="10:11" ht="13">
      <c r="J2201" s="205"/>
      <c r="K2201" s="205"/>
    </row>
    <row r="2202" spans="10:11" ht="13">
      <c r="J2202" s="205"/>
      <c r="K2202" s="205"/>
    </row>
    <row r="2203" spans="10:11" ht="13">
      <c r="J2203" s="205"/>
      <c r="K2203" s="205"/>
    </row>
    <row r="2204" spans="10:11" ht="13">
      <c r="J2204" s="205"/>
      <c r="K2204" s="205"/>
    </row>
    <row r="2205" spans="10:11" ht="13">
      <c r="J2205" s="205"/>
      <c r="K2205" s="205"/>
    </row>
    <row r="2206" spans="10:11" ht="13">
      <c r="J2206" s="205"/>
      <c r="K2206" s="205"/>
    </row>
    <row r="2207" spans="10:11" ht="13">
      <c r="J2207" s="205"/>
      <c r="K2207" s="205"/>
    </row>
    <row r="2208" spans="10:11" ht="13">
      <c r="J2208" s="205"/>
      <c r="K2208" s="205"/>
    </row>
    <row r="2209" spans="10:11" ht="13">
      <c r="J2209" s="205"/>
      <c r="K2209" s="205"/>
    </row>
    <row r="2210" spans="10:11" ht="13">
      <c r="J2210" s="205"/>
      <c r="K2210" s="205"/>
    </row>
    <row r="2211" spans="10:11" ht="13">
      <c r="J2211" s="205"/>
      <c r="K2211" s="205"/>
    </row>
    <row r="2212" spans="10:11" ht="13">
      <c r="J2212" s="205"/>
      <c r="K2212" s="205"/>
    </row>
    <row r="2213" spans="10:11" ht="13">
      <c r="J2213" s="205"/>
      <c r="K2213" s="205"/>
    </row>
    <row r="2214" spans="10:11" ht="13">
      <c r="J2214" s="205"/>
      <c r="K2214" s="205"/>
    </row>
    <row r="2215" spans="10:11" ht="13">
      <c r="J2215" s="205"/>
      <c r="K2215" s="205"/>
    </row>
    <row r="2216" spans="10:11" ht="13">
      <c r="J2216" s="205"/>
      <c r="K2216" s="205"/>
    </row>
    <row r="2217" spans="10:11" ht="13">
      <c r="J2217" s="205"/>
      <c r="K2217" s="205"/>
    </row>
    <row r="2218" spans="10:11" ht="13">
      <c r="J2218" s="205"/>
      <c r="K2218" s="205"/>
    </row>
    <row r="2219" spans="10:11" ht="13">
      <c r="J2219" s="205"/>
      <c r="K2219" s="205"/>
    </row>
    <row r="2220" spans="10:11" ht="13">
      <c r="J2220" s="205"/>
      <c r="K2220" s="205"/>
    </row>
    <row r="2221" spans="10:11" ht="13">
      <c r="J2221" s="205"/>
      <c r="K2221" s="205"/>
    </row>
    <row r="2222" spans="10:11" ht="13">
      <c r="J2222" s="205"/>
      <c r="K2222" s="205"/>
    </row>
    <row r="2223" spans="10:11" ht="13">
      <c r="J2223" s="205"/>
      <c r="K2223" s="205"/>
    </row>
    <row r="2224" spans="10:11" ht="13">
      <c r="J2224" s="205"/>
      <c r="K2224" s="205"/>
    </row>
    <row r="2225" spans="10:11" ht="13">
      <c r="J2225" s="205"/>
      <c r="K2225" s="205"/>
    </row>
    <row r="2226" spans="10:11" ht="13">
      <c r="J2226" s="205"/>
      <c r="K2226" s="205"/>
    </row>
    <row r="2227" spans="10:11" ht="13">
      <c r="J2227" s="205"/>
      <c r="K2227" s="205"/>
    </row>
    <row r="2228" spans="10:11" ht="13">
      <c r="J2228" s="205"/>
      <c r="K2228" s="205"/>
    </row>
    <row r="2229" spans="10:11" ht="13">
      <c r="J2229" s="205"/>
      <c r="K2229" s="205"/>
    </row>
    <row r="2230" spans="10:11" ht="13">
      <c r="J2230" s="205"/>
      <c r="K2230" s="205"/>
    </row>
    <row r="2231" spans="10:11" ht="13">
      <c r="J2231" s="205"/>
      <c r="K2231" s="205"/>
    </row>
    <row r="2232" spans="10:11" ht="13">
      <c r="J2232" s="205"/>
      <c r="K2232" s="205"/>
    </row>
    <row r="2233" spans="10:11" ht="13">
      <c r="J2233" s="205"/>
      <c r="K2233" s="205"/>
    </row>
    <row r="2234" spans="10:11" ht="13">
      <c r="J2234" s="205"/>
      <c r="K2234" s="205"/>
    </row>
    <row r="2235" spans="10:11" ht="13">
      <c r="J2235" s="205"/>
      <c r="K2235" s="205"/>
    </row>
    <row r="2236" spans="10:11" ht="13">
      <c r="J2236" s="205"/>
      <c r="K2236" s="205"/>
    </row>
    <row r="2237" spans="10:11" ht="13">
      <c r="J2237" s="205"/>
      <c r="K2237" s="205"/>
    </row>
    <row r="2238" spans="10:11" ht="13">
      <c r="J2238" s="205"/>
      <c r="K2238" s="205"/>
    </row>
    <row r="2239" spans="10:11" ht="13">
      <c r="J2239" s="205"/>
      <c r="K2239" s="205"/>
    </row>
    <row r="2240" spans="10:11" ht="13">
      <c r="J2240" s="205"/>
      <c r="K2240" s="205"/>
    </row>
    <row r="2241" spans="10:11" ht="13">
      <c r="J2241" s="205"/>
      <c r="K2241" s="205"/>
    </row>
    <row r="2242" spans="10:11" ht="13">
      <c r="J2242" s="205"/>
      <c r="K2242" s="205"/>
    </row>
    <row r="2243" spans="10:11" ht="13">
      <c r="J2243" s="205"/>
      <c r="K2243" s="205"/>
    </row>
    <row r="2244" spans="10:11" ht="13">
      <c r="J2244" s="205"/>
      <c r="K2244" s="205"/>
    </row>
    <row r="2245" spans="10:11" ht="13">
      <c r="J2245" s="205"/>
      <c r="K2245" s="205"/>
    </row>
    <row r="2246" spans="10:11" ht="13">
      <c r="J2246" s="205"/>
      <c r="K2246" s="205"/>
    </row>
    <row r="2247" spans="10:11" ht="13">
      <c r="J2247" s="205"/>
      <c r="K2247" s="205"/>
    </row>
    <row r="2248" spans="10:11" ht="13">
      <c r="J2248" s="205"/>
      <c r="K2248" s="205"/>
    </row>
    <row r="2249" spans="10:11" ht="13">
      <c r="J2249" s="205"/>
      <c r="K2249" s="205"/>
    </row>
    <row r="2250" spans="10:11" ht="13">
      <c r="J2250" s="205"/>
      <c r="K2250" s="205"/>
    </row>
    <row r="2251" spans="10:11" ht="13">
      <c r="J2251" s="205"/>
      <c r="K2251" s="205"/>
    </row>
    <row r="2252" spans="10:11" ht="13">
      <c r="J2252" s="205"/>
      <c r="K2252" s="205"/>
    </row>
    <row r="2253" spans="10:11" ht="13">
      <c r="J2253" s="205"/>
      <c r="K2253" s="205"/>
    </row>
    <row r="2254" spans="10:11" ht="13">
      <c r="J2254" s="205"/>
      <c r="K2254" s="205"/>
    </row>
    <row r="2255" spans="10:11" ht="13">
      <c r="J2255" s="205"/>
      <c r="K2255" s="205"/>
    </row>
    <row r="2256" spans="10:11" ht="13">
      <c r="J2256" s="205"/>
      <c r="K2256" s="205"/>
    </row>
    <row r="2257" spans="10:11" ht="13">
      <c r="J2257" s="205"/>
      <c r="K2257" s="205"/>
    </row>
    <row r="2258" spans="10:11" ht="13">
      <c r="J2258" s="205"/>
      <c r="K2258" s="205"/>
    </row>
    <row r="2259" spans="10:11" ht="13">
      <c r="J2259" s="205"/>
      <c r="K2259" s="205"/>
    </row>
    <row r="2260" spans="10:11" ht="13">
      <c r="J2260" s="205"/>
      <c r="K2260" s="205"/>
    </row>
    <row r="2261" spans="10:11" ht="13">
      <c r="J2261" s="205"/>
      <c r="K2261" s="205"/>
    </row>
    <row r="2262" spans="10:11" ht="13">
      <c r="J2262" s="205"/>
      <c r="K2262" s="205"/>
    </row>
    <row r="2263" spans="10:11" ht="13">
      <c r="J2263" s="205"/>
      <c r="K2263" s="205"/>
    </row>
    <row r="2264" spans="10:11" ht="13">
      <c r="J2264" s="205"/>
      <c r="K2264" s="205"/>
    </row>
    <row r="2265" spans="10:11" ht="13">
      <c r="J2265" s="205"/>
      <c r="K2265" s="205"/>
    </row>
    <row r="2266" spans="10:11" ht="13">
      <c r="J2266" s="205"/>
      <c r="K2266" s="205"/>
    </row>
    <row r="2267" spans="10:11" ht="13">
      <c r="J2267" s="205"/>
      <c r="K2267" s="205"/>
    </row>
    <row r="2268" spans="10:11" ht="13">
      <c r="J2268" s="205"/>
      <c r="K2268" s="205"/>
    </row>
    <row r="2269" spans="10:11" ht="13">
      <c r="J2269" s="205"/>
      <c r="K2269" s="205"/>
    </row>
    <row r="2270" spans="10:11" ht="13">
      <c r="J2270" s="205"/>
      <c r="K2270" s="205"/>
    </row>
    <row r="2271" spans="10:11" ht="13">
      <c r="J2271" s="205"/>
      <c r="K2271" s="205"/>
    </row>
    <row r="2272" spans="10:11" ht="13">
      <c r="J2272" s="205"/>
      <c r="K2272" s="205"/>
    </row>
    <row r="2273" spans="10:11" ht="13">
      <c r="J2273" s="205"/>
      <c r="K2273" s="205"/>
    </row>
    <row r="2274" spans="10:11" ht="13">
      <c r="J2274" s="205"/>
      <c r="K2274" s="205"/>
    </row>
    <row r="2275" spans="10:11" ht="13">
      <c r="J2275" s="205"/>
      <c r="K2275" s="205"/>
    </row>
    <row r="2276" spans="10:11" ht="13">
      <c r="J2276" s="205"/>
      <c r="K2276" s="205"/>
    </row>
    <row r="2277" spans="10:11" ht="13">
      <c r="J2277" s="205"/>
      <c r="K2277" s="205"/>
    </row>
    <row r="2278" spans="10:11" ht="13">
      <c r="J2278" s="205"/>
      <c r="K2278" s="205"/>
    </row>
    <row r="2279" spans="10:11" ht="13">
      <c r="J2279" s="205"/>
      <c r="K2279" s="205"/>
    </row>
    <row r="2280" spans="10:11" ht="13">
      <c r="J2280" s="205"/>
      <c r="K2280" s="205"/>
    </row>
    <row r="2281" spans="10:11" ht="13">
      <c r="J2281" s="205"/>
      <c r="K2281" s="205"/>
    </row>
    <row r="2282" spans="10:11" ht="13">
      <c r="J2282" s="205"/>
      <c r="K2282" s="205"/>
    </row>
    <row r="2283" spans="10:11" ht="13">
      <c r="J2283" s="205"/>
      <c r="K2283" s="205"/>
    </row>
    <row r="2284" spans="10:11" ht="13">
      <c r="J2284" s="205"/>
      <c r="K2284" s="205"/>
    </row>
    <row r="2285" spans="10:11" ht="13">
      <c r="J2285" s="205"/>
      <c r="K2285" s="205"/>
    </row>
    <row r="2286" spans="10:11" ht="13">
      <c r="J2286" s="205"/>
      <c r="K2286" s="205"/>
    </row>
    <row r="2287" spans="10:11" ht="13">
      <c r="J2287" s="205"/>
      <c r="K2287" s="205"/>
    </row>
    <row r="2288" spans="10:11" ht="13">
      <c r="J2288" s="205"/>
      <c r="K2288" s="205"/>
    </row>
    <row r="2289" spans="10:11" ht="13">
      <c r="J2289" s="205"/>
      <c r="K2289" s="205"/>
    </row>
    <row r="2290" spans="10:11" ht="13">
      <c r="J2290" s="205"/>
      <c r="K2290" s="205"/>
    </row>
    <row r="2291" spans="10:11" ht="13">
      <c r="J2291" s="205"/>
      <c r="K2291" s="205"/>
    </row>
    <row r="2292" spans="10:11" ht="13">
      <c r="J2292" s="205"/>
      <c r="K2292" s="205"/>
    </row>
    <row r="2293" spans="10:11" ht="13">
      <c r="J2293" s="205"/>
      <c r="K2293" s="205"/>
    </row>
    <row r="2294" spans="10:11" ht="13">
      <c r="J2294" s="205"/>
      <c r="K2294" s="205"/>
    </row>
    <row r="2295" spans="10:11" ht="13">
      <c r="J2295" s="205"/>
      <c r="K2295" s="205"/>
    </row>
    <row r="2296" spans="10:11" ht="13">
      <c r="J2296" s="205"/>
      <c r="K2296" s="205"/>
    </row>
    <row r="2297" spans="10:11" ht="13">
      <c r="J2297" s="205"/>
      <c r="K2297" s="205"/>
    </row>
    <row r="2298" spans="10:11" ht="13">
      <c r="J2298" s="205"/>
      <c r="K2298" s="205"/>
    </row>
    <row r="2299" spans="10:11" ht="13">
      <c r="J2299" s="205"/>
      <c r="K2299" s="205"/>
    </row>
    <row r="2300" spans="10:11" ht="13">
      <c r="J2300" s="205"/>
      <c r="K2300" s="205"/>
    </row>
    <row r="2301" spans="10:11" ht="13">
      <c r="J2301" s="205"/>
      <c r="K2301" s="205"/>
    </row>
    <row r="2302" spans="10:11" ht="13">
      <c r="J2302" s="205"/>
      <c r="K2302" s="205"/>
    </row>
    <row r="2303" spans="10:11" ht="13">
      <c r="J2303" s="205"/>
      <c r="K2303" s="205"/>
    </row>
    <row r="2304" spans="10:11" ht="13">
      <c r="J2304" s="205"/>
      <c r="K2304" s="205"/>
    </row>
    <row r="2305" spans="10:11" ht="13">
      <c r="J2305" s="205"/>
      <c r="K2305" s="205"/>
    </row>
    <row r="2306" spans="10:11" ht="13">
      <c r="J2306" s="205"/>
      <c r="K2306" s="205"/>
    </row>
    <row r="2307" spans="10:11" ht="13">
      <c r="J2307" s="205"/>
      <c r="K2307" s="205"/>
    </row>
    <row r="2308" spans="10:11" ht="13">
      <c r="J2308" s="205"/>
      <c r="K2308" s="205"/>
    </row>
    <row r="2309" spans="10:11" ht="13">
      <c r="J2309" s="205"/>
      <c r="K2309" s="205"/>
    </row>
    <row r="2310" spans="10:11" ht="13">
      <c r="J2310" s="205"/>
      <c r="K2310" s="205"/>
    </row>
    <row r="2311" spans="10:11" ht="13">
      <c r="J2311" s="205"/>
      <c r="K2311" s="205"/>
    </row>
    <row r="2312" spans="10:11" ht="13">
      <c r="J2312" s="205"/>
      <c r="K2312" s="205"/>
    </row>
    <row r="2313" spans="10:11" ht="13">
      <c r="J2313" s="205"/>
      <c r="K2313" s="205"/>
    </row>
    <row r="2314" spans="10:11" ht="13">
      <c r="J2314" s="205"/>
      <c r="K2314" s="205"/>
    </row>
    <row r="2315" spans="10:11" ht="13">
      <c r="J2315" s="205"/>
      <c r="K2315" s="205"/>
    </row>
    <row r="2316" spans="10:11" ht="13">
      <c r="J2316" s="205"/>
      <c r="K2316" s="205"/>
    </row>
    <row r="2317" spans="10:11" ht="13">
      <c r="J2317" s="205"/>
      <c r="K2317" s="205"/>
    </row>
    <row r="2318" spans="10:11" ht="13">
      <c r="J2318" s="205"/>
      <c r="K2318" s="205"/>
    </row>
    <row r="2319" spans="10:11" ht="13">
      <c r="J2319" s="205"/>
      <c r="K2319" s="205"/>
    </row>
    <row r="2320" spans="10:11" ht="13">
      <c r="J2320" s="205"/>
      <c r="K2320" s="205"/>
    </row>
    <row r="2321" spans="10:11" ht="13">
      <c r="J2321" s="205"/>
      <c r="K2321" s="205"/>
    </row>
    <row r="2322" spans="10:11" ht="13">
      <c r="J2322" s="205"/>
      <c r="K2322" s="205"/>
    </row>
    <row r="2323" spans="10:11" ht="13">
      <c r="J2323" s="205"/>
      <c r="K2323" s="205"/>
    </row>
    <row r="2324" spans="10:11" ht="13">
      <c r="J2324" s="205"/>
      <c r="K2324" s="205"/>
    </row>
    <row r="2325" spans="10:11" ht="13">
      <c r="J2325" s="205"/>
      <c r="K2325" s="205"/>
    </row>
    <row r="2326" spans="10:11" ht="13">
      <c r="J2326" s="205"/>
      <c r="K2326" s="205"/>
    </row>
    <row r="2327" spans="10:11" ht="13">
      <c r="J2327" s="205"/>
      <c r="K2327" s="205"/>
    </row>
    <row r="2328" spans="10:11" ht="13">
      <c r="J2328" s="205"/>
      <c r="K2328" s="205"/>
    </row>
    <row r="2329" spans="10:11" ht="13">
      <c r="J2329" s="205"/>
      <c r="K2329" s="205"/>
    </row>
    <row r="2330" spans="10:11" ht="13">
      <c r="J2330" s="205"/>
      <c r="K2330" s="205"/>
    </row>
    <row r="2331" spans="10:11" ht="13">
      <c r="J2331" s="205"/>
      <c r="K2331" s="205"/>
    </row>
    <row r="2332" spans="10:11" ht="13">
      <c r="J2332" s="205"/>
      <c r="K2332" s="205"/>
    </row>
    <row r="2333" spans="10:11" ht="13">
      <c r="J2333" s="205"/>
      <c r="K2333" s="205"/>
    </row>
    <row r="2334" spans="10:11" ht="13">
      <c r="J2334" s="205"/>
      <c r="K2334" s="205"/>
    </row>
    <row r="2335" spans="10:11" ht="13">
      <c r="J2335" s="205"/>
      <c r="K2335" s="205"/>
    </row>
    <row r="2336" spans="10:11" ht="13">
      <c r="J2336" s="205"/>
      <c r="K2336" s="205"/>
    </row>
    <row r="2337" spans="10:11" ht="13">
      <c r="J2337" s="205"/>
      <c r="K2337" s="205"/>
    </row>
    <row r="2338" spans="10:11" ht="13">
      <c r="J2338" s="205"/>
      <c r="K2338" s="205"/>
    </row>
    <row r="2339" spans="10:11" ht="13">
      <c r="J2339" s="205"/>
      <c r="K2339" s="205"/>
    </row>
    <row r="2340" spans="10:11" ht="13">
      <c r="J2340" s="205"/>
      <c r="K2340" s="205"/>
    </row>
    <row r="2341" spans="10:11" ht="13">
      <c r="J2341" s="205"/>
      <c r="K2341" s="205"/>
    </row>
    <row r="2342" spans="10:11" ht="13">
      <c r="J2342" s="205"/>
      <c r="K2342" s="205"/>
    </row>
    <row r="2343" spans="10:11" ht="13">
      <c r="J2343" s="205"/>
      <c r="K2343" s="205"/>
    </row>
    <row r="2344" spans="10:11" ht="13">
      <c r="J2344" s="205"/>
      <c r="K2344" s="205"/>
    </row>
    <row r="2345" spans="10:11" ht="13">
      <c r="J2345" s="205"/>
      <c r="K2345" s="205"/>
    </row>
    <row r="2346" spans="10:11" ht="13">
      <c r="J2346" s="205"/>
      <c r="K2346" s="205"/>
    </row>
    <row r="2347" spans="10:11" ht="13">
      <c r="J2347" s="205"/>
      <c r="K2347" s="205"/>
    </row>
    <row r="2348" spans="10:11" ht="13">
      <c r="J2348" s="205"/>
      <c r="K2348" s="205"/>
    </row>
    <row r="2349" spans="10:11" ht="13">
      <c r="J2349" s="205"/>
      <c r="K2349" s="205"/>
    </row>
    <row r="2350" spans="10:11" ht="13">
      <c r="J2350" s="205"/>
      <c r="K2350" s="205"/>
    </row>
    <row r="2351" spans="10:11" ht="13">
      <c r="J2351" s="205"/>
      <c r="K2351" s="205"/>
    </row>
    <row r="2352" spans="10:11" ht="13">
      <c r="J2352" s="205"/>
      <c r="K2352" s="205"/>
    </row>
    <row r="2353" spans="10:11" ht="13">
      <c r="J2353" s="205"/>
      <c r="K2353" s="205"/>
    </row>
    <row r="2354" spans="10:11" ht="13">
      <c r="J2354" s="205"/>
      <c r="K2354" s="205"/>
    </row>
    <row r="2355" spans="10:11" ht="13">
      <c r="J2355" s="205"/>
      <c r="K2355" s="205"/>
    </row>
    <row r="2356" spans="10:11" ht="13">
      <c r="J2356" s="205"/>
      <c r="K2356" s="205"/>
    </row>
    <row r="2357" spans="10:11" ht="13">
      <c r="J2357" s="205"/>
      <c r="K2357" s="205"/>
    </row>
    <row r="2358" spans="10:11" ht="13">
      <c r="J2358" s="205"/>
      <c r="K2358" s="205"/>
    </row>
    <row r="2359" spans="10:11" ht="13">
      <c r="J2359" s="205"/>
      <c r="K2359" s="205"/>
    </row>
    <row r="2360" spans="10:11" ht="13">
      <c r="J2360" s="205"/>
      <c r="K2360" s="205"/>
    </row>
    <row r="2361" spans="10:11" ht="13">
      <c r="J2361" s="205"/>
      <c r="K2361" s="205"/>
    </row>
    <row r="2362" spans="10:11" ht="13">
      <c r="J2362" s="205"/>
      <c r="K2362" s="205"/>
    </row>
    <row r="2363" spans="10:11" ht="13">
      <c r="J2363" s="205"/>
      <c r="K2363" s="205"/>
    </row>
    <row r="2364" spans="10:11" ht="13">
      <c r="J2364" s="205"/>
      <c r="K2364" s="205"/>
    </row>
    <row r="2365" spans="10:11" ht="13">
      <c r="J2365" s="205"/>
      <c r="K2365" s="205"/>
    </row>
    <row r="2366" spans="10:11" ht="13">
      <c r="J2366" s="205"/>
      <c r="K2366" s="205"/>
    </row>
    <row r="2367" spans="10:11" ht="13">
      <c r="J2367" s="205"/>
      <c r="K2367" s="205"/>
    </row>
    <row r="2368" spans="10:11" ht="13">
      <c r="J2368" s="205"/>
      <c r="K2368" s="205"/>
    </row>
    <row r="2369" spans="10:11" ht="13">
      <c r="J2369" s="205"/>
      <c r="K2369" s="205"/>
    </row>
    <row r="2370" spans="10:11" ht="13">
      <c r="J2370" s="205"/>
      <c r="K2370" s="205"/>
    </row>
    <row r="2371" spans="10:11" ht="13">
      <c r="J2371" s="205"/>
      <c r="K2371" s="205"/>
    </row>
    <row r="2372" spans="10:11" ht="13">
      <c r="J2372" s="205"/>
      <c r="K2372" s="205"/>
    </row>
    <row r="2373" spans="10:11" ht="13">
      <c r="J2373" s="205"/>
      <c r="K2373" s="205"/>
    </row>
    <row r="2374" spans="10:11" ht="13">
      <c r="J2374" s="205"/>
      <c r="K2374" s="205"/>
    </row>
    <row r="2375" spans="10:11" ht="13">
      <c r="J2375" s="205"/>
      <c r="K2375" s="205"/>
    </row>
    <row r="2376" spans="10:11" ht="13">
      <c r="J2376" s="205"/>
      <c r="K2376" s="205"/>
    </row>
    <row r="2377" spans="10:11" ht="13">
      <c r="J2377" s="205"/>
      <c r="K2377" s="205"/>
    </row>
    <row r="2378" spans="10:11" ht="13">
      <c r="J2378" s="205"/>
      <c r="K2378" s="205"/>
    </row>
    <row r="2379" spans="10:11" ht="13">
      <c r="J2379" s="205"/>
      <c r="K2379" s="205"/>
    </row>
    <row r="2380" spans="10:11" ht="13">
      <c r="J2380" s="205"/>
      <c r="K2380" s="205"/>
    </row>
    <row r="2381" spans="10:11" ht="13">
      <c r="J2381" s="205"/>
      <c r="K2381" s="205"/>
    </row>
    <row r="2382" spans="10:11" ht="13">
      <c r="J2382" s="205"/>
      <c r="K2382" s="205"/>
    </row>
    <row r="2383" spans="10:11" ht="13">
      <c r="J2383" s="205"/>
      <c r="K2383" s="205"/>
    </row>
    <row r="2384" spans="10:11" ht="13">
      <c r="J2384" s="205"/>
      <c r="K2384" s="205"/>
    </row>
    <row r="2385" spans="10:11" ht="13">
      <c r="J2385" s="205"/>
      <c r="K2385" s="205"/>
    </row>
    <row r="2386" spans="10:11" ht="13">
      <c r="J2386" s="205"/>
      <c r="K2386" s="205"/>
    </row>
    <row r="2387" spans="10:11" ht="13">
      <c r="J2387" s="205"/>
      <c r="K2387" s="205"/>
    </row>
    <row r="2388" spans="10:11" ht="13">
      <c r="J2388" s="205"/>
      <c r="K2388" s="205"/>
    </row>
    <row r="2389" spans="10:11" ht="13">
      <c r="J2389" s="205"/>
      <c r="K2389" s="205"/>
    </row>
    <row r="2390" spans="10:11" ht="13">
      <c r="J2390" s="205"/>
      <c r="K2390" s="205"/>
    </row>
    <row r="2391" spans="10:11" ht="13">
      <c r="J2391" s="205"/>
      <c r="K2391" s="205"/>
    </row>
    <row r="2392" spans="10:11" ht="13">
      <c r="J2392" s="205"/>
      <c r="K2392" s="205"/>
    </row>
    <row r="2393" spans="10:11" ht="13">
      <c r="J2393" s="205"/>
      <c r="K2393" s="205"/>
    </row>
    <row r="2394" spans="10:11" ht="13">
      <c r="J2394" s="205"/>
      <c r="K2394" s="205"/>
    </row>
    <row r="2395" spans="10:11" ht="13">
      <c r="J2395" s="205"/>
      <c r="K2395" s="205"/>
    </row>
    <row r="2396" spans="10:11" ht="13">
      <c r="J2396" s="205"/>
      <c r="K2396" s="205"/>
    </row>
    <row r="2397" spans="10:11" ht="13">
      <c r="J2397" s="205"/>
      <c r="K2397" s="205"/>
    </row>
    <row r="2398" spans="10:11" ht="13">
      <c r="J2398" s="205"/>
      <c r="K2398" s="205"/>
    </row>
    <row r="2399" spans="10:11" ht="13">
      <c r="J2399" s="205"/>
      <c r="K2399" s="205"/>
    </row>
    <row r="2400" spans="10:11" ht="13">
      <c r="J2400" s="205"/>
      <c r="K2400" s="205"/>
    </row>
    <row r="2401" spans="10:11" ht="13">
      <c r="J2401" s="205"/>
      <c r="K2401" s="205"/>
    </row>
    <row r="2402" spans="10:11" ht="13">
      <c r="J2402" s="205"/>
      <c r="K2402" s="205"/>
    </row>
    <row r="2403" spans="10:11" ht="13">
      <c r="J2403" s="205"/>
      <c r="K2403" s="205"/>
    </row>
    <row r="2404" spans="10:11" ht="13">
      <c r="J2404" s="205"/>
      <c r="K2404" s="205"/>
    </row>
    <row r="2405" spans="10:11" ht="13">
      <c r="J2405" s="205"/>
      <c r="K2405" s="205"/>
    </row>
    <row r="2406" spans="10:11" ht="13">
      <c r="J2406" s="205"/>
      <c r="K2406" s="205"/>
    </row>
    <row r="2407" spans="10:11" ht="13">
      <c r="J2407" s="205"/>
      <c r="K2407" s="205"/>
    </row>
    <row r="2408" spans="10:11" ht="13">
      <c r="J2408" s="205"/>
      <c r="K2408" s="205"/>
    </row>
    <row r="2409" spans="10:11" ht="13">
      <c r="J2409" s="205"/>
      <c r="K2409" s="205"/>
    </row>
    <row r="2410" spans="10:11" ht="13">
      <c r="J2410" s="205"/>
      <c r="K2410" s="205"/>
    </row>
    <row r="2411" spans="10:11" ht="13">
      <c r="J2411" s="205"/>
      <c r="K2411" s="205"/>
    </row>
    <row r="2412" spans="10:11" ht="13">
      <c r="J2412" s="205"/>
      <c r="K2412" s="205"/>
    </row>
    <row r="2413" spans="10:11" ht="13">
      <c r="J2413" s="205"/>
      <c r="K2413" s="205"/>
    </row>
    <row r="2414" spans="10:11" ht="13">
      <c r="J2414" s="205"/>
      <c r="K2414" s="205"/>
    </row>
    <row r="2415" spans="10:11" ht="13">
      <c r="J2415" s="205"/>
      <c r="K2415" s="205"/>
    </row>
    <row r="2416" spans="10:11" ht="13">
      <c r="J2416" s="205"/>
      <c r="K2416" s="205"/>
    </row>
    <row r="2417" spans="10:11" ht="13">
      <c r="J2417" s="205"/>
      <c r="K2417" s="205"/>
    </row>
    <row r="2418" spans="10:11" ht="13">
      <c r="J2418" s="205"/>
      <c r="K2418" s="205"/>
    </row>
    <row r="2419" spans="10:11" ht="13">
      <c r="J2419" s="205"/>
      <c r="K2419" s="205"/>
    </row>
    <row r="2420" spans="10:11" ht="13">
      <c r="J2420" s="205"/>
      <c r="K2420" s="205"/>
    </row>
    <row r="2421" spans="10:11" ht="13">
      <c r="J2421" s="205"/>
      <c r="K2421" s="205"/>
    </row>
    <row r="2422" spans="10:11" ht="13">
      <c r="J2422" s="205"/>
      <c r="K2422" s="205"/>
    </row>
    <row r="2423" spans="10:11" ht="13">
      <c r="J2423" s="205"/>
      <c r="K2423" s="205"/>
    </row>
    <row r="2424" spans="10:11" ht="13">
      <c r="J2424" s="205"/>
      <c r="K2424" s="205"/>
    </row>
    <row r="2425" spans="10:11" ht="13">
      <c r="J2425" s="205"/>
      <c r="K2425" s="205"/>
    </row>
    <row r="2426" spans="10:11" ht="13">
      <c r="J2426" s="205"/>
      <c r="K2426" s="205"/>
    </row>
    <row r="2427" spans="10:11" ht="13">
      <c r="J2427" s="205"/>
      <c r="K2427" s="205"/>
    </row>
    <row r="2428" spans="10:11" ht="13">
      <c r="J2428" s="205"/>
      <c r="K2428" s="205"/>
    </row>
    <row r="2429" spans="10:11" ht="13">
      <c r="J2429" s="205"/>
      <c r="K2429" s="205"/>
    </row>
    <row r="2430" spans="10:11" ht="13">
      <c r="J2430" s="205"/>
      <c r="K2430" s="205"/>
    </row>
    <row r="2431" spans="10:11" ht="13">
      <c r="J2431" s="205"/>
      <c r="K2431" s="205"/>
    </row>
    <row r="2432" spans="10:11" ht="13">
      <c r="J2432" s="205"/>
      <c r="K2432" s="205"/>
    </row>
    <row r="2433" spans="10:11" ht="13">
      <c r="J2433" s="205"/>
      <c r="K2433" s="205"/>
    </row>
    <row r="2434" spans="10:11" ht="13">
      <c r="J2434" s="205"/>
      <c r="K2434" s="205"/>
    </row>
    <row r="2435" spans="10:11" ht="13">
      <c r="J2435" s="205"/>
      <c r="K2435" s="205"/>
    </row>
    <row r="2436" spans="10:11" ht="13">
      <c r="J2436" s="205"/>
      <c r="K2436" s="205"/>
    </row>
    <row r="2437" spans="10:11" ht="13">
      <c r="J2437" s="205"/>
      <c r="K2437" s="205"/>
    </row>
    <row r="2438" spans="10:11" ht="13">
      <c r="J2438" s="205"/>
      <c r="K2438" s="205"/>
    </row>
    <row r="2439" spans="10:11" ht="13">
      <c r="J2439" s="205"/>
      <c r="K2439" s="205"/>
    </row>
    <row r="2440" spans="10:11" ht="13">
      <c r="J2440" s="205"/>
      <c r="K2440" s="205"/>
    </row>
    <row r="2441" spans="10:11" ht="13">
      <c r="J2441" s="205"/>
      <c r="K2441" s="205"/>
    </row>
    <row r="2442" spans="10:11" ht="13">
      <c r="J2442" s="205"/>
      <c r="K2442" s="205"/>
    </row>
    <row r="2443" spans="10:11" ht="13">
      <c r="J2443" s="205"/>
      <c r="K2443" s="205"/>
    </row>
    <row r="2444" spans="10:11" ht="13">
      <c r="J2444" s="205"/>
      <c r="K2444" s="205"/>
    </row>
    <row r="2445" spans="10:11" ht="13">
      <c r="J2445" s="205"/>
      <c r="K2445" s="205"/>
    </row>
    <row r="2446" spans="10:11" ht="13">
      <c r="J2446" s="205"/>
      <c r="K2446" s="205"/>
    </row>
    <row r="2447" spans="10:11" ht="13">
      <c r="J2447" s="205"/>
      <c r="K2447" s="205"/>
    </row>
    <row r="2448" spans="10:11" ht="13">
      <c r="J2448" s="205"/>
      <c r="K2448" s="205"/>
    </row>
    <row r="2449" spans="10:11" ht="13">
      <c r="J2449" s="205"/>
      <c r="K2449" s="205"/>
    </row>
    <row r="2450" spans="10:11" ht="13">
      <c r="J2450" s="205"/>
      <c r="K2450" s="205"/>
    </row>
    <row r="2451" spans="10:11" ht="13">
      <c r="J2451" s="205"/>
      <c r="K2451" s="205"/>
    </row>
    <row r="2452" spans="10:11" ht="13">
      <c r="J2452" s="205"/>
      <c r="K2452" s="205"/>
    </row>
    <row r="2453" spans="10:11" ht="13">
      <c r="J2453" s="205"/>
      <c r="K2453" s="205"/>
    </row>
    <row r="2454" spans="10:11" ht="13">
      <c r="J2454" s="205"/>
      <c r="K2454" s="205"/>
    </row>
    <row r="2455" spans="10:11" ht="13">
      <c r="J2455" s="205"/>
      <c r="K2455" s="205"/>
    </row>
    <row r="2456" spans="10:11" ht="13">
      <c r="J2456" s="205"/>
      <c r="K2456" s="205"/>
    </row>
    <row r="2457" spans="10:11" ht="13">
      <c r="J2457" s="205"/>
      <c r="K2457" s="205"/>
    </row>
    <row r="2458" spans="10:11" ht="13">
      <c r="J2458" s="205"/>
      <c r="K2458" s="205"/>
    </row>
    <row r="2459" spans="10:11" ht="13">
      <c r="J2459" s="205"/>
      <c r="K2459" s="205"/>
    </row>
    <row r="2460" spans="10:11" ht="13">
      <c r="J2460" s="205"/>
      <c r="K2460" s="205"/>
    </row>
    <row r="2461" spans="10:11" ht="13">
      <c r="J2461" s="205"/>
      <c r="K2461" s="205"/>
    </row>
    <row r="2462" spans="10:11" ht="13">
      <c r="J2462" s="205"/>
      <c r="K2462" s="205"/>
    </row>
    <row r="2463" spans="10:11" ht="13">
      <c r="J2463" s="205"/>
      <c r="K2463" s="205"/>
    </row>
    <row r="2464" spans="10:11" ht="13">
      <c r="J2464" s="205"/>
      <c r="K2464" s="205"/>
    </row>
    <row r="2465" spans="10:11" ht="13">
      <c r="J2465" s="205"/>
      <c r="K2465" s="205"/>
    </row>
    <row r="2466" spans="10:11" ht="13">
      <c r="J2466" s="205"/>
      <c r="K2466" s="205"/>
    </row>
    <row r="2467" spans="10:11" ht="13">
      <c r="J2467" s="205"/>
      <c r="K2467" s="205"/>
    </row>
    <row r="2468" spans="10:11" ht="13">
      <c r="J2468" s="205"/>
      <c r="K2468" s="205"/>
    </row>
    <row r="2469" spans="10:11" ht="13">
      <c r="J2469" s="205"/>
      <c r="K2469" s="205"/>
    </row>
    <row r="2470" spans="10:11" ht="13">
      <c r="J2470" s="205"/>
      <c r="K2470" s="205"/>
    </row>
    <row r="2471" spans="10:11" ht="13">
      <c r="J2471" s="205"/>
      <c r="K2471" s="205"/>
    </row>
    <row r="2472" spans="10:11" ht="13">
      <c r="J2472" s="205"/>
      <c r="K2472" s="205"/>
    </row>
    <row r="2473" spans="10:11" ht="13">
      <c r="J2473" s="205"/>
      <c r="K2473" s="205"/>
    </row>
    <row r="2474" spans="10:11" ht="13">
      <c r="J2474" s="205"/>
      <c r="K2474" s="205"/>
    </row>
    <row r="2475" spans="10:11" ht="13">
      <c r="J2475" s="205"/>
      <c r="K2475" s="205"/>
    </row>
    <row r="2476" spans="10:11" ht="13">
      <c r="J2476" s="205"/>
      <c r="K2476" s="205"/>
    </row>
    <row r="2477" spans="10:11" ht="13">
      <c r="J2477" s="205"/>
      <c r="K2477" s="205"/>
    </row>
    <row r="2478" spans="10:11" ht="13">
      <c r="J2478" s="205"/>
      <c r="K2478" s="205"/>
    </row>
    <row r="2479" spans="10:11" ht="13">
      <c r="J2479" s="205"/>
      <c r="K2479" s="205"/>
    </row>
    <row r="2480" spans="10:11" ht="13">
      <c r="J2480" s="205"/>
      <c r="K2480" s="205"/>
    </row>
    <row r="2481" spans="10:11" ht="13">
      <c r="J2481" s="205"/>
      <c r="K2481" s="205"/>
    </row>
    <row r="2482" spans="10:11" ht="13">
      <c r="J2482" s="205"/>
      <c r="K2482" s="205"/>
    </row>
    <row r="2483" spans="10:11" ht="13">
      <c r="J2483" s="205"/>
      <c r="K2483" s="205"/>
    </row>
    <row r="2484" spans="10:11" ht="13">
      <c r="J2484" s="205"/>
      <c r="K2484" s="205"/>
    </row>
    <row r="2485" spans="10:11" ht="13">
      <c r="J2485" s="205"/>
      <c r="K2485" s="205"/>
    </row>
    <row r="2486" spans="10:11" ht="13">
      <c r="J2486" s="205"/>
      <c r="K2486" s="205"/>
    </row>
    <row r="2487" spans="10:11" ht="13">
      <c r="J2487" s="205"/>
      <c r="K2487" s="205"/>
    </row>
    <row r="2488" spans="10:11" ht="13">
      <c r="J2488" s="205"/>
      <c r="K2488" s="205"/>
    </row>
    <row r="2489" spans="10:11" ht="13">
      <c r="J2489" s="205"/>
      <c r="K2489" s="205"/>
    </row>
    <row r="2490" spans="10:11" ht="13">
      <c r="J2490" s="205"/>
      <c r="K2490" s="205"/>
    </row>
    <row r="2491" spans="10:11" ht="13">
      <c r="J2491" s="205"/>
      <c r="K2491" s="205"/>
    </row>
    <row r="2492" spans="10:11" ht="13">
      <c r="J2492" s="205"/>
      <c r="K2492" s="205"/>
    </row>
    <row r="2493" spans="10:11" ht="13">
      <c r="J2493" s="205"/>
      <c r="K2493" s="205"/>
    </row>
    <row r="2494" spans="10:11" ht="13">
      <c r="J2494" s="205"/>
      <c r="K2494" s="205"/>
    </row>
    <row r="2495" spans="10:11" ht="13">
      <c r="J2495" s="205"/>
      <c r="K2495" s="205"/>
    </row>
    <row r="2496" spans="10:11" ht="13">
      <c r="J2496" s="205"/>
      <c r="K2496" s="205"/>
    </row>
    <row r="2497" spans="10:11" ht="13">
      <c r="J2497" s="205"/>
      <c r="K2497" s="205"/>
    </row>
    <row r="2498" spans="10:11" ht="13">
      <c r="J2498" s="205"/>
      <c r="K2498" s="205"/>
    </row>
    <row r="2499" spans="10:11" ht="13">
      <c r="J2499" s="205"/>
      <c r="K2499" s="205"/>
    </row>
    <row r="2500" spans="10:11" ht="13">
      <c r="J2500" s="205"/>
      <c r="K2500" s="205"/>
    </row>
    <row r="2501" spans="10:11" ht="13">
      <c r="J2501" s="205"/>
      <c r="K2501" s="205"/>
    </row>
    <row r="2502" spans="10:11" ht="13">
      <c r="J2502" s="205"/>
      <c r="K2502" s="205"/>
    </row>
    <row r="2503" spans="10:11" ht="13">
      <c r="J2503" s="205"/>
      <c r="K2503" s="205"/>
    </row>
    <row r="2504" spans="10:11" ht="13">
      <c r="J2504" s="205"/>
      <c r="K2504" s="205"/>
    </row>
    <row r="2505" spans="10:11" ht="13">
      <c r="J2505" s="205"/>
      <c r="K2505" s="205"/>
    </row>
    <row r="2506" spans="10:11" ht="13">
      <c r="J2506" s="205"/>
      <c r="K2506" s="205"/>
    </row>
    <row r="2507" spans="10:11" ht="13">
      <c r="J2507" s="205"/>
      <c r="K2507" s="205"/>
    </row>
    <row r="2508" spans="10:11" ht="13">
      <c r="J2508" s="205"/>
      <c r="K2508" s="205"/>
    </row>
    <row r="2509" spans="10:11" ht="13">
      <c r="J2509" s="205"/>
      <c r="K2509" s="205"/>
    </row>
    <row r="2510" spans="10:11" ht="13">
      <c r="J2510" s="205"/>
      <c r="K2510" s="205"/>
    </row>
    <row r="2511" spans="10:11" ht="13">
      <c r="J2511" s="205"/>
      <c r="K2511" s="205"/>
    </row>
    <row r="2512" spans="10:11" ht="13">
      <c r="J2512" s="205"/>
      <c r="K2512" s="205"/>
    </row>
    <row r="2513" spans="10:11" ht="13">
      <c r="J2513" s="205"/>
      <c r="K2513" s="205"/>
    </row>
    <row r="2514" spans="10:11" ht="13">
      <c r="J2514" s="205"/>
      <c r="K2514" s="205"/>
    </row>
    <row r="2515" spans="10:11" ht="13">
      <c r="J2515" s="205"/>
      <c r="K2515" s="205"/>
    </row>
    <row r="2516" spans="10:11" ht="13">
      <c r="J2516" s="205"/>
      <c r="K2516" s="205"/>
    </row>
    <row r="2517" spans="10:11" ht="13">
      <c r="J2517" s="205"/>
      <c r="K2517" s="205"/>
    </row>
    <row r="2518" spans="10:11" ht="13">
      <c r="J2518" s="205"/>
      <c r="K2518" s="205"/>
    </row>
    <row r="2519" spans="10:11" ht="13">
      <c r="J2519" s="205"/>
      <c r="K2519" s="205"/>
    </row>
    <row r="2520" spans="10:11" ht="13">
      <c r="J2520" s="205"/>
      <c r="K2520" s="205"/>
    </row>
    <row r="2521" spans="10:11" ht="13">
      <c r="J2521" s="205"/>
      <c r="K2521" s="205"/>
    </row>
    <row r="2522" spans="10:11" ht="13">
      <c r="J2522" s="205"/>
      <c r="K2522" s="205"/>
    </row>
    <row r="2523" spans="10:11" ht="13">
      <c r="J2523" s="205"/>
      <c r="K2523" s="20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4"/>
  <sheetViews>
    <sheetView workbookViewId="0"/>
  </sheetViews>
  <sheetFormatPr baseColWidth="10" defaultColWidth="12.5" defaultRowHeight="15.75" customHeight="1"/>
  <cols>
    <col min="1" max="1" width="16.5" customWidth="1"/>
    <col min="4" max="4" width="12.1640625" customWidth="1"/>
    <col min="8" max="8" width="20" customWidth="1"/>
  </cols>
  <sheetData>
    <row r="1" spans="1:12" ht="15.75" customHeight="1">
      <c r="A1" s="206" t="s">
        <v>111</v>
      </c>
      <c r="B1" s="206" t="s">
        <v>112</v>
      </c>
      <c r="C1" s="206" t="s">
        <v>113</v>
      </c>
      <c r="D1" s="206" t="s">
        <v>114</v>
      </c>
      <c r="E1" s="206" t="s">
        <v>115</v>
      </c>
      <c r="H1" s="206" t="s">
        <v>111</v>
      </c>
      <c r="I1" s="206" t="s">
        <v>112</v>
      </c>
      <c r="J1" s="206" t="s">
        <v>113</v>
      </c>
      <c r="K1" s="206"/>
      <c r="L1" s="206"/>
    </row>
    <row r="2" spans="1:12" ht="15.75" customHeight="1">
      <c r="A2" s="207">
        <v>44055.5</v>
      </c>
      <c r="B2" s="25" t="s">
        <v>116</v>
      </c>
      <c r="C2" s="205">
        <v>1950</v>
      </c>
      <c r="D2" s="25" t="s">
        <v>14</v>
      </c>
      <c r="E2" s="25">
        <v>5735.2941179999998</v>
      </c>
      <c r="H2" s="208">
        <v>44193.505254629628</v>
      </c>
      <c r="I2" s="25" t="s">
        <v>117</v>
      </c>
      <c r="J2" s="25">
        <v>700.29560000000004</v>
      </c>
      <c r="K2" s="25" t="s">
        <v>118</v>
      </c>
    </row>
    <row r="3" spans="1:12" ht="15.75" customHeight="1">
      <c r="H3" s="208">
        <v>44555.13082175926</v>
      </c>
      <c r="I3" s="25" t="s">
        <v>117</v>
      </c>
      <c r="J3" s="25">
        <v>751.94167000000004</v>
      </c>
    </row>
    <row r="4" spans="1:12" ht="15.75" customHeight="1">
      <c r="H4" s="208">
        <v>44785.424351851849</v>
      </c>
      <c r="I4" s="25" t="s">
        <v>117</v>
      </c>
      <c r="J4" s="25">
        <v>367.32227999999998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2"/>
  <sheetViews>
    <sheetView workbookViewId="0"/>
  </sheetViews>
  <sheetFormatPr baseColWidth="10" defaultColWidth="12.5" defaultRowHeight="15.75" customHeight="1"/>
  <cols>
    <col min="1" max="1" width="16.5" customWidth="1"/>
    <col min="4" max="4" width="12.1640625" customWidth="1"/>
  </cols>
  <sheetData>
    <row r="1" spans="1:5" ht="15.75" customHeight="1">
      <c r="A1" s="206" t="s">
        <v>111</v>
      </c>
      <c r="B1" s="206" t="s">
        <v>112</v>
      </c>
      <c r="C1" s="206" t="s">
        <v>113</v>
      </c>
      <c r="D1" s="206" t="s">
        <v>114</v>
      </c>
      <c r="E1" s="206" t="s">
        <v>115</v>
      </c>
    </row>
    <row r="2" spans="1:5" ht="15.75" customHeight="1">
      <c r="A2" s="207">
        <v>44062.5</v>
      </c>
      <c r="B2" s="25" t="s">
        <v>49</v>
      </c>
      <c r="C2" s="205">
        <v>20</v>
      </c>
      <c r="D2" s="25" t="s">
        <v>119</v>
      </c>
      <c r="E2" s="25">
        <v>241.2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2"/>
  <sheetViews>
    <sheetView workbookViewId="0"/>
  </sheetViews>
  <sheetFormatPr baseColWidth="10" defaultColWidth="12.5" defaultRowHeight="15.75" customHeight="1"/>
  <cols>
    <col min="1" max="1" width="16.5" customWidth="1"/>
    <col min="4" max="4" width="12.1640625" customWidth="1"/>
  </cols>
  <sheetData>
    <row r="1" spans="1:5" ht="15.75" customHeight="1">
      <c r="A1" s="206" t="s">
        <v>111</v>
      </c>
      <c r="B1" s="206" t="s">
        <v>112</v>
      </c>
      <c r="C1" s="206" t="s">
        <v>113</v>
      </c>
      <c r="D1" s="206" t="s">
        <v>114</v>
      </c>
      <c r="E1" s="206" t="s">
        <v>115</v>
      </c>
    </row>
    <row r="2" spans="1:5" ht="15.75" customHeight="1">
      <c r="A2" s="207">
        <v>44161.5</v>
      </c>
      <c r="B2" s="25" t="s">
        <v>116</v>
      </c>
      <c r="C2" s="205">
        <v>400</v>
      </c>
      <c r="D2" s="25" t="s">
        <v>22</v>
      </c>
      <c r="E2" s="25">
        <v>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U8"/>
  <sheetViews>
    <sheetView workbookViewId="0"/>
  </sheetViews>
  <sheetFormatPr baseColWidth="10" defaultColWidth="12.5" defaultRowHeight="15.75" customHeight="1"/>
  <cols>
    <col min="1" max="1" width="16.5" customWidth="1"/>
    <col min="4" max="4" width="12.1640625" customWidth="1"/>
    <col min="5" max="5" width="20.6640625" customWidth="1"/>
    <col min="6" max="6" width="20" customWidth="1"/>
    <col min="15" max="15" width="16.83203125" customWidth="1"/>
  </cols>
  <sheetData>
    <row r="1" spans="1:21" ht="15.75" customHeight="1">
      <c r="A1" s="206" t="s">
        <v>120</v>
      </c>
      <c r="B1" s="206" t="s">
        <v>121</v>
      </c>
      <c r="C1" s="206" t="s">
        <v>122</v>
      </c>
      <c r="D1" s="206" t="s">
        <v>123</v>
      </c>
      <c r="E1" s="206" t="s">
        <v>124</v>
      </c>
      <c r="F1" s="206" t="s">
        <v>125</v>
      </c>
      <c r="G1" s="206" t="s">
        <v>126</v>
      </c>
      <c r="H1" s="206" t="s">
        <v>127</v>
      </c>
      <c r="I1" s="206" t="s">
        <v>128</v>
      </c>
      <c r="J1" s="206" t="s">
        <v>129</v>
      </c>
      <c r="K1" s="206" t="s">
        <v>130</v>
      </c>
      <c r="L1" s="206" t="s">
        <v>131</v>
      </c>
      <c r="O1" s="206" t="s">
        <v>111</v>
      </c>
      <c r="P1" s="206" t="s">
        <v>112</v>
      </c>
      <c r="Q1" s="206" t="s">
        <v>113</v>
      </c>
      <c r="R1" s="206"/>
    </row>
    <row r="2" spans="1:21" ht="15.75" customHeight="1">
      <c r="A2" s="207">
        <v>44106.5</v>
      </c>
      <c r="B2" s="25" t="s">
        <v>132</v>
      </c>
      <c r="C2" s="25" t="s">
        <v>1</v>
      </c>
      <c r="D2" s="25">
        <v>26</v>
      </c>
      <c r="O2" s="209" t="s">
        <v>133</v>
      </c>
      <c r="P2" s="25" t="s">
        <v>117</v>
      </c>
      <c r="Q2" s="25">
        <v>24.378275875251301</v>
      </c>
      <c r="R2" s="25">
        <v>257.17</v>
      </c>
      <c r="S2" s="25">
        <v>1.3681760000000001</v>
      </c>
      <c r="T2" s="25">
        <f>R2/S2</f>
        <v>187.96558337523828</v>
      </c>
      <c r="U2" s="25">
        <f>T2*Q2</f>
        <v>4582.2768465741083</v>
      </c>
    </row>
    <row r="3" spans="1:21" ht="15.75" customHeight="1">
      <c r="A3" s="207">
        <v>44483.5</v>
      </c>
      <c r="B3" s="25" t="s">
        <v>132</v>
      </c>
      <c r="C3" s="25" t="s">
        <v>1</v>
      </c>
      <c r="D3" s="205">
        <v>133.62021999999999</v>
      </c>
      <c r="O3" s="209" t="s">
        <v>134</v>
      </c>
      <c r="P3" s="25" t="s">
        <v>117</v>
      </c>
      <c r="Q3" s="25">
        <v>30.747735783093901</v>
      </c>
      <c r="R3" s="25">
        <v>141.47999999999999</v>
      </c>
    </row>
    <row r="4" spans="1:21" ht="15.75" customHeight="1">
      <c r="A4" s="207">
        <v>44197.5</v>
      </c>
      <c r="B4" s="25" t="s">
        <v>132</v>
      </c>
      <c r="C4" s="25" t="s">
        <v>1</v>
      </c>
      <c r="D4" s="205">
        <v>38.001959999999997</v>
      </c>
      <c r="O4" s="208"/>
    </row>
    <row r="5" spans="1:21" ht="15.75" customHeight="1">
      <c r="A5" s="207">
        <v>44228.5</v>
      </c>
      <c r="B5" s="25" t="s">
        <v>132</v>
      </c>
      <c r="C5" s="25" t="s">
        <v>1</v>
      </c>
      <c r="D5" s="205">
        <v>14.770215</v>
      </c>
      <c r="K5" s="210" t="s">
        <v>135</v>
      </c>
      <c r="L5" s="211">
        <v>30.74774</v>
      </c>
      <c r="M5" s="210"/>
    </row>
    <row r="6" spans="1:21" ht="15">
      <c r="K6" s="210" t="s">
        <v>136</v>
      </c>
      <c r="L6" s="212">
        <v>547</v>
      </c>
      <c r="M6" s="210" t="s">
        <v>137</v>
      </c>
    </row>
    <row r="7" spans="1:21" ht="15">
      <c r="K7" s="210" t="s">
        <v>138</v>
      </c>
      <c r="L7" s="212">
        <v>5.6211999999999998E-2</v>
      </c>
      <c r="M7" s="210"/>
    </row>
    <row r="8" spans="1:21" ht="15">
      <c r="K8" s="210" t="s">
        <v>139</v>
      </c>
      <c r="L8" s="212">
        <v>0</v>
      </c>
      <c r="M8" s="2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L238"/>
  <sheetViews>
    <sheetView workbookViewId="0"/>
  </sheetViews>
  <sheetFormatPr baseColWidth="10" defaultColWidth="12.5" defaultRowHeight="15.75" customHeight="1"/>
  <cols>
    <col min="1" max="1" width="16.5" customWidth="1"/>
    <col min="4" max="4" width="12.1640625" customWidth="1"/>
    <col min="5" max="5" width="20.6640625" customWidth="1"/>
    <col min="6" max="6" width="20" customWidth="1"/>
  </cols>
  <sheetData>
    <row r="1" spans="1:12" ht="15.75" customHeight="1">
      <c r="A1" s="206" t="s">
        <v>120</v>
      </c>
      <c r="B1" s="206" t="s">
        <v>121</v>
      </c>
      <c r="C1" s="206" t="s">
        <v>122</v>
      </c>
      <c r="D1" s="206" t="s">
        <v>123</v>
      </c>
      <c r="E1" s="206" t="s">
        <v>124</v>
      </c>
      <c r="F1" s="206" t="s">
        <v>125</v>
      </c>
      <c r="G1" s="206" t="s">
        <v>126</v>
      </c>
      <c r="H1" s="206" t="s">
        <v>127</v>
      </c>
      <c r="I1" s="206" t="s">
        <v>128</v>
      </c>
      <c r="J1" s="206" t="s">
        <v>129</v>
      </c>
      <c r="K1" s="206" t="s">
        <v>130</v>
      </c>
      <c r="L1" s="206" t="s">
        <v>131</v>
      </c>
    </row>
    <row r="2" spans="1:12" ht="15">
      <c r="A2" s="213">
        <v>44082.535416666666</v>
      </c>
      <c r="B2" s="210" t="s">
        <v>140</v>
      </c>
      <c r="C2" s="210" t="s">
        <v>119</v>
      </c>
      <c r="D2" s="212">
        <v>450</v>
      </c>
    </row>
    <row r="3" spans="1:12" ht="15">
      <c r="A3" s="213">
        <v>44082.657638888886</v>
      </c>
      <c r="B3" s="210" t="s">
        <v>141</v>
      </c>
      <c r="C3" s="210" t="s">
        <v>15</v>
      </c>
      <c r="D3" s="214">
        <v>-5.0340000000000003E-5</v>
      </c>
    </row>
    <row r="4" spans="1:12" ht="15">
      <c r="A4" s="213">
        <v>44082.657638888886</v>
      </c>
      <c r="B4" s="210" t="s">
        <v>142</v>
      </c>
      <c r="C4" s="210" t="s">
        <v>15</v>
      </c>
      <c r="D4" s="214">
        <v>5.0334999999999998E-2</v>
      </c>
    </row>
    <row r="5" spans="1:12" ht="15">
      <c r="A5" s="213">
        <v>44082.657638888886</v>
      </c>
      <c r="B5" s="210" t="s">
        <v>143</v>
      </c>
      <c r="C5" s="210" t="s">
        <v>119</v>
      </c>
      <c r="D5" s="214">
        <v>-449.99288660000002</v>
      </c>
    </row>
    <row r="6" spans="1:12" ht="15">
      <c r="A6" s="213">
        <v>44082.883333333331</v>
      </c>
      <c r="B6" s="210" t="s">
        <v>143</v>
      </c>
      <c r="C6" s="210" t="s">
        <v>15</v>
      </c>
      <c r="D6" s="212">
        <v>-2.5784999999999999E-2</v>
      </c>
    </row>
    <row r="7" spans="1:12" ht="15">
      <c r="A7" s="213">
        <v>44082.883333333331</v>
      </c>
      <c r="B7" s="210" t="s">
        <v>142</v>
      </c>
      <c r="C7" s="210" t="s">
        <v>53</v>
      </c>
      <c r="D7" s="212">
        <v>13500</v>
      </c>
    </row>
    <row r="8" spans="1:12" ht="15">
      <c r="A8" s="213">
        <v>44082.883333333331</v>
      </c>
      <c r="B8" s="210" t="s">
        <v>141</v>
      </c>
      <c r="C8" s="210" t="s">
        <v>53</v>
      </c>
      <c r="D8" s="212">
        <v>-13.5</v>
      </c>
    </row>
    <row r="9" spans="1:12" ht="15">
      <c r="A9" s="213">
        <v>44082.884722222225</v>
      </c>
      <c r="B9" s="210" t="s">
        <v>142</v>
      </c>
      <c r="C9" s="210" t="s">
        <v>89</v>
      </c>
      <c r="D9" s="212">
        <v>12500</v>
      </c>
    </row>
    <row r="10" spans="1:12" ht="15">
      <c r="A10" s="213">
        <v>44082.884722222225</v>
      </c>
      <c r="B10" s="210" t="s">
        <v>143</v>
      </c>
      <c r="C10" s="210" t="s">
        <v>15</v>
      </c>
      <c r="D10" s="212">
        <v>-2.4375000000000001E-2</v>
      </c>
    </row>
    <row r="11" spans="1:12" ht="15">
      <c r="A11" s="213">
        <v>44082.884722222225</v>
      </c>
      <c r="B11" s="210" t="s">
        <v>141</v>
      </c>
      <c r="C11" s="210" t="s">
        <v>89</v>
      </c>
      <c r="D11" s="212">
        <v>-12.5</v>
      </c>
    </row>
    <row r="12" spans="1:12" ht="15">
      <c r="A12" s="212" t="s">
        <v>144</v>
      </c>
      <c r="B12" s="210" t="s">
        <v>140</v>
      </c>
      <c r="C12" s="210" t="s">
        <v>48</v>
      </c>
      <c r="D12" s="212">
        <v>295.14069999999998</v>
      </c>
    </row>
    <row r="13" spans="1:12" ht="15">
      <c r="A13" s="212" t="s">
        <v>145</v>
      </c>
      <c r="B13" s="210" t="s">
        <v>143</v>
      </c>
      <c r="C13" s="210" t="s">
        <v>48</v>
      </c>
      <c r="D13" s="212">
        <v>-295.13960700000001</v>
      </c>
    </row>
    <row r="14" spans="1:12" ht="15">
      <c r="A14" s="212" t="s">
        <v>145</v>
      </c>
      <c r="B14" s="210" t="s">
        <v>142</v>
      </c>
      <c r="C14" s="210" t="s">
        <v>89</v>
      </c>
      <c r="D14" s="212">
        <v>15293</v>
      </c>
    </row>
    <row r="15" spans="1:12" ht="15">
      <c r="A15" s="212" t="s">
        <v>145</v>
      </c>
      <c r="B15" s="210" t="s">
        <v>141</v>
      </c>
      <c r="C15" s="210" t="s">
        <v>89</v>
      </c>
      <c r="D15" s="212">
        <v>-15.292999999999999</v>
      </c>
    </row>
    <row r="16" spans="1:12" ht="15">
      <c r="A16" s="212" t="s">
        <v>146</v>
      </c>
      <c r="B16" s="210" t="s">
        <v>147</v>
      </c>
      <c r="C16" s="210" t="s">
        <v>89</v>
      </c>
      <c r="D16" s="212">
        <v>-27765.206999999999</v>
      </c>
    </row>
    <row r="17" spans="1:4" ht="15">
      <c r="A17" s="213">
        <v>43839.313888888886</v>
      </c>
      <c r="B17" s="210" t="s">
        <v>148</v>
      </c>
      <c r="C17" s="210" t="s">
        <v>1</v>
      </c>
      <c r="D17" s="212">
        <v>27.765207</v>
      </c>
    </row>
    <row r="18" spans="1:4" ht="15">
      <c r="A18" s="213">
        <v>43870.574305555558</v>
      </c>
      <c r="B18" s="210" t="s">
        <v>140</v>
      </c>
      <c r="C18" s="210" t="s">
        <v>33</v>
      </c>
      <c r="D18" s="212">
        <v>517.24300000000005</v>
      </c>
    </row>
    <row r="19" spans="1:4" ht="15">
      <c r="A19" s="213">
        <v>43930.713194444441</v>
      </c>
      <c r="B19" s="210" t="s">
        <v>148</v>
      </c>
      <c r="C19" s="210" t="s">
        <v>149</v>
      </c>
      <c r="D19" s="212">
        <v>128.90396699999999</v>
      </c>
    </row>
    <row r="20" spans="1:4" ht="15">
      <c r="A20" s="213">
        <v>43991.372916666667</v>
      </c>
      <c r="B20" s="210" t="s">
        <v>140</v>
      </c>
      <c r="C20" s="210" t="s">
        <v>15</v>
      </c>
      <c r="D20" s="212">
        <v>3.3399999999999999E-2</v>
      </c>
    </row>
    <row r="21" spans="1:4" ht="15">
      <c r="A21" s="213">
        <v>43991.541666666664</v>
      </c>
      <c r="B21" s="210" t="s">
        <v>141</v>
      </c>
      <c r="C21" s="210" t="s">
        <v>33</v>
      </c>
      <c r="D21" s="212">
        <v>-4.6000000000000001E-4</v>
      </c>
    </row>
    <row r="22" spans="1:4" ht="15">
      <c r="A22" s="213">
        <v>43991.541666666664</v>
      </c>
      <c r="B22" s="210" t="s">
        <v>142</v>
      </c>
      <c r="C22" s="210" t="s">
        <v>33</v>
      </c>
      <c r="D22" s="212">
        <v>12.96</v>
      </c>
    </row>
    <row r="23" spans="1:4" ht="15">
      <c r="A23" s="213">
        <v>43991.541666666664</v>
      </c>
      <c r="B23" s="210" t="s">
        <v>143</v>
      </c>
      <c r="C23" s="210" t="s">
        <v>15</v>
      </c>
      <c r="D23" s="212">
        <v>-2.9976400000000002E-3</v>
      </c>
    </row>
    <row r="24" spans="1:4" ht="15">
      <c r="A24" s="213">
        <v>43991.541666666664</v>
      </c>
      <c r="B24" s="210" t="s">
        <v>141</v>
      </c>
      <c r="C24" s="210" t="s">
        <v>33</v>
      </c>
      <c r="D24" s="212">
        <v>-1.2959999999999999E-2</v>
      </c>
    </row>
    <row r="25" spans="1:4" ht="15">
      <c r="A25" s="213">
        <v>43991.541666666664</v>
      </c>
      <c r="B25" s="210" t="s">
        <v>143</v>
      </c>
      <c r="C25" s="210" t="s">
        <v>15</v>
      </c>
      <c r="D25" s="212">
        <v>-1.0639E-4</v>
      </c>
    </row>
    <row r="26" spans="1:4" ht="15">
      <c r="A26" s="213">
        <v>43991.541666666664</v>
      </c>
      <c r="B26" s="210" t="s">
        <v>143</v>
      </c>
      <c r="C26" s="210" t="s">
        <v>15</v>
      </c>
      <c r="D26" s="212">
        <v>-3.88121E-3</v>
      </c>
    </row>
    <row r="27" spans="1:4" ht="15">
      <c r="A27" s="213">
        <v>43991.541666666664</v>
      </c>
      <c r="B27" s="210" t="s">
        <v>141</v>
      </c>
      <c r="C27" s="210" t="s">
        <v>33</v>
      </c>
      <c r="D27" s="212">
        <v>-1.6789999999999999E-2</v>
      </c>
    </row>
    <row r="28" spans="1:4" ht="15">
      <c r="A28" s="213">
        <v>43991.541666666664</v>
      </c>
      <c r="B28" s="210" t="s">
        <v>143</v>
      </c>
      <c r="C28" s="210" t="s">
        <v>15</v>
      </c>
      <c r="D28" s="212">
        <v>-3.8835200000000001E-3</v>
      </c>
    </row>
    <row r="29" spans="1:4" ht="15">
      <c r="A29" s="213">
        <v>43991.541666666664</v>
      </c>
      <c r="B29" s="210" t="s">
        <v>142</v>
      </c>
      <c r="C29" s="210" t="s">
        <v>33</v>
      </c>
      <c r="D29" s="212">
        <v>0.46</v>
      </c>
    </row>
    <row r="30" spans="1:4" ht="15">
      <c r="A30" s="213">
        <v>43991.541666666664</v>
      </c>
      <c r="B30" s="210" t="s">
        <v>142</v>
      </c>
      <c r="C30" s="210" t="s">
        <v>33</v>
      </c>
      <c r="D30" s="212">
        <v>16.79</v>
      </c>
    </row>
    <row r="31" spans="1:4" ht="15">
      <c r="A31" s="213">
        <v>43991.541666666664</v>
      </c>
      <c r="B31" s="210" t="s">
        <v>141</v>
      </c>
      <c r="C31" s="210" t="s">
        <v>33</v>
      </c>
      <c r="D31" s="212">
        <v>-1.678E-2</v>
      </c>
    </row>
    <row r="32" spans="1:4" ht="15">
      <c r="A32" s="213">
        <v>43991.541666666664</v>
      </c>
      <c r="B32" s="210" t="s">
        <v>142</v>
      </c>
      <c r="C32" s="210" t="s">
        <v>33</v>
      </c>
      <c r="D32" s="212">
        <v>16.78</v>
      </c>
    </row>
    <row r="33" spans="1:4" ht="15">
      <c r="A33" s="213">
        <v>43991.541666666664</v>
      </c>
      <c r="B33" s="210" t="s">
        <v>142</v>
      </c>
      <c r="C33" s="210" t="s">
        <v>33</v>
      </c>
      <c r="D33" s="212">
        <v>25.48</v>
      </c>
    </row>
    <row r="34" spans="1:4" ht="15">
      <c r="A34" s="213">
        <v>43991.541666666664</v>
      </c>
      <c r="B34" s="210" t="s">
        <v>141</v>
      </c>
      <c r="C34" s="210" t="s">
        <v>33</v>
      </c>
      <c r="D34" s="212">
        <v>-2.5479999999999999E-2</v>
      </c>
    </row>
    <row r="35" spans="1:4" ht="15">
      <c r="A35" s="213">
        <v>43991.541666666664</v>
      </c>
      <c r="B35" s="210" t="s">
        <v>143</v>
      </c>
      <c r="C35" s="210" t="s">
        <v>15</v>
      </c>
      <c r="D35" s="212">
        <v>-5.8935200000000002E-3</v>
      </c>
    </row>
    <row r="36" spans="1:4" ht="15">
      <c r="A36" s="213">
        <v>43991.55</v>
      </c>
      <c r="B36" s="210" t="s">
        <v>143</v>
      </c>
      <c r="C36" s="210" t="s">
        <v>15</v>
      </c>
      <c r="D36" s="212">
        <v>-1.67619E-2</v>
      </c>
    </row>
    <row r="37" spans="1:4" ht="15">
      <c r="A37" s="213">
        <v>43991.55</v>
      </c>
      <c r="B37" s="210" t="s">
        <v>142</v>
      </c>
      <c r="C37" s="210" t="s">
        <v>1</v>
      </c>
      <c r="D37" s="212">
        <v>12.334</v>
      </c>
    </row>
    <row r="38" spans="1:4" ht="15">
      <c r="A38" s="213">
        <v>43991.55</v>
      </c>
      <c r="B38" s="210" t="s">
        <v>141</v>
      </c>
      <c r="C38" s="210" t="s">
        <v>1</v>
      </c>
      <c r="D38" s="212">
        <v>-1.2333999999999999E-2</v>
      </c>
    </row>
    <row r="39" spans="1:4" ht="15">
      <c r="A39" s="212" t="s">
        <v>150</v>
      </c>
      <c r="B39" s="210" t="s">
        <v>140</v>
      </c>
      <c r="C39" s="210" t="s">
        <v>119</v>
      </c>
      <c r="D39" s="212">
        <v>448.05</v>
      </c>
    </row>
    <row r="40" spans="1:4" ht="15">
      <c r="A40" s="212" t="s">
        <v>151</v>
      </c>
      <c r="B40" s="210" t="s">
        <v>142</v>
      </c>
      <c r="C40" s="210" t="s">
        <v>15</v>
      </c>
      <c r="D40" s="212">
        <v>3.6972999999999999E-2</v>
      </c>
    </row>
    <row r="41" spans="1:4" ht="15">
      <c r="A41" s="212" t="s">
        <v>151</v>
      </c>
      <c r="B41" s="210" t="s">
        <v>143</v>
      </c>
      <c r="C41" s="210" t="s">
        <v>119</v>
      </c>
      <c r="D41" s="212">
        <v>-312.83631730000002</v>
      </c>
    </row>
    <row r="42" spans="1:4" ht="15">
      <c r="A42" s="212" t="s">
        <v>151</v>
      </c>
      <c r="B42" s="210" t="s">
        <v>141</v>
      </c>
      <c r="C42" s="210" t="s">
        <v>15</v>
      </c>
      <c r="D42" s="212">
        <v>-3.697E-5</v>
      </c>
    </row>
    <row r="43" spans="1:4" ht="15">
      <c r="A43" s="212" t="s">
        <v>152</v>
      </c>
      <c r="B43" s="210" t="s">
        <v>141</v>
      </c>
      <c r="C43" s="210" t="s">
        <v>15</v>
      </c>
      <c r="D43" s="212">
        <v>-1.5979999999999999E-5</v>
      </c>
    </row>
    <row r="44" spans="1:4" ht="15">
      <c r="A44" s="212" t="s">
        <v>152</v>
      </c>
      <c r="B44" s="210" t="s">
        <v>142</v>
      </c>
      <c r="C44" s="210" t="s">
        <v>15</v>
      </c>
      <c r="D44" s="212">
        <v>1.5980999999999999E-2</v>
      </c>
    </row>
    <row r="45" spans="1:4" ht="15">
      <c r="A45" s="212" t="s">
        <v>152</v>
      </c>
      <c r="B45" s="210" t="s">
        <v>143</v>
      </c>
      <c r="C45" s="210" t="s">
        <v>119</v>
      </c>
      <c r="D45" s="212">
        <v>-135.21859699999999</v>
      </c>
    </row>
    <row r="46" spans="1:4" ht="15">
      <c r="A46" s="212" t="s">
        <v>153</v>
      </c>
      <c r="B46" s="210" t="s">
        <v>142</v>
      </c>
      <c r="C46" s="210" t="s">
        <v>33</v>
      </c>
      <c r="D46" s="212">
        <v>125.85</v>
      </c>
    </row>
    <row r="47" spans="1:4" ht="15">
      <c r="A47" s="212" t="s">
        <v>153</v>
      </c>
      <c r="B47" s="210" t="s">
        <v>141</v>
      </c>
      <c r="C47" s="210" t="s">
        <v>33</v>
      </c>
      <c r="D47" s="212">
        <v>-0.12584999999999999</v>
      </c>
    </row>
    <row r="48" spans="1:4" ht="15">
      <c r="A48" s="212" t="s">
        <v>153</v>
      </c>
      <c r="B48" s="210" t="s">
        <v>143</v>
      </c>
      <c r="C48" s="210" t="s">
        <v>15</v>
      </c>
      <c r="D48" s="212">
        <v>-2.3471019999999999E-2</v>
      </c>
    </row>
    <row r="49" spans="1:4" ht="15">
      <c r="A49" s="212" t="s">
        <v>154</v>
      </c>
      <c r="B49" s="210" t="s">
        <v>142</v>
      </c>
      <c r="C49" s="210" t="s">
        <v>1</v>
      </c>
      <c r="D49" s="212">
        <v>27</v>
      </c>
    </row>
    <row r="50" spans="1:4" ht="15">
      <c r="A50" s="212" t="s">
        <v>154</v>
      </c>
      <c r="B50" s="210" t="s">
        <v>143</v>
      </c>
      <c r="C50" s="210" t="s">
        <v>15</v>
      </c>
      <c r="D50" s="212">
        <v>-2.9430000000000001E-2</v>
      </c>
    </row>
    <row r="51" spans="1:4" ht="15">
      <c r="A51" s="212" t="s">
        <v>154</v>
      </c>
      <c r="B51" s="210" t="s">
        <v>141</v>
      </c>
      <c r="C51" s="210" t="s">
        <v>1</v>
      </c>
      <c r="D51" s="212">
        <v>-2.7E-2</v>
      </c>
    </row>
    <row r="52" spans="1:4" ht="15">
      <c r="A52" s="212" t="s">
        <v>155</v>
      </c>
      <c r="B52" s="210" t="s">
        <v>156</v>
      </c>
      <c r="C52" s="210" t="s">
        <v>33</v>
      </c>
      <c r="D52" s="212">
        <v>-715.36468000000002</v>
      </c>
    </row>
    <row r="53" spans="1:4" ht="15">
      <c r="A53" s="212" t="s">
        <v>157</v>
      </c>
      <c r="B53" s="210" t="s">
        <v>140</v>
      </c>
      <c r="C53" s="210" t="s">
        <v>48</v>
      </c>
      <c r="D53" s="212">
        <v>390.69195100000002</v>
      </c>
    </row>
    <row r="54" spans="1:4" ht="15">
      <c r="A54" s="212" t="s">
        <v>158</v>
      </c>
      <c r="B54" s="210" t="s">
        <v>143</v>
      </c>
      <c r="C54" s="210" t="s">
        <v>48</v>
      </c>
      <c r="D54" s="212">
        <v>-379.40595000000002</v>
      </c>
    </row>
    <row r="55" spans="1:4" ht="15">
      <c r="A55" s="212" t="s">
        <v>158</v>
      </c>
      <c r="B55" s="210" t="s">
        <v>142</v>
      </c>
      <c r="C55" s="210" t="s">
        <v>1</v>
      </c>
      <c r="D55" s="212">
        <v>37.450000000000003</v>
      </c>
    </row>
    <row r="56" spans="1:4" ht="15">
      <c r="A56" s="212" t="s">
        <v>158</v>
      </c>
      <c r="B56" s="210" t="s">
        <v>141</v>
      </c>
      <c r="C56" s="210" t="s">
        <v>1</v>
      </c>
      <c r="D56" s="212">
        <v>-3.7449999999999997E-2</v>
      </c>
    </row>
    <row r="57" spans="1:4" ht="15">
      <c r="A57" s="212" t="s">
        <v>159</v>
      </c>
      <c r="B57" s="210" t="s">
        <v>141</v>
      </c>
      <c r="C57" s="210" t="s">
        <v>1</v>
      </c>
      <c r="D57" s="212">
        <v>-1.114E-3</v>
      </c>
    </row>
    <row r="58" spans="1:4" ht="15">
      <c r="A58" s="212" t="s">
        <v>159</v>
      </c>
      <c r="B58" s="210" t="s">
        <v>143</v>
      </c>
      <c r="C58" s="210" t="s">
        <v>48</v>
      </c>
      <c r="D58" s="212">
        <v>-11.285933999999999</v>
      </c>
    </row>
    <row r="59" spans="1:4" ht="15">
      <c r="A59" s="212" t="s">
        <v>159</v>
      </c>
      <c r="B59" s="210" t="s">
        <v>142</v>
      </c>
      <c r="C59" s="210" t="s">
        <v>1</v>
      </c>
      <c r="D59" s="212">
        <v>1.1140000000000001</v>
      </c>
    </row>
    <row r="60" spans="1:4" ht="15">
      <c r="A60" s="213">
        <v>43840.995833333334</v>
      </c>
      <c r="B60" s="210" t="s">
        <v>156</v>
      </c>
      <c r="C60" s="210" t="s">
        <v>1</v>
      </c>
      <c r="D60" s="212">
        <v>-26</v>
      </c>
    </row>
    <row r="61" spans="1:4" ht="15">
      <c r="A61" s="213">
        <v>43931.370833333334</v>
      </c>
      <c r="B61" s="210" t="s">
        <v>140</v>
      </c>
      <c r="C61" s="210" t="s">
        <v>48</v>
      </c>
      <c r="D61" s="212">
        <v>500</v>
      </c>
    </row>
    <row r="62" spans="1:4" ht="15">
      <c r="A62" s="213">
        <v>43931.382638888892</v>
      </c>
      <c r="B62" s="210" t="s">
        <v>142</v>
      </c>
      <c r="C62" s="210" t="s">
        <v>1</v>
      </c>
      <c r="D62" s="212">
        <v>23.219000000000001</v>
      </c>
    </row>
    <row r="63" spans="1:4" ht="15">
      <c r="A63" s="213">
        <v>43931.382638888892</v>
      </c>
      <c r="B63" s="210" t="s">
        <v>142</v>
      </c>
      <c r="C63" s="210" t="s">
        <v>1</v>
      </c>
      <c r="D63" s="212">
        <v>3.77</v>
      </c>
    </row>
    <row r="64" spans="1:4" ht="15">
      <c r="A64" s="213">
        <v>43931.382638888892</v>
      </c>
      <c r="B64" s="210" t="s">
        <v>141</v>
      </c>
      <c r="C64" s="210" t="s">
        <v>1</v>
      </c>
      <c r="D64" s="212">
        <v>-3.7699999999999999E-3</v>
      </c>
    </row>
    <row r="65" spans="1:4" ht="15">
      <c r="A65" s="213">
        <v>43931.382638888892</v>
      </c>
      <c r="B65" s="210" t="s">
        <v>141</v>
      </c>
      <c r="C65" s="210" t="s">
        <v>1</v>
      </c>
      <c r="D65" s="212">
        <v>-2.3219E-2</v>
      </c>
    </row>
    <row r="66" spans="1:4" ht="15">
      <c r="A66" s="213">
        <v>43931.382638888892</v>
      </c>
      <c r="B66" s="210" t="s">
        <v>143</v>
      </c>
      <c r="C66" s="210" t="s">
        <v>48</v>
      </c>
      <c r="D66" s="212">
        <v>-34.921509999999998</v>
      </c>
    </row>
    <row r="67" spans="1:4" ht="15">
      <c r="A67" s="213">
        <v>43931.382638888892</v>
      </c>
      <c r="B67" s="210" t="s">
        <v>143</v>
      </c>
      <c r="C67" s="210" t="s">
        <v>48</v>
      </c>
      <c r="D67" s="212">
        <v>-215.077597</v>
      </c>
    </row>
    <row r="68" spans="1:4" ht="15">
      <c r="A68" s="213">
        <v>43931.384722222225</v>
      </c>
      <c r="B68" s="210" t="s">
        <v>141</v>
      </c>
      <c r="C68" s="210" t="s">
        <v>1</v>
      </c>
      <c r="D68" s="212">
        <v>-1.1299999999999999E-3</v>
      </c>
    </row>
    <row r="69" spans="1:4" ht="15">
      <c r="A69" s="213">
        <v>43931.384722222225</v>
      </c>
      <c r="B69" s="210" t="s">
        <v>143</v>
      </c>
      <c r="C69" s="210" t="s">
        <v>48</v>
      </c>
      <c r="D69" s="212">
        <v>-10.4412</v>
      </c>
    </row>
    <row r="70" spans="1:4" ht="15">
      <c r="A70" s="213">
        <v>43931.384722222225</v>
      </c>
      <c r="B70" s="210" t="s">
        <v>142</v>
      </c>
      <c r="C70" s="210" t="s">
        <v>1</v>
      </c>
      <c r="D70" s="212">
        <v>1.1299999999999999</v>
      </c>
    </row>
    <row r="71" spans="1:4" ht="15">
      <c r="A71" s="213">
        <v>43931.388888888891</v>
      </c>
      <c r="B71" s="210" t="s">
        <v>142</v>
      </c>
      <c r="C71" s="210" t="s">
        <v>1</v>
      </c>
      <c r="D71" s="212">
        <v>12.398</v>
      </c>
    </row>
    <row r="72" spans="1:4" ht="15">
      <c r="A72" s="213">
        <v>43931.388888888891</v>
      </c>
      <c r="B72" s="210" t="s">
        <v>141</v>
      </c>
      <c r="C72" s="210" t="s">
        <v>1</v>
      </c>
      <c r="D72" s="212">
        <v>-1.2397999999999999E-2</v>
      </c>
    </row>
    <row r="73" spans="1:4" ht="15">
      <c r="A73" s="213">
        <v>43931.388888888891</v>
      </c>
      <c r="B73" s="210" t="s">
        <v>143</v>
      </c>
      <c r="C73" s="210" t="s">
        <v>48</v>
      </c>
      <c r="D73" s="212">
        <v>-114.55752</v>
      </c>
    </row>
    <row r="74" spans="1:4" ht="15">
      <c r="A74" s="213">
        <v>43931.390972222223</v>
      </c>
      <c r="B74" s="210" t="s">
        <v>141</v>
      </c>
      <c r="C74" s="210" t="s">
        <v>1</v>
      </c>
      <c r="D74" s="212">
        <v>-1.3572000000000001E-2</v>
      </c>
    </row>
    <row r="75" spans="1:4" ht="15">
      <c r="A75" s="213">
        <v>43931.390972222223</v>
      </c>
      <c r="B75" s="210" t="s">
        <v>142</v>
      </c>
      <c r="C75" s="210" t="s">
        <v>1</v>
      </c>
      <c r="D75" s="212">
        <v>13.571999999999999</v>
      </c>
    </row>
    <row r="76" spans="1:4" ht="15">
      <c r="A76" s="213">
        <v>43931.390972222223</v>
      </c>
      <c r="B76" s="210" t="s">
        <v>143</v>
      </c>
      <c r="C76" s="210" t="s">
        <v>48</v>
      </c>
      <c r="D76" s="212">
        <v>-124.99812</v>
      </c>
    </row>
    <row r="77" spans="1:4" ht="15">
      <c r="A77" s="213">
        <v>43931.65</v>
      </c>
      <c r="B77" s="210" t="s">
        <v>148</v>
      </c>
      <c r="C77" s="210" t="s">
        <v>149</v>
      </c>
      <c r="D77" s="212">
        <v>139.82803200000001</v>
      </c>
    </row>
    <row r="78" spans="1:4" ht="15">
      <c r="A78" s="212" t="s">
        <v>160</v>
      </c>
      <c r="B78" s="210" t="s">
        <v>156</v>
      </c>
      <c r="C78" s="210" t="s">
        <v>1</v>
      </c>
      <c r="D78" s="212">
        <v>-133.62021999999999</v>
      </c>
    </row>
    <row r="79" spans="1:4" ht="15">
      <c r="A79" s="212" t="s">
        <v>161</v>
      </c>
      <c r="B79" s="210" t="s">
        <v>148</v>
      </c>
      <c r="C79" s="210" t="s">
        <v>149</v>
      </c>
      <c r="D79" s="212">
        <v>180.611208</v>
      </c>
    </row>
    <row r="80" spans="1:4" ht="15">
      <c r="A80" s="212" t="s">
        <v>162</v>
      </c>
      <c r="B80" s="210" t="s">
        <v>148</v>
      </c>
      <c r="C80" s="210" t="s">
        <v>149</v>
      </c>
      <c r="D80" s="212">
        <v>174.78504000000001</v>
      </c>
    </row>
    <row r="81" spans="1:4" ht="15">
      <c r="A81" s="212" t="s">
        <v>163</v>
      </c>
      <c r="B81" s="210" t="s">
        <v>140</v>
      </c>
      <c r="C81" s="210" t="s">
        <v>14</v>
      </c>
      <c r="D81" s="212">
        <v>1</v>
      </c>
    </row>
    <row r="82" spans="1:4" ht="15">
      <c r="A82" s="212" t="s">
        <v>164</v>
      </c>
      <c r="B82" s="210" t="s">
        <v>140</v>
      </c>
      <c r="C82" s="210" t="s">
        <v>14</v>
      </c>
      <c r="D82" s="212">
        <v>499</v>
      </c>
    </row>
    <row r="83" spans="1:4" ht="15">
      <c r="A83" s="212" t="s">
        <v>165</v>
      </c>
      <c r="B83" s="210" t="s">
        <v>140</v>
      </c>
      <c r="C83" s="210" t="s">
        <v>119</v>
      </c>
      <c r="D83" s="212">
        <v>1500</v>
      </c>
    </row>
    <row r="84" spans="1:4" ht="15">
      <c r="A84" s="212" t="s">
        <v>166</v>
      </c>
      <c r="B84" s="210" t="s">
        <v>141</v>
      </c>
      <c r="C84" s="210" t="s">
        <v>48</v>
      </c>
      <c r="D84" s="212">
        <v>-0.25228281000000002</v>
      </c>
    </row>
    <row r="85" spans="1:4" ht="15">
      <c r="A85" s="212" t="s">
        <v>166</v>
      </c>
      <c r="B85" s="210" t="s">
        <v>141</v>
      </c>
      <c r="C85" s="210" t="s">
        <v>48</v>
      </c>
      <c r="D85" s="212">
        <v>-0.28256451999999999</v>
      </c>
    </row>
    <row r="86" spans="1:4" ht="15">
      <c r="A86" s="212" t="s">
        <v>166</v>
      </c>
      <c r="B86" s="210" t="s">
        <v>142</v>
      </c>
      <c r="C86" s="210" t="s">
        <v>48</v>
      </c>
      <c r="D86" s="212">
        <v>119.88491</v>
      </c>
    </row>
    <row r="87" spans="1:4" ht="15">
      <c r="A87" s="212" t="s">
        <v>166</v>
      </c>
      <c r="B87" s="210" t="s">
        <v>142</v>
      </c>
      <c r="C87" s="210" t="s">
        <v>48</v>
      </c>
      <c r="D87" s="212">
        <v>252.28280799999999</v>
      </c>
    </row>
    <row r="88" spans="1:4" ht="15">
      <c r="A88" s="212" t="s">
        <v>166</v>
      </c>
      <c r="B88" s="210" t="s">
        <v>143</v>
      </c>
      <c r="C88" s="210" t="s">
        <v>119</v>
      </c>
      <c r="D88" s="212">
        <v>-88.3</v>
      </c>
    </row>
    <row r="89" spans="1:4" ht="15">
      <c r="A89" s="212" t="s">
        <v>166</v>
      </c>
      <c r="B89" s="210" t="s">
        <v>142</v>
      </c>
      <c r="C89" s="210" t="s">
        <v>48</v>
      </c>
      <c r="D89" s="212">
        <v>181.224864</v>
      </c>
    </row>
    <row r="90" spans="1:4" ht="15">
      <c r="A90" s="212" t="s">
        <v>166</v>
      </c>
      <c r="B90" s="210" t="s">
        <v>141</v>
      </c>
      <c r="C90" s="210" t="s">
        <v>48</v>
      </c>
      <c r="D90" s="212">
        <v>-7.2856699999999996E-2</v>
      </c>
    </row>
    <row r="91" spans="1:4" ht="15">
      <c r="A91" s="212" t="s">
        <v>166</v>
      </c>
      <c r="B91" s="210" t="s">
        <v>143</v>
      </c>
      <c r="C91" s="210" t="s">
        <v>119</v>
      </c>
      <c r="D91" s="212">
        <v>-133.44</v>
      </c>
    </row>
    <row r="92" spans="1:4" ht="15">
      <c r="A92" s="212" t="s">
        <v>166</v>
      </c>
      <c r="B92" s="210" t="s">
        <v>143</v>
      </c>
      <c r="C92" s="210" t="s">
        <v>119</v>
      </c>
      <c r="D92" s="212">
        <v>-53.65</v>
      </c>
    </row>
    <row r="93" spans="1:4" ht="15">
      <c r="A93" s="212" t="s">
        <v>166</v>
      </c>
      <c r="B93" s="210" t="s">
        <v>143</v>
      </c>
      <c r="C93" s="210" t="s">
        <v>119</v>
      </c>
      <c r="D93" s="212">
        <v>-45.35</v>
      </c>
    </row>
    <row r="94" spans="1:4" ht="15">
      <c r="A94" s="212" t="s">
        <v>166</v>
      </c>
      <c r="B94" s="210" t="s">
        <v>143</v>
      </c>
      <c r="C94" s="210" t="s">
        <v>119</v>
      </c>
      <c r="D94" s="212">
        <v>-50.71</v>
      </c>
    </row>
    <row r="95" spans="1:4" ht="15">
      <c r="A95" s="212" t="s">
        <v>166</v>
      </c>
      <c r="B95" s="210" t="s">
        <v>141</v>
      </c>
      <c r="C95" s="210" t="s">
        <v>48</v>
      </c>
      <c r="D95" s="212">
        <v>-6.158077E-2</v>
      </c>
    </row>
    <row r="96" spans="1:4" ht="15">
      <c r="A96" s="212" t="s">
        <v>166</v>
      </c>
      <c r="B96" s="210" t="s">
        <v>142</v>
      </c>
      <c r="C96" s="210" t="s">
        <v>48</v>
      </c>
      <c r="D96" s="212">
        <v>68.843896000000001</v>
      </c>
    </row>
    <row r="97" spans="1:4" ht="15">
      <c r="A97" s="212" t="s">
        <v>166</v>
      </c>
      <c r="B97" s="210" t="s">
        <v>142</v>
      </c>
      <c r="C97" s="210" t="s">
        <v>48</v>
      </c>
      <c r="D97" s="212">
        <v>2.7151999999999999E-2</v>
      </c>
    </row>
    <row r="98" spans="1:4" ht="15">
      <c r="A98" s="212" t="s">
        <v>166</v>
      </c>
      <c r="B98" s="210" t="s">
        <v>141</v>
      </c>
      <c r="C98" s="210" t="s">
        <v>48</v>
      </c>
      <c r="D98" s="212">
        <v>-0.18122485999999999</v>
      </c>
    </row>
    <row r="99" spans="1:4" ht="15">
      <c r="A99" s="212" t="s">
        <v>166</v>
      </c>
      <c r="B99" s="210" t="s">
        <v>143</v>
      </c>
      <c r="C99" s="210" t="s">
        <v>119</v>
      </c>
      <c r="D99" s="212">
        <v>-208.12</v>
      </c>
    </row>
    <row r="100" spans="1:4" ht="15">
      <c r="A100" s="212" t="s">
        <v>166</v>
      </c>
      <c r="B100" s="210" t="s">
        <v>143</v>
      </c>
      <c r="C100" s="210" t="s">
        <v>119</v>
      </c>
      <c r="D100" s="212">
        <v>-185.83</v>
      </c>
    </row>
    <row r="101" spans="1:4" ht="15">
      <c r="A101" s="212" t="s">
        <v>166</v>
      </c>
      <c r="B101" s="210" t="s">
        <v>141</v>
      </c>
      <c r="C101" s="210" t="s">
        <v>48</v>
      </c>
      <c r="D101" s="212">
        <v>-6.88439E-2</v>
      </c>
    </row>
    <row r="102" spans="1:4" ht="15">
      <c r="A102" s="212" t="s">
        <v>166</v>
      </c>
      <c r="B102" s="210" t="s">
        <v>143</v>
      </c>
      <c r="C102" s="210" t="s">
        <v>119</v>
      </c>
      <c r="D102" s="212">
        <v>-0.02</v>
      </c>
    </row>
    <row r="103" spans="1:4" ht="15">
      <c r="A103" s="212" t="s">
        <v>166</v>
      </c>
      <c r="B103" s="210" t="s">
        <v>142</v>
      </c>
      <c r="C103" s="210" t="s">
        <v>48</v>
      </c>
      <c r="D103" s="212">
        <v>72.856700000000004</v>
      </c>
    </row>
    <row r="104" spans="1:4" ht="15">
      <c r="A104" s="212" t="s">
        <v>166</v>
      </c>
      <c r="B104" s="210" t="s">
        <v>143</v>
      </c>
      <c r="C104" s="210" t="s">
        <v>119</v>
      </c>
      <c r="D104" s="212">
        <v>-734.58</v>
      </c>
    </row>
    <row r="105" spans="1:4" ht="15">
      <c r="A105" s="212" t="s">
        <v>166</v>
      </c>
      <c r="B105" s="210" t="s">
        <v>142</v>
      </c>
      <c r="C105" s="210" t="s">
        <v>48</v>
      </c>
      <c r="D105" s="212">
        <v>997.26580799999999</v>
      </c>
    </row>
    <row r="106" spans="1:4" ht="15">
      <c r="A106" s="212" t="s">
        <v>166</v>
      </c>
      <c r="B106" s="210" t="s">
        <v>142</v>
      </c>
      <c r="C106" s="210" t="s">
        <v>48</v>
      </c>
      <c r="D106" s="212">
        <v>282.56452400000001</v>
      </c>
    </row>
    <row r="107" spans="1:4" ht="15">
      <c r="A107" s="212" t="s">
        <v>166</v>
      </c>
      <c r="B107" s="210" t="s">
        <v>142</v>
      </c>
      <c r="C107" s="210" t="s">
        <v>48</v>
      </c>
      <c r="D107" s="212">
        <v>61.580765</v>
      </c>
    </row>
    <row r="108" spans="1:4" ht="15">
      <c r="A108" s="212" t="s">
        <v>166</v>
      </c>
      <c r="B108" s="210" t="s">
        <v>141</v>
      </c>
      <c r="C108" s="210" t="s">
        <v>48</v>
      </c>
      <c r="D108" s="212">
        <v>-0.11988491</v>
      </c>
    </row>
    <row r="109" spans="1:4" ht="15">
      <c r="A109" s="212" t="s">
        <v>167</v>
      </c>
      <c r="B109" s="210" t="s">
        <v>141</v>
      </c>
      <c r="C109" s="210" t="s">
        <v>33</v>
      </c>
      <c r="D109" s="212">
        <v>-0.17668500000000001</v>
      </c>
    </row>
    <row r="110" spans="1:4" ht="15">
      <c r="A110" s="212" t="s">
        <v>167</v>
      </c>
      <c r="B110" s="210" t="s">
        <v>142</v>
      </c>
      <c r="C110" s="210" t="s">
        <v>33</v>
      </c>
      <c r="D110" s="212">
        <v>176.685</v>
      </c>
    </row>
    <row r="111" spans="1:4" ht="15">
      <c r="A111" s="212" t="s">
        <v>167</v>
      </c>
      <c r="B111" s="210" t="s">
        <v>143</v>
      </c>
      <c r="C111" s="210" t="s">
        <v>48</v>
      </c>
      <c r="D111" s="212">
        <v>-203.54112000000001</v>
      </c>
    </row>
    <row r="112" spans="1:4" ht="15">
      <c r="A112" s="212" t="s">
        <v>168</v>
      </c>
      <c r="B112" s="210" t="s">
        <v>143</v>
      </c>
      <c r="C112" s="210" t="s">
        <v>48</v>
      </c>
      <c r="D112" s="212">
        <v>-128.06783999999999</v>
      </c>
    </row>
    <row r="113" spans="1:4" ht="15">
      <c r="A113" s="212" t="s">
        <v>168</v>
      </c>
      <c r="B113" s="210" t="s">
        <v>142</v>
      </c>
      <c r="C113" s="210" t="s">
        <v>33</v>
      </c>
      <c r="D113" s="212">
        <v>2.145</v>
      </c>
    </row>
    <row r="114" spans="1:4" ht="15">
      <c r="A114" s="212" t="s">
        <v>168</v>
      </c>
      <c r="B114" s="210" t="s">
        <v>141</v>
      </c>
      <c r="C114" s="210" t="s">
        <v>33</v>
      </c>
      <c r="D114" s="212">
        <v>-0.11117</v>
      </c>
    </row>
    <row r="115" spans="1:4" ht="15">
      <c r="A115" s="212" t="s">
        <v>168</v>
      </c>
      <c r="B115" s="210" t="s">
        <v>143</v>
      </c>
      <c r="C115" s="210" t="s">
        <v>48</v>
      </c>
      <c r="D115" s="212">
        <v>-2.4710399999999999</v>
      </c>
    </row>
    <row r="116" spans="1:4" ht="15">
      <c r="A116" s="212" t="s">
        <v>168</v>
      </c>
      <c r="B116" s="210" t="s">
        <v>142</v>
      </c>
      <c r="C116" s="210" t="s">
        <v>33</v>
      </c>
      <c r="D116" s="212">
        <v>111.17</v>
      </c>
    </row>
    <row r="117" spans="1:4" ht="15">
      <c r="A117" s="212" t="s">
        <v>168</v>
      </c>
      <c r="B117" s="210" t="s">
        <v>141</v>
      </c>
      <c r="C117" s="210" t="s">
        <v>33</v>
      </c>
      <c r="D117" s="212">
        <v>-2.1450000000000002E-3</v>
      </c>
    </row>
    <row r="118" spans="1:4" ht="15">
      <c r="A118" s="213">
        <v>44197.071527777778</v>
      </c>
      <c r="B118" s="210" t="s">
        <v>143</v>
      </c>
      <c r="C118" s="210" t="s">
        <v>14</v>
      </c>
      <c r="D118" s="212">
        <v>-250</v>
      </c>
    </row>
    <row r="119" spans="1:4" ht="15">
      <c r="A119" s="213">
        <v>44197.071527777778</v>
      </c>
      <c r="B119" s="210" t="s">
        <v>141</v>
      </c>
      <c r="C119" s="210" t="s">
        <v>48</v>
      </c>
      <c r="D119" s="212">
        <v>-0.37</v>
      </c>
    </row>
    <row r="120" spans="1:4" ht="15">
      <c r="A120" s="213">
        <v>44197.071527777778</v>
      </c>
      <c r="B120" s="210" t="s">
        <v>142</v>
      </c>
      <c r="C120" s="210" t="s">
        <v>48</v>
      </c>
      <c r="D120" s="212">
        <v>370</v>
      </c>
    </row>
    <row r="121" spans="1:4" ht="15">
      <c r="A121" s="213">
        <v>44197.501388888886</v>
      </c>
      <c r="B121" s="210" t="s">
        <v>142</v>
      </c>
      <c r="C121" s="210" t="s">
        <v>1</v>
      </c>
      <c r="D121" s="212">
        <v>20</v>
      </c>
    </row>
    <row r="122" spans="1:4" ht="15">
      <c r="A122" s="213">
        <v>44197.501388888886</v>
      </c>
      <c r="B122" s="210" t="s">
        <v>141</v>
      </c>
      <c r="C122" s="210" t="s">
        <v>1</v>
      </c>
      <c r="D122" s="212">
        <v>-0.02</v>
      </c>
    </row>
    <row r="123" spans="1:4" ht="15">
      <c r="A123" s="213">
        <v>44197.501388888886</v>
      </c>
      <c r="B123" s="210" t="s">
        <v>143</v>
      </c>
      <c r="C123" s="210" t="s">
        <v>48</v>
      </c>
      <c r="D123" s="212">
        <v>-530.79999999999995</v>
      </c>
    </row>
    <row r="124" spans="1:4" ht="15">
      <c r="A124" s="213">
        <v>44197.506944444445</v>
      </c>
      <c r="B124" s="210" t="s">
        <v>142</v>
      </c>
      <c r="C124" s="210" t="s">
        <v>1</v>
      </c>
      <c r="D124" s="212">
        <v>18.04</v>
      </c>
    </row>
    <row r="125" spans="1:4" ht="15">
      <c r="A125" s="213">
        <v>44197.506944444445</v>
      </c>
      <c r="B125" s="210" t="s">
        <v>141</v>
      </c>
      <c r="C125" s="210" t="s">
        <v>1</v>
      </c>
      <c r="D125" s="212">
        <v>-1.804E-2</v>
      </c>
    </row>
    <row r="126" spans="1:4" ht="15">
      <c r="A126" s="213">
        <v>44197.506944444445</v>
      </c>
      <c r="B126" s="210" t="s">
        <v>143</v>
      </c>
      <c r="C126" s="210" t="s">
        <v>48</v>
      </c>
      <c r="D126" s="212">
        <v>-483.20139999999998</v>
      </c>
    </row>
    <row r="127" spans="1:4" ht="15">
      <c r="A127" s="213">
        <v>44197.70416666667</v>
      </c>
      <c r="B127" s="210" t="s">
        <v>156</v>
      </c>
      <c r="C127" s="210" t="s">
        <v>1</v>
      </c>
      <c r="D127" s="212">
        <v>-38.001959999999997</v>
      </c>
    </row>
    <row r="128" spans="1:4" ht="15">
      <c r="A128" s="213">
        <v>44287.427777777775</v>
      </c>
      <c r="B128" s="210" t="s">
        <v>142</v>
      </c>
      <c r="C128" s="210" t="s">
        <v>15</v>
      </c>
      <c r="D128" s="212">
        <v>1.8773999999999999E-2</v>
      </c>
    </row>
    <row r="129" spans="1:4" ht="15">
      <c r="A129" s="213">
        <v>44287.427777777775</v>
      </c>
      <c r="B129" s="210" t="s">
        <v>143</v>
      </c>
      <c r="C129" s="210" t="s">
        <v>48</v>
      </c>
      <c r="D129" s="212">
        <v>-528.52564800000005</v>
      </c>
    </row>
    <row r="130" spans="1:4" ht="15">
      <c r="A130" s="213">
        <v>44287.427777777775</v>
      </c>
      <c r="B130" s="210" t="s">
        <v>141</v>
      </c>
      <c r="C130" s="210" t="s">
        <v>15</v>
      </c>
      <c r="D130" s="212">
        <v>-1.8770000000000002E-5</v>
      </c>
    </row>
    <row r="131" spans="1:4" ht="15">
      <c r="A131" s="213">
        <v>44409.544444444444</v>
      </c>
      <c r="B131" s="210" t="s">
        <v>141</v>
      </c>
      <c r="C131" s="210" t="s">
        <v>48</v>
      </c>
      <c r="D131" s="212">
        <v>-5.5160000000000001E-2</v>
      </c>
    </row>
    <row r="132" spans="1:4" ht="15">
      <c r="A132" s="213">
        <v>44409.544444444444</v>
      </c>
      <c r="B132" s="210" t="s">
        <v>142</v>
      </c>
      <c r="C132" s="210" t="s">
        <v>48</v>
      </c>
      <c r="D132" s="212">
        <v>55.16</v>
      </c>
    </row>
    <row r="133" spans="1:4" ht="15">
      <c r="A133" s="213">
        <v>44409.544444444444</v>
      </c>
      <c r="B133" s="210" t="s">
        <v>143</v>
      </c>
      <c r="C133" s="210" t="s">
        <v>14</v>
      </c>
      <c r="D133" s="212">
        <v>-31.52</v>
      </c>
    </row>
    <row r="134" spans="1:4" ht="15">
      <c r="A134" s="213">
        <v>44409.546527777777</v>
      </c>
      <c r="B134" s="210" t="s">
        <v>142</v>
      </c>
      <c r="C134" s="210" t="s">
        <v>48</v>
      </c>
      <c r="D134" s="212">
        <v>382.34</v>
      </c>
    </row>
    <row r="135" spans="1:4" ht="15">
      <c r="A135" s="213">
        <v>44409.546527777777</v>
      </c>
      <c r="B135" s="210" t="s">
        <v>141</v>
      </c>
      <c r="C135" s="210" t="s">
        <v>48</v>
      </c>
      <c r="D135" s="212">
        <v>-0.38234000000000001</v>
      </c>
    </row>
    <row r="136" spans="1:4" ht="15">
      <c r="A136" s="213">
        <v>44409.546527777777</v>
      </c>
      <c r="B136" s="210" t="s">
        <v>143</v>
      </c>
      <c r="C136" s="210" t="s">
        <v>14</v>
      </c>
      <c r="D136" s="212">
        <v>-218.48</v>
      </c>
    </row>
    <row r="137" spans="1:4" ht="15">
      <c r="A137" s="212" t="s">
        <v>169</v>
      </c>
      <c r="B137" s="210" t="s">
        <v>147</v>
      </c>
      <c r="C137" s="210" t="s">
        <v>170</v>
      </c>
      <c r="D137" s="212">
        <v>8.2534549999999998E-2</v>
      </c>
    </row>
    <row r="138" spans="1:4" ht="15">
      <c r="A138" s="212" t="s">
        <v>171</v>
      </c>
      <c r="B138" s="210" t="s">
        <v>141</v>
      </c>
      <c r="C138" s="210" t="s">
        <v>1</v>
      </c>
      <c r="D138" s="212">
        <v>-7.0000000000000001E-3</v>
      </c>
    </row>
    <row r="139" spans="1:4" ht="15">
      <c r="A139" s="212" t="s">
        <v>171</v>
      </c>
      <c r="B139" s="210" t="s">
        <v>142</v>
      </c>
      <c r="C139" s="210" t="s">
        <v>1</v>
      </c>
      <c r="D139" s="212">
        <v>7</v>
      </c>
    </row>
    <row r="140" spans="1:4" ht="15">
      <c r="A140" s="212" t="s">
        <v>171</v>
      </c>
      <c r="B140" s="210" t="s">
        <v>143</v>
      </c>
      <c r="C140" s="210" t="s">
        <v>48</v>
      </c>
      <c r="D140" s="212">
        <v>-464.56900000000002</v>
      </c>
    </row>
    <row r="141" spans="1:4" ht="15">
      <c r="A141" s="212" t="s">
        <v>172</v>
      </c>
      <c r="B141" s="210" t="s">
        <v>141</v>
      </c>
      <c r="C141" s="210" t="s">
        <v>1</v>
      </c>
      <c r="D141" s="212">
        <v>-5.1209999999999997E-3</v>
      </c>
    </row>
    <row r="142" spans="1:4" ht="15">
      <c r="A142" s="212" t="s">
        <v>172</v>
      </c>
      <c r="B142" s="210" t="s">
        <v>143</v>
      </c>
      <c r="C142" s="210" t="s">
        <v>48</v>
      </c>
      <c r="D142" s="212">
        <v>-142.4709</v>
      </c>
    </row>
    <row r="143" spans="1:4" ht="15">
      <c r="A143" s="212" t="s">
        <v>172</v>
      </c>
      <c r="B143" s="210" t="s">
        <v>141</v>
      </c>
      <c r="C143" s="210" t="s">
        <v>1</v>
      </c>
      <c r="D143" s="212">
        <v>-2.2139999999999998E-3</v>
      </c>
    </row>
    <row r="144" spans="1:4" ht="15">
      <c r="A144" s="212" t="s">
        <v>172</v>
      </c>
      <c r="B144" s="210" t="s">
        <v>142</v>
      </c>
      <c r="C144" s="210" t="s">
        <v>1</v>
      </c>
      <c r="D144" s="212">
        <v>2.214</v>
      </c>
    </row>
    <row r="145" spans="1:4" ht="15">
      <c r="A145" s="212" t="s">
        <v>172</v>
      </c>
      <c r="B145" s="210" t="s">
        <v>143</v>
      </c>
      <c r="C145" s="210" t="s">
        <v>48</v>
      </c>
      <c r="D145" s="212">
        <v>-329.53635000000003</v>
      </c>
    </row>
    <row r="146" spans="1:4" ht="15">
      <c r="A146" s="212" t="s">
        <v>172</v>
      </c>
      <c r="B146" s="210" t="s">
        <v>142</v>
      </c>
      <c r="C146" s="210" t="s">
        <v>1</v>
      </c>
      <c r="D146" s="212">
        <v>0.45</v>
      </c>
    </row>
    <row r="147" spans="1:4" ht="15">
      <c r="A147" s="212" t="s">
        <v>172</v>
      </c>
      <c r="B147" s="210" t="s">
        <v>141</v>
      </c>
      <c r="C147" s="210" t="s">
        <v>1</v>
      </c>
      <c r="D147" s="212">
        <v>-4.4999999999999999E-4</v>
      </c>
    </row>
    <row r="148" spans="1:4" ht="15">
      <c r="A148" s="212" t="s">
        <v>172</v>
      </c>
      <c r="B148" s="210" t="s">
        <v>143</v>
      </c>
      <c r="C148" s="210" t="s">
        <v>48</v>
      </c>
      <c r="D148" s="212">
        <v>-28.9575</v>
      </c>
    </row>
    <row r="149" spans="1:4" ht="15">
      <c r="A149" s="212" t="s">
        <v>172</v>
      </c>
      <c r="B149" s="210" t="s">
        <v>142</v>
      </c>
      <c r="C149" s="210" t="s">
        <v>1</v>
      </c>
      <c r="D149" s="212">
        <v>5.1210000000000004</v>
      </c>
    </row>
    <row r="150" spans="1:4" ht="15">
      <c r="A150" s="213">
        <v>44198.01666666667</v>
      </c>
      <c r="B150" s="210" t="s">
        <v>156</v>
      </c>
      <c r="C150" s="210" t="s">
        <v>1</v>
      </c>
      <c r="D150" s="212">
        <v>-14.770215</v>
      </c>
    </row>
    <row r="151" spans="1:4" ht="15">
      <c r="A151" s="213">
        <v>44379.886111111111</v>
      </c>
      <c r="B151" s="210" t="s">
        <v>140</v>
      </c>
      <c r="C151" s="210" t="s">
        <v>119</v>
      </c>
      <c r="D151" s="212">
        <v>1000</v>
      </c>
    </row>
    <row r="152" spans="1:4" ht="15">
      <c r="A152" s="213">
        <v>44532.396527777775</v>
      </c>
      <c r="B152" s="210" t="s">
        <v>142</v>
      </c>
      <c r="C152" s="210" t="s">
        <v>48</v>
      </c>
      <c r="D152" s="212">
        <v>957.82181800000001</v>
      </c>
    </row>
    <row r="153" spans="1:4" ht="15">
      <c r="A153" s="213">
        <v>44532.396527777775</v>
      </c>
      <c r="B153" s="210" t="s">
        <v>141</v>
      </c>
      <c r="C153" s="210" t="s">
        <v>48</v>
      </c>
      <c r="D153" s="212">
        <v>-0.95782182000000005</v>
      </c>
    </row>
    <row r="154" spans="1:4" ht="15">
      <c r="A154" s="213">
        <v>44532.396527777775</v>
      </c>
      <c r="B154" s="210" t="s">
        <v>143</v>
      </c>
      <c r="C154" s="210" t="s">
        <v>119</v>
      </c>
      <c r="D154" s="212">
        <v>-697.46</v>
      </c>
    </row>
    <row r="155" spans="1:4" ht="15">
      <c r="A155" s="213">
        <v>44532.396527777775</v>
      </c>
      <c r="B155" s="210" t="s">
        <v>142</v>
      </c>
      <c r="C155" s="210" t="s">
        <v>48</v>
      </c>
      <c r="D155" s="212">
        <v>43.176552000000001</v>
      </c>
    </row>
    <row r="156" spans="1:4" ht="15">
      <c r="A156" s="213">
        <v>44532.396527777775</v>
      </c>
      <c r="B156" s="210" t="s">
        <v>143</v>
      </c>
      <c r="C156" s="210" t="s">
        <v>119</v>
      </c>
      <c r="D156" s="212">
        <v>-31.44</v>
      </c>
    </row>
    <row r="157" spans="1:4" ht="15">
      <c r="A157" s="213">
        <v>44532.397222222222</v>
      </c>
      <c r="B157" s="210" t="s">
        <v>141</v>
      </c>
      <c r="C157" s="210" t="s">
        <v>39</v>
      </c>
      <c r="D157" s="212">
        <v>-0.20499999999999999</v>
      </c>
    </row>
    <row r="158" spans="1:4" ht="15">
      <c r="A158" s="213">
        <v>44532.397222222222</v>
      </c>
      <c r="B158" s="210" t="s">
        <v>143</v>
      </c>
      <c r="C158" s="210" t="s">
        <v>48</v>
      </c>
      <c r="D158" s="212">
        <v>-500.3107</v>
      </c>
    </row>
    <row r="159" spans="1:4" ht="15">
      <c r="A159" s="213">
        <v>44532.397222222222</v>
      </c>
      <c r="B159" s="210" t="s">
        <v>142</v>
      </c>
      <c r="C159" s="210" t="s">
        <v>39</v>
      </c>
      <c r="D159" s="212">
        <v>205</v>
      </c>
    </row>
    <row r="160" spans="1:4" ht="15">
      <c r="A160" s="213">
        <v>44532.418749999997</v>
      </c>
      <c r="B160" s="210" t="s">
        <v>156</v>
      </c>
      <c r="C160" s="210" t="s">
        <v>48</v>
      </c>
      <c r="D160" s="212">
        <v>-499.77895100000001</v>
      </c>
    </row>
    <row r="161" spans="1:4" ht="15">
      <c r="A161" s="213">
        <v>44532.586111111108</v>
      </c>
      <c r="B161" s="210" t="s">
        <v>142</v>
      </c>
      <c r="C161" s="210" t="s">
        <v>48</v>
      </c>
      <c r="D161" s="212">
        <v>373.00648999999999</v>
      </c>
    </row>
    <row r="162" spans="1:4" ht="15">
      <c r="A162" s="213">
        <v>44532.586111111108</v>
      </c>
      <c r="B162" s="210" t="s">
        <v>141</v>
      </c>
      <c r="C162" s="210" t="s">
        <v>48</v>
      </c>
      <c r="D162" s="212">
        <v>-0.37300649000000002</v>
      </c>
    </row>
    <row r="163" spans="1:4" ht="15">
      <c r="A163" s="213">
        <v>44532.586111111108</v>
      </c>
      <c r="B163" s="210" t="s">
        <v>143</v>
      </c>
      <c r="C163" s="210" t="s">
        <v>119</v>
      </c>
      <c r="D163" s="212">
        <v>-271.10000000000002</v>
      </c>
    </row>
    <row r="164" spans="1:4" ht="15">
      <c r="A164" s="213">
        <v>44532.587500000001</v>
      </c>
      <c r="B164" s="210" t="s">
        <v>142</v>
      </c>
      <c r="C164" s="210" t="s">
        <v>39</v>
      </c>
      <c r="D164" s="212">
        <v>135.69999999999999</v>
      </c>
    </row>
    <row r="165" spans="1:4" ht="15">
      <c r="A165" s="213">
        <v>44532.587500000001</v>
      </c>
      <c r="B165" s="210" t="s">
        <v>143</v>
      </c>
      <c r="C165" s="210" t="s">
        <v>48</v>
      </c>
      <c r="D165" s="212">
        <v>-372.47614499999997</v>
      </c>
    </row>
    <row r="166" spans="1:4" ht="15">
      <c r="A166" s="213">
        <v>44532.587500000001</v>
      </c>
      <c r="B166" s="210" t="s">
        <v>141</v>
      </c>
      <c r="C166" s="210" t="s">
        <v>39</v>
      </c>
      <c r="D166" s="212">
        <v>-0.13569999999999999</v>
      </c>
    </row>
    <row r="167" spans="1:4" ht="15">
      <c r="A167" s="213">
        <v>44532.59375</v>
      </c>
      <c r="B167" s="210" t="s">
        <v>156</v>
      </c>
      <c r="C167" s="210" t="s">
        <v>39</v>
      </c>
      <c r="D167" s="212">
        <v>-340.35930000000002</v>
      </c>
    </row>
    <row r="168" spans="1:4" ht="15">
      <c r="A168" s="212" t="s">
        <v>173</v>
      </c>
      <c r="B168" s="210" t="s">
        <v>140</v>
      </c>
      <c r="C168" s="210" t="s">
        <v>119</v>
      </c>
      <c r="D168" s="212">
        <v>507.69</v>
      </c>
    </row>
    <row r="169" spans="1:4" ht="15">
      <c r="A169" s="212" t="s">
        <v>174</v>
      </c>
      <c r="B169" s="210" t="s">
        <v>141</v>
      </c>
      <c r="C169" s="210" t="s">
        <v>18</v>
      </c>
      <c r="D169" s="212">
        <v>-3.8026999999999999E-4</v>
      </c>
    </row>
    <row r="170" spans="1:4" ht="15">
      <c r="A170" s="212" t="s">
        <v>174</v>
      </c>
      <c r="B170" s="210" t="s">
        <v>143</v>
      </c>
      <c r="C170" s="210" t="s">
        <v>119</v>
      </c>
      <c r="D170" s="212">
        <v>-505.47009480000003</v>
      </c>
    </row>
    <row r="171" spans="1:4" ht="15">
      <c r="A171" s="212" t="s">
        <v>174</v>
      </c>
      <c r="B171" s="210" t="s">
        <v>142</v>
      </c>
      <c r="C171" s="210" t="s">
        <v>18</v>
      </c>
      <c r="D171" s="212">
        <v>0.38027</v>
      </c>
    </row>
    <row r="172" spans="1:4" ht="15">
      <c r="A172" s="212" t="s">
        <v>175</v>
      </c>
      <c r="B172" s="210" t="s">
        <v>156</v>
      </c>
      <c r="C172" s="210" t="s">
        <v>18</v>
      </c>
      <c r="D172" s="212">
        <v>-0.37988972999999998</v>
      </c>
    </row>
    <row r="173" spans="1:4" ht="15">
      <c r="A173" s="213">
        <v>44199.888888888891</v>
      </c>
      <c r="B173" s="210" t="s">
        <v>140</v>
      </c>
      <c r="C173" s="210" t="s">
        <v>119</v>
      </c>
      <c r="D173" s="212">
        <v>2000</v>
      </c>
    </row>
    <row r="174" spans="1:4" ht="15">
      <c r="A174" s="213">
        <v>44199.931250000001</v>
      </c>
      <c r="B174" s="210" t="s">
        <v>143</v>
      </c>
      <c r="C174" s="210" t="s">
        <v>119</v>
      </c>
      <c r="D174" s="212">
        <v>-2002.22</v>
      </c>
    </row>
    <row r="175" spans="1:4" ht="15">
      <c r="A175" s="213">
        <v>44199.931250000001</v>
      </c>
      <c r="B175" s="210" t="s">
        <v>142</v>
      </c>
      <c r="C175" s="210" t="s">
        <v>48</v>
      </c>
      <c r="D175" s="212">
        <v>2775.8778080000002</v>
      </c>
    </row>
    <row r="176" spans="1:4" ht="15">
      <c r="A176" s="213">
        <v>44199.931250000001</v>
      </c>
      <c r="B176" s="210" t="s">
        <v>141</v>
      </c>
      <c r="C176" s="210" t="s">
        <v>48</v>
      </c>
      <c r="D176" s="212">
        <v>-2.7758778099999999</v>
      </c>
    </row>
    <row r="177" spans="1:4" ht="15">
      <c r="A177" s="213">
        <v>44199.9375</v>
      </c>
      <c r="B177" s="210" t="s">
        <v>156</v>
      </c>
      <c r="C177" s="210" t="s">
        <v>48</v>
      </c>
      <c r="D177" s="212">
        <v>-2773.2592690000001</v>
      </c>
    </row>
    <row r="178" spans="1:4" ht="15">
      <c r="A178" s="212" t="s">
        <v>176</v>
      </c>
      <c r="B178" s="210" t="s">
        <v>177</v>
      </c>
      <c r="C178" s="210" t="s">
        <v>18</v>
      </c>
      <c r="D178" s="212">
        <v>2.0173460000000001E-2</v>
      </c>
    </row>
    <row r="179" spans="1:4" ht="15">
      <c r="A179" s="212" t="s">
        <v>176</v>
      </c>
      <c r="B179" s="210" t="s">
        <v>177</v>
      </c>
      <c r="C179" s="210" t="s">
        <v>18</v>
      </c>
      <c r="D179" s="212">
        <v>0.12157082</v>
      </c>
    </row>
    <row r="180" spans="1:4" ht="15">
      <c r="A180" s="212" t="s">
        <v>176</v>
      </c>
      <c r="B180" s="210" t="s">
        <v>177</v>
      </c>
      <c r="C180" s="210" t="s">
        <v>18</v>
      </c>
      <c r="D180" s="212">
        <v>2.0173460000000001E-2</v>
      </c>
    </row>
    <row r="181" spans="1:4" ht="15">
      <c r="A181" s="212" t="s">
        <v>176</v>
      </c>
      <c r="B181" s="210" t="s">
        <v>178</v>
      </c>
      <c r="C181" s="210" t="s">
        <v>18</v>
      </c>
      <c r="D181" s="212">
        <v>-8.9240000000000006E-5</v>
      </c>
    </row>
    <row r="182" spans="1:4" ht="15">
      <c r="A182" s="212" t="s">
        <v>176</v>
      </c>
      <c r="B182" s="210" t="s">
        <v>177</v>
      </c>
      <c r="C182" s="210" t="s">
        <v>18</v>
      </c>
      <c r="D182" s="212">
        <v>8.9237159999999996E-2</v>
      </c>
    </row>
    <row r="183" spans="1:4" ht="15">
      <c r="A183" s="212" t="s">
        <v>176</v>
      </c>
      <c r="B183" s="210" t="s">
        <v>179</v>
      </c>
      <c r="C183" s="210" t="s">
        <v>53</v>
      </c>
      <c r="D183" s="212">
        <v>-2862</v>
      </c>
    </row>
    <row r="184" spans="1:4" ht="15">
      <c r="A184" s="212" t="s">
        <v>176</v>
      </c>
      <c r="B184" s="210" t="s">
        <v>178</v>
      </c>
      <c r="C184" s="210" t="s">
        <v>18</v>
      </c>
      <c r="D184" s="212">
        <v>-1.2157E-4</v>
      </c>
    </row>
    <row r="185" spans="1:4" ht="15">
      <c r="A185" s="212" t="s">
        <v>176</v>
      </c>
      <c r="B185" s="210" t="s">
        <v>179</v>
      </c>
      <c r="C185" s="210" t="s">
        <v>53</v>
      </c>
      <c r="D185" s="212">
        <v>-5431</v>
      </c>
    </row>
    <row r="186" spans="1:4" ht="15">
      <c r="A186" s="212" t="s">
        <v>176</v>
      </c>
      <c r="B186" s="210" t="s">
        <v>178</v>
      </c>
      <c r="C186" s="210" t="s">
        <v>18</v>
      </c>
      <c r="D186" s="212">
        <v>-2.0169999999999998E-5</v>
      </c>
    </row>
    <row r="187" spans="1:4" ht="15">
      <c r="A187" s="212" t="s">
        <v>176</v>
      </c>
      <c r="B187" s="210" t="s">
        <v>178</v>
      </c>
      <c r="C187" s="210" t="s">
        <v>18</v>
      </c>
      <c r="D187" s="212">
        <v>-1.6934E-4</v>
      </c>
    </row>
    <row r="188" spans="1:4" ht="15">
      <c r="A188" s="212" t="s">
        <v>176</v>
      </c>
      <c r="B188" s="210" t="s">
        <v>179</v>
      </c>
      <c r="C188" s="210" t="s">
        <v>53</v>
      </c>
      <c r="D188" s="212">
        <v>-647</v>
      </c>
    </row>
    <row r="189" spans="1:4" ht="15">
      <c r="A189" s="212" t="s">
        <v>176</v>
      </c>
      <c r="B189" s="210" t="s">
        <v>179</v>
      </c>
      <c r="C189" s="210" t="s">
        <v>53</v>
      </c>
      <c r="D189" s="212">
        <v>-647</v>
      </c>
    </row>
    <row r="190" spans="1:4" ht="15">
      <c r="A190" s="212" t="s">
        <v>176</v>
      </c>
      <c r="B190" s="210" t="s">
        <v>177</v>
      </c>
      <c r="C190" s="210" t="s">
        <v>18</v>
      </c>
      <c r="D190" s="212">
        <v>0.16933857999999999</v>
      </c>
    </row>
    <row r="191" spans="1:4" ht="15">
      <c r="A191" s="212" t="s">
        <v>176</v>
      </c>
      <c r="B191" s="210" t="s">
        <v>179</v>
      </c>
      <c r="C191" s="210" t="s">
        <v>53</v>
      </c>
      <c r="D191" s="212">
        <v>-3899</v>
      </c>
    </row>
    <row r="192" spans="1:4" ht="15">
      <c r="A192" s="212" t="s">
        <v>176</v>
      </c>
      <c r="B192" s="210" t="s">
        <v>178</v>
      </c>
      <c r="C192" s="210" t="s">
        <v>18</v>
      </c>
      <c r="D192" s="212">
        <v>-2.0169999999999998E-5</v>
      </c>
    </row>
    <row r="193" spans="1:4" ht="15">
      <c r="A193" s="212" t="s">
        <v>180</v>
      </c>
      <c r="B193" s="210" t="s">
        <v>140</v>
      </c>
      <c r="C193" s="210" t="s">
        <v>51</v>
      </c>
      <c r="D193" s="212">
        <v>1111.8554059999999</v>
      </c>
    </row>
    <row r="194" spans="1:4" ht="15">
      <c r="A194" s="212" t="s">
        <v>181</v>
      </c>
      <c r="B194" s="210" t="s">
        <v>177</v>
      </c>
      <c r="C194" s="210" t="s">
        <v>18</v>
      </c>
      <c r="D194" s="212">
        <v>0.1144269</v>
      </c>
    </row>
    <row r="195" spans="1:4" ht="15">
      <c r="A195" s="212" t="s">
        <v>181</v>
      </c>
      <c r="B195" s="210" t="s">
        <v>178</v>
      </c>
      <c r="C195" s="210" t="s">
        <v>18</v>
      </c>
      <c r="D195" s="212">
        <v>-1.1443E-4</v>
      </c>
    </row>
    <row r="196" spans="1:4" ht="15">
      <c r="A196" s="212" t="s">
        <v>181</v>
      </c>
      <c r="B196" s="210" t="s">
        <v>179</v>
      </c>
      <c r="C196" s="210" t="s">
        <v>51</v>
      </c>
      <c r="D196" s="212">
        <v>-443</v>
      </c>
    </row>
    <row r="197" spans="1:4" ht="15">
      <c r="A197" s="212" t="s">
        <v>181</v>
      </c>
      <c r="B197" s="210" t="s">
        <v>179</v>
      </c>
      <c r="C197" s="210" t="s">
        <v>51</v>
      </c>
      <c r="D197" s="212">
        <v>-668</v>
      </c>
    </row>
    <row r="198" spans="1:4" ht="15">
      <c r="A198" s="212" t="s">
        <v>181</v>
      </c>
      <c r="B198" s="210" t="s">
        <v>177</v>
      </c>
      <c r="C198" s="210" t="s">
        <v>18</v>
      </c>
      <c r="D198" s="212">
        <v>0.17254439999999999</v>
      </c>
    </row>
    <row r="199" spans="1:4" ht="15">
      <c r="A199" s="212" t="s">
        <v>181</v>
      </c>
      <c r="B199" s="210" t="s">
        <v>178</v>
      </c>
      <c r="C199" s="210" t="s">
        <v>18</v>
      </c>
      <c r="D199" s="212">
        <v>-1.7254E-4</v>
      </c>
    </row>
    <row r="200" spans="1:4" ht="15">
      <c r="A200" s="212" t="s">
        <v>182</v>
      </c>
      <c r="B200" s="210" t="s">
        <v>156</v>
      </c>
      <c r="C200" s="210" t="s">
        <v>18</v>
      </c>
      <c r="D200" s="212">
        <v>-0.70675732000000002</v>
      </c>
    </row>
    <row r="201" spans="1:4" ht="15">
      <c r="A201" s="213">
        <v>44207.577777777777</v>
      </c>
      <c r="B201" s="210" t="s">
        <v>140</v>
      </c>
      <c r="C201" s="210" t="s">
        <v>1</v>
      </c>
      <c r="D201" s="212">
        <v>10.00005</v>
      </c>
    </row>
    <row r="202" spans="1:4" ht="15">
      <c r="A202" s="213">
        <v>44207.581944444442</v>
      </c>
      <c r="B202" s="210" t="s">
        <v>177</v>
      </c>
      <c r="C202" s="210" t="s">
        <v>48</v>
      </c>
      <c r="D202" s="212">
        <v>2763</v>
      </c>
    </row>
    <row r="203" spans="1:4" ht="15">
      <c r="A203" s="213">
        <v>44207.581944444442</v>
      </c>
      <c r="B203" s="210" t="s">
        <v>179</v>
      </c>
      <c r="C203" s="210" t="s">
        <v>1</v>
      </c>
      <c r="D203" s="212">
        <v>-10</v>
      </c>
    </row>
    <row r="204" spans="1:4" ht="15">
      <c r="A204" s="213">
        <v>44207.581944444442</v>
      </c>
      <c r="B204" s="210" t="s">
        <v>178</v>
      </c>
      <c r="C204" s="210" t="s">
        <v>48</v>
      </c>
      <c r="D204" s="212">
        <v>-2.7629999999999999</v>
      </c>
    </row>
    <row r="205" spans="1:4" ht="15">
      <c r="A205" s="213">
        <v>44207.585416666669</v>
      </c>
      <c r="B205" s="210" t="s">
        <v>183</v>
      </c>
      <c r="C205" s="210" t="s">
        <v>18</v>
      </c>
      <c r="D205" s="212">
        <v>0.63080000000000003</v>
      </c>
    </row>
    <row r="206" spans="1:4" ht="15">
      <c r="A206" s="213">
        <v>44207.585416666669</v>
      </c>
      <c r="B206" s="210" t="s">
        <v>178</v>
      </c>
      <c r="C206" s="210" t="s">
        <v>18</v>
      </c>
      <c r="D206" s="212">
        <v>-6.3080000000000005E-4</v>
      </c>
    </row>
    <row r="207" spans="1:4" ht="15">
      <c r="A207" s="213">
        <v>44207.585416666669</v>
      </c>
      <c r="B207" s="210" t="s">
        <v>184</v>
      </c>
      <c r="C207" s="210" t="s">
        <v>48</v>
      </c>
      <c r="D207" s="212">
        <v>-2749.707664</v>
      </c>
    </row>
    <row r="208" spans="1:4" ht="15">
      <c r="A208" s="213">
        <v>44207.585416666669</v>
      </c>
      <c r="B208" s="210" t="s">
        <v>183</v>
      </c>
      <c r="C208" s="210" t="s">
        <v>18</v>
      </c>
      <c r="D208" s="212">
        <v>2.3999999999999998E-3</v>
      </c>
    </row>
    <row r="209" spans="1:4" ht="15">
      <c r="A209" s="213">
        <v>44207.585416666669</v>
      </c>
      <c r="B209" s="210" t="s">
        <v>184</v>
      </c>
      <c r="C209" s="210" t="s">
        <v>48</v>
      </c>
      <c r="D209" s="212">
        <v>-10.457903999999999</v>
      </c>
    </row>
    <row r="210" spans="1:4" ht="15">
      <c r="A210" s="213">
        <v>44207.585416666669</v>
      </c>
      <c r="B210" s="210" t="s">
        <v>178</v>
      </c>
      <c r="C210" s="210" t="s">
        <v>18</v>
      </c>
      <c r="D210" s="212">
        <v>-2.3999999999999999E-6</v>
      </c>
    </row>
    <row r="211" spans="1:4" ht="15">
      <c r="A211" s="213">
        <v>44207.590277777781</v>
      </c>
      <c r="B211" s="210" t="s">
        <v>156</v>
      </c>
      <c r="C211" s="210" t="s">
        <v>18</v>
      </c>
      <c r="D211" s="212">
        <v>-0.63256679999999998</v>
      </c>
    </row>
    <row r="212" spans="1:4" ht="15">
      <c r="A212" s="212" t="s">
        <v>185</v>
      </c>
      <c r="B212" s="210" t="s">
        <v>186</v>
      </c>
      <c r="C212" s="210" t="s">
        <v>48</v>
      </c>
      <c r="D212" s="212">
        <v>0.11742877</v>
      </c>
    </row>
    <row r="213" spans="1:4" ht="15">
      <c r="A213" s="212" t="s">
        <v>185</v>
      </c>
      <c r="B213" s="210" t="s">
        <v>186</v>
      </c>
      <c r="C213" s="210" t="s">
        <v>48</v>
      </c>
      <c r="D213" s="212">
        <v>0.32822121999999998</v>
      </c>
    </row>
    <row r="214" spans="1:4" ht="15">
      <c r="A214" s="212" t="s">
        <v>187</v>
      </c>
      <c r="B214" s="210" t="s">
        <v>186</v>
      </c>
      <c r="C214" s="210" t="s">
        <v>48</v>
      </c>
      <c r="D214" s="212">
        <v>0.45</v>
      </c>
    </row>
    <row r="215" spans="1:4" ht="15">
      <c r="A215" s="212" t="s">
        <v>188</v>
      </c>
      <c r="B215" s="210" t="s">
        <v>186</v>
      </c>
      <c r="C215" s="210" t="s">
        <v>48</v>
      </c>
      <c r="D215" s="212">
        <v>0.34762500000000002</v>
      </c>
    </row>
    <row r="216" spans="1:4" ht="15">
      <c r="A216" s="212" t="s">
        <v>189</v>
      </c>
      <c r="B216" s="210" t="s">
        <v>186</v>
      </c>
      <c r="C216" s="210" t="s">
        <v>48</v>
      </c>
      <c r="D216" s="212">
        <v>0.23699999999999999</v>
      </c>
    </row>
    <row r="217" spans="1:4" ht="15">
      <c r="A217" s="212" t="s">
        <v>190</v>
      </c>
      <c r="B217" s="210" t="s">
        <v>191</v>
      </c>
      <c r="C217" s="210" t="s">
        <v>119</v>
      </c>
      <c r="D217" s="212">
        <v>-2.1042600000000002E-3</v>
      </c>
    </row>
    <row r="218" spans="1:4" ht="15">
      <c r="A218" s="212" t="s">
        <v>190</v>
      </c>
      <c r="B218" s="210" t="s">
        <v>191</v>
      </c>
      <c r="C218" s="210" t="s">
        <v>149</v>
      </c>
      <c r="D218" s="212">
        <v>-624.12824699999999</v>
      </c>
    </row>
    <row r="219" spans="1:4" ht="15">
      <c r="A219" s="212" t="s">
        <v>190</v>
      </c>
      <c r="B219" s="210" t="s">
        <v>191</v>
      </c>
      <c r="C219" s="210" t="s">
        <v>53</v>
      </c>
      <c r="D219" s="212">
        <v>-0.5</v>
      </c>
    </row>
    <row r="220" spans="1:4" ht="15">
      <c r="A220" s="212" t="s">
        <v>190</v>
      </c>
      <c r="B220" s="210" t="s">
        <v>191</v>
      </c>
      <c r="C220" s="210" t="s">
        <v>192</v>
      </c>
      <c r="D220" s="212">
        <v>7.3170099999999997E-3</v>
      </c>
    </row>
    <row r="221" spans="1:4" ht="15">
      <c r="A221" s="212" t="s">
        <v>190</v>
      </c>
      <c r="B221" s="210" t="s">
        <v>191</v>
      </c>
      <c r="C221" s="210" t="s">
        <v>1</v>
      </c>
      <c r="D221" s="212">
        <v>-5.0000000000000002E-5</v>
      </c>
    </row>
    <row r="222" spans="1:4" ht="15">
      <c r="A222" s="212" t="s">
        <v>190</v>
      </c>
      <c r="B222" s="210" t="s">
        <v>191</v>
      </c>
      <c r="C222" s="210" t="s">
        <v>192</v>
      </c>
      <c r="D222" s="212">
        <v>8.1160000000000002E-5</v>
      </c>
    </row>
    <row r="223" spans="1:4" ht="15">
      <c r="A223" s="212" t="s">
        <v>190</v>
      </c>
      <c r="B223" s="210" t="s">
        <v>191</v>
      </c>
      <c r="C223" s="210" t="s">
        <v>51</v>
      </c>
      <c r="D223" s="212">
        <v>-0.855406</v>
      </c>
    </row>
    <row r="224" spans="1:4" ht="15">
      <c r="A224" s="212" t="s">
        <v>190</v>
      </c>
      <c r="B224" s="210" t="s">
        <v>191</v>
      </c>
      <c r="C224" s="210" t="s">
        <v>192</v>
      </c>
      <c r="D224" s="212">
        <v>1.5489E-4</v>
      </c>
    </row>
    <row r="225" spans="1:4" ht="15">
      <c r="A225" s="212" t="s">
        <v>190</v>
      </c>
      <c r="B225" s="210" t="s">
        <v>191</v>
      </c>
      <c r="C225" s="210" t="s">
        <v>192</v>
      </c>
      <c r="D225" s="212">
        <v>1.35384E-3</v>
      </c>
    </row>
    <row r="226" spans="1:4" ht="15">
      <c r="A226" s="212" t="s">
        <v>190</v>
      </c>
      <c r="B226" s="210" t="s">
        <v>191</v>
      </c>
      <c r="C226" s="210" t="s">
        <v>192</v>
      </c>
      <c r="D226" s="212">
        <v>5.3399999999999997E-6</v>
      </c>
    </row>
    <row r="227" spans="1:4" ht="15">
      <c r="A227" s="212" t="s">
        <v>190</v>
      </c>
      <c r="B227" s="210" t="s">
        <v>191</v>
      </c>
      <c r="C227" s="210" t="s">
        <v>170</v>
      </c>
      <c r="D227" s="212">
        <v>-8.2534549999999998E-2</v>
      </c>
    </row>
    <row r="228" spans="1:4" ht="15">
      <c r="A228" s="212" t="s">
        <v>190</v>
      </c>
      <c r="B228" s="210" t="s">
        <v>191</v>
      </c>
      <c r="C228" s="210" t="s">
        <v>192</v>
      </c>
      <c r="D228" s="212">
        <v>2.2929999999999999E-5</v>
      </c>
    </row>
    <row r="229" spans="1:4" ht="15">
      <c r="A229" s="212" t="s">
        <v>193</v>
      </c>
      <c r="B229" s="210" t="s">
        <v>140</v>
      </c>
      <c r="C229" s="210" t="s">
        <v>14</v>
      </c>
      <c r="D229" s="212">
        <v>100</v>
      </c>
    </row>
    <row r="230" spans="1:4" ht="15">
      <c r="A230" s="212" t="s">
        <v>194</v>
      </c>
      <c r="B230" s="210" t="s">
        <v>177</v>
      </c>
      <c r="C230" s="210" t="s">
        <v>48</v>
      </c>
      <c r="D230" s="212">
        <v>814.27499999999998</v>
      </c>
    </row>
    <row r="231" spans="1:4" ht="15">
      <c r="A231" s="212" t="s">
        <v>194</v>
      </c>
      <c r="B231" s="210" t="s">
        <v>179</v>
      </c>
      <c r="C231" s="210" t="s">
        <v>14</v>
      </c>
      <c r="D231" s="212">
        <v>-45</v>
      </c>
    </row>
    <row r="232" spans="1:4" ht="15">
      <c r="A232" s="212" t="s">
        <v>194</v>
      </c>
      <c r="B232" s="210" t="s">
        <v>178</v>
      </c>
      <c r="C232" s="210" t="s">
        <v>192</v>
      </c>
      <c r="D232" s="212">
        <v>-1.1821500000000001E-3</v>
      </c>
    </row>
    <row r="233" spans="1:4" ht="15">
      <c r="A233" s="212" t="s">
        <v>194</v>
      </c>
      <c r="B233" s="210" t="s">
        <v>179</v>
      </c>
      <c r="C233" s="210" t="s">
        <v>14</v>
      </c>
      <c r="D233" s="212">
        <v>-55</v>
      </c>
    </row>
    <row r="234" spans="1:4" ht="15">
      <c r="A234" s="212" t="s">
        <v>194</v>
      </c>
      <c r="B234" s="210" t="s">
        <v>178</v>
      </c>
      <c r="C234" s="210" t="s">
        <v>192</v>
      </c>
      <c r="D234" s="212">
        <v>-9.6714999999999995E-4</v>
      </c>
    </row>
    <row r="235" spans="1:4" ht="15">
      <c r="A235" s="212" t="s">
        <v>194</v>
      </c>
      <c r="B235" s="210" t="s">
        <v>177</v>
      </c>
      <c r="C235" s="210" t="s">
        <v>48</v>
      </c>
      <c r="D235" s="212">
        <v>666.18</v>
      </c>
    </row>
    <row r="236" spans="1:4" ht="15">
      <c r="A236" s="212" t="s">
        <v>195</v>
      </c>
      <c r="B236" s="210" t="s">
        <v>196</v>
      </c>
      <c r="C236" s="210" t="s">
        <v>48</v>
      </c>
      <c r="D236" s="212">
        <v>-1482.006707</v>
      </c>
    </row>
    <row r="237" spans="1:4" ht="15">
      <c r="A237" s="212" t="s">
        <v>195</v>
      </c>
      <c r="B237" s="210" t="s">
        <v>196</v>
      </c>
      <c r="C237" s="210" t="s">
        <v>119</v>
      </c>
      <c r="D237" s="212">
        <v>1091.0666249999999</v>
      </c>
    </row>
    <row r="238" spans="1:4" ht="15">
      <c r="A238" s="212" t="s">
        <v>197</v>
      </c>
      <c r="B238" s="210" t="s">
        <v>198</v>
      </c>
      <c r="C238" s="210" t="s">
        <v>119</v>
      </c>
      <c r="D238" s="212">
        <v>-1091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L6"/>
  <sheetViews>
    <sheetView workbookViewId="0"/>
  </sheetViews>
  <sheetFormatPr baseColWidth="10" defaultColWidth="12.5" defaultRowHeight="15.75" customHeight="1"/>
  <cols>
    <col min="1" max="1" width="16.5" customWidth="1"/>
    <col min="4" max="4" width="12.1640625" customWidth="1"/>
    <col min="5" max="5" width="20.6640625" customWidth="1"/>
    <col min="6" max="6" width="20" customWidth="1"/>
  </cols>
  <sheetData>
    <row r="1" spans="1:12" ht="15.75" customHeight="1">
      <c r="A1" s="206" t="s">
        <v>120</v>
      </c>
      <c r="B1" s="206" t="s">
        <v>121</v>
      </c>
      <c r="C1" s="206" t="s">
        <v>122</v>
      </c>
      <c r="D1" s="206" t="s">
        <v>123</v>
      </c>
      <c r="E1" s="206" t="s">
        <v>124</v>
      </c>
      <c r="F1" s="206" t="s">
        <v>125</v>
      </c>
      <c r="G1" s="206" t="s">
        <v>126</v>
      </c>
      <c r="H1" s="206" t="s">
        <v>127</v>
      </c>
      <c r="I1" s="206" t="s">
        <v>128</v>
      </c>
      <c r="J1" s="206" t="s">
        <v>129</v>
      </c>
      <c r="K1" s="206" t="s">
        <v>130</v>
      </c>
      <c r="L1" s="206" t="s">
        <v>131</v>
      </c>
    </row>
    <row r="2" spans="1:12" ht="15.75" customHeight="1">
      <c r="A2" s="207">
        <v>44256.5</v>
      </c>
      <c r="B2" s="25" t="s">
        <v>199</v>
      </c>
      <c r="C2" s="25" t="s">
        <v>37</v>
      </c>
      <c r="D2" s="25">
        <v>89.460129200000011</v>
      </c>
      <c r="E2" s="25" t="s">
        <v>48</v>
      </c>
      <c r="F2" s="25">
        <v>2773.2592690000001</v>
      </c>
    </row>
    <row r="3" spans="1:12" ht="15.75" customHeight="1">
      <c r="A3" s="207">
        <v>44256.5</v>
      </c>
      <c r="B3" s="25" t="s">
        <v>132</v>
      </c>
      <c r="C3" s="25" t="s">
        <v>37</v>
      </c>
      <c r="D3" s="25">
        <v>1</v>
      </c>
    </row>
    <row r="4" spans="1:12" ht="15.75" customHeight="1">
      <c r="A4" s="207">
        <v>44256.5</v>
      </c>
      <c r="B4" s="25" t="s">
        <v>132</v>
      </c>
      <c r="C4" s="25" t="s">
        <v>37</v>
      </c>
      <c r="D4" s="205">
        <v>44.817281800000003</v>
      </c>
    </row>
    <row r="5" spans="1:12" ht="15.75" customHeight="1">
      <c r="A5" s="207">
        <v>44256.5</v>
      </c>
      <c r="B5" s="25" t="s">
        <v>132</v>
      </c>
      <c r="C5" s="25" t="s">
        <v>37</v>
      </c>
      <c r="D5" s="205">
        <v>41.642847400000001</v>
      </c>
    </row>
    <row r="6" spans="1:12" ht="15.75" customHeight="1">
      <c r="A6" s="207">
        <v>44256.5</v>
      </c>
      <c r="B6" s="25" t="s">
        <v>132</v>
      </c>
      <c r="C6" s="25" t="s">
        <v>37</v>
      </c>
      <c r="D6" s="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Crypto</vt:lpstr>
      <vt:lpstr>dashboard</vt:lpstr>
      <vt:lpstr>cryptodata</vt:lpstr>
      <vt:lpstr>NEAR Import</vt:lpstr>
      <vt:lpstr>Chainlink Import</vt:lpstr>
      <vt:lpstr>Holoride Import</vt:lpstr>
      <vt:lpstr>EGLD Import</vt:lpstr>
      <vt:lpstr>Binance</vt:lpstr>
      <vt:lpstr>FLOW 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2024-03-17T00:36:02Z</dcterms:modified>
</cp:coreProperties>
</file>