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5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6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8.xml" ContentType="application/vnd.openxmlformats-officedocument.drawingml.chartshapes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9.xml" ContentType="application/vnd.openxmlformats-officedocument.drawingml.chartshapes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10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11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12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13.xml" ContentType="application/vnd.openxmlformats-officedocument.drawing+xml"/>
  <Override PartName="/xl/comments2.xml" ContentType="application/vnd.openxmlformats-officedocument.spreadsheetml.comments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14.xml" ContentType="application/vnd.openxmlformats-officedocument.drawing+xml"/>
  <Override PartName="/xl/comments3.xml" ContentType="application/vnd.openxmlformats-officedocument.spreadsheetml.comments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15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16.xml" ContentType="application/vnd.openxmlformats-officedocument.drawingml.chartshapes+xml"/>
  <Override PartName="/xl/drawings/drawing17.xml" ContentType="application/vnd.openxmlformats-officedocument.drawing+xml"/>
  <Override PartName="/xl/comments4.xml" ContentType="application/vnd.openxmlformats-officedocument.spreadsheetml.comments+xml"/>
  <Override PartName="/xl/threadedComments/threadedComment2.xml" ContentType="application/vnd.ms-excel.threadedcomments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18.xml" ContentType="application/vnd.openxmlformats-officedocument.drawing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egustafson\Documents\USERDOCS\"/>
    </mc:Choice>
  </mc:AlternateContent>
  <xr:revisionPtr revIDLastSave="0" documentId="13_ncr:1_{480A20C6-3052-4C98-92E1-DD67FABB77DF}" xr6:coauthVersionLast="47" xr6:coauthVersionMax="47" xr10:uidLastSave="{00000000-0000-0000-0000-000000000000}"/>
  <bookViews>
    <workbookView xWindow="-108" yWindow="-108" windowWidth="23256" windowHeight="12576" firstSheet="9" activeTab="16" xr2:uid="{00000000-000D-0000-FFFF-FFFF00000000}"/>
  </bookViews>
  <sheets>
    <sheet name="Amax A&amp;B worksheet" sheetId="12" r:id="rId1"/>
    <sheet name="DTemp" sheetId="3" r:id="rId2"/>
    <sheet name="CO2 effects" sheetId="8" r:id="rId3"/>
    <sheet name="Wythers" sheetId="11" r:id="rId4"/>
    <sheet name="HalfSat" sheetId="19" r:id="rId5"/>
    <sheet name="fRad" sheetId="27" r:id="rId6"/>
    <sheet name="fWater" sheetId="18" r:id="rId7"/>
    <sheet name="fAge" sheetId="13" r:id="rId8"/>
    <sheet name="FrActWd" sheetId="16" r:id="rId9"/>
    <sheet name="EstMod-MaxPest" sheetId="21" r:id="rId10"/>
    <sheet name="LayerThreshRatio" sheetId="24" r:id="rId11"/>
    <sheet name="AdjFolN" sheetId="15" r:id="rId12"/>
    <sheet name="AdjFracFol" sheetId="17" r:id="rId13"/>
    <sheet name="CO2HalfSatEff" sheetId="14" r:id="rId14"/>
    <sheet name="MaxLAI" sheetId="22" r:id="rId15"/>
    <sheet name="MossScalar" sheetId="25" r:id="rId16"/>
    <sheet name="EffDispDist" sheetId="26" r:id="rId17"/>
  </sheets>
  <definedNames>
    <definedName name="Amax" localSheetId="12">#REF!</definedName>
    <definedName name="Amax" localSheetId="9">#REF!</definedName>
    <definedName name="Amax" localSheetId="7">#REF!</definedName>
    <definedName name="Amax">#REF!</definedName>
    <definedName name="Amax_pnet_ii" localSheetId="12">#REF!</definedName>
    <definedName name="Amax_pnet_ii" localSheetId="9">#REF!</definedName>
    <definedName name="Amax_pnet_ii" localSheetId="7">#REF!</definedName>
    <definedName name="Amax_pnet_ii">#REF!</definedName>
    <definedName name="Amax_temp1" localSheetId="12">#REF!</definedName>
    <definedName name="Amax_temp1" localSheetId="9">#REF!</definedName>
    <definedName name="Amax_temp1" localSheetId="7">#REF!</definedName>
    <definedName name="Amax_temp1">#REF!</definedName>
    <definedName name="AMaxFrac" localSheetId="12">#REF!</definedName>
    <definedName name="AMaxFrac" localSheetId="9">#REF!</definedName>
    <definedName name="AMaxFrac" localSheetId="7">#REF!</definedName>
    <definedName name="AMaxFrac">#REF!</definedName>
    <definedName name="BaseFolResp" localSheetId="12">#REF!</definedName>
    <definedName name="BaseFolResp" localSheetId="9">#REF!</definedName>
    <definedName name="BaseFolResp" localSheetId="7">#REF!</definedName>
    <definedName name="BaseFolResp">#REF!</definedName>
    <definedName name="BaseFolResp_pnet_ii" localSheetId="12">#REF!</definedName>
    <definedName name="BaseFolResp_pnet_ii" localSheetId="9">#REF!</definedName>
    <definedName name="BaseFolResp_pnet_ii" localSheetId="7">#REF!</definedName>
    <definedName name="BaseFolResp_pnet_ii">#REF!</definedName>
    <definedName name="BaseFolRespFrac" localSheetId="12">#REF!</definedName>
    <definedName name="BaseFolRespFrac" localSheetId="9">#REF!</definedName>
    <definedName name="BaseFolRespFrac" localSheetId="7">#REF!</definedName>
    <definedName name="BaseFolRespFrac">#REF!</definedName>
    <definedName name="BaseFolRespFrac_PnET_II" localSheetId="12">#REF!</definedName>
    <definedName name="BaseFolRespFrac_PnET_II" localSheetId="9">#REF!</definedName>
    <definedName name="BaseFolRespFrac_PnET_II" localSheetId="7">#REF!</definedName>
    <definedName name="BaseFolRespFrac_PnET_II">#REF!</definedName>
    <definedName name="Billion" localSheetId="12">#REF!</definedName>
    <definedName name="Billion" localSheetId="9">#REF!</definedName>
    <definedName name="Billion" localSheetId="7">#REF!</definedName>
    <definedName name="Billion">#REF!</definedName>
    <definedName name="biomass" localSheetId="12">#REF!</definedName>
    <definedName name="biomass" localSheetId="9">#REF!</definedName>
    <definedName name="biomass" localSheetId="7">#REF!</definedName>
    <definedName name="biomass">#REF!</definedName>
    <definedName name="CanopyGrossPsn" localSheetId="12">#REF!</definedName>
    <definedName name="CanopyGrossPsn" localSheetId="9">#REF!</definedName>
    <definedName name="CanopyGrossPsn" localSheetId="7">#REF!</definedName>
    <definedName name="CanopyGrossPsn">#REF!</definedName>
    <definedName name="CanopyGrossPsnAct_pnet_ii" localSheetId="12">#REF!</definedName>
    <definedName name="CanopyGrossPsnAct_pnet_ii" localSheetId="9">#REF!</definedName>
    <definedName name="CanopyGrossPsnAct_pnet_ii" localSheetId="7">#REF!</definedName>
    <definedName name="CanopyGrossPsnAct_pnet_ii">#REF!</definedName>
    <definedName name="CanopyGrossPsnMG" localSheetId="12">#REF!</definedName>
    <definedName name="CanopyGrossPsnMG" localSheetId="9">#REF!</definedName>
    <definedName name="CanopyGrossPsnMG" localSheetId="7">#REF!</definedName>
    <definedName name="CanopyGrossPsnMG">#REF!</definedName>
    <definedName name="DayLength" localSheetId="12">#REF!</definedName>
    <definedName name="DayLength" localSheetId="9">#REF!</definedName>
    <definedName name="DayLength" localSheetId="7">#REF!</definedName>
    <definedName name="DayLength">#REF!</definedName>
    <definedName name="DayResp_pnet_ii" localSheetId="12">#REF!</definedName>
    <definedName name="DayResp_pnet_ii" localSheetId="9">#REF!</definedName>
    <definedName name="DayResp_pnet_ii" localSheetId="7">#REF!</definedName>
    <definedName name="DayResp_pnet_ii">#REF!</definedName>
    <definedName name="dayspan" localSheetId="12">#REF!</definedName>
    <definedName name="dayspan" localSheetId="9">#REF!</definedName>
    <definedName name="dayspan" localSheetId="7">#REF!</definedName>
    <definedName name="dayspan">#REF!</definedName>
    <definedName name="DelAmax" localSheetId="12">#REF!</definedName>
    <definedName name="DelAmax" localSheetId="9">#REF!</definedName>
    <definedName name="DelAmax" localSheetId="7">#REF!</definedName>
    <definedName name="DelAmax">#REF!</definedName>
    <definedName name="Delgs" localSheetId="12">#REF!</definedName>
    <definedName name="Delgs" localSheetId="9">#REF!</definedName>
    <definedName name="Delgs" localSheetId="7">#REF!</definedName>
    <definedName name="Delgs">#REF!</definedName>
    <definedName name="Dtemp_pnet_ii" localSheetId="12">#REF!</definedName>
    <definedName name="Dtemp_pnet_ii" localSheetId="9">#REF!</definedName>
    <definedName name="Dtemp_pnet_ii" localSheetId="7">#REF!</definedName>
    <definedName name="Dtemp_pnet_ii">#REF!</definedName>
    <definedName name="Dtemp_pnet_suc" localSheetId="12">#REF!</definedName>
    <definedName name="Dtemp_pnet_suc" localSheetId="9">#REF!</definedName>
    <definedName name="Dtemp_pnet_suc" localSheetId="7">#REF!</definedName>
    <definedName name="Dtemp_pnet_suc">#REF!</definedName>
    <definedName name="DVPD_pnet_ii" localSheetId="12">#REF!</definedName>
    <definedName name="DVPD_pnet_ii" localSheetId="9">#REF!</definedName>
    <definedName name="DVPD_pnet_ii" localSheetId="7">#REF!</definedName>
    <definedName name="DVPD_pnet_ii">#REF!</definedName>
    <definedName name="DVPD_pnet_suc" localSheetId="12">#REF!</definedName>
    <definedName name="DVPD_pnet_suc" localSheetId="9">#REF!</definedName>
    <definedName name="DVPD_pnet_suc" localSheetId="7">#REF!</definedName>
    <definedName name="DVPD_pnet_suc">#REF!</definedName>
    <definedName name="DVPD1" localSheetId="12">#REF!</definedName>
    <definedName name="DVPD1" localSheetId="9">#REF!</definedName>
    <definedName name="DVPD1" localSheetId="7">#REF!</definedName>
    <definedName name="DVPD1">#REF!</definedName>
    <definedName name="DVPD2" localSheetId="12">#REF!</definedName>
    <definedName name="DVPD2" localSheetId="9">#REF!</definedName>
    <definedName name="DVPD2" localSheetId="7">#REF!</definedName>
    <definedName name="DVPD2">#REF!</definedName>
    <definedName name="emean_PnET_II" localSheetId="12">#REF!</definedName>
    <definedName name="emean_PnET_II" localSheetId="9">#REF!</definedName>
    <definedName name="emean_PnET_II" localSheetId="7">#REF!</definedName>
    <definedName name="emean_PnET_II">#REF!</definedName>
    <definedName name="emean_PnET_Succession" localSheetId="12">#REF!</definedName>
    <definedName name="emean_PnET_Succession" localSheetId="9">#REF!</definedName>
    <definedName name="emean_PnET_Succession" localSheetId="7">#REF!</definedName>
    <definedName name="emean_PnET_Succession">#REF!</definedName>
    <definedName name="es_PnET_II" localSheetId="12">#REF!</definedName>
    <definedName name="es_PnET_II" localSheetId="9">#REF!</definedName>
    <definedName name="es_PnET_II" localSheetId="7">#REF!</definedName>
    <definedName name="es_PnET_II">#REF!</definedName>
    <definedName name="es_PnET_Succession" localSheetId="12">#REF!</definedName>
    <definedName name="es_PnET_Succession" localSheetId="9">#REF!</definedName>
    <definedName name="es_PnET_Succession" localSheetId="7">#REF!</definedName>
    <definedName name="es_PnET_Succession">#REF!</definedName>
    <definedName name="fAge" localSheetId="12">#REF!</definedName>
    <definedName name="fAge" localSheetId="9">#REF!</definedName>
    <definedName name="fAge" localSheetId="7">#REF!</definedName>
    <definedName name="fAge">#REF!</definedName>
    <definedName name="Fol" localSheetId="12">#REF!</definedName>
    <definedName name="Fol" localSheetId="9">#REF!</definedName>
    <definedName name="Fol" localSheetId="7">#REF!</definedName>
    <definedName name="Fol">#REF!</definedName>
    <definedName name="FolResp_pnet_suc" localSheetId="12">#REF!</definedName>
    <definedName name="FolResp_pnet_suc" localSheetId="9">#REF!</definedName>
    <definedName name="FolResp_pnet_suc" localSheetId="7">#REF!</definedName>
    <definedName name="FolResp_pnet_suc">#REF!</definedName>
    <definedName name="fRad" localSheetId="12">#REF!</definedName>
    <definedName name="fRad" localSheetId="9">#REF!</definedName>
    <definedName name="fRad" localSheetId="7">#REF!</definedName>
    <definedName name="fRad">#REF!</definedName>
    <definedName name="FTempPsn_pnet_suc" localSheetId="12">#REF!</definedName>
    <definedName name="FTempPsn_pnet_suc" localSheetId="9">#REF!</definedName>
    <definedName name="FTempPsn_pnet_suc" localSheetId="7">#REF!</definedName>
    <definedName name="FTempPsn_pnet_suc">#REF!</definedName>
    <definedName name="FTempPSNRefNetPsn_pnet_suc" localSheetId="12">#REF!</definedName>
    <definedName name="FTempPSNRefNetPsn_pnet_suc" localSheetId="9">#REF!</definedName>
    <definedName name="FTempPSNRefNetPsn_pnet_suc" localSheetId="7">#REF!</definedName>
    <definedName name="FTempPSNRefNetPsn_pnet_suc">#REF!</definedName>
    <definedName name="FTempRespDay_pnet_suc" localSheetId="12">#REF!</definedName>
    <definedName name="FTempRespDay_pnet_suc" localSheetId="9">#REF!</definedName>
    <definedName name="FTempRespDay_pnet_suc" localSheetId="7">#REF!</definedName>
    <definedName name="FTempRespDay_pnet_suc">#REF!</definedName>
    <definedName name="FTempRespDayRefResp_pnet_suc" localSheetId="12">#REF!</definedName>
    <definedName name="FTempRespDayRefResp_pnet_suc" localSheetId="9">#REF!</definedName>
    <definedName name="FTempRespDayRefResp_pnet_suc" localSheetId="7">#REF!</definedName>
    <definedName name="FTempRespDayRefResp_pnet_suc">#REF!</definedName>
    <definedName name="fWater" localSheetId="12">#REF!</definedName>
    <definedName name="fWater" localSheetId="9">#REF!</definedName>
    <definedName name="fWater" localSheetId="7">#REF!</definedName>
    <definedName name="fWater">#REF!</definedName>
    <definedName name="GrossAmax_pnet_ii" localSheetId="12">#REF!</definedName>
    <definedName name="GrossAmax_pnet_ii" localSheetId="9">#REF!</definedName>
    <definedName name="GrossAmax_pnet_ii" localSheetId="7">#REF!</definedName>
    <definedName name="GrossAmax_pnet_ii">#REF!</definedName>
    <definedName name="GrossAmax_temp1_pnet_ii" localSheetId="12">#REF!</definedName>
    <definedName name="GrossAmax_temp1_pnet_ii" localSheetId="9">#REF!</definedName>
    <definedName name="GrossAmax_temp1_pnet_ii" localSheetId="7">#REF!</definedName>
    <definedName name="GrossAmax_temp1_pnet_ii">#REF!</definedName>
    <definedName name="GrossAmax_temp2_pnet_ii" localSheetId="12">#REF!</definedName>
    <definedName name="GrossAmax_temp2_pnet_ii" localSheetId="9">#REF!</definedName>
    <definedName name="GrossAmax_temp2_pnet_ii" localSheetId="7">#REF!</definedName>
    <definedName name="GrossAmax_temp2_pnet_ii">#REF!</definedName>
    <definedName name="GrossPsn_pnet_suc" localSheetId="12">#REF!</definedName>
    <definedName name="GrossPsn_pnet_suc" localSheetId="9">#REF!</definedName>
    <definedName name="GrossPsn_pnet_suc" localSheetId="7">#REF!</definedName>
    <definedName name="GrossPsn_pnet_suc">#REF!</definedName>
    <definedName name="IMAX" localSheetId="12">#REF!</definedName>
    <definedName name="IMAX" localSheetId="9">#REF!</definedName>
    <definedName name="IMAX" localSheetId="7">#REF!</definedName>
    <definedName name="IMAX">#REF!</definedName>
    <definedName name="index" localSheetId="12">#REF!</definedName>
    <definedName name="index" localSheetId="9">#REF!</definedName>
    <definedName name="index" localSheetId="7">#REF!</definedName>
    <definedName name="index">#REF!</definedName>
    <definedName name="LAI" localSheetId="12">#REF!</definedName>
    <definedName name="LAI" localSheetId="9">#REF!</definedName>
    <definedName name="LAI" localSheetId="7">#REF!</definedName>
    <definedName name="LAI">#REF!</definedName>
    <definedName name="LAI_pnet_ii" localSheetId="12">#REF!</definedName>
    <definedName name="LAI_pnet_ii" localSheetId="9">#REF!</definedName>
    <definedName name="LAI_pnet_ii" localSheetId="7">#REF!</definedName>
    <definedName name="LAI_pnet_ii">#REF!</definedName>
    <definedName name="LAI_pnet_suc" localSheetId="12">#REF!</definedName>
    <definedName name="LAI_pnet_suc" localSheetId="9">#REF!</definedName>
    <definedName name="LAI_pnet_suc" localSheetId="7">#REF!</definedName>
    <definedName name="LAI_pnet_suc">#REF!</definedName>
    <definedName name="LayerGrossPsn_pnet_ii" localSheetId="12">#REF!</definedName>
    <definedName name="LayerGrossPsn_pnet_ii" localSheetId="9">#REF!</definedName>
    <definedName name="LayerGrossPsn_pnet_ii" localSheetId="7">#REF!</definedName>
    <definedName name="LayerGrossPsn_pnet_ii">#REF!</definedName>
    <definedName name="LayerGrossPsnRate_pnet_ii" localSheetId="12">#REF!</definedName>
    <definedName name="LayerGrossPsnRate_pnet_ii" localSheetId="9">#REF!</definedName>
    <definedName name="LayerGrossPsnRate_pnet_ii" localSheetId="7">#REF!</definedName>
    <definedName name="LayerGrossPsnRate_pnet_ii">#REF!</definedName>
    <definedName name="LayerLAI" localSheetId="12">#REF!</definedName>
    <definedName name="LayerLAI" localSheetId="9">#REF!</definedName>
    <definedName name="LayerLAI" localSheetId="7">#REF!</definedName>
    <definedName name="LayerLAI">#REF!</definedName>
    <definedName name="LayerNetPsn_pnet_ii" localSheetId="12">#REF!</definedName>
    <definedName name="LayerNetPsn_pnet_ii" localSheetId="9">#REF!</definedName>
    <definedName name="LayerNetPsn_pnet_ii" localSheetId="7">#REF!</definedName>
    <definedName name="LayerNetPsn_pnet_ii">#REF!</definedName>
    <definedName name="LayerResp_pnet_ii" localSheetId="12">#REF!</definedName>
    <definedName name="LayerResp_pnet_ii" localSheetId="9">#REF!</definedName>
    <definedName name="LayerResp_pnet_ii" localSheetId="7">#REF!</definedName>
    <definedName name="LayerResp_pnet_ii">#REF!</definedName>
    <definedName name="LayerSLW" localSheetId="12">#REF!</definedName>
    <definedName name="LayerSLW" localSheetId="9">#REF!</definedName>
    <definedName name="LayerSLW" localSheetId="7">#REF!</definedName>
    <definedName name="LayerSLW">#REF!</definedName>
    <definedName name="LightEff_pnet_ii" localSheetId="12">#REF!</definedName>
    <definedName name="LightEff_pnet_ii" localSheetId="9">#REF!</definedName>
    <definedName name="LightEff_pnet_ii" localSheetId="7">#REF!</definedName>
    <definedName name="LightEff_pnet_ii">#REF!</definedName>
    <definedName name="MaintResp_pnet_suc" localSheetId="12">#REF!</definedName>
    <definedName name="MaintResp_pnet_suc" localSheetId="9">#REF!</definedName>
    <definedName name="MaintResp_pnet_suc" localSheetId="7">#REF!</definedName>
    <definedName name="MaintResp_pnet_suc">#REF!</definedName>
    <definedName name="MC" localSheetId="12">#REF!</definedName>
    <definedName name="MC" localSheetId="9">#REF!</definedName>
    <definedName name="MC" localSheetId="7">#REF!</definedName>
    <definedName name="MC">#REF!</definedName>
    <definedName name="MCO2_MC" localSheetId="12">#REF!</definedName>
    <definedName name="MCO2_MC" localSheetId="9">#REF!</definedName>
    <definedName name="MCO2_MC" localSheetId="7">#REF!</definedName>
    <definedName name="MCO2_MC">#REF!</definedName>
    <definedName name="NetPsn_pnet_suc" localSheetId="12">#REF!</definedName>
    <definedName name="NetPsn_pnet_suc" localSheetId="9">#REF!</definedName>
    <definedName name="NetPsn_pnet_suc" localSheetId="7">#REF!</definedName>
    <definedName name="NetPsn_pnet_suc">#REF!</definedName>
    <definedName name="NightLength" localSheetId="12">#REF!</definedName>
    <definedName name="NightLength" localSheetId="9">#REF!</definedName>
    <definedName name="NightLength" localSheetId="7">#REF!</definedName>
    <definedName name="NightLength">#REF!</definedName>
    <definedName name="NightResp" localSheetId="12">#REF!</definedName>
    <definedName name="NightResp" localSheetId="9">#REF!</definedName>
    <definedName name="NightResp" localSheetId="7">#REF!</definedName>
    <definedName name="NightResp">#REF!</definedName>
    <definedName name="NSC" localSheetId="12">#REF!</definedName>
    <definedName name="NSC" localSheetId="9">#REF!</definedName>
    <definedName name="NSC" localSheetId="7">#REF!</definedName>
    <definedName name="NSC">#REF!</definedName>
    <definedName name="PotTransd_pnet_ii" localSheetId="12">#REF!</definedName>
    <definedName name="PotTransd_pnet_ii" localSheetId="9">#REF!</definedName>
    <definedName name="PotTransd_pnet_ii" localSheetId="7">#REF!</definedName>
    <definedName name="PotTransd_pnet_ii">#REF!</definedName>
    <definedName name="PsnTMax" localSheetId="12">#REF!</definedName>
    <definedName name="PsnTMax" localSheetId="9">#REF!</definedName>
    <definedName name="PsnTMax" localSheetId="7">#REF!</definedName>
    <definedName name="PsnTMax">#REF!</definedName>
    <definedName name="PsnTMin" localSheetId="12">#REF!</definedName>
    <definedName name="PsnTMin" localSheetId="9">#REF!</definedName>
    <definedName name="PsnTMin" localSheetId="7">#REF!</definedName>
    <definedName name="PsnTMin">#REF!</definedName>
    <definedName name="PsnTOpt" localSheetId="12">#REF!</definedName>
    <definedName name="PsnTOpt" localSheetId="9">#REF!</definedName>
    <definedName name="PsnTOpt" localSheetId="7">#REF!</definedName>
    <definedName name="PsnTOpt">#REF!</definedName>
    <definedName name="Q10const" localSheetId="12">#REF!</definedName>
    <definedName name="Q10const" localSheetId="9">#REF!</definedName>
    <definedName name="Q10const" localSheetId="7">#REF!</definedName>
    <definedName name="Q10const">#REF!</definedName>
    <definedName name="RefNetPsn_pnet_suc" localSheetId="12">#REF!</definedName>
    <definedName name="RefNetPsn_pnet_suc" localSheetId="9">#REF!</definedName>
    <definedName name="RefNetPsn_pnet_suc" localSheetId="7">#REF!</definedName>
    <definedName name="RefNetPsn_pnet_suc">#REF!</definedName>
    <definedName name="RespQ10" localSheetId="12">#REF!</definedName>
    <definedName name="RespQ10" localSheetId="9">#REF!</definedName>
    <definedName name="RespQ10" localSheetId="7">#REF!</definedName>
    <definedName name="RespQ10">#REF!</definedName>
    <definedName name="SLWDel" localSheetId="12">#REF!</definedName>
    <definedName name="SLWDel" localSheetId="9">#REF!</definedName>
    <definedName name="SLWDel" localSheetId="7">#REF!</definedName>
    <definedName name="SLWDel">#REF!</definedName>
    <definedName name="SLWLayer" localSheetId="12">#REF!</definedName>
    <definedName name="SLWLayer" localSheetId="9">#REF!</definedName>
    <definedName name="SLWLayer" localSheetId="7">#REF!</definedName>
    <definedName name="SLWLayer">#REF!</definedName>
    <definedName name="SLWmax" localSheetId="12">#REF!</definedName>
    <definedName name="SLWmax" localSheetId="9">#REF!</definedName>
    <definedName name="SLWmax" localSheetId="7">#REF!</definedName>
    <definedName name="SLWmax">#REF!</definedName>
    <definedName name="Tave" localSheetId="12">#REF!</definedName>
    <definedName name="Tave" localSheetId="9">#REF!</definedName>
    <definedName name="Tave" localSheetId="7">#REF!</definedName>
    <definedName name="Tave">#REF!</definedName>
    <definedName name="Tday" localSheetId="12">#REF!</definedName>
    <definedName name="Tday" localSheetId="9">#REF!</definedName>
    <definedName name="Tday" localSheetId="7">#REF!</definedName>
    <definedName name="Tday">#REF!</definedName>
    <definedName name="Tmax" localSheetId="12">#REF!</definedName>
    <definedName name="Tmax" localSheetId="9">#REF!</definedName>
    <definedName name="Tmax" localSheetId="7">#REF!</definedName>
    <definedName name="Tmax">#REF!</definedName>
    <definedName name="Tmin" localSheetId="12">#REF!</definedName>
    <definedName name="Tmin" localSheetId="9">#REF!</definedName>
    <definedName name="Tmin" localSheetId="7">#REF!</definedName>
    <definedName name="Tmin">#REF!</definedName>
    <definedName name="Tnight" localSheetId="12">#REF!</definedName>
    <definedName name="Tnight" localSheetId="9">#REF!</definedName>
    <definedName name="Tnight" localSheetId="7">#REF!</definedName>
    <definedName name="Tnight">#REF!</definedName>
    <definedName name="Transpiration_pnet_suc" localSheetId="12">#REF!</definedName>
    <definedName name="Transpiration_pnet_suc" localSheetId="9">#REF!</definedName>
    <definedName name="Transpiration_pnet_suc" localSheetId="7">#REF!</definedName>
    <definedName name="Transpiration_pnet_suc">#REF!</definedName>
    <definedName name="VPD" localSheetId="12">#REF!</definedName>
    <definedName name="VPD" localSheetId="9">#REF!</definedName>
    <definedName name="VPD" localSheetId="7">#REF!</definedName>
    <definedName name="VPD">#REF!</definedName>
    <definedName name="VPD_PnET_II" localSheetId="12">#REF!</definedName>
    <definedName name="VPD_PnET_II" localSheetId="9">#REF!</definedName>
    <definedName name="VPD_PnET_II" localSheetId="7">#REF!</definedName>
    <definedName name="VPD_PnET_II">#REF!</definedName>
    <definedName name="VPD_PnET_Succession" localSheetId="12">#REF!</definedName>
    <definedName name="VPD_PnET_Succession" localSheetId="9">#REF!</definedName>
    <definedName name="VPD_PnET_Succession" localSheetId="7">#REF!</definedName>
    <definedName name="VPD_PnET_Succession">#REF!</definedName>
    <definedName name="WoodMRespMo_pnet_ii" localSheetId="12">#REF!</definedName>
    <definedName name="WoodMRespMo_pnet_ii" localSheetId="9">#REF!</definedName>
    <definedName name="WoodMRespMo_pnet_ii" localSheetId="7">#REF!</definedName>
    <definedName name="WoodMRespMo_pnet_ii">#REF!</definedName>
    <definedName name="WUE" localSheetId="12">#REF!</definedName>
    <definedName name="WUE" localSheetId="9">#REF!</definedName>
    <definedName name="WUE" localSheetId="7">#REF!</definedName>
    <definedName name="WUE">#REF!</definedName>
    <definedName name="WUE_PnET" localSheetId="12">#REF!</definedName>
    <definedName name="WUE_PnET" localSheetId="9">#REF!</definedName>
    <definedName name="WUE_PnET" localSheetId="7">#REF!</definedName>
    <definedName name="WUE_PnET">#REF!</definedName>
    <definedName name="WUEconst" localSheetId="12">#REF!</definedName>
    <definedName name="WUEconst" localSheetId="9">#REF!</definedName>
    <definedName name="WUEconst" localSheetId="7">#REF!</definedName>
    <definedName name="WUEconst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25" l="1"/>
  <c r="B5" i="25" s="1"/>
  <c r="B6" i="25" s="1"/>
  <c r="B7" i="25" s="1"/>
  <c r="B8" i="25" s="1"/>
  <c r="B9" i="25" s="1"/>
  <c r="E9" i="26"/>
  <c r="F8" i="26"/>
  <c r="E8" i="26"/>
  <c r="B33" i="26"/>
  <c r="B32" i="26"/>
  <c r="C32" i="26" s="1"/>
  <c r="B31" i="26"/>
  <c r="B30" i="26"/>
  <c r="B29" i="26"/>
  <c r="D29" i="26" s="1"/>
  <c r="B28" i="26"/>
  <c r="D28" i="26" s="1"/>
  <c r="B27" i="26"/>
  <c r="D27" i="26" s="1"/>
  <c r="B26" i="26"/>
  <c r="B25" i="26"/>
  <c r="B24" i="26"/>
  <c r="C24" i="26" s="1"/>
  <c r="B23" i="26"/>
  <c r="D23" i="26" s="1"/>
  <c r="B22" i="26"/>
  <c r="B21" i="26"/>
  <c r="C21" i="26" s="1"/>
  <c r="B20" i="26"/>
  <c r="C20" i="26" s="1"/>
  <c r="B19" i="26"/>
  <c r="D19" i="26" s="1"/>
  <c r="B18" i="26"/>
  <c r="B17" i="26"/>
  <c r="B16" i="26"/>
  <c r="C16" i="26" s="1"/>
  <c r="B15" i="26"/>
  <c r="B14" i="26"/>
  <c r="B13" i="26"/>
  <c r="C13" i="26" s="1"/>
  <c r="D12" i="26"/>
  <c r="B12" i="26"/>
  <c r="C12" i="26" s="1"/>
  <c r="B11" i="26"/>
  <c r="D11" i="26" s="1"/>
  <c r="B10" i="26"/>
  <c r="B9" i="26"/>
  <c r="C9" i="26" s="1"/>
  <c r="B8" i="26"/>
  <c r="C8" i="26" s="1"/>
  <c r="E3" i="26"/>
  <c r="E2" i="26"/>
  <c r="D21" i="26" l="1"/>
  <c r="D13" i="26"/>
  <c r="D24" i="26"/>
  <c r="C29" i="26"/>
  <c r="D20" i="26"/>
  <c r="E20" i="26" s="1"/>
  <c r="F20" i="26" s="1"/>
  <c r="D16" i="26"/>
  <c r="E29" i="26"/>
  <c r="F29" i="26" s="1"/>
  <c r="C28" i="26"/>
  <c r="E28" i="26" s="1"/>
  <c r="F28" i="26" s="1"/>
  <c r="D32" i="26"/>
  <c r="E32" i="26" s="1"/>
  <c r="F32" i="26" s="1"/>
  <c r="D8" i="26"/>
  <c r="E12" i="26"/>
  <c r="F12" i="26" s="1"/>
  <c r="E24" i="26"/>
  <c r="F24" i="26" s="1"/>
  <c r="E16" i="26"/>
  <c r="F16" i="26" s="1"/>
  <c r="E26" i="26"/>
  <c r="F26" i="26" s="1"/>
  <c r="C10" i="26"/>
  <c r="C18" i="26"/>
  <c r="E18" i="26" s="1"/>
  <c r="F18" i="26" s="1"/>
  <c r="C26" i="26"/>
  <c r="D10" i="26"/>
  <c r="E13" i="26"/>
  <c r="F13" i="26" s="1"/>
  <c r="C15" i="26"/>
  <c r="D18" i="26"/>
  <c r="E21" i="26"/>
  <c r="F21" i="26" s="1"/>
  <c r="C23" i="26"/>
  <c r="D26" i="26"/>
  <c r="C31" i="26"/>
  <c r="E31" i="26" s="1"/>
  <c r="F31" i="26" s="1"/>
  <c r="D31" i="26"/>
  <c r="E23" i="26"/>
  <c r="F23" i="26" s="1"/>
  <c r="C33" i="26"/>
  <c r="C25" i="26"/>
  <c r="D9" i="26"/>
  <c r="F9" i="26" s="1"/>
  <c r="C14" i="26"/>
  <c r="E14" i="26" s="1"/>
  <c r="F14" i="26" s="1"/>
  <c r="D17" i="26"/>
  <c r="C22" i="26"/>
  <c r="D25" i="26"/>
  <c r="C30" i="26"/>
  <c r="E30" i="26" s="1"/>
  <c r="F30" i="26" s="1"/>
  <c r="D33" i="26"/>
  <c r="D15" i="26"/>
  <c r="C17" i="26"/>
  <c r="C11" i="26"/>
  <c r="E11" i="26" s="1"/>
  <c r="F11" i="26" s="1"/>
  <c r="D14" i="26"/>
  <c r="C19" i="26"/>
  <c r="E19" i="26" s="1"/>
  <c r="F19" i="26" s="1"/>
  <c r="D22" i="26"/>
  <c r="E22" i="26" s="1"/>
  <c r="F22" i="26" s="1"/>
  <c r="C27" i="26"/>
  <c r="E27" i="26" s="1"/>
  <c r="F27" i="26" s="1"/>
  <c r="D30" i="26"/>
  <c r="E33" i="26" l="1"/>
  <c r="F33" i="26" s="1"/>
  <c r="E17" i="26"/>
  <c r="F17" i="26" s="1"/>
  <c r="E10" i="26"/>
  <c r="F10" i="26" s="1"/>
  <c r="E15" i="26"/>
  <c r="F15" i="26" s="1"/>
  <c r="E25" i="26"/>
  <c r="F25" i="26" s="1"/>
  <c r="B2" i="27"/>
  <c r="B3" i="27"/>
  <c r="A4" i="27"/>
  <c r="B4" i="27" s="1"/>
  <c r="G8" i="19"/>
  <c r="C11" i="19"/>
  <c r="P3" i="8"/>
  <c r="P4" i="8"/>
  <c r="P5" i="8"/>
  <c r="P6" i="8"/>
  <c r="P7" i="8"/>
  <c r="P8" i="8"/>
  <c r="P9" i="8"/>
  <c r="P10" i="8"/>
  <c r="P11" i="8"/>
  <c r="P12" i="8"/>
  <c r="P13" i="8"/>
  <c r="P14" i="8"/>
  <c r="P15" i="8"/>
  <c r="P16" i="8"/>
  <c r="P2" i="8"/>
  <c r="E4" i="25"/>
  <c r="C4" i="25"/>
  <c r="C5" i="25" s="1"/>
  <c r="A4" i="25"/>
  <c r="A5" i="25" s="1"/>
  <c r="F3" i="25"/>
  <c r="E3" i="25"/>
  <c r="D3" i="25"/>
  <c r="G3" i="25" l="1"/>
  <c r="A5" i="27"/>
  <c r="D4" i="25"/>
  <c r="D5" i="25"/>
  <c r="A6" i="25"/>
  <c r="E5" i="25"/>
  <c r="F4" i="25"/>
  <c r="G4" i="25"/>
  <c r="C6" i="25"/>
  <c r="F5" i="25"/>
  <c r="G5" i="25" l="1"/>
  <c r="A6" i="27"/>
  <c r="B5" i="27"/>
  <c r="E6" i="25"/>
  <c r="D6" i="25"/>
  <c r="A7" i="25"/>
  <c r="C7" i="25"/>
  <c r="F6" i="25"/>
  <c r="A7" i="27" l="1"/>
  <c r="B6" i="27"/>
  <c r="D7" i="25"/>
  <c r="A8" i="25"/>
  <c r="G6" i="25"/>
  <c r="E7" i="25"/>
  <c r="F7" i="25"/>
  <c r="C8" i="25"/>
  <c r="A8" i="27" l="1"/>
  <c r="B8" i="27" s="1"/>
  <c r="B7" i="27"/>
  <c r="G7" i="25"/>
  <c r="E8" i="25"/>
  <c r="E9" i="25"/>
  <c r="D8" i="25"/>
  <c r="A9" i="25"/>
  <c r="D9" i="25" s="1"/>
  <c r="F8" i="25"/>
  <c r="C9" i="25"/>
  <c r="F9" i="25" s="1"/>
  <c r="B11" i="19"/>
  <c r="G9" i="25" l="1"/>
  <c r="G8" i="25"/>
  <c r="G12" i="24" l="1"/>
  <c r="F12" i="24"/>
  <c r="F17" i="24" s="1"/>
  <c r="E12" i="24"/>
  <c r="E16" i="24" s="1"/>
  <c r="E17" i="24" s="1"/>
  <c r="D12" i="24"/>
  <c r="D15" i="24" s="1"/>
  <c r="D16" i="24" s="1"/>
  <c r="D17" i="24" s="1"/>
  <c r="C12" i="24"/>
  <c r="C14" i="24" s="1"/>
  <c r="C15" i="24" s="1"/>
  <c r="C16" i="24" s="1"/>
  <c r="C17" i="24" s="1"/>
  <c r="B12" i="24"/>
  <c r="B13" i="24" s="1"/>
  <c r="B14" i="24" s="1"/>
  <c r="B15" i="24" s="1"/>
  <c r="B16" i="24" s="1"/>
  <c r="B17" i="24" s="1"/>
  <c r="C2" i="24"/>
  <c r="D2" i="24"/>
  <c r="E2" i="24"/>
  <c r="F2" i="24"/>
  <c r="G2" i="24"/>
  <c r="B2" i="24"/>
  <c r="F7" i="24"/>
  <c r="E6" i="24"/>
  <c r="E7" i="24" s="1"/>
  <c r="D5" i="24"/>
  <c r="D6" i="24" s="1"/>
  <c r="D7" i="24" s="1"/>
  <c r="C4" i="24"/>
  <c r="C5" i="24" s="1"/>
  <c r="C6" i="24" s="1"/>
  <c r="C7" i="24" s="1"/>
  <c r="B3" i="24"/>
  <c r="B4" i="24" s="1"/>
  <c r="B5" i="24" s="1"/>
  <c r="B6" i="24" s="1"/>
  <c r="B7" i="24" s="1"/>
  <c r="K4" i="21" l="1"/>
  <c r="K5" i="21"/>
  <c r="K6" i="21"/>
  <c r="K7" i="21"/>
  <c r="K8" i="21"/>
  <c r="K9" i="21"/>
  <c r="K10" i="21"/>
  <c r="K11" i="21"/>
  <c r="K12" i="21"/>
  <c r="K13" i="21"/>
  <c r="K3" i="21"/>
  <c r="F4" i="21"/>
  <c r="F5" i="21"/>
  <c r="F6" i="21"/>
  <c r="F7" i="21"/>
  <c r="F8" i="21"/>
  <c r="F9" i="21"/>
  <c r="F10" i="21"/>
  <c r="F11" i="21"/>
  <c r="F12" i="21"/>
  <c r="F3" i="21"/>
  <c r="B15" i="19" l="1"/>
  <c r="C15" i="19" s="1"/>
  <c r="B12" i="19"/>
  <c r="C12" i="19" s="1"/>
  <c r="B13" i="19"/>
  <c r="C13" i="19" s="1"/>
  <c r="B14" i="19"/>
  <c r="C14" i="19"/>
  <c r="U3" i="22" l="1"/>
  <c r="R4" i="22"/>
  <c r="R5" i="22"/>
  <c r="R6" i="22"/>
  <c r="R7" i="22"/>
  <c r="R8" i="22"/>
  <c r="R9" i="22"/>
  <c r="R10" i="22"/>
  <c r="R11" i="22"/>
  <c r="R12" i="22"/>
  <c r="R13" i="22"/>
  <c r="R14" i="22"/>
  <c r="R15" i="22"/>
  <c r="R16" i="22"/>
  <c r="R17" i="22"/>
  <c r="R18" i="22"/>
  <c r="R19" i="22"/>
  <c r="R20" i="22"/>
  <c r="R21" i="22"/>
  <c r="R22" i="22"/>
  <c r="R23" i="22"/>
  <c r="R24" i="22"/>
  <c r="R25" i="22"/>
  <c r="R26" i="22"/>
  <c r="R27" i="22"/>
  <c r="R28" i="22"/>
  <c r="R29" i="22"/>
  <c r="R30" i="22"/>
  <c r="R31" i="22"/>
  <c r="R32" i="22"/>
  <c r="R3" i="22"/>
  <c r="Q3" i="22"/>
  <c r="F26" i="22" l="1"/>
  <c r="F27" i="22" s="1"/>
  <c r="F28" i="22" s="1"/>
  <c r="F29" i="22" s="1"/>
  <c r="F30" i="22" s="1"/>
  <c r="F31" i="22" s="1"/>
  <c r="A17" i="22"/>
  <c r="A18" i="22" s="1"/>
  <c r="A19" i="22" s="1"/>
  <c r="A20" i="22" s="1"/>
  <c r="A21" i="22" s="1"/>
  <c r="A22" i="22" s="1"/>
  <c r="A23" i="22" s="1"/>
  <c r="A24" i="22" s="1"/>
  <c r="A25" i="22" s="1"/>
  <c r="A26" i="22" s="1"/>
  <c r="A27" i="22" s="1"/>
  <c r="A28" i="22" s="1"/>
  <c r="A29" i="22" s="1"/>
  <c r="A30" i="22" s="1"/>
  <c r="A31" i="22" s="1"/>
  <c r="A32" i="22" s="1"/>
  <c r="K27" i="22" l="1"/>
  <c r="K28" i="22" s="1"/>
  <c r="K4" i="22"/>
  <c r="K5" i="22" s="1"/>
  <c r="K6" i="22" s="1"/>
  <c r="K7" i="22" s="1"/>
  <c r="K8" i="22" s="1"/>
  <c r="K9" i="22" s="1"/>
  <c r="K10" i="22" s="1"/>
  <c r="K11" i="22" s="1"/>
  <c r="K12" i="22" s="1"/>
  <c r="K13" i="22" s="1"/>
  <c r="K14" i="22" s="1"/>
  <c r="K15" i="22" s="1"/>
  <c r="K16" i="22" s="1"/>
  <c r="K17" i="22" s="1"/>
  <c r="K18" i="22" s="1"/>
  <c r="K19" i="22" s="1"/>
  <c r="F4" i="22"/>
  <c r="F5" i="22" s="1"/>
  <c r="F6" i="22" s="1"/>
  <c r="F7" i="22" s="1"/>
  <c r="F8" i="22" s="1"/>
  <c r="F9" i="22" s="1"/>
  <c r="F10" i="22" s="1"/>
  <c r="F11" i="22" s="1"/>
  <c r="F12" i="22" s="1"/>
  <c r="K20" i="22" l="1"/>
  <c r="L19" i="22"/>
  <c r="M19" i="22" s="1"/>
  <c r="F13" i="22"/>
  <c r="F14" i="22" s="1"/>
  <c r="F15" i="22" s="1"/>
  <c r="F16" i="22" s="1"/>
  <c r="F17" i="22" s="1"/>
  <c r="F18" i="22" s="1"/>
  <c r="F19" i="22" s="1"/>
  <c r="L28" i="22"/>
  <c r="M28" i="22" s="1"/>
  <c r="K29" i="22"/>
  <c r="P19" i="22"/>
  <c r="B19" i="22"/>
  <c r="C19" i="22" s="1"/>
  <c r="K21" i="22" l="1"/>
  <c r="L20" i="22"/>
  <c r="M20" i="22" s="1"/>
  <c r="G19" i="22"/>
  <c r="H19" i="22" s="1"/>
  <c r="F20" i="22"/>
  <c r="Q19" i="22"/>
  <c r="K30" i="22"/>
  <c r="L29" i="22"/>
  <c r="M29" i="22" s="1"/>
  <c r="B20" i="22"/>
  <c r="G25" i="22"/>
  <c r="G20" i="22" l="1"/>
  <c r="H20" i="22" s="1"/>
  <c r="F21" i="22"/>
  <c r="L21" i="22"/>
  <c r="M21" i="22" s="1"/>
  <c r="K22" i="22"/>
  <c r="P20" i="22"/>
  <c r="K31" i="22"/>
  <c r="L30" i="22"/>
  <c r="M30" i="22" s="1"/>
  <c r="B21" i="22"/>
  <c r="P21" i="22"/>
  <c r="C20" i="22"/>
  <c r="Q20" i="22"/>
  <c r="H25" i="22"/>
  <c r="G26" i="22"/>
  <c r="K23" i="22" l="1"/>
  <c r="L22" i="22"/>
  <c r="M22" i="22" s="1"/>
  <c r="F22" i="22"/>
  <c r="G21" i="22"/>
  <c r="H21" i="22" s="1"/>
  <c r="G28" i="22"/>
  <c r="H28" i="22" s="1"/>
  <c r="K32" i="22"/>
  <c r="L32" i="22" s="1"/>
  <c r="M32" i="22" s="1"/>
  <c r="L31" i="22"/>
  <c r="M31" i="22" s="1"/>
  <c r="B22" i="22"/>
  <c r="P22" i="22"/>
  <c r="C21" i="22"/>
  <c r="Q21" i="22"/>
  <c r="G27" i="22"/>
  <c r="H26" i="22"/>
  <c r="L26" i="22"/>
  <c r="M26" i="22" s="1"/>
  <c r="L27" i="22"/>
  <c r="M27" i="22" s="1"/>
  <c r="G22" i="22" l="1"/>
  <c r="H22" i="22" s="1"/>
  <c r="F23" i="22"/>
  <c r="L23" i="22"/>
  <c r="M23" i="22" s="1"/>
  <c r="K24" i="22"/>
  <c r="G29" i="22"/>
  <c r="H29" i="22" s="1"/>
  <c r="B23" i="22"/>
  <c r="P23" i="22"/>
  <c r="C22" i="22"/>
  <c r="Q22" i="22"/>
  <c r="H27" i="22"/>
  <c r="G23" i="22" l="1"/>
  <c r="H23" i="22" s="1"/>
  <c r="F24" i="22"/>
  <c r="G24" i="22" s="1"/>
  <c r="H24" i="22" s="1"/>
  <c r="L24" i="22"/>
  <c r="M24" i="22" s="1"/>
  <c r="K25" i="22"/>
  <c r="L25" i="22" s="1"/>
  <c r="M25" i="22" s="1"/>
  <c r="G30" i="22"/>
  <c r="H30" i="22" s="1"/>
  <c r="C23" i="22"/>
  <c r="Q23" i="22"/>
  <c r="B24" i="22"/>
  <c r="P24" i="22"/>
  <c r="G31" i="22" l="1"/>
  <c r="H31" i="22" s="1"/>
  <c r="G32" i="22"/>
  <c r="H32" i="22" s="1"/>
  <c r="B25" i="22"/>
  <c r="P25" i="22"/>
  <c r="C24" i="22"/>
  <c r="Q24" i="22"/>
  <c r="C25" i="22" l="1"/>
  <c r="Q25" i="22"/>
  <c r="B26" i="22"/>
  <c r="P26" i="22"/>
  <c r="B27" i="22" l="1"/>
  <c r="P27" i="22"/>
  <c r="C26" i="22"/>
  <c r="Q26" i="22"/>
  <c r="C27" i="22" l="1"/>
  <c r="Q27" i="22"/>
  <c r="B28" i="22"/>
  <c r="P28" i="22"/>
  <c r="C28" i="22" l="1"/>
  <c r="Q28" i="22"/>
  <c r="B29" i="22"/>
  <c r="P29" i="22"/>
  <c r="C29" i="22" l="1"/>
  <c r="Q29" i="22"/>
  <c r="B30" i="22"/>
  <c r="P30" i="22"/>
  <c r="B31" i="22" l="1"/>
  <c r="P31" i="22"/>
  <c r="C30" i="22"/>
  <c r="Q30" i="22"/>
  <c r="C31" i="22" l="1"/>
  <c r="Q31" i="22"/>
  <c r="B32" i="22"/>
  <c r="P32" i="22"/>
  <c r="C32" i="22" l="1"/>
  <c r="Q32" i="22"/>
  <c r="X17" i="22" l="1"/>
  <c r="AA6" i="22"/>
  <c r="AA7" i="22" s="1"/>
  <c r="B2" i="16"/>
  <c r="X18" i="22" l="1"/>
  <c r="AB6" i="22"/>
  <c r="AB7" i="22" s="1"/>
  <c r="V12" i="22" s="1"/>
  <c r="AC6" i="22"/>
  <c r="AC7" i="22" s="1"/>
  <c r="V32" i="22" s="1"/>
  <c r="Q3" i="16"/>
  <c r="Q4" i="16"/>
  <c r="Q5" i="16"/>
  <c r="Q6" i="16"/>
  <c r="Q7" i="16"/>
  <c r="Q2" i="16"/>
  <c r="V24" i="22" l="1"/>
  <c r="V27" i="22"/>
  <c r="V25" i="22"/>
  <c r="V23" i="22"/>
  <c r="V26" i="22"/>
  <c r="V31" i="22"/>
  <c r="V22" i="22"/>
  <c r="V20" i="22"/>
  <c r="V19" i="22"/>
  <c r="V30" i="22"/>
  <c r="V29" i="22"/>
  <c r="V28" i="22"/>
  <c r="V21" i="22"/>
  <c r="X19" i="22"/>
  <c r="AD7" i="22"/>
  <c r="X2" i="22" s="1"/>
  <c r="Y16" i="22" s="1"/>
  <c r="Y17" i="22" l="1"/>
  <c r="Y18" i="22"/>
  <c r="Y19" i="22"/>
  <c r="X20" i="22"/>
  <c r="Y20" i="22" s="1"/>
  <c r="B3" i="22"/>
  <c r="C3" i="22" s="1"/>
  <c r="X21" i="22" l="1"/>
  <c r="Y21" i="22" s="1"/>
  <c r="B4" i="22"/>
  <c r="C4" i="22" s="1"/>
  <c r="G3" i="22"/>
  <c r="H3" i="22" s="1"/>
  <c r="V3" i="22"/>
  <c r="L3" i="22"/>
  <c r="D3" i="22"/>
  <c r="E3" i="22" s="1"/>
  <c r="P4" i="22"/>
  <c r="L4" i="22"/>
  <c r="P3" i="22"/>
  <c r="K10" i="11"/>
  <c r="F10" i="11"/>
  <c r="M3" i="22" l="1"/>
  <c r="N3" i="22"/>
  <c r="O3" i="22" s="1"/>
  <c r="X22" i="22"/>
  <c r="Y22" i="22" s="1"/>
  <c r="I3" i="22"/>
  <c r="J3" i="22" s="1"/>
  <c r="V4" i="22"/>
  <c r="M4" i="22"/>
  <c r="G4" i="22"/>
  <c r="H4" i="22" s="1"/>
  <c r="B5" i="22"/>
  <c r="C5" i="22" s="1"/>
  <c r="L5" i="22"/>
  <c r="M5" i="22" s="1"/>
  <c r="H22" i="18"/>
  <c r="X23" i="22" l="1"/>
  <c r="Y23" i="22" s="1"/>
  <c r="S3" i="22"/>
  <c r="I4" i="22" s="1"/>
  <c r="T3" i="22"/>
  <c r="P5" i="22"/>
  <c r="V6" i="22"/>
  <c r="V5" i="22"/>
  <c r="G5" i="22"/>
  <c r="H5" i="22" s="1"/>
  <c r="Q4" i="22"/>
  <c r="V7" i="22"/>
  <c r="B6" i="22"/>
  <c r="C6" i="22" s="1"/>
  <c r="L6" i="22"/>
  <c r="G6" i="22"/>
  <c r="P6" i="22"/>
  <c r="M4" i="18"/>
  <c r="D4" i="22" l="1"/>
  <c r="N4" i="22"/>
  <c r="X24" i="22"/>
  <c r="Y24" i="22" s="1"/>
  <c r="Q5" i="22"/>
  <c r="M6" i="22"/>
  <c r="B7" i="22"/>
  <c r="C7" i="22" s="1"/>
  <c r="L7" i="22"/>
  <c r="P7" i="22"/>
  <c r="G7" i="22"/>
  <c r="H6" i="22"/>
  <c r="Q6" i="22"/>
  <c r="F3" i="15"/>
  <c r="G3" i="15" s="1"/>
  <c r="F2" i="17"/>
  <c r="G2" i="17" s="1"/>
  <c r="B4" i="14"/>
  <c r="B3" i="12"/>
  <c r="C3" i="12"/>
  <c r="B4" i="12"/>
  <c r="C4" i="12"/>
  <c r="B5" i="12"/>
  <c r="C5" i="12"/>
  <c r="B6" i="12"/>
  <c r="C6" i="12"/>
  <c r="B7" i="12"/>
  <c r="C7" i="12"/>
  <c r="B8" i="12"/>
  <c r="C8" i="12"/>
  <c r="B9" i="12"/>
  <c r="C9" i="12"/>
  <c r="C2" i="12"/>
  <c r="B2" i="12"/>
  <c r="Q3" i="21"/>
  <c r="X25" i="22" l="1"/>
  <c r="Y25" i="22" s="1"/>
  <c r="V8" i="22"/>
  <c r="M7" i="22"/>
  <c r="B8" i="22"/>
  <c r="C8" i="22" s="1"/>
  <c r="L8" i="22"/>
  <c r="H7" i="22"/>
  <c r="Q7" i="22"/>
  <c r="P8" i="22"/>
  <c r="G8" i="22"/>
  <c r="E24" i="21"/>
  <c r="G24" i="21" s="1"/>
  <c r="I24" i="21" s="1"/>
  <c r="F24" i="21"/>
  <c r="E23" i="21"/>
  <c r="C23" i="21"/>
  <c r="D23" i="21" s="1"/>
  <c r="E22" i="21"/>
  <c r="G22" i="21" s="1"/>
  <c r="I22" i="21" s="1"/>
  <c r="C22" i="21"/>
  <c r="D22" i="21" s="1"/>
  <c r="F22" i="21"/>
  <c r="E21" i="21"/>
  <c r="H21" i="21"/>
  <c r="J21" i="21" s="1"/>
  <c r="E20" i="21"/>
  <c r="G20" i="21" s="1"/>
  <c r="I20" i="21" s="1"/>
  <c r="F20" i="21"/>
  <c r="E19" i="21"/>
  <c r="G19" i="21" s="1"/>
  <c r="I19" i="21" s="1"/>
  <c r="C19" i="21"/>
  <c r="D19" i="21" s="1"/>
  <c r="F19" i="21"/>
  <c r="E18" i="21"/>
  <c r="G18" i="21" s="1"/>
  <c r="I18" i="21" s="1"/>
  <c r="F18" i="21"/>
  <c r="H17" i="21"/>
  <c r="J17" i="21" s="1"/>
  <c r="E17" i="21"/>
  <c r="C17" i="21"/>
  <c r="D17" i="21" s="1"/>
  <c r="E16" i="21"/>
  <c r="G16" i="21" s="1"/>
  <c r="I16" i="21" s="1"/>
  <c r="F16" i="21"/>
  <c r="E15" i="21"/>
  <c r="G15" i="21" s="1"/>
  <c r="I15" i="21" s="1"/>
  <c r="F15" i="21"/>
  <c r="H14" i="21"/>
  <c r="J14" i="21" s="1"/>
  <c r="E14" i="21"/>
  <c r="G14" i="21" s="1"/>
  <c r="I14" i="21" s="1"/>
  <c r="F14" i="21"/>
  <c r="R3" i="21"/>
  <c r="E5" i="21"/>
  <c r="E6" i="21"/>
  <c r="E7" i="21"/>
  <c r="E8" i="21"/>
  <c r="E9" i="21"/>
  <c r="E10" i="21"/>
  <c r="E11" i="21"/>
  <c r="E12" i="21"/>
  <c r="E13" i="21"/>
  <c r="E3" i="21"/>
  <c r="E4" i="21"/>
  <c r="X26" i="22" l="1"/>
  <c r="Y26" i="22" s="1"/>
  <c r="V9" i="22"/>
  <c r="M8" i="22"/>
  <c r="B9" i="22"/>
  <c r="C9" i="22" s="1"/>
  <c r="L9" i="22"/>
  <c r="P9" i="22"/>
  <c r="G9" i="22"/>
  <c r="H8" i="22"/>
  <c r="Q8" i="22"/>
  <c r="H18" i="21"/>
  <c r="J18" i="21" s="1"/>
  <c r="H22" i="21"/>
  <c r="J22" i="21" s="1"/>
  <c r="C24" i="21"/>
  <c r="D24" i="21" s="1"/>
  <c r="C15" i="21"/>
  <c r="D15" i="21" s="1"/>
  <c r="C18" i="21"/>
  <c r="D18" i="21" s="1"/>
  <c r="C14" i="21"/>
  <c r="D14" i="21" s="1"/>
  <c r="H15" i="21"/>
  <c r="J15" i="21" s="1"/>
  <c r="C16" i="21"/>
  <c r="D16" i="21" s="1"/>
  <c r="F17" i="21"/>
  <c r="G17" i="21" s="1"/>
  <c r="I17" i="21" s="1"/>
  <c r="H19" i="21"/>
  <c r="J19" i="21" s="1"/>
  <c r="C20" i="21"/>
  <c r="D20" i="21" s="1"/>
  <c r="F21" i="21"/>
  <c r="G21" i="21" s="1"/>
  <c r="I21" i="21" s="1"/>
  <c r="H23" i="21"/>
  <c r="J23" i="21" s="1"/>
  <c r="H16" i="21"/>
  <c r="J16" i="21" s="1"/>
  <c r="H20" i="21"/>
  <c r="J20" i="21" s="1"/>
  <c r="C21" i="21"/>
  <c r="D21" i="21" s="1"/>
  <c r="H24" i="21"/>
  <c r="J24" i="21" s="1"/>
  <c r="F23" i="21"/>
  <c r="G23" i="21" s="1"/>
  <c r="I23" i="21" s="1"/>
  <c r="B13" i="21"/>
  <c r="B3" i="13"/>
  <c r="B12" i="21"/>
  <c r="B11" i="21"/>
  <c r="B10" i="21"/>
  <c r="B9" i="21"/>
  <c r="B8" i="21"/>
  <c r="B7" i="21"/>
  <c r="B6" i="21"/>
  <c r="B5" i="21"/>
  <c r="B4" i="21"/>
  <c r="B3" i="21"/>
  <c r="X27" i="22" l="1"/>
  <c r="Y27" i="22" s="1"/>
  <c r="V10" i="22"/>
  <c r="M9" i="22"/>
  <c r="B10" i="22"/>
  <c r="C10" i="22" s="1"/>
  <c r="L10" i="22"/>
  <c r="H9" i="22"/>
  <c r="Q9" i="22"/>
  <c r="P10" i="22"/>
  <c r="G10" i="22"/>
  <c r="H7" i="21"/>
  <c r="J7" i="21" s="1"/>
  <c r="G7" i="21"/>
  <c r="I7" i="21" s="1"/>
  <c r="F13" i="21"/>
  <c r="G13" i="21" s="1"/>
  <c r="I13" i="21" s="1"/>
  <c r="H13" i="21"/>
  <c r="J13" i="21" s="1"/>
  <c r="J9" i="21"/>
  <c r="G9" i="21"/>
  <c r="I9" i="21" s="1"/>
  <c r="H9" i="21"/>
  <c r="C10" i="21"/>
  <c r="D10" i="21" s="1"/>
  <c r="G10" i="21"/>
  <c r="I10" i="21" s="1"/>
  <c r="H10" i="21"/>
  <c r="J8" i="21"/>
  <c r="G8" i="21"/>
  <c r="I8" i="21" s="1"/>
  <c r="H8" i="21"/>
  <c r="C3" i="21"/>
  <c r="D3" i="21" s="1"/>
  <c r="H3" i="21"/>
  <c r="G3" i="21"/>
  <c r="G11" i="21"/>
  <c r="I11" i="21" s="1"/>
  <c r="H11" i="21"/>
  <c r="J11" i="21" s="1"/>
  <c r="H6" i="21"/>
  <c r="J6" i="21" s="1"/>
  <c r="G6" i="21"/>
  <c r="I6" i="21" s="1"/>
  <c r="C4" i="21"/>
  <c r="D4" i="21" s="1"/>
  <c r="G4" i="21"/>
  <c r="I4" i="21" s="1"/>
  <c r="H4" i="21"/>
  <c r="C12" i="21"/>
  <c r="D12" i="21" s="1"/>
  <c r="G12" i="21"/>
  <c r="I12" i="21" s="1"/>
  <c r="H12" i="21"/>
  <c r="J12" i="21" s="1"/>
  <c r="H5" i="21"/>
  <c r="J5" i="21" s="1"/>
  <c r="G5" i="21"/>
  <c r="I5" i="21" s="1"/>
  <c r="C9" i="21"/>
  <c r="D9" i="21" s="1"/>
  <c r="J4" i="21"/>
  <c r="C11" i="21"/>
  <c r="D11" i="21" s="1"/>
  <c r="J10" i="21"/>
  <c r="J3" i="21"/>
  <c r="C7" i="21"/>
  <c r="D7" i="21" s="1"/>
  <c r="C6" i="21"/>
  <c r="D6" i="21" s="1"/>
  <c r="C5" i="21"/>
  <c r="D5" i="21" s="1"/>
  <c r="C13" i="21"/>
  <c r="D13" i="21" s="1"/>
  <c r="C8" i="21"/>
  <c r="D8" i="21" s="1"/>
  <c r="F3" i="17"/>
  <c r="F4" i="17"/>
  <c r="F4" i="15"/>
  <c r="G4" i="15" s="1"/>
  <c r="C4" i="14"/>
  <c r="I3" i="21" l="1"/>
  <c r="X28" i="22"/>
  <c r="Y28" i="22" s="1"/>
  <c r="V11" i="22"/>
  <c r="M10" i="22"/>
  <c r="B11" i="22"/>
  <c r="C11" i="22" s="1"/>
  <c r="L11" i="22"/>
  <c r="P11" i="22"/>
  <c r="G11" i="22"/>
  <c r="H10" i="22"/>
  <c r="Q10" i="22"/>
  <c r="G3" i="19"/>
  <c r="M11" i="22" l="1"/>
  <c r="B12" i="22"/>
  <c r="C12" i="22" s="1"/>
  <c r="L12" i="22"/>
  <c r="H11" i="22"/>
  <c r="Q11" i="22"/>
  <c r="P12" i="22"/>
  <c r="G12" i="22"/>
  <c r="B7" i="19"/>
  <c r="D15" i="19" s="1"/>
  <c r="B3" i="19"/>
  <c r="D11" i="19" s="1"/>
  <c r="B6" i="19"/>
  <c r="D14" i="19" s="1"/>
  <c r="B5" i="19"/>
  <c r="D13" i="19" s="1"/>
  <c r="B4" i="19"/>
  <c r="D12" i="19" s="1"/>
  <c r="V13" i="22" l="1"/>
  <c r="M12" i="22"/>
  <c r="B13" i="22"/>
  <c r="C13" i="22" s="1"/>
  <c r="L13" i="22"/>
  <c r="H12" i="22"/>
  <c r="Q12" i="22"/>
  <c r="P13" i="22"/>
  <c r="G13" i="22"/>
  <c r="G4" i="14"/>
  <c r="G7" i="14"/>
  <c r="G8" i="14"/>
  <c r="G9" i="14"/>
  <c r="G10" i="14"/>
  <c r="G22" i="14" s="1"/>
  <c r="G11" i="14"/>
  <c r="G12" i="14"/>
  <c r="G13" i="14"/>
  <c r="G14" i="14"/>
  <c r="G15" i="14"/>
  <c r="G16" i="14"/>
  <c r="G17" i="14"/>
  <c r="G18" i="14"/>
  <c r="G19" i="14"/>
  <c r="G20" i="14"/>
  <c r="G21" i="14"/>
  <c r="C21" i="14"/>
  <c r="D21" i="14"/>
  <c r="E21" i="14"/>
  <c r="F21" i="14"/>
  <c r="C20" i="14"/>
  <c r="D20" i="14"/>
  <c r="E20" i="14"/>
  <c r="F20" i="14"/>
  <c r="C19" i="14"/>
  <c r="D19" i="14"/>
  <c r="E19" i="14"/>
  <c r="F19" i="14"/>
  <c r="C18" i="14"/>
  <c r="D18" i="14"/>
  <c r="E18" i="14"/>
  <c r="F18" i="14"/>
  <c r="V14" i="22" l="1"/>
  <c r="M13" i="22"/>
  <c r="B14" i="22"/>
  <c r="C14" i="22" s="1"/>
  <c r="L14" i="22"/>
  <c r="P14" i="22"/>
  <c r="G14" i="22"/>
  <c r="H13" i="22"/>
  <c r="Q13" i="22"/>
  <c r="AB20" i="3"/>
  <c r="AB19" i="3"/>
  <c r="V15" i="22" l="1"/>
  <c r="M14" i="22"/>
  <c r="B15" i="22"/>
  <c r="C15" i="22" s="1"/>
  <c r="L15" i="22"/>
  <c r="P15" i="22"/>
  <c r="G15" i="22"/>
  <c r="H14" i="22"/>
  <c r="Q14" i="22"/>
  <c r="L5" i="18"/>
  <c r="L6" i="18" s="1"/>
  <c r="L7" i="18" s="1"/>
  <c r="L8" i="18" s="1"/>
  <c r="L9" i="18" s="1"/>
  <c r="V16" i="22" l="1"/>
  <c r="M15" i="22"/>
  <c r="B16" i="22"/>
  <c r="L16" i="22"/>
  <c r="H15" i="22"/>
  <c r="Q15" i="22"/>
  <c r="P16" i="22"/>
  <c r="G16" i="22"/>
  <c r="L10" i="18"/>
  <c r="M9" i="18"/>
  <c r="C16" i="22" l="1"/>
  <c r="D16" i="22"/>
  <c r="V17" i="22"/>
  <c r="M16" i="22"/>
  <c r="B17" i="22"/>
  <c r="C17" i="22" s="1"/>
  <c r="L18" i="22"/>
  <c r="L17" i="22"/>
  <c r="P17" i="22"/>
  <c r="G17" i="22"/>
  <c r="H16" i="22"/>
  <c r="Q16" i="22"/>
  <c r="L11" i="18"/>
  <c r="M10" i="18"/>
  <c r="M5" i="18"/>
  <c r="B18" i="22" l="1"/>
  <c r="C18" i="22" s="1"/>
  <c r="V18" i="22"/>
  <c r="M17" i="22"/>
  <c r="M18" i="22"/>
  <c r="G18" i="22"/>
  <c r="P18" i="22"/>
  <c r="H17" i="22"/>
  <c r="Q17" i="22"/>
  <c r="L12" i="18"/>
  <c r="M11" i="18"/>
  <c r="M6" i="18"/>
  <c r="B5" i="18"/>
  <c r="B4" i="18"/>
  <c r="A6" i="18"/>
  <c r="A7" i="18" s="1"/>
  <c r="B7" i="18" s="1"/>
  <c r="A5" i="18"/>
  <c r="H18" i="22" l="1"/>
  <c r="Q18" i="22"/>
  <c r="B6" i="18"/>
  <c r="L13" i="18"/>
  <c r="M12" i="18"/>
  <c r="M7" i="18"/>
  <c r="M8" i="18"/>
  <c r="A8" i="18"/>
  <c r="B8" i="18" s="1"/>
  <c r="L14" i="18" l="1"/>
  <c r="M13" i="18"/>
  <c r="A9" i="18"/>
  <c r="B9" i="18" s="1"/>
  <c r="L15" i="18" l="1"/>
  <c r="M14" i="18"/>
  <c r="A10" i="18"/>
  <c r="B10" i="18" s="1"/>
  <c r="L16" i="18" l="1"/>
  <c r="M15" i="18"/>
  <c r="A11" i="18"/>
  <c r="B11" i="18" s="1"/>
  <c r="L17" i="18" l="1"/>
  <c r="M16" i="18"/>
  <c r="A12" i="18"/>
  <c r="B12" i="18" s="1"/>
  <c r="C7" i="14"/>
  <c r="L18" i="18" l="1"/>
  <c r="M17" i="18"/>
  <c r="A13" i="18"/>
  <c r="B13" i="18" s="1"/>
  <c r="L19" i="18" l="1"/>
  <c r="M18" i="18"/>
  <c r="A14" i="18"/>
  <c r="E7" i="14"/>
  <c r="F7" i="14"/>
  <c r="E8" i="14"/>
  <c r="F8" i="14"/>
  <c r="E9" i="14"/>
  <c r="F9" i="14"/>
  <c r="E10" i="14"/>
  <c r="F10" i="14"/>
  <c r="E11" i="14"/>
  <c r="F11" i="14"/>
  <c r="E12" i="14"/>
  <c r="F12" i="14"/>
  <c r="E13" i="14"/>
  <c r="F13" i="14"/>
  <c r="E14" i="14"/>
  <c r="F14" i="14"/>
  <c r="E15" i="14"/>
  <c r="F15" i="14"/>
  <c r="E16" i="14"/>
  <c r="F16" i="14"/>
  <c r="E17" i="14"/>
  <c r="F17" i="14"/>
  <c r="D8" i="14"/>
  <c r="D9" i="14"/>
  <c r="D10" i="14"/>
  <c r="D22" i="14" s="1"/>
  <c r="D11" i="14"/>
  <c r="D12" i="14"/>
  <c r="D13" i="14"/>
  <c r="D14" i="14"/>
  <c r="D15" i="14"/>
  <c r="D16" i="14"/>
  <c r="D17" i="14"/>
  <c r="D7" i="14"/>
  <c r="E4" i="14"/>
  <c r="F4" i="14"/>
  <c r="D4" i="14"/>
  <c r="F22" i="14" l="1"/>
  <c r="A15" i="18"/>
  <c r="B15" i="18" s="1"/>
  <c r="B14" i="18"/>
  <c r="L20" i="18"/>
  <c r="M19" i="18"/>
  <c r="E22" i="14"/>
  <c r="L21" i="18" l="1"/>
  <c r="M20" i="18"/>
  <c r="A16" i="18"/>
  <c r="B16" i="18" s="1"/>
  <c r="F5" i="15"/>
  <c r="G5" i="15" s="1"/>
  <c r="F6" i="15"/>
  <c r="G6" i="15" s="1"/>
  <c r="F7" i="15"/>
  <c r="G7" i="15" s="1"/>
  <c r="F8" i="15"/>
  <c r="G8" i="15" s="1"/>
  <c r="F9" i="15"/>
  <c r="G9" i="15" s="1"/>
  <c r="F10" i="15"/>
  <c r="G10" i="15" s="1"/>
  <c r="F11" i="15"/>
  <c r="G11" i="15" s="1"/>
  <c r="F12" i="15"/>
  <c r="G12" i="15" s="1"/>
  <c r="F13" i="15"/>
  <c r="G13" i="15" s="1"/>
  <c r="G3" i="17"/>
  <c r="G4" i="17"/>
  <c r="F5" i="17"/>
  <c r="G5" i="17" s="1"/>
  <c r="F6" i="17"/>
  <c r="G6" i="17" s="1"/>
  <c r="F7" i="17"/>
  <c r="G7" i="17" s="1"/>
  <c r="F8" i="17"/>
  <c r="G8" i="17" s="1"/>
  <c r="F9" i="17"/>
  <c r="G9" i="17" s="1"/>
  <c r="F10" i="17"/>
  <c r="G10" i="17" s="1"/>
  <c r="F11" i="17"/>
  <c r="G11" i="17" s="1"/>
  <c r="F12" i="17"/>
  <c r="G12" i="17" s="1"/>
  <c r="L22" i="18" l="1"/>
  <c r="M21" i="18"/>
  <c r="A17" i="18"/>
  <c r="M22" i="18" l="1"/>
  <c r="L23" i="18"/>
  <c r="A18" i="18"/>
  <c r="B17" i="18"/>
  <c r="C17" i="14"/>
  <c r="A3" i="16"/>
  <c r="B3" i="16" s="1"/>
  <c r="C16" i="14"/>
  <c r="C15" i="14"/>
  <c r="C14" i="14"/>
  <c r="C13" i="14"/>
  <c r="C12" i="14"/>
  <c r="C11" i="14"/>
  <c r="C10" i="14"/>
  <c r="C9" i="14"/>
  <c r="C8" i="14"/>
  <c r="H3" i="8"/>
  <c r="H4" i="8"/>
  <c r="J4" i="8" s="1"/>
  <c r="H5" i="8"/>
  <c r="H6" i="8"/>
  <c r="H7" i="8"/>
  <c r="H8" i="8"/>
  <c r="H9" i="8"/>
  <c r="H10" i="8"/>
  <c r="H11" i="8"/>
  <c r="H12" i="8"/>
  <c r="H13" i="8"/>
  <c r="H14" i="8"/>
  <c r="H15" i="8"/>
  <c r="H16" i="8"/>
  <c r="H2" i="8"/>
  <c r="B4" i="13"/>
  <c r="B5" i="13"/>
  <c r="B6" i="13"/>
  <c r="B7" i="13"/>
  <c r="B8" i="13"/>
  <c r="B9" i="13"/>
  <c r="B10" i="13"/>
  <c r="B11" i="13"/>
  <c r="B12" i="13"/>
  <c r="B2" i="13"/>
  <c r="A13" i="13"/>
  <c r="B13" i="13" s="1"/>
  <c r="B7" i="11"/>
  <c r="G11" i="11" s="1"/>
  <c r="E19" i="11"/>
  <c r="D19" i="11"/>
  <c r="A19" i="11"/>
  <c r="C19" i="11" s="1"/>
  <c r="E18" i="11"/>
  <c r="D18" i="11"/>
  <c r="A18" i="11"/>
  <c r="C18" i="11"/>
  <c r="E17" i="11"/>
  <c r="D17" i="11"/>
  <c r="A17" i="11"/>
  <c r="H17" i="11" s="1"/>
  <c r="E16" i="11"/>
  <c r="D16" i="11"/>
  <c r="A16" i="11"/>
  <c r="C16" i="11" s="1"/>
  <c r="E15" i="11"/>
  <c r="D15" i="11"/>
  <c r="A15" i="11"/>
  <c r="C15" i="11" s="1"/>
  <c r="H15" i="11"/>
  <c r="E14" i="11"/>
  <c r="D14" i="11"/>
  <c r="A14" i="11"/>
  <c r="H14" i="11" s="1"/>
  <c r="E13" i="11"/>
  <c r="D13" i="11"/>
  <c r="A13" i="11"/>
  <c r="H13" i="11" s="1"/>
  <c r="E12" i="11"/>
  <c r="D12" i="11"/>
  <c r="A12" i="11"/>
  <c r="C12" i="11" s="1"/>
  <c r="E11" i="11"/>
  <c r="D11" i="11"/>
  <c r="A11" i="11"/>
  <c r="C11" i="11" s="1"/>
  <c r="E10" i="11"/>
  <c r="D10" i="11"/>
  <c r="A10" i="11"/>
  <c r="C10" i="11" s="1"/>
  <c r="I18" i="11"/>
  <c r="L18" i="11"/>
  <c r="H10" i="11"/>
  <c r="H18" i="11"/>
  <c r="C13" i="11"/>
  <c r="I13" i="11" s="1"/>
  <c r="C17" i="11"/>
  <c r="I17" i="11" s="1"/>
  <c r="N2" i="8"/>
  <c r="U11" i="8"/>
  <c r="AB11" i="3"/>
  <c r="N3" i="8"/>
  <c r="N4" i="8"/>
  <c r="N5" i="8"/>
  <c r="N6" i="8"/>
  <c r="N7" i="8"/>
  <c r="N8" i="8"/>
  <c r="N9" i="8"/>
  <c r="N10" i="8"/>
  <c r="N11" i="8"/>
  <c r="N12" i="8"/>
  <c r="N13" i="8"/>
  <c r="N14" i="8"/>
  <c r="N15" i="8"/>
  <c r="N16" i="8"/>
  <c r="B3" i="8"/>
  <c r="D3" i="8" s="1"/>
  <c r="F3" i="8" s="1"/>
  <c r="B4" i="8"/>
  <c r="C4" i="8" s="1"/>
  <c r="E4" i="8" s="1"/>
  <c r="B5" i="8"/>
  <c r="C5" i="8" s="1"/>
  <c r="E5" i="8" s="1"/>
  <c r="B6" i="8"/>
  <c r="B7" i="8"/>
  <c r="D7" i="8" s="1"/>
  <c r="F7" i="8" s="1"/>
  <c r="B8" i="8"/>
  <c r="D8" i="8"/>
  <c r="F8" i="8" s="1"/>
  <c r="B9" i="8"/>
  <c r="C9" i="8" s="1"/>
  <c r="E9" i="8" s="1"/>
  <c r="B10" i="8"/>
  <c r="D10" i="8"/>
  <c r="F10" i="8" s="1"/>
  <c r="B11" i="8"/>
  <c r="D11" i="8" s="1"/>
  <c r="F11" i="8" s="1"/>
  <c r="B12" i="8"/>
  <c r="C12" i="8" s="1"/>
  <c r="E12" i="8" s="1"/>
  <c r="B13" i="8"/>
  <c r="D13" i="8" s="1"/>
  <c r="F13" i="8" s="1"/>
  <c r="B14" i="8"/>
  <c r="D14" i="8" s="1"/>
  <c r="F14" i="8" s="1"/>
  <c r="B15" i="8"/>
  <c r="D15" i="8" s="1"/>
  <c r="F15" i="8" s="1"/>
  <c r="B16" i="8"/>
  <c r="D16" i="8" s="1"/>
  <c r="F16" i="8" s="1"/>
  <c r="B2" i="8"/>
  <c r="D2" i="8"/>
  <c r="F2" i="8" s="1"/>
  <c r="C2" i="8"/>
  <c r="E2" i="8" s="1"/>
  <c r="C10" i="8"/>
  <c r="E10" i="8"/>
  <c r="C15" i="8"/>
  <c r="E15" i="8" s="1"/>
  <c r="C8" i="8"/>
  <c r="E8" i="8"/>
  <c r="G3" i="3"/>
  <c r="G4" i="3"/>
  <c r="G5" i="3"/>
  <c r="G6" i="3"/>
  <c r="G7" i="3"/>
  <c r="G8" i="3"/>
  <c r="G9" i="3"/>
  <c r="G10" i="3"/>
  <c r="G11" i="3"/>
  <c r="G12" i="3"/>
  <c r="G13" i="3"/>
  <c r="G2" i="3"/>
  <c r="C11" i="3"/>
  <c r="E11" i="3" s="1"/>
  <c r="D11" i="3"/>
  <c r="C12" i="3"/>
  <c r="D12" i="3"/>
  <c r="C13" i="3"/>
  <c r="C3" i="3"/>
  <c r="C4" i="3"/>
  <c r="C5" i="3"/>
  <c r="C6" i="3"/>
  <c r="C7" i="3"/>
  <c r="D7" i="3" s="1"/>
  <c r="C8" i="3"/>
  <c r="E8" i="3" s="1"/>
  <c r="C9" i="3"/>
  <c r="C10" i="3"/>
  <c r="E10" i="3"/>
  <c r="C2" i="3"/>
  <c r="D2" i="3"/>
  <c r="F2" i="3" s="1"/>
  <c r="H2" i="3" s="1"/>
  <c r="AB7" i="3"/>
  <c r="D8" i="3"/>
  <c r="R8" i="3" s="1"/>
  <c r="S8" i="3" s="1"/>
  <c r="E2" i="3"/>
  <c r="D10" i="3"/>
  <c r="R10" i="3"/>
  <c r="E9" i="3"/>
  <c r="F12" i="3"/>
  <c r="H12" i="3" s="1"/>
  <c r="D9" i="3"/>
  <c r="R9" i="3"/>
  <c r="S9" i="3" s="1"/>
  <c r="F11" i="3"/>
  <c r="H11" i="3" s="1"/>
  <c r="E12" i="3"/>
  <c r="F9" i="3"/>
  <c r="H9" i="3"/>
  <c r="X9" i="3" s="1"/>
  <c r="M8" i="8" l="1"/>
  <c r="J8" i="8"/>
  <c r="J15" i="8"/>
  <c r="M7" i="8"/>
  <c r="M13" i="8"/>
  <c r="J13" i="8"/>
  <c r="J16" i="8"/>
  <c r="M4" i="8"/>
  <c r="D9" i="8"/>
  <c r="F9" i="8" s="1"/>
  <c r="M14" i="8"/>
  <c r="M6" i="8"/>
  <c r="M11" i="8"/>
  <c r="J11" i="8"/>
  <c r="M3" i="8"/>
  <c r="M10" i="8"/>
  <c r="J10" i="8"/>
  <c r="M16" i="8"/>
  <c r="M5" i="8"/>
  <c r="J5" i="8"/>
  <c r="M12" i="8"/>
  <c r="J12" i="8"/>
  <c r="C16" i="8"/>
  <c r="E16" i="8" s="1"/>
  <c r="M2" i="8"/>
  <c r="J2" i="8"/>
  <c r="M9" i="8"/>
  <c r="J9" i="8"/>
  <c r="M15" i="8"/>
  <c r="D12" i="8"/>
  <c r="F12" i="8" s="1"/>
  <c r="G12" i="8" s="1"/>
  <c r="G8" i="8"/>
  <c r="I8" i="8" s="1"/>
  <c r="K8" i="8" s="1"/>
  <c r="C11" i="8"/>
  <c r="E11" i="8" s="1"/>
  <c r="G10" i="8"/>
  <c r="I10" i="8" s="1"/>
  <c r="K10" i="8" s="1"/>
  <c r="D5" i="8"/>
  <c r="F5" i="8" s="1"/>
  <c r="G5" i="8" s="1"/>
  <c r="L5" i="8" s="1"/>
  <c r="O5" i="8" s="1"/>
  <c r="A4" i="16"/>
  <c r="B4" i="16" s="1"/>
  <c r="D4" i="16" s="1"/>
  <c r="D2" i="16"/>
  <c r="D3" i="16"/>
  <c r="L8" i="8"/>
  <c r="O8" i="8" s="1"/>
  <c r="I11" i="3"/>
  <c r="X11" i="3"/>
  <c r="I5" i="8"/>
  <c r="K5" i="8" s="1"/>
  <c r="I2" i="3"/>
  <c r="X2" i="3"/>
  <c r="I9" i="3"/>
  <c r="M9" i="3" s="1"/>
  <c r="J7" i="3"/>
  <c r="L7" i="3"/>
  <c r="K7" i="3"/>
  <c r="F7" i="3"/>
  <c r="H7" i="3" s="1"/>
  <c r="G2" i="8"/>
  <c r="D5" i="3"/>
  <c r="E5" i="3"/>
  <c r="G9" i="8"/>
  <c r="G16" i="8"/>
  <c r="L10" i="11"/>
  <c r="I10" i="11"/>
  <c r="M2" i="3"/>
  <c r="M11" i="3"/>
  <c r="D6" i="3"/>
  <c r="E6" i="3"/>
  <c r="E7" i="3"/>
  <c r="E4" i="3"/>
  <c r="D4" i="3"/>
  <c r="R7" i="3"/>
  <c r="V7" i="3" s="1"/>
  <c r="W7" i="3" s="1"/>
  <c r="J9" i="3"/>
  <c r="L9" i="3"/>
  <c r="K9" i="3"/>
  <c r="E3" i="3"/>
  <c r="D3" i="3"/>
  <c r="G11" i="8"/>
  <c r="D4" i="8"/>
  <c r="F4" i="8" s="1"/>
  <c r="G4" i="8" s="1"/>
  <c r="V10" i="3"/>
  <c r="W10" i="3" s="1"/>
  <c r="L11" i="3"/>
  <c r="J11" i="3"/>
  <c r="K11" i="3"/>
  <c r="R11" i="3"/>
  <c r="V11" i="3" s="1"/>
  <c r="W11" i="3" s="1"/>
  <c r="J10" i="3"/>
  <c r="L10" i="3"/>
  <c r="K10" i="3"/>
  <c r="F10" i="3"/>
  <c r="H10" i="3" s="1"/>
  <c r="D6" i="8"/>
  <c r="F6" i="8" s="1"/>
  <c r="C6" i="8"/>
  <c r="E6" i="8" s="1"/>
  <c r="M12" i="3"/>
  <c r="I12" i="3"/>
  <c r="X12" i="3"/>
  <c r="J8" i="3"/>
  <c r="L8" i="3"/>
  <c r="K8" i="3"/>
  <c r="F8" i="3"/>
  <c r="H8" i="3" s="1"/>
  <c r="L10" i="8"/>
  <c r="O10" i="8" s="1"/>
  <c r="D13" i="3"/>
  <c r="E13" i="3"/>
  <c r="C14" i="8"/>
  <c r="E14" i="8" s="1"/>
  <c r="G14" i="8" s="1"/>
  <c r="J2" i="3"/>
  <c r="L2" i="3"/>
  <c r="N2" i="3" s="1"/>
  <c r="P2" i="3" s="1"/>
  <c r="K2" i="3"/>
  <c r="O2" i="3" s="1"/>
  <c r="Q2" i="3" s="1"/>
  <c r="R2" i="3"/>
  <c r="V2" i="3" s="1"/>
  <c r="W2" i="3" s="1"/>
  <c r="L12" i="3"/>
  <c r="N12" i="3" s="1"/>
  <c r="P12" i="3" s="1"/>
  <c r="J12" i="3"/>
  <c r="K12" i="3"/>
  <c r="O12" i="3" s="1"/>
  <c r="Q12" i="3" s="1"/>
  <c r="U12" i="3" s="1"/>
  <c r="Y12" i="3" s="1"/>
  <c r="R12" i="3"/>
  <c r="V12" i="3" s="1"/>
  <c r="W12" i="3" s="1"/>
  <c r="T12" i="3" s="1"/>
  <c r="C7" i="8"/>
  <c r="E7" i="8" s="1"/>
  <c r="G7" i="8" s="1"/>
  <c r="G15" i="8"/>
  <c r="C3" i="8"/>
  <c r="E3" i="8" s="1"/>
  <c r="G3" i="8" s="1"/>
  <c r="C13" i="8"/>
  <c r="E13" i="8" s="1"/>
  <c r="G13" i="8" s="1"/>
  <c r="G18" i="11"/>
  <c r="K18" i="11" s="1"/>
  <c r="J10" i="11"/>
  <c r="G17" i="11"/>
  <c r="F15" i="11"/>
  <c r="J15" i="11" s="1"/>
  <c r="G16" i="11"/>
  <c r="G13" i="11"/>
  <c r="K13" i="11" s="1"/>
  <c r="H12" i="11"/>
  <c r="H16" i="11"/>
  <c r="A5" i="16"/>
  <c r="L13" i="11"/>
  <c r="G14" i="11"/>
  <c r="G19" i="11"/>
  <c r="F17" i="11"/>
  <c r="J17" i="11" s="1"/>
  <c r="J14" i="11"/>
  <c r="F18" i="11"/>
  <c r="J18" i="11" s="1"/>
  <c r="F11" i="11"/>
  <c r="F13" i="11"/>
  <c r="J13" i="11" s="1"/>
  <c r="F19" i="11"/>
  <c r="F16" i="11"/>
  <c r="G10" i="11"/>
  <c r="G15" i="11"/>
  <c r="G12" i="11"/>
  <c r="K17" i="11"/>
  <c r="F12" i="11"/>
  <c r="L24" i="18"/>
  <c r="M24" i="18" s="1"/>
  <c r="M23" i="18"/>
  <c r="L17" i="11"/>
  <c r="F14" i="11"/>
  <c r="A14" i="13"/>
  <c r="I16" i="11"/>
  <c r="K16" i="11" s="1"/>
  <c r="L16" i="11"/>
  <c r="J11" i="11"/>
  <c r="L12" i="11"/>
  <c r="I12" i="11"/>
  <c r="L19" i="11"/>
  <c r="I19" i="11"/>
  <c r="I15" i="11"/>
  <c r="L15" i="11"/>
  <c r="L11" i="11"/>
  <c r="I11" i="11"/>
  <c r="K11" i="11" s="1"/>
  <c r="H19" i="11"/>
  <c r="H11" i="11"/>
  <c r="C14" i="11"/>
  <c r="C22" i="14"/>
  <c r="U2" i="3"/>
  <c r="Y2" i="3" s="1"/>
  <c r="V8" i="3"/>
  <c r="W8" i="3" s="1"/>
  <c r="S10" i="3"/>
  <c r="V9" i="3"/>
  <c r="W9" i="3" s="1"/>
  <c r="S2" i="3"/>
  <c r="S11" i="3"/>
  <c r="O11" i="3"/>
  <c r="Q11" i="3" s="1"/>
  <c r="U11" i="3" s="1"/>
  <c r="Y11" i="3" s="1"/>
  <c r="T2" i="3"/>
  <c r="A19" i="18"/>
  <c r="B18" i="18"/>
  <c r="J6" i="8" l="1"/>
  <c r="J7" i="8"/>
  <c r="R5" i="8"/>
  <c r="J14" i="8"/>
  <c r="J3" i="8"/>
  <c r="Q10" i="8"/>
  <c r="R10" i="8"/>
  <c r="I2" i="8"/>
  <c r="K2" i="8" s="1"/>
  <c r="L2" i="8"/>
  <c r="O2" i="8" s="1"/>
  <c r="R8" i="8"/>
  <c r="L7" i="8"/>
  <c r="O7" i="8" s="1"/>
  <c r="I7" i="8"/>
  <c r="K7" i="8" s="1"/>
  <c r="N9" i="3"/>
  <c r="P9" i="3" s="1"/>
  <c r="O9" i="3"/>
  <c r="Q9" i="3" s="1"/>
  <c r="L4" i="8"/>
  <c r="O4" i="8" s="1"/>
  <c r="I4" i="8"/>
  <c r="K4" i="8" s="1"/>
  <c r="I8" i="3"/>
  <c r="M8" i="3" s="1"/>
  <c r="N8" i="3" s="1"/>
  <c r="P8" i="3" s="1"/>
  <c r="X8" i="3"/>
  <c r="L12" i="8"/>
  <c r="O12" i="8" s="1"/>
  <c r="I12" i="8"/>
  <c r="K12" i="8" s="1"/>
  <c r="J16" i="11"/>
  <c r="I3" i="8"/>
  <c r="K3" i="8" s="1"/>
  <c r="L3" i="8"/>
  <c r="O3" i="8" s="1"/>
  <c r="R3" i="8" s="1"/>
  <c r="L3" i="3"/>
  <c r="J3" i="3"/>
  <c r="K3" i="3"/>
  <c r="F3" i="3"/>
  <c r="H3" i="3" s="1"/>
  <c r="R3" i="3"/>
  <c r="Q5" i="8"/>
  <c r="K19" i="11"/>
  <c r="I9" i="8"/>
  <c r="K9" i="8" s="1"/>
  <c r="L9" i="8"/>
  <c r="O9" i="8" s="1"/>
  <c r="L4" i="3"/>
  <c r="J4" i="3"/>
  <c r="K4" i="3"/>
  <c r="F4" i="3"/>
  <c r="H4" i="3" s="1"/>
  <c r="R4" i="3"/>
  <c r="K15" i="11"/>
  <c r="I10" i="3"/>
  <c r="M10" i="3" s="1"/>
  <c r="X10" i="3"/>
  <c r="I16" i="8"/>
  <c r="K16" i="8" s="1"/>
  <c r="L16" i="8"/>
  <c r="O16" i="8" s="1"/>
  <c r="I13" i="8"/>
  <c r="K13" i="8" s="1"/>
  <c r="L13" i="8"/>
  <c r="O13" i="8" s="1"/>
  <c r="K12" i="11"/>
  <c r="J6" i="3"/>
  <c r="L6" i="3"/>
  <c r="K6" i="3"/>
  <c r="F6" i="3"/>
  <c r="H6" i="3" s="1"/>
  <c r="R6" i="3"/>
  <c r="I7" i="3"/>
  <c r="M7" i="3" s="1"/>
  <c r="X7" i="3"/>
  <c r="S12" i="3"/>
  <c r="L14" i="8"/>
  <c r="O14" i="8" s="1"/>
  <c r="I14" i="8"/>
  <c r="K14" i="8" s="1"/>
  <c r="S7" i="3"/>
  <c r="J19" i="11"/>
  <c r="I15" i="8"/>
  <c r="K15" i="8" s="1"/>
  <c r="L15" i="8"/>
  <c r="O15" i="8" s="1"/>
  <c r="N11" i="3"/>
  <c r="P11" i="3" s="1"/>
  <c r="T11" i="3" s="1"/>
  <c r="G6" i="8"/>
  <c r="L11" i="8"/>
  <c r="O11" i="8" s="1"/>
  <c r="I11" i="8"/>
  <c r="K11" i="8" s="1"/>
  <c r="T9" i="3"/>
  <c r="J12" i="11"/>
  <c r="T8" i="3"/>
  <c r="B5" i="16"/>
  <c r="A6" i="16"/>
  <c r="L13" i="3"/>
  <c r="J13" i="3"/>
  <c r="K13" i="3"/>
  <c r="R13" i="3"/>
  <c r="F13" i="3"/>
  <c r="H13" i="3" s="1"/>
  <c r="L5" i="3"/>
  <c r="J5" i="3"/>
  <c r="K5" i="3"/>
  <c r="F5" i="3"/>
  <c r="H5" i="3" s="1"/>
  <c r="R5" i="3"/>
  <c r="Q8" i="8"/>
  <c r="B14" i="13"/>
  <c r="A15" i="13"/>
  <c r="L14" i="11"/>
  <c r="I14" i="11"/>
  <c r="K14" i="11" s="1"/>
  <c r="U9" i="3"/>
  <c r="Y9" i="3" s="1"/>
  <c r="A20" i="18"/>
  <c r="B19" i="18"/>
  <c r="R11" i="8" l="1"/>
  <c r="R15" i="8"/>
  <c r="R12" i="8"/>
  <c r="Q9" i="8"/>
  <c r="R9" i="8"/>
  <c r="R7" i="8"/>
  <c r="Q13" i="8"/>
  <c r="R13" i="8"/>
  <c r="R2" i="8"/>
  <c r="Q14" i="8"/>
  <c r="R14" i="8"/>
  <c r="Q4" i="8"/>
  <c r="R4" i="8"/>
  <c r="Q16" i="8"/>
  <c r="R16" i="8"/>
  <c r="D5" i="16"/>
  <c r="N7" i="3"/>
  <c r="P7" i="3" s="1"/>
  <c r="T7" i="3" s="1"/>
  <c r="O7" i="3"/>
  <c r="Q7" i="3" s="1"/>
  <c r="U7" i="3" s="1"/>
  <c r="Y7" i="3" s="1"/>
  <c r="S4" i="3"/>
  <c r="V4" i="3"/>
  <c r="W4" i="3" s="1"/>
  <c r="V3" i="3"/>
  <c r="W3" i="3" s="1"/>
  <c r="S3" i="3"/>
  <c r="V6" i="3"/>
  <c r="W6" i="3" s="1"/>
  <c r="S6" i="3"/>
  <c r="N10" i="3"/>
  <c r="P10" i="3" s="1"/>
  <c r="T10" i="3" s="1"/>
  <c r="O10" i="3"/>
  <c r="Q10" i="3" s="1"/>
  <c r="U10" i="3" s="1"/>
  <c r="Y10" i="3" s="1"/>
  <c r="I4" i="3"/>
  <c r="M4" i="3" s="1"/>
  <c r="O4" i="3" s="1"/>
  <c r="Q4" i="3" s="1"/>
  <c r="U4" i="3" s="1"/>
  <c r="Y4" i="3" s="1"/>
  <c r="X4" i="3"/>
  <c r="X3" i="3"/>
  <c r="I3" i="3"/>
  <c r="M3" i="3" s="1"/>
  <c r="Q11" i="8"/>
  <c r="X6" i="3"/>
  <c r="I6" i="3"/>
  <c r="M6" i="3" s="1"/>
  <c r="O3" i="3"/>
  <c r="Q3" i="3" s="1"/>
  <c r="U3" i="3" s="1"/>
  <c r="Y3" i="3" s="1"/>
  <c r="Q12" i="8"/>
  <c r="Q7" i="8"/>
  <c r="I5" i="3"/>
  <c r="M5" i="3" s="1"/>
  <c r="O5" i="3" s="1"/>
  <c r="Q5" i="3" s="1"/>
  <c r="U5" i="3" s="1"/>
  <c r="Y5" i="3" s="1"/>
  <c r="X5" i="3"/>
  <c r="X13" i="3"/>
  <c r="I13" i="3"/>
  <c r="M13" i="3" s="1"/>
  <c r="N13" i="3" s="1"/>
  <c r="P13" i="3" s="1"/>
  <c r="B6" i="16"/>
  <c r="A7" i="16"/>
  <c r="S13" i="3"/>
  <c r="V13" i="3"/>
  <c r="W13" i="3" s="1"/>
  <c r="L6" i="8"/>
  <c r="O6" i="8" s="1"/>
  <c r="I6" i="8"/>
  <c r="K6" i="8" s="1"/>
  <c r="O6" i="3"/>
  <c r="Q6" i="3" s="1"/>
  <c r="N6" i="3"/>
  <c r="P6" i="3" s="1"/>
  <c r="N3" i="3"/>
  <c r="P3" i="3" s="1"/>
  <c r="T3" i="3" s="1"/>
  <c r="V5" i="3"/>
  <c r="W5" i="3" s="1"/>
  <c r="S5" i="3"/>
  <c r="Q15" i="8"/>
  <c r="Q2" i="8"/>
  <c r="Q3" i="8"/>
  <c r="O8" i="3"/>
  <c r="Q8" i="3" s="1"/>
  <c r="U8" i="3" s="1"/>
  <c r="Y8" i="3" s="1"/>
  <c r="B15" i="13"/>
  <c r="A16" i="13"/>
  <c r="A21" i="18"/>
  <c r="B20" i="18"/>
  <c r="Q6" i="8" l="1"/>
  <c r="R6" i="8"/>
  <c r="D6" i="16"/>
  <c r="T13" i="3"/>
  <c r="N5" i="3"/>
  <c r="P5" i="3" s="1"/>
  <c r="T5" i="3" s="1"/>
  <c r="N4" i="3"/>
  <c r="P4" i="3" s="1"/>
  <c r="T4" i="3" s="1"/>
  <c r="A8" i="16"/>
  <c r="B7" i="16"/>
  <c r="T6" i="3"/>
  <c r="U6" i="3"/>
  <c r="Y6" i="3" s="1"/>
  <c r="O13" i="3"/>
  <c r="Q13" i="3" s="1"/>
  <c r="U13" i="3" s="1"/>
  <c r="Y13" i="3" s="1"/>
  <c r="A17" i="13"/>
  <c r="B16" i="13"/>
  <c r="A22" i="18"/>
  <c r="B21" i="18"/>
  <c r="D7" i="16" l="1"/>
  <c r="A9" i="16"/>
  <c r="B8" i="16"/>
  <c r="B17" i="13"/>
  <c r="A18" i="13"/>
  <c r="A23" i="18"/>
  <c r="B22" i="18"/>
  <c r="D8" i="16" l="1"/>
  <c r="A10" i="16"/>
  <c r="B9" i="16"/>
  <c r="A19" i="13"/>
  <c r="B18" i="13"/>
  <c r="A24" i="18"/>
  <c r="B23" i="18"/>
  <c r="D9" i="16" l="1"/>
  <c r="A11" i="16"/>
  <c r="B10" i="16"/>
  <c r="B19" i="13"/>
  <c r="A20" i="13"/>
  <c r="A25" i="18"/>
  <c r="B24" i="18"/>
  <c r="D10" i="16" l="1"/>
  <c r="A12" i="16"/>
  <c r="B11" i="16"/>
  <c r="B20" i="13"/>
  <c r="A21" i="13"/>
  <c r="A26" i="18"/>
  <c r="B25" i="18"/>
  <c r="D11" i="16" l="1"/>
  <c r="A13" i="16"/>
  <c r="B12" i="16"/>
  <c r="B21" i="13"/>
  <c r="A22" i="13"/>
  <c r="A27" i="18"/>
  <c r="B26" i="18"/>
  <c r="D12" i="16" l="1"/>
  <c r="A14" i="16"/>
  <c r="B13" i="16"/>
  <c r="B22" i="13"/>
  <c r="A23" i="13"/>
  <c r="A28" i="18"/>
  <c r="B27" i="18"/>
  <c r="D13" i="16" l="1"/>
  <c r="B14" i="16"/>
  <c r="A15" i="16"/>
  <c r="B23" i="13"/>
  <c r="A24" i="13"/>
  <c r="B28" i="18"/>
  <c r="A29" i="18"/>
  <c r="D14" i="16" l="1"/>
  <c r="A16" i="16"/>
  <c r="B15" i="16"/>
  <c r="A25" i="13"/>
  <c r="B24" i="13"/>
  <c r="B29" i="18"/>
  <c r="A30" i="18"/>
  <c r="D15" i="16" l="1"/>
  <c r="A17" i="16"/>
  <c r="B16" i="16"/>
  <c r="B25" i="13"/>
  <c r="A26" i="13"/>
  <c r="A31" i="18"/>
  <c r="B30" i="18"/>
  <c r="D16" i="16" l="1"/>
  <c r="A18" i="16"/>
  <c r="B17" i="16"/>
  <c r="A27" i="13"/>
  <c r="B26" i="13"/>
  <c r="B31" i="18"/>
  <c r="A32" i="18"/>
  <c r="D17" i="16" l="1"/>
  <c r="A19" i="16"/>
  <c r="B18" i="16"/>
  <c r="B27" i="13"/>
  <c r="A28" i="13"/>
  <c r="A33" i="18"/>
  <c r="B32" i="18"/>
  <c r="D18" i="16" l="1"/>
  <c r="A20" i="16"/>
  <c r="B19" i="16"/>
  <c r="A29" i="13"/>
  <c r="B28" i="13"/>
  <c r="A34" i="18"/>
  <c r="B34" i="18" s="1"/>
  <c r="B33" i="18"/>
  <c r="D19" i="16" l="1"/>
  <c r="A21" i="16"/>
  <c r="B20" i="16"/>
  <c r="B29" i="13"/>
  <c r="A30" i="13"/>
  <c r="D20" i="16" l="1"/>
  <c r="B21" i="16"/>
  <c r="A22" i="16"/>
  <c r="A31" i="13"/>
  <c r="B30" i="13"/>
  <c r="D21" i="16" l="1"/>
  <c r="A23" i="16"/>
  <c r="B22" i="16"/>
  <c r="B31" i="13"/>
  <c r="A32" i="13"/>
  <c r="B32" i="13" s="1"/>
  <c r="D22" i="16" l="1"/>
  <c r="A24" i="16"/>
  <c r="B23" i="16"/>
  <c r="D23" i="16" l="1"/>
  <c r="A25" i="16"/>
  <c r="B24" i="16"/>
  <c r="D24" i="16" l="1"/>
  <c r="A26" i="16"/>
  <c r="B25" i="16"/>
  <c r="D25" i="16" l="1"/>
  <c r="B26" i="16"/>
  <c r="A27" i="16"/>
  <c r="D26" i="16" l="1"/>
  <c r="B27" i="16"/>
  <c r="A28" i="16"/>
  <c r="D27" i="16" l="1"/>
  <c r="B28" i="16"/>
  <c r="A29" i="16"/>
  <c r="B29" i="16" l="1"/>
  <c r="D29" i="16" s="1"/>
  <c r="D28" i="16"/>
  <c r="O4" i="22"/>
  <c r="J4" i="22"/>
  <c r="E4" i="22" l="1"/>
  <c r="T4" i="22"/>
  <c r="U4" i="22" l="1"/>
  <c r="S4" i="22" s="1"/>
  <c r="D5" i="22" l="1"/>
  <c r="E5" i="22" s="1"/>
  <c r="N5" i="22"/>
  <c r="I5" i="22"/>
  <c r="J5" i="22" s="1"/>
  <c r="U5" i="22" s="1"/>
  <c r="O5" i="22"/>
  <c r="T5" i="22" l="1"/>
  <c r="S5" i="22"/>
  <c r="I6" i="22"/>
  <c r="D6" i="22"/>
  <c r="N6" i="22"/>
  <c r="J6" i="22" l="1"/>
  <c r="O6" i="22"/>
  <c r="E6" i="22"/>
  <c r="U6" i="22" s="1"/>
  <c r="T6" i="22"/>
  <c r="S6" i="22" l="1"/>
  <c r="I7" i="22" l="1"/>
  <c r="D7" i="22"/>
  <c r="N7" i="22"/>
  <c r="O7" i="22" l="1"/>
  <c r="E7" i="22"/>
  <c r="T7" i="22"/>
  <c r="J7" i="22"/>
  <c r="U7" i="22" l="1"/>
  <c r="S7" i="22" s="1"/>
  <c r="I8" i="22" l="1"/>
  <c r="D8" i="22"/>
  <c r="N8" i="22"/>
  <c r="J8" i="22" l="1"/>
  <c r="O8" i="22"/>
  <c r="E8" i="22"/>
  <c r="T8" i="22"/>
  <c r="U8" i="22" l="1"/>
  <c r="S8" i="22" s="1"/>
  <c r="I9" i="22" l="1"/>
  <c r="D9" i="22"/>
  <c r="N9" i="22"/>
  <c r="O9" i="22" s="1"/>
  <c r="T9" i="22" l="1"/>
  <c r="J9" i="22"/>
  <c r="E9" i="22"/>
  <c r="U9" i="22" s="1"/>
  <c r="S9" i="22" l="1"/>
  <c r="D10" i="22" l="1"/>
  <c r="E10" i="22" s="1"/>
  <c r="I10" i="22" l="1"/>
  <c r="J10" i="22" s="1"/>
  <c r="N10" i="22"/>
  <c r="O10" i="22" s="1"/>
  <c r="U10" i="22" l="1"/>
  <c r="S10" i="22" s="1"/>
  <c r="D11" i="22" s="1"/>
  <c r="E11" i="22" s="1"/>
  <c r="T10" i="22"/>
  <c r="I11" i="22" l="1"/>
  <c r="J11" i="22" s="1"/>
  <c r="U11" i="22" s="1"/>
  <c r="N11" i="22"/>
  <c r="O11" i="22" s="1"/>
  <c r="S11" i="22" l="1"/>
  <c r="I12" i="22" s="1"/>
  <c r="T11" i="22"/>
  <c r="N12" i="22" l="1"/>
  <c r="O12" i="22" s="1"/>
  <c r="D12" i="22"/>
  <c r="J12" i="22"/>
  <c r="T12" i="22" l="1"/>
  <c r="E12" i="22"/>
  <c r="U12" i="22" l="1"/>
  <c r="S12" i="22" s="1"/>
  <c r="I13" i="22" l="1"/>
  <c r="J13" i="22" s="1"/>
  <c r="N13" i="22"/>
  <c r="O13" i="22" s="1"/>
  <c r="D13" i="22"/>
  <c r="E13" i="22" s="1"/>
  <c r="T13" i="22" l="1"/>
  <c r="U13" i="22"/>
  <c r="S13" i="22" s="1"/>
  <c r="I14" i="22" s="1"/>
  <c r="J14" i="22" s="1"/>
  <c r="D14" i="22" l="1"/>
  <c r="E14" i="22" s="1"/>
  <c r="N14" i="22"/>
  <c r="O14" i="22" s="1"/>
  <c r="U14" i="22" l="1"/>
  <c r="T14" i="22"/>
  <c r="S14" i="22" l="1"/>
  <c r="D15" i="22" s="1"/>
  <c r="E15" i="22" s="1"/>
  <c r="N15" i="22" l="1"/>
  <c r="O15" i="22" s="1"/>
  <c r="I15" i="22"/>
  <c r="J15" i="22" s="1"/>
  <c r="U15" i="22" s="1"/>
  <c r="E16" i="22"/>
  <c r="S15" i="22" l="1"/>
  <c r="I16" i="22" s="1"/>
  <c r="J16" i="22" s="1"/>
  <c r="T15" i="22"/>
  <c r="N16" i="22" l="1"/>
  <c r="O16" i="22" s="1"/>
  <c r="U16" i="22" l="1"/>
  <c r="S16" i="22" s="1"/>
  <c r="D17" i="22" s="1"/>
  <c r="T16" i="22"/>
  <c r="N17" i="22" l="1"/>
  <c r="O17" i="22" s="1"/>
  <c r="E17" i="22"/>
  <c r="I17" i="22"/>
  <c r="J17" i="22" s="1"/>
  <c r="U17" i="22" l="1"/>
  <c r="S17" i="22" s="1"/>
  <c r="T17" i="22"/>
  <c r="D18" i="22" l="1"/>
  <c r="E18" i="22" s="1"/>
  <c r="I18" i="22" l="1"/>
  <c r="J18" i="22" s="1"/>
  <c r="N18" i="22"/>
  <c r="O18" i="22" s="1"/>
  <c r="U18" i="22" l="1"/>
  <c r="S18" i="22"/>
  <c r="D19" i="22" s="1"/>
  <c r="E19" i="22" s="1"/>
  <c r="T18" i="22"/>
  <c r="I19" i="22" l="1"/>
  <c r="J19" i="22" s="1"/>
  <c r="N19" i="22"/>
  <c r="O19" i="22" s="1"/>
  <c r="U19" i="22" l="1"/>
  <c r="T19" i="22"/>
  <c r="S19" i="22"/>
  <c r="D20" i="22" s="1"/>
  <c r="E20" i="22" s="1"/>
  <c r="I20" i="22" l="1"/>
  <c r="J20" i="22" s="1"/>
  <c r="N20" i="22"/>
  <c r="O20" i="22" s="1"/>
  <c r="U20" i="22" l="1"/>
  <c r="S20" i="22" s="1"/>
  <c r="I21" i="22" s="1"/>
  <c r="J21" i="22" s="1"/>
  <c r="T20" i="22"/>
  <c r="N21" i="22" l="1"/>
  <c r="O21" i="22" s="1"/>
  <c r="D21" i="22"/>
  <c r="E21" i="22" s="1"/>
  <c r="U21" i="22" l="1"/>
  <c r="S21" i="22" s="1"/>
  <c r="I22" i="22" s="1"/>
  <c r="J22" i="22" s="1"/>
  <c r="T21" i="22"/>
  <c r="N22" i="22" l="1"/>
  <c r="O22" i="22" s="1"/>
  <c r="D22" i="22"/>
  <c r="E22" i="22" s="1"/>
  <c r="U22" i="22" l="1"/>
  <c r="S22" i="22" s="1"/>
  <c r="I23" i="22" s="1"/>
  <c r="T22" i="22"/>
  <c r="N23" i="22" l="1"/>
  <c r="O23" i="22" s="1"/>
  <c r="D23" i="22"/>
  <c r="E23" i="22" s="1"/>
  <c r="J23" i="22"/>
  <c r="U23" i="22" l="1"/>
  <c r="S23" i="22" s="1"/>
  <c r="T23" i="22"/>
  <c r="I24" i="22" l="1"/>
  <c r="D24" i="22"/>
  <c r="N24" i="22"/>
  <c r="T24" i="22" l="1"/>
  <c r="E24" i="22"/>
  <c r="J24" i="22"/>
  <c r="O24" i="22"/>
  <c r="U24" i="22" l="1"/>
  <c r="S24" i="22" s="1"/>
  <c r="I25" i="22" l="1"/>
  <c r="D25" i="22"/>
  <c r="N25" i="22"/>
  <c r="O25" i="22" l="1"/>
  <c r="J25" i="22"/>
  <c r="E25" i="22"/>
  <c r="T25" i="22"/>
  <c r="U25" i="22" l="1"/>
  <c r="S25" i="22" s="1"/>
  <c r="I26" i="22" l="1"/>
  <c r="J26" i="22" s="1"/>
  <c r="D26" i="22"/>
  <c r="E26" i="22" s="1"/>
  <c r="N26" i="22"/>
  <c r="O26" i="22" l="1"/>
  <c r="U26" i="22" s="1"/>
  <c r="T26" i="22"/>
  <c r="S26" i="22" l="1"/>
  <c r="D27" i="22" s="1"/>
  <c r="I27" i="22" l="1"/>
  <c r="J27" i="22" s="1"/>
  <c r="N27" i="22"/>
  <c r="E27" i="22"/>
  <c r="T27" i="22" l="1"/>
  <c r="O27" i="22"/>
  <c r="U27" i="22" l="1"/>
  <c r="S27" i="22" s="1"/>
  <c r="D28" i="22" l="1"/>
  <c r="I28" i="22"/>
  <c r="J28" i="22" s="1"/>
  <c r="N28" i="22"/>
  <c r="O28" i="22" s="1"/>
  <c r="E28" i="22"/>
  <c r="T28" i="22" l="1"/>
  <c r="U28" i="22"/>
  <c r="S28" i="22" s="1"/>
  <c r="I29" i="22" l="1"/>
  <c r="D29" i="22"/>
  <c r="N29" i="22"/>
  <c r="O29" i="22" l="1"/>
  <c r="E29" i="22"/>
  <c r="T29" i="22"/>
  <c r="J29" i="22"/>
  <c r="U29" i="22" l="1"/>
  <c r="S29" i="22" s="1"/>
  <c r="I30" i="22" l="1"/>
  <c r="J30" i="22" s="1"/>
  <c r="N30" i="22" l="1"/>
  <c r="O30" i="22" s="1"/>
  <c r="D30" i="22"/>
  <c r="E30" i="22" s="1"/>
  <c r="U30" i="22" s="1"/>
  <c r="S30" i="22" l="1"/>
  <c r="T30" i="22"/>
  <c r="D31" i="22" l="1"/>
  <c r="E31" i="22" s="1"/>
  <c r="I31" i="22"/>
  <c r="J31" i="22" s="1"/>
  <c r="N31" i="22" l="1"/>
  <c r="O31" i="22" s="1"/>
  <c r="U31" i="22" l="1"/>
  <c r="S31" i="22" s="1"/>
  <c r="T31" i="22"/>
  <c r="I32" i="22" l="1"/>
  <c r="J32" i="22" s="1"/>
  <c r="N32" i="22"/>
  <c r="O32" i="22" s="1"/>
  <c r="D32" i="22"/>
  <c r="E32" i="22" s="1"/>
  <c r="T32" i="22" l="1"/>
  <c r="U32" i="22"/>
  <c r="S32" i="2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tc={AF8C6896-43FE-444E-99A5-C137D2C64D8A}</author>
    <author>Eric Gustafson</author>
    <author>tc={4593498B-297A-4FB9-98BE-B1F76BDCCB0B}</author>
  </authors>
  <commentList>
    <comment ref="D1" authorId="0" shapeId="0" xr:uid="{AF8C6896-43FE-444E-99A5-C137D2C64D8A}">
      <text>
        <t>[Threaded comment]
Your version of Excel allows you to read this threaded comment; however, any edits to it will get removed if the file is opened in a newer version of Excel. Learn more: https://go.microsoft.com/fwlink/?linkid=870924
Comment:
    CO2 concentration INSIDE leaves</t>
      </text>
    </comment>
    <comment ref="G1" authorId="1" shapeId="0" xr:uid="{00000000-0006-0000-0300-000001000000}">
      <text>
        <r>
          <rPr>
            <b/>
            <sz val="9"/>
            <color indexed="81"/>
            <rFont val="Tahoma"/>
            <family val="2"/>
          </rPr>
          <t>Eric Gustafson:</t>
        </r>
        <r>
          <rPr>
            <sz val="9"/>
            <color indexed="81"/>
            <rFont val="Tahoma"/>
            <family val="2"/>
          </rPr>
          <t xml:space="preserve">
Change in Amax at current CO2 relative to reference CO2 concentration.  Attributed  to change in CO2 conc. inside leaves</t>
        </r>
      </text>
    </comment>
    <comment ref="I1" authorId="1" shapeId="0" xr:uid="{00000000-0006-0000-0300-000002000000}">
      <text>
        <r>
          <rPr>
            <b/>
            <sz val="9"/>
            <color indexed="81"/>
            <rFont val="Tahoma"/>
            <family val="2"/>
          </rPr>
          <t>Eric Gustafson:</t>
        </r>
        <r>
          <rPr>
            <sz val="9"/>
            <color indexed="81"/>
            <rFont val="Tahoma"/>
            <family val="2"/>
          </rPr>
          <t xml:space="preserve">
Change in conductance because of greater CO2 inside leaves</t>
        </r>
      </text>
    </comment>
    <comment ref="K1" authorId="2" shapeId="0" xr:uid="{4593498B-297A-4FB9-98BE-B1F76BDCCB0B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a placeholder held over from previous versions of PnET-Succession</t>
      </text>
    </comment>
    <comment ref="O1" authorId="1" shapeId="0" xr:uid="{00000000-0006-0000-0300-000003000000}">
      <text>
        <r>
          <rPr>
            <b/>
            <sz val="9"/>
            <color indexed="81"/>
            <rFont val="Tahoma"/>
            <family val="2"/>
          </rPr>
          <t>Eric Gustafson:</t>
        </r>
        <r>
          <rPr>
            <sz val="9"/>
            <color indexed="81"/>
            <rFont val="Tahoma"/>
            <family val="2"/>
          </rPr>
          <t xml:space="preserve">
Reference net Psn (lab conditions) in gC/m2 leaf area/timestep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Gustafson, Eric -FS</author>
  </authors>
  <commentList>
    <comment ref="H2" authorId="0" shapeId="0" xr:uid="{00000000-0006-0000-0A00-000001000000}">
      <text>
        <r>
          <rPr>
            <b/>
            <sz val="9"/>
            <color indexed="81"/>
            <rFont val="Tahoma"/>
            <family val="2"/>
          </rPr>
          <t>Gustafson, Eric -FS:</t>
        </r>
        <r>
          <rPr>
            <sz val="9"/>
            <color indexed="81"/>
            <rFont val="Tahoma"/>
            <family val="2"/>
          </rPr>
          <t xml:space="preserve">
Your theoretical target based on how you think the curve should look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Gustafson, Eric -FS</author>
  </authors>
  <commentList>
    <comment ref="H1" authorId="0" shapeId="0" xr:uid="{00000000-0006-0000-0B00-000001000000}">
      <text>
        <r>
          <rPr>
            <b/>
            <sz val="9"/>
            <color indexed="81"/>
            <rFont val="Tahoma"/>
            <family val="2"/>
          </rPr>
          <t>Gustafson, Eric -FS:</t>
        </r>
        <r>
          <rPr>
            <sz val="9"/>
            <color indexed="81"/>
            <rFont val="Tahoma"/>
            <family val="2"/>
          </rPr>
          <t xml:space="preserve">
Your theoretical target based on how you think the curve should look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tc={19269EC9-95C4-4749-9F22-F728D1E0E5AD}</author>
  </authors>
  <commentList>
    <comment ref="W4" authorId="0" shapeId="0" xr:uid="{19269EC9-95C4-4749-9F22-F728D1E0E5AD}">
      <text>
        <t>[Threaded comment]
Your version of Excel allows you to read this threaded comment; however, any edits to it will get removed if the file is opened in a newer version of Excel. Learn more: https://go.microsoft.com/fwlink/?linkid=870924
Comment:
    FrActWd=0.00004</t>
      </text>
    </comment>
  </commentList>
</comments>
</file>

<file path=xl/sharedStrings.xml><?xml version="1.0" encoding="utf-8"?>
<sst xmlns="http://schemas.openxmlformats.org/spreadsheetml/2006/main" count="438" uniqueCount="304">
  <si>
    <t>Shape parameter</t>
  </si>
  <si>
    <t>PsnTMin</t>
  </si>
  <si>
    <t>PsnTOpt</t>
  </si>
  <si>
    <t>PsnTMax</t>
  </si>
  <si>
    <t>Dtemp</t>
  </si>
  <si>
    <t>Amax</t>
  </si>
  <si>
    <t>AmaxA</t>
  </si>
  <si>
    <t>AmaxB</t>
  </si>
  <si>
    <t>FolN</t>
  </si>
  <si>
    <t>DVPD</t>
  </si>
  <si>
    <t>Dayspan</t>
  </si>
  <si>
    <t>DayLength</t>
  </si>
  <si>
    <t>FTempRespDay</t>
  </si>
  <si>
    <t>BaseFolResp</t>
  </si>
  <si>
    <t>Tmidpoint</t>
  </si>
  <si>
    <t>Q10Factor</t>
  </si>
  <si>
    <t>Tday</t>
  </si>
  <si>
    <t>Tmin</t>
  </si>
  <si>
    <t>Tmax</t>
  </si>
  <si>
    <t>Tave</t>
  </si>
  <si>
    <t>Fwater</t>
  </si>
  <si>
    <t>Frad</t>
  </si>
  <si>
    <t>FolResp</t>
  </si>
  <si>
    <t>FTempRespDayRefREsp</t>
  </si>
  <si>
    <t>IMAX</t>
  </si>
  <si>
    <t>Transpiration</t>
  </si>
  <si>
    <t>es</t>
  </si>
  <si>
    <t>emean</t>
  </si>
  <si>
    <t>VPD</t>
  </si>
  <si>
    <t>DVPD1</t>
  </si>
  <si>
    <t>DVPD2</t>
  </si>
  <si>
    <t>RefNetPSn</t>
  </si>
  <si>
    <t>WUEcnst</t>
  </si>
  <si>
    <t>WUE</t>
  </si>
  <si>
    <t>FTempPsn</t>
  </si>
  <si>
    <t>Constants</t>
  </si>
  <si>
    <t>CaCiRatio</t>
  </si>
  <si>
    <t>ArelElev</t>
  </si>
  <si>
    <t>DelAmax</t>
  </si>
  <si>
    <t>Delgs</t>
  </si>
  <si>
    <t>ArelRef</t>
  </si>
  <si>
    <t>wue</t>
  </si>
  <si>
    <t>WUEc</t>
  </si>
  <si>
    <t>RefNetPsn</t>
  </si>
  <si>
    <t>dayspan</t>
  </si>
  <si>
    <t>MC</t>
  </si>
  <si>
    <t>days / month</t>
  </si>
  <si>
    <t>mol wt of carbon</t>
  </si>
  <si>
    <t>%</t>
  </si>
  <si>
    <t>Ci350</t>
  </si>
  <si>
    <t>MCO2_MC</t>
  </si>
  <si>
    <t>mol wt of CO2</t>
  </si>
  <si>
    <t>FTempPSNRefNetPsn</t>
  </si>
  <si>
    <t>Red values=DO NOT CHANGE!</t>
  </si>
  <si>
    <t>fRad</t>
  </si>
  <si>
    <t>fWater</t>
  </si>
  <si>
    <t>fAge</t>
  </si>
  <si>
    <t>hours</t>
  </si>
  <si>
    <t>Q10</t>
  </si>
  <si>
    <t>FtempNetPsn</t>
  </si>
  <si>
    <t>DTEMPNetPsn</t>
  </si>
  <si>
    <t>DTEMPPSNRefNetPsn</t>
  </si>
  <si>
    <t>FtempGrossPsn</t>
  </si>
  <si>
    <t>DTEMPGrossPsn</t>
  </si>
  <si>
    <t>days per month</t>
  </si>
  <si>
    <t>Common values/assumptions</t>
  </si>
  <si>
    <t>Base</t>
  </si>
  <si>
    <t>Unmodified</t>
  </si>
  <si>
    <t>Modified</t>
  </si>
  <si>
    <t>BFolRespFrac</t>
  </si>
  <si>
    <t>PsnTopt</t>
  </si>
  <si>
    <t>T-midpoint</t>
  </si>
  <si>
    <t>OldBaseFolResp</t>
  </si>
  <si>
    <t>NewBaseFolResp</t>
  </si>
  <si>
    <t>OldQ10fct</t>
  </si>
  <si>
    <t>NewQ10fct</t>
  </si>
  <si>
    <t>No Wythers</t>
  </si>
  <si>
    <t>Wythers</t>
  </si>
  <si>
    <t>Assumptions</t>
  </si>
  <si>
    <t>No Wythers-Bfol</t>
  </si>
  <si>
    <t>Wythers-Bfol</t>
  </si>
  <si>
    <t>Wythers Q10</t>
  </si>
  <si>
    <t>NoWythers Q10</t>
  </si>
  <si>
    <t>daylength (s)</t>
  </si>
  <si>
    <t>No Wythers correction</t>
  </si>
  <si>
    <t>int=</t>
  </si>
  <si>
    <t>slope=</t>
  </si>
  <si>
    <t>Age</t>
  </si>
  <si>
    <t>Longevity</t>
  </si>
  <si>
    <t>DelAmax'</t>
  </si>
  <si>
    <t>Amax'</t>
  </si>
  <si>
    <t>Species 1</t>
  </si>
  <si>
    <t>Species 2</t>
  </si>
  <si>
    <t>HalfSat</t>
  </si>
  <si>
    <t>CO2HalfSatEff</t>
  </si>
  <si>
    <t>AdjHalfSat</t>
  </si>
  <si>
    <t>frad</t>
  </si>
  <si>
    <t>FrActWd</t>
  </si>
  <si>
    <t>Total Biomass</t>
  </si>
  <si>
    <t>NOTE</t>
  </si>
  <si>
    <t>DelAmax was used in PnET-Succession v1.2</t>
  </si>
  <si>
    <t>Fraction Active Biomass</t>
  </si>
  <si>
    <t>CO2 (ppm)</t>
  </si>
  <si>
    <t>AdjFracFol</t>
  </si>
  <si>
    <t>MaxFolN</t>
  </si>
  <si>
    <t>Mult</t>
  </si>
  <si>
    <t>ModAdjFolN</t>
  </si>
  <si>
    <t>Modif Mult</t>
  </si>
  <si>
    <t>FracFol</t>
  </si>
  <si>
    <t>target</t>
  </si>
  <si>
    <t>HalfSat@ref:</t>
  </si>
  <si>
    <t>Species 3</t>
  </si>
  <si>
    <t>Species 4</t>
  </si>
  <si>
    <t>Species 5</t>
  </si>
  <si>
    <t>shade intol</t>
  </si>
  <si>
    <t>Shade tolerant</t>
  </si>
  <si>
    <t>interm tol</t>
  </si>
  <si>
    <t>tolerant</t>
  </si>
  <si>
    <t>MaxFracFol</t>
  </si>
  <si>
    <t>HalfSat at your reference CO2 concentration</t>
  </si>
  <si>
    <t>ref CO2</t>
  </si>
  <si>
    <t>Pressure head</t>
  </si>
  <si>
    <t>H1</t>
  </si>
  <si>
    <t>H2</t>
  </si>
  <si>
    <t>H3</t>
  </si>
  <si>
    <t>H4</t>
  </si>
  <si>
    <t>EstMoist</t>
  </si>
  <si>
    <t>EstRad</t>
  </si>
  <si>
    <t>Pest</t>
  </si>
  <si>
    <t>Nominal</t>
  </si>
  <si>
    <t>Timestep length</t>
  </si>
  <si>
    <t>Parameters</t>
  </si>
  <si>
    <t xml:space="preserve">Wythers correction for  respiration acclmation </t>
  </si>
  <si>
    <t>decid</t>
  </si>
  <si>
    <t>evergreen</t>
  </si>
  <si>
    <t>PsnTMaxestimate</t>
  </si>
  <si>
    <t>PsnTMinestimate</t>
  </si>
  <si>
    <t>NOTE: Dtemp is computed based on Tday, which is avg DAYTIME temperature</t>
  </si>
  <si>
    <t>Default upland</t>
  </si>
  <si>
    <t>fairly tol</t>
  </si>
  <si>
    <t>Waterlog tol</t>
  </si>
  <si>
    <t>Range</t>
  </si>
  <si>
    <t>Lowest HalfSat</t>
  </si>
  <si>
    <t>Highest HalfSat</t>
  </si>
  <si>
    <t>HalfSat calculator</t>
  </si>
  <si>
    <t>Shade tolerance index value</t>
  </si>
  <si>
    <t>HalfSat value</t>
  </si>
  <si>
    <t>Shade tolerance index</t>
  </si>
  <si>
    <t>Set these values =&gt;</t>
  </si>
  <si>
    <t>&lt;=computed</t>
  </si>
  <si>
    <t xml:space="preserve">e.g., Niinemets and Valladares (2015) </t>
  </si>
  <si>
    <t>Default=&gt;</t>
  </si>
  <si>
    <t>fwater@ph=0</t>
  </si>
  <si>
    <t>somewh  intol</t>
  </si>
  <si>
    <t>intermediate</t>
  </si>
  <si>
    <t>super tol</t>
  </si>
  <si>
    <t>Combined</t>
  </si>
  <si>
    <t>Aber et al Oecologia 1996</t>
  </si>
  <si>
    <t>Old Dtemp</t>
  </si>
  <si>
    <t>Computed for OldDtemp</t>
  </si>
  <si>
    <t>NominalHalfSat</t>
  </si>
  <si>
    <t>modified exponential</t>
  </si>
  <si>
    <t>Ad hoc worksheet</t>
  </si>
  <si>
    <t>Worksheet used to estimate HalfSat from a shade tolerance index value</t>
  </si>
  <si>
    <t>Enter the highest and lowest HalfSat values of all species occuring within the range of the shade tolerance index</t>
  </si>
  <si>
    <t>Turn effect off by setting to 0.0</t>
  </si>
  <si>
    <t>UnModified</t>
  </si>
  <si>
    <t>Scaling factor applied to fWater when computing Pest-can be computed w a different value, depending on H2 [Enter fWater that equates to optimal water for establishment]</t>
  </si>
  <si>
    <t>OldDefaults</t>
  </si>
  <si>
    <t>UnmodifiedPest</t>
  </si>
  <si>
    <t>MaxPest</t>
  </si>
  <si>
    <t>Pest tuning parameter (0-1.0) [Enter max realized establishment probability under optimal fWater and fRad]</t>
  </si>
  <si>
    <t>&lt;=Computed values</t>
  </si>
  <si>
    <t>Given=&gt;</t>
  </si>
  <si>
    <t xml:space="preserve"> in D2 &amp; E2</t>
  </si>
  <si>
    <t>set these values</t>
  </si>
  <si>
    <t>read this value</t>
  </si>
  <si>
    <t>in M14</t>
  </si>
  <si>
    <t>Plot is below</t>
  </si>
  <si>
    <t>Across all species</t>
  </si>
  <si>
    <t>computed</t>
  </si>
  <si>
    <t>&lt;=These can be modified to explore effects</t>
  </si>
  <si>
    <t>&lt;=modify</t>
  </si>
  <si>
    <t>modify</t>
  </si>
  <si>
    <t>&lt;=computed value</t>
  </si>
  <si>
    <t>DelAmax' is used in PnET-Succession v2.0 and later</t>
  </si>
  <si>
    <t>Amax-decid</t>
  </si>
  <si>
    <t>Amax-evergreen</t>
  </si>
  <si>
    <t>Parameters should be set relative to Tday, not Tmax</t>
  </si>
  <si>
    <t>&lt;=Step 1: set reference CO2 concentration here</t>
  </si>
  <si>
    <t xml:space="preserve">&lt;=Step2: enter proposed CO2HalfSatEff parameter setting </t>
  </si>
  <si>
    <t>Scaling factor applied to fRad when computing Pest [Enter EstRad that equates to maximal light possible given PAR inputs]</t>
  </si>
  <si>
    <t>Note: this worksheet only includes modifications of fRad.</t>
  </si>
  <si>
    <t>It does not account for the new HalfSat effects on establishment.</t>
  </si>
  <si>
    <t>FracFolShape</t>
  </si>
  <si>
    <t>FolNShape</t>
  </si>
  <si>
    <t>Pest calculator to test specific values of fRad and fWater</t>
  </si>
  <si>
    <t>&lt;=Step 3: tune here to produce the desired HalfSat at your reference CO2 concentration (in red)</t>
  </si>
  <si>
    <t xml:space="preserve">350 is the nominal CO2 reference concentration in PnET-II and PnET-Succession </t>
  </si>
  <si>
    <t>No effect-&gt;</t>
  </si>
  <si>
    <t>Modify-&gt;</t>
  </si>
  <si>
    <t>Green values can be changed</t>
  </si>
  <si>
    <t>&lt;=no longer used in PnET-Succession</t>
  </si>
  <si>
    <t>No effect (all)</t>
  </si>
  <si>
    <t>fol (gC/m2)</t>
  </si>
  <si>
    <t>PH</t>
  </si>
  <si>
    <t>fWater calculator</t>
  </si>
  <si>
    <t>MaxLAI</t>
  </si>
  <si>
    <t>Cohort1</t>
  </si>
  <si>
    <t>Biomass</t>
  </si>
  <si>
    <t>Cohort 1</t>
  </si>
  <si>
    <t>Cohort 2</t>
  </si>
  <si>
    <t>Cohort 3</t>
  </si>
  <si>
    <t>TOFol</t>
  </si>
  <si>
    <t>SLWMax</t>
  </si>
  <si>
    <t>Foliage</t>
  </si>
  <si>
    <t>LAI</t>
  </si>
  <si>
    <t>Cohort2</t>
  </si>
  <si>
    <t>Cohort3</t>
  </si>
  <si>
    <t>fLAI</t>
  </si>
  <si>
    <t>LAIShape</t>
  </si>
  <si>
    <t>AdjFoliage</t>
  </si>
  <si>
    <t>AdjLAI</t>
  </si>
  <si>
    <t>Active biomass</t>
  </si>
  <si>
    <t>PeakBiomass</t>
  </si>
  <si>
    <t>Red=formula; do not edit</t>
  </si>
  <si>
    <t>s maple</t>
  </si>
  <si>
    <t>q aspen</t>
  </si>
  <si>
    <t>w pine</t>
  </si>
  <si>
    <t>Predicted peak BM</t>
  </si>
  <si>
    <t>MaxLAI(computed)</t>
  </si>
  <si>
    <t>MaxBioM-estim</t>
  </si>
  <si>
    <t>Largest value</t>
  </si>
  <si>
    <t>&lt;=see FrActWd tab for equation derivation</t>
  </si>
  <si>
    <t>Hardwired to 1</t>
  </si>
  <si>
    <t>Internal parameters</t>
  </si>
  <si>
    <t>See graphs below data</t>
  </si>
  <si>
    <t>Activ BM (g/m2)</t>
  </si>
  <si>
    <t>Canopy layer</t>
  </si>
  <si>
    <t>LayerLAI</t>
  </si>
  <si>
    <t>Canopy layer (sum cohorts)</t>
  </si>
  <si>
    <t>Biomass values are arbitrary and do not reflect growth under competition</t>
  </si>
  <si>
    <t>Cohort2 senesces and dies</t>
  </si>
  <si>
    <t>Cohort3 disturbed at time 24</t>
  </si>
  <si>
    <t>Cohort1 established at time 14</t>
  </si>
  <si>
    <t>Species</t>
  </si>
  <si>
    <t>Biomass when LAI peaks-&gt;</t>
  </si>
  <si>
    <t>Effect of LAIShape (shape not currently variable in model)</t>
  </si>
  <si>
    <t>LAI reduction factor</t>
  </si>
  <si>
    <t>New HS</t>
  </si>
  <si>
    <t>PAR=&gt;</t>
  </si>
  <si>
    <t>new fRad</t>
  </si>
  <si>
    <t>old fRad</t>
  </si>
  <si>
    <t>Scaled fRad</t>
  </si>
  <si>
    <t>Layer #</t>
  </si>
  <si>
    <t>Floor</t>
  </si>
  <si>
    <t xml:space="preserve">MaxPossBiomass </t>
  </si>
  <si>
    <t>5 layers</t>
  </si>
  <si>
    <t>4 layers</t>
  </si>
  <si>
    <t>3 layers</t>
  </si>
  <si>
    <t>2 layers</t>
  </si>
  <si>
    <t>1 layer</t>
  </si>
  <si>
    <t>Ceiling</t>
  </si>
  <si>
    <t>LayerThreshRatio</t>
  </si>
  <si>
    <t>6 layers</t>
  </si>
  <si>
    <t>Waterlogging calculator</t>
  </si>
  <si>
    <t>Use this worksheet to create your own graph</t>
  </si>
  <si>
    <t>Equation values</t>
  </si>
  <si>
    <t>See section 1.3.2 in user guide.</t>
  </si>
  <si>
    <t>sphagnum</t>
  </si>
  <si>
    <t>groundveg</t>
  </si>
  <si>
    <t>grass</t>
  </si>
  <si>
    <t>SiteMossDepth</t>
  </si>
  <si>
    <t>biomass</t>
  </si>
  <si>
    <t>depth</t>
  </si>
  <si>
    <t>=SUM</t>
  </si>
  <si>
    <t>(meters)</t>
  </si>
  <si>
    <t>Replace with v5.0 equation</t>
  </si>
  <si>
    <t>&lt;= # layers allowed (MaxCanopyLayers)</t>
  </si>
  <si>
    <t>&lt;=Floor is smallest biomass allowed in layer</t>
  </si>
  <si>
    <t>&lt;=Table based on LayerThreshRatio (from K2)</t>
  </si>
  <si>
    <t>&lt;=Table based on LayerThreshRatio fixed at half(0.5)</t>
  </si>
  <si>
    <t>Ci</t>
  </si>
  <si>
    <t>Ca (CO2 concentration)</t>
  </si>
  <si>
    <t>No longer used in PnET-Succession.  WUE is now computed differently in the model</t>
  </si>
  <si>
    <t>Transp'</t>
  </si>
  <si>
    <t>Delgs'</t>
  </si>
  <si>
    <t>RefNetPsn'</t>
  </si>
  <si>
    <t>PAR</t>
  </si>
  <si>
    <t>HalfSat-&gt;</t>
  </si>
  <si>
    <t>&lt;--sp. scalar parameter values (to be tested)</t>
  </si>
  <si>
    <t>&lt;-computed from biomass using scalars</t>
  </si>
  <si>
    <t>Cell Size</t>
  </si>
  <si>
    <t>lambda1</t>
  </si>
  <si>
    <t>lambda2</t>
  </si>
  <si>
    <t>Cells</t>
  </si>
  <si>
    <t>Distance</t>
  </si>
  <si>
    <t>lowBound</t>
  </si>
  <si>
    <t>upBound</t>
  </si>
  <si>
    <t>distanceProb</t>
  </si>
  <si>
    <t>Effective Pest</t>
  </si>
  <si>
    <t>EffDispDist</t>
  </si>
  <si>
    <t>MaxDispDist</t>
  </si>
  <si>
    <t>moss/lichen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</si>
</sst>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sz val="10.5"/>
      <color theme="1"/>
      <name val="Courier New"/>
      <family val="3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name val="Calibri"/>
      <family val="3"/>
      <charset val="134"/>
      <scheme val="minor"/>
    </font>
    <font>
      <sz val="11"/>
      <color rgb="FFFF0000"/>
      <name val="Calibri"/>
      <family val="2"/>
      <scheme val="minor"/>
    </font>
    <font>
      <sz val="10.5"/>
      <color rgb="FFFF0000"/>
      <name val="Courier New"/>
      <family val="3"/>
    </font>
    <font>
      <u/>
      <sz val="11"/>
      <color theme="1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4E73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9">
    <xf numFmtId="0" fontId="0" fillId="0" borderId="0" xfId="0"/>
    <xf numFmtId="0" fontId="1" fillId="0" borderId="0" xfId="0" applyFont="1" applyAlignment="1">
      <alignment vertical="center"/>
    </xf>
    <xf numFmtId="0" fontId="0" fillId="2" borderId="0" xfId="0" applyFill="1"/>
    <xf numFmtId="0" fontId="0" fillId="0" borderId="0" xfId="0" applyFill="1"/>
    <xf numFmtId="0" fontId="0" fillId="5" borderId="0" xfId="0" applyFill="1"/>
    <xf numFmtId="0" fontId="3" fillId="5" borderId="0" xfId="0" applyFont="1" applyFill="1"/>
    <xf numFmtId="0" fontId="0" fillId="0" borderId="0" xfId="0" applyFill="1" applyBorder="1"/>
    <xf numFmtId="0" fontId="0" fillId="0" borderId="0" xfId="0"/>
    <xf numFmtId="0" fontId="0" fillId="4" borderId="0" xfId="0" applyFill="1"/>
    <xf numFmtId="0" fontId="0" fillId="6" borderId="0" xfId="0" applyFill="1"/>
    <xf numFmtId="0" fontId="0" fillId="3" borderId="0" xfId="0" applyFill="1"/>
    <xf numFmtId="0" fontId="2" fillId="3" borderId="0" xfId="0" applyFont="1" applyFill="1"/>
    <xf numFmtId="0" fontId="0" fillId="8" borderId="0" xfId="0" applyFill="1"/>
    <xf numFmtId="0" fontId="7" fillId="5" borderId="0" xfId="0" applyFont="1" applyFill="1"/>
    <xf numFmtId="0" fontId="8" fillId="5" borderId="0" xfId="0" applyFont="1" applyFill="1"/>
    <xf numFmtId="0" fontId="0" fillId="9" borderId="0" xfId="0" applyFill="1"/>
    <xf numFmtId="0" fontId="1" fillId="0" borderId="0" xfId="0" applyFont="1"/>
    <xf numFmtId="0" fontId="0" fillId="7" borderId="0" xfId="0" applyFill="1"/>
    <xf numFmtId="0" fontId="0" fillId="10" borderId="0" xfId="0" applyFill="1"/>
    <xf numFmtId="0" fontId="9" fillId="0" borderId="0" xfId="1"/>
    <xf numFmtId="0" fontId="0" fillId="0" borderId="0" xfId="0" applyAlignment="1">
      <alignment horizontal="right"/>
    </xf>
    <xf numFmtId="0" fontId="0" fillId="0" borderId="1" xfId="0" applyBorder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0" borderId="0" xfId="0" quotePrefix="1"/>
    <xf numFmtId="0" fontId="2" fillId="2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4E739"/>
      <color rgb="FF92D050"/>
      <color rgb="FFFFC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microsoft.com/office/2017/10/relationships/person" Target="persons/perso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6.xml"/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Amax (maxPsn) is a function of foliar N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'Amax A&amp;B worksheet'!$B$1</c:f>
              <c:strCache>
                <c:ptCount val="1"/>
                <c:pt idx="0">
                  <c:v>Amax-decid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'Amax A&amp;B worksheet'!$A$2:$A$9</c:f>
              <c:numCache>
                <c:formatCode>General</c:formatCode>
                <c:ptCount val="8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</c:numCache>
            </c:numRef>
          </c:cat>
          <c:val>
            <c:numRef>
              <c:f>'Amax A&amp;B worksheet'!$B$2:$B$9</c:f>
              <c:numCache>
                <c:formatCode>General</c:formatCode>
                <c:ptCount val="8"/>
                <c:pt idx="0">
                  <c:v>-46</c:v>
                </c:pt>
                <c:pt idx="1">
                  <c:v>-10.049999999999997</c:v>
                </c:pt>
                <c:pt idx="2">
                  <c:v>25.900000000000006</c:v>
                </c:pt>
                <c:pt idx="3">
                  <c:v>61.850000000000009</c:v>
                </c:pt>
                <c:pt idx="4">
                  <c:v>97.800000000000011</c:v>
                </c:pt>
                <c:pt idx="5">
                  <c:v>133.75</c:v>
                </c:pt>
                <c:pt idx="6">
                  <c:v>169.70000000000002</c:v>
                </c:pt>
                <c:pt idx="7">
                  <c:v>205.65000000000003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31-48DF-804C-ABFE393BE8EE}"/>
            </c:ext>
          </c:extLst>
        </c:ser>
        <c:ser>
          <c:idx val="1"/>
          <c:order val="1"/>
          <c:tx>
            <c:strRef>
              <c:f>'Amax A&amp;B worksheet'!$C$1</c:f>
              <c:strCache>
                <c:ptCount val="1"/>
                <c:pt idx="0">
                  <c:v>Amax-evergreen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'Amax A&amp;B worksheet'!$A$2:$A$9</c:f>
              <c:numCache>
                <c:formatCode>General</c:formatCode>
                <c:ptCount val="8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</c:numCache>
            </c:numRef>
          </c:cat>
          <c:val>
            <c:numRef>
              <c:f>'Amax A&amp;B worksheet'!$C$2:$C$9</c:f>
              <c:numCache>
                <c:formatCode>General</c:formatCode>
                <c:ptCount val="8"/>
                <c:pt idx="0">
                  <c:v>5.3</c:v>
                </c:pt>
                <c:pt idx="1">
                  <c:v>16.05</c:v>
                </c:pt>
                <c:pt idx="2">
                  <c:v>26.8</c:v>
                </c:pt>
                <c:pt idx="3">
                  <c:v>37.549999999999997</c:v>
                </c:pt>
                <c:pt idx="4">
                  <c:v>48.3</c:v>
                </c:pt>
                <c:pt idx="5">
                  <c:v>59.05</c:v>
                </c:pt>
                <c:pt idx="6">
                  <c:v>69.8</c:v>
                </c:pt>
                <c:pt idx="7">
                  <c:v>80.55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31-48DF-804C-ABFE393BE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7982360"/>
        <c:axId val="597989024"/>
      </c:lineChart>
      <c:catAx>
        <c:axId val="597982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FolN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989024"/>
        <c:crosses val="autoZero"/>
        <c:auto val="1"/>
        <c:lblAlgn val="ctr"/>
        <c:lblOffset val="100"/>
        <c:noMultiLvlLbl val="0"/>
      </c:catAx>
      <c:valAx>
        <c:axId val="59798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Amax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982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DelAmax-effect of CO2 on growth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'CO2 effects'!$G$1</c:f>
              <c:strCache>
                <c:ptCount val="1"/>
                <c:pt idx="0">
                  <c:v>DelAmax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'CO2 effects'!$A$2:$A$16</c:f>
              <c:numCache>
                <c:formatCode>General</c:formatCode>
                <c:ptCount val="15"/>
                <c:pt idx="0">
                  <c:v>300</c:v>
                </c:pt>
                <c:pt idx="1">
                  <c:v>350</c:v>
                </c:pt>
                <c:pt idx="2">
                  <c:v>400</c:v>
                </c:pt>
                <c:pt idx="3">
                  <c:v>450</c:v>
                </c:pt>
                <c:pt idx="4">
                  <c:v>500</c:v>
                </c:pt>
                <c:pt idx="5">
                  <c:v>550</c:v>
                </c:pt>
                <c:pt idx="6">
                  <c:v>600</c:v>
                </c:pt>
                <c:pt idx="7">
                  <c:v>650</c:v>
                </c:pt>
                <c:pt idx="8">
                  <c:v>700</c:v>
                </c:pt>
                <c:pt idx="9">
                  <c:v>750</c:v>
                </c:pt>
                <c:pt idx="10">
                  <c:v>800</c:v>
                </c:pt>
                <c:pt idx="11">
                  <c:v>850</c:v>
                </c:pt>
                <c:pt idx="12">
                  <c:v>900</c:v>
                </c:pt>
                <c:pt idx="13">
                  <c:v>950</c:v>
                </c:pt>
                <c:pt idx="14">
                  <c:v>1000</c:v>
                </c:pt>
              </c:numCache>
            </c:numRef>
          </c:xVal>
          <c:yVal>
            <c:numRef>
              <c:f>'CO2 effects'!$G$2:$G$16</c:f>
              <c:numCache>
                <c:formatCode>General</c:formatCode>
                <c:ptCount val="15"/>
                <c:pt idx="0">
                  <c:v>0.8758702782866109</c:v>
                </c:pt>
                <c:pt idx="1">
                  <c:v>1</c:v>
                </c:pt>
                <c:pt idx="2">
                  <c:v>1.1036747613057314</c:v>
                </c:pt>
                <c:pt idx="3">
                  <c:v>1.1915657528728769</c:v>
                </c:pt>
                <c:pt idx="4">
                  <c:v>1.2670224621473065</c:v>
                </c:pt>
                <c:pt idx="5">
                  <c:v>1.332509257058925</c:v>
                </c:pt>
                <c:pt idx="6">
                  <c:v>1.3898796395945985</c:v>
                </c:pt>
                <c:pt idx="7">
                  <c:v>1.4405544771527337</c:v>
                </c:pt>
                <c:pt idx="8">
                  <c:v>1.4856412718270995</c:v>
                </c:pt>
                <c:pt idx="9">
                  <c:v>1.5260160351089134</c:v>
                </c:pt>
                <c:pt idx="10">
                  <c:v>1.5623807671433263</c:v>
                </c:pt>
                <c:pt idx="11">
                  <c:v>1.5953046196940006</c:v>
                </c:pt>
                <c:pt idx="12">
                  <c:v>1.6252539022615675</c:v>
                </c:pt>
                <c:pt idx="13">
                  <c:v>1.6526143068290455</c:v>
                </c:pt>
                <c:pt idx="14">
                  <c:v>1.6777076079304718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B8-403A-8EA3-3AA511EE8450}"/>
            </c:ext>
          </c:extLst>
        </c:ser>
        <c:ser>
          <c:idx val="1"/>
          <c:order val="1"/>
          <c:tx>
            <c:strRef>
              <c:f>'CO2 effects'!$G$1</c:f>
              <c:strCache>
                <c:ptCount val="1"/>
                <c:pt idx="0">
                  <c:v>DelAmax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'CO2 effects'!$A$2:$A$16</c:f>
              <c:numCache>
                <c:formatCode>General</c:formatCode>
                <c:ptCount val="15"/>
                <c:pt idx="0">
                  <c:v>300</c:v>
                </c:pt>
                <c:pt idx="1">
                  <c:v>350</c:v>
                </c:pt>
                <c:pt idx="2">
                  <c:v>400</c:v>
                </c:pt>
                <c:pt idx="3">
                  <c:v>450</c:v>
                </c:pt>
                <c:pt idx="4">
                  <c:v>500</c:v>
                </c:pt>
                <c:pt idx="5">
                  <c:v>550</c:v>
                </c:pt>
                <c:pt idx="6">
                  <c:v>600</c:v>
                </c:pt>
                <c:pt idx="7">
                  <c:v>650</c:v>
                </c:pt>
                <c:pt idx="8">
                  <c:v>700</c:v>
                </c:pt>
                <c:pt idx="9">
                  <c:v>750</c:v>
                </c:pt>
                <c:pt idx="10">
                  <c:v>800</c:v>
                </c:pt>
                <c:pt idx="11">
                  <c:v>850</c:v>
                </c:pt>
                <c:pt idx="12">
                  <c:v>900</c:v>
                </c:pt>
                <c:pt idx="13">
                  <c:v>950</c:v>
                </c:pt>
                <c:pt idx="14">
                  <c:v>1000</c:v>
                </c:pt>
              </c:numCache>
            </c:numRef>
          </c:xVal>
          <c:yVal>
            <c:numRef>
              <c:f>'CO2 effects'!$H$2:$H$16</c:f>
              <c:numCache>
                <c:formatCode>General</c:formatCode>
                <c:ptCount val="15"/>
                <c:pt idx="0">
                  <c:v>0.9490662139219016</c:v>
                </c:pt>
                <c:pt idx="1">
                  <c:v>1</c:v>
                </c:pt>
                <c:pt idx="2">
                  <c:v>1.0403225806451613</c:v>
                </c:pt>
                <c:pt idx="3">
                  <c:v>1.0730371272063299</c:v>
                </c:pt>
                <c:pt idx="4">
                  <c:v>1.100111234705228</c:v>
                </c:pt>
                <c:pt idx="5">
                  <c:v>1.1228878648233487</c:v>
                </c:pt>
                <c:pt idx="6">
                  <c:v>1.142314990512334</c:v>
                </c:pt>
                <c:pt idx="7">
                  <c:v>1.1590808661069378</c:v>
                </c:pt>
                <c:pt idx="8">
                  <c:v>1.1736972704714641</c:v>
                </c:pt>
                <c:pt idx="9">
                  <c:v>1.1865526622619509</c:v>
                </c:pt>
                <c:pt idx="10">
                  <c:v>1.1979472140762464</c:v>
                </c:pt>
                <c:pt idx="11">
                  <c:v>1.2081165452653486</c:v>
                </c:pt>
                <c:pt idx="12">
                  <c:v>1.21724818959842</c:v>
                </c:pt>
                <c:pt idx="13">
                  <c:v>1.2254932665205136</c:v>
                </c:pt>
                <c:pt idx="14">
                  <c:v>1.2329749103942653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BB8-403A-8EA3-3AA511EE84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692088"/>
        <c:axId val="600692872"/>
      </c:scatterChart>
      <c:valAx>
        <c:axId val="600692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692872"/>
        <c:crosses val="autoZero"/>
        <c:crossBetween val="midCat"/>
      </c:valAx>
      <c:valAx>
        <c:axId val="600692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692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'CO2 effects'!$O$1</c:f>
              <c:strCache>
                <c:ptCount val="1"/>
                <c:pt idx="0">
                  <c:v>RefNetPsn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'CO2 effects'!$A$2:$A$16</c:f>
              <c:numCache>
                <c:formatCode>General</c:formatCode>
                <c:ptCount val="15"/>
                <c:pt idx="0">
                  <c:v>300</c:v>
                </c:pt>
                <c:pt idx="1">
                  <c:v>350</c:v>
                </c:pt>
                <c:pt idx="2">
                  <c:v>400</c:v>
                </c:pt>
                <c:pt idx="3">
                  <c:v>450</c:v>
                </c:pt>
                <c:pt idx="4">
                  <c:v>500</c:v>
                </c:pt>
                <c:pt idx="5">
                  <c:v>550</c:v>
                </c:pt>
                <c:pt idx="6">
                  <c:v>600</c:v>
                </c:pt>
                <c:pt idx="7">
                  <c:v>650</c:v>
                </c:pt>
                <c:pt idx="8">
                  <c:v>700</c:v>
                </c:pt>
                <c:pt idx="9">
                  <c:v>750</c:v>
                </c:pt>
                <c:pt idx="10">
                  <c:v>800</c:v>
                </c:pt>
                <c:pt idx="11">
                  <c:v>850</c:v>
                </c:pt>
                <c:pt idx="12">
                  <c:v>900</c:v>
                </c:pt>
                <c:pt idx="13">
                  <c:v>950</c:v>
                </c:pt>
                <c:pt idx="14">
                  <c:v>1000</c:v>
                </c:pt>
              </c:numCache>
            </c:numRef>
          </c:xVal>
          <c:yVal>
            <c:numRef>
              <c:f>'CO2 effects'!$O$2:$O$16</c:f>
              <c:numCache>
                <c:formatCode>General</c:formatCode>
                <c:ptCount val="15"/>
                <c:pt idx="0">
                  <c:v>1.9652472232971483</c:v>
                </c:pt>
                <c:pt idx="1">
                  <c:v>2.2437651693600005</c:v>
                </c:pt>
                <c:pt idx="2">
                  <c:v>2.4763869877195122</c:v>
                </c:pt>
                <c:pt idx="3">
                  <c:v>2.6735937332983868</c:v>
                </c:pt>
                <c:pt idx="4">
                  <c:v>2.8429008693628761</c:v>
                </c:pt>
                <c:pt idx="5">
                  <c:v>2.989837858838587</c:v>
                </c:pt>
                <c:pt idx="6">
                  <c:v>3.1185635249249901</c:v>
                </c:pt>
                <c:pt idx="7">
                  <c:v>3.2322659604009103</c:v>
                </c:pt>
                <c:pt idx="8">
                  <c:v>3.3334301398893378</c:v>
                </c:pt>
                <c:pt idx="9">
                  <c:v>3.4240216274622273</c:v>
                </c:pt>
                <c:pt idx="10">
                  <c:v>3.5056155465941528</c:v>
                </c:pt>
                <c:pt idx="11">
                  <c:v>3.5794889401884999</c:v>
                </c:pt>
                <c:pt idx="12">
                  <c:v>3.646688097260927</c:v>
                </c:pt>
                <c:pt idx="13">
                  <c:v>3.7080784200490329</c:v>
                </c:pt>
                <c:pt idx="14">
                  <c:v>3.7643818950446759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1F-48E0-8F46-C06BA0F5E4D3}"/>
            </c:ext>
          </c:extLst>
        </c:ser>
        <c:ser>
          <c:idx val="1"/>
          <c:order val="1"/>
          <c:tx>
            <c:strRef>
              <c:f>'CO2 effects'!$P$1</c:f>
              <c:strCache>
                <c:ptCount val="1"/>
                <c:pt idx="0">
                  <c:v>RefNetPsn'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'CO2 effects'!$A$2:$A$16</c:f>
              <c:numCache>
                <c:formatCode>General</c:formatCode>
                <c:ptCount val="15"/>
                <c:pt idx="0">
                  <c:v>300</c:v>
                </c:pt>
                <c:pt idx="1">
                  <c:v>350</c:v>
                </c:pt>
                <c:pt idx="2">
                  <c:v>400</c:v>
                </c:pt>
                <c:pt idx="3">
                  <c:v>450</c:v>
                </c:pt>
                <c:pt idx="4">
                  <c:v>500</c:v>
                </c:pt>
                <c:pt idx="5">
                  <c:v>550</c:v>
                </c:pt>
                <c:pt idx="6">
                  <c:v>600</c:v>
                </c:pt>
                <c:pt idx="7">
                  <c:v>650</c:v>
                </c:pt>
                <c:pt idx="8">
                  <c:v>700</c:v>
                </c:pt>
                <c:pt idx="9">
                  <c:v>750</c:v>
                </c:pt>
                <c:pt idx="10">
                  <c:v>800</c:v>
                </c:pt>
                <c:pt idx="11">
                  <c:v>850</c:v>
                </c:pt>
                <c:pt idx="12">
                  <c:v>900</c:v>
                </c:pt>
                <c:pt idx="13">
                  <c:v>950</c:v>
                </c:pt>
                <c:pt idx="14">
                  <c:v>1000</c:v>
                </c:pt>
              </c:numCache>
            </c:numRef>
          </c:xVal>
          <c:yVal>
            <c:numRef>
              <c:f>'CO2 effects'!$P$2:$P$16</c:f>
              <c:numCache>
                <c:formatCode>General</c:formatCode>
                <c:ptCount val="15"/>
                <c:pt idx="0">
                  <c:v>2.1294817142143301</c:v>
                </c:pt>
                <c:pt idx="1">
                  <c:v>2.2437651693600005</c:v>
                </c:pt>
                <c:pt idx="2">
                  <c:v>2.3342395713503232</c:v>
                </c:pt>
                <c:pt idx="3">
                  <c:v>2.4076433314556791</c:v>
                </c:pt>
                <c:pt idx="4">
                  <c:v>2.468391270853215</c:v>
                </c:pt>
                <c:pt idx="5">
                  <c:v>2.5194966801876504</c:v>
                </c:pt>
                <c:pt idx="6">
                  <c:v>2.5630865881493743</c:v>
                </c:pt>
                <c:pt idx="7">
                  <c:v>2.600705275842369</c:v>
                </c:pt>
                <c:pt idx="8">
                  <c:v>2.633501054856775</c:v>
                </c:pt>
                <c:pt idx="9">
                  <c:v>2.6623455351947456</c:v>
                </c:pt>
                <c:pt idx="10">
                  <c:v>2.6879122336761299</c:v>
                </c:pt>
                <c:pt idx="11">
                  <c:v>2.7107298247939231</c:v>
                </c:pt>
                <c:pt idx="12">
                  <c:v>2.7312190902874529</c:v>
                </c:pt>
                <c:pt idx="13">
                  <c:v>2.7497191067039402</c:v>
                </c:pt>
                <c:pt idx="14">
                  <c:v>2.7665061586374198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B94-41DD-BE8E-96F1C9E439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690520"/>
        <c:axId val="600698752"/>
      </c:scatterChart>
      <c:valAx>
        <c:axId val="600690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698752"/>
        <c:crosses val="autoZero"/>
        <c:crossBetween val="midCat"/>
      </c:valAx>
      <c:valAx>
        <c:axId val="60069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690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Transpiration on RefNetPsn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'CO2 effects'!$Q$1</c:f>
              <c:strCache>
                <c:ptCount val="1"/>
                <c:pt idx="0">
                  <c:v>Transpiration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'CO2 effects'!$A$2:$A$16</c:f>
              <c:numCache>
                <c:formatCode>General</c:formatCode>
                <c:ptCount val="15"/>
                <c:pt idx="0">
                  <c:v>300</c:v>
                </c:pt>
                <c:pt idx="1">
                  <c:v>350</c:v>
                </c:pt>
                <c:pt idx="2">
                  <c:v>400</c:v>
                </c:pt>
                <c:pt idx="3">
                  <c:v>450</c:v>
                </c:pt>
                <c:pt idx="4">
                  <c:v>500</c:v>
                </c:pt>
                <c:pt idx="5">
                  <c:v>550</c:v>
                </c:pt>
                <c:pt idx="6">
                  <c:v>600</c:v>
                </c:pt>
                <c:pt idx="7">
                  <c:v>650</c:v>
                </c:pt>
                <c:pt idx="8">
                  <c:v>700</c:v>
                </c:pt>
                <c:pt idx="9">
                  <c:v>750</c:v>
                </c:pt>
                <c:pt idx="10">
                  <c:v>800</c:v>
                </c:pt>
                <c:pt idx="11">
                  <c:v>850</c:v>
                </c:pt>
                <c:pt idx="12">
                  <c:v>900</c:v>
                </c:pt>
                <c:pt idx="13">
                  <c:v>950</c:v>
                </c:pt>
                <c:pt idx="14">
                  <c:v>1000</c:v>
                </c:pt>
              </c:numCache>
            </c:numRef>
          </c:xVal>
          <c:yVal>
            <c:numRef>
              <c:f>'CO2 effects'!$Q$2:$Q$16</c:f>
              <c:numCache>
                <c:formatCode>General</c:formatCode>
                <c:ptCount val="15"/>
                <c:pt idx="0">
                  <c:v>17.593454673155264</c:v>
                </c:pt>
                <c:pt idx="1">
                  <c:v>17.20906129894459</c:v>
                </c:pt>
                <c:pt idx="2">
                  <c:v>16.638613363801074</c:v>
                </c:pt>
                <c:pt idx="3">
                  <c:v>16.034880901382039</c:v>
                </c:pt>
                <c:pt idx="4">
                  <c:v>15.460699304014238</c:v>
                </c:pt>
                <c:pt idx="5">
                  <c:v>14.937908246681273</c:v>
                </c:pt>
                <c:pt idx="6">
                  <c:v>14.470675803258041</c:v>
                </c:pt>
                <c:pt idx="7">
                  <c:v>14.056052337024449</c:v>
                </c:pt>
                <c:pt idx="8">
                  <c:v>13.688628520759909</c:v>
                </c:pt>
                <c:pt idx="9">
                  <c:v>13.362533356036487</c:v>
                </c:pt>
                <c:pt idx="10">
                  <c:v>13.072240726356267</c:v>
                </c:pt>
                <c:pt idx="11">
                  <c:v>12.812847094415863</c:v>
                </c:pt>
                <c:pt idx="12">
                  <c:v>12.580120293521047</c:v>
                </c:pt>
                <c:pt idx="13">
                  <c:v>12.370455419376791</c:v>
                </c:pt>
                <c:pt idx="14">
                  <c:v>12.180799001758736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E6-4C96-AE1F-397B8CCEF3AB}"/>
            </c:ext>
          </c:extLst>
        </c:ser>
        <c:ser>
          <c:idx val="1"/>
          <c:order val="1"/>
          <c:tx>
            <c:strRef>
              <c:f>'CO2 effects'!$R$1</c:f>
              <c:strCache>
                <c:ptCount val="1"/>
                <c:pt idx="0">
                  <c:v>Transp'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'CO2 effects'!$A$2:$A$16</c:f>
              <c:numCache>
                <c:formatCode>General</c:formatCode>
                <c:ptCount val="15"/>
                <c:pt idx="0">
                  <c:v>300</c:v>
                </c:pt>
                <c:pt idx="1">
                  <c:v>350</c:v>
                </c:pt>
                <c:pt idx="2">
                  <c:v>400</c:v>
                </c:pt>
                <c:pt idx="3">
                  <c:v>450</c:v>
                </c:pt>
                <c:pt idx="4">
                  <c:v>500</c:v>
                </c:pt>
                <c:pt idx="5">
                  <c:v>550</c:v>
                </c:pt>
                <c:pt idx="6">
                  <c:v>600</c:v>
                </c:pt>
                <c:pt idx="7">
                  <c:v>650</c:v>
                </c:pt>
                <c:pt idx="8">
                  <c:v>700</c:v>
                </c:pt>
                <c:pt idx="9">
                  <c:v>750</c:v>
                </c:pt>
                <c:pt idx="10">
                  <c:v>800</c:v>
                </c:pt>
                <c:pt idx="11">
                  <c:v>850</c:v>
                </c:pt>
                <c:pt idx="12">
                  <c:v>900</c:v>
                </c:pt>
                <c:pt idx="13">
                  <c:v>950</c:v>
                </c:pt>
                <c:pt idx="14">
                  <c:v>1000</c:v>
                </c:pt>
              </c:numCache>
            </c:numRef>
          </c:xVal>
          <c:yVal>
            <c:numRef>
              <c:f>'CO2 effects'!$R$2:$R$16</c:f>
              <c:numCache>
                <c:formatCode>General</c:formatCode>
                <c:ptCount val="15"/>
                <c:pt idx="0">
                  <c:v>16.236574239558198</c:v>
                </c:pt>
                <c:pt idx="1">
                  <c:v>17.20906129894459</c:v>
                </c:pt>
                <c:pt idx="2">
                  <c:v>17.651849507451061</c:v>
                </c:pt>
                <c:pt idx="3">
                  <c:v>17.806107961265603</c:v>
                </c:pt>
                <c:pt idx="4">
                  <c:v>17.806429641580841</c:v>
                </c:pt>
                <c:pt idx="5">
                  <c:v>17.726526079192304</c:v>
                </c:pt>
                <c:pt idx="6">
                  <c:v>17.606787827499318</c:v>
                </c:pt>
                <c:pt idx="7">
                  <c:v>17.469453355056562</c:v>
                </c:pt>
                <c:pt idx="8">
                  <c:v>17.326777523288868</c:v>
                </c:pt>
                <c:pt idx="9">
                  <c:v>17.18544892235694</c:v>
                </c:pt>
                <c:pt idx="10">
                  <c:v>17.049012890001023</c:v>
                </c:pt>
                <c:pt idx="11">
                  <c:v>16.919223763022785</c:v>
                </c:pt>
                <c:pt idx="12">
                  <c:v>16.796812492865801</c:v>
                </c:pt>
                <c:pt idx="13">
                  <c:v>16.681928955919545</c:v>
                </c:pt>
                <c:pt idx="14">
                  <c:v>16.574399838669724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B89-4EC4-9DDF-DBC5E6B134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691696"/>
        <c:axId val="600696008"/>
      </c:scatterChart>
      <c:valAx>
        <c:axId val="600691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696008"/>
        <c:crosses val="autoZero"/>
        <c:crossBetween val="midCat"/>
      </c:valAx>
      <c:valAx>
        <c:axId val="600696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691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Foliar Respiration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Wythers!$J$9</c:f>
              <c:strCache>
                <c:ptCount val="1"/>
                <c:pt idx="0">
                  <c:v>No Wythers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Wythers!$B$10:$B$19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cat>
          <c:val>
            <c:numRef>
              <c:f>Wythers!$J$10:$J$19</c:f>
              <c:numCache>
                <c:formatCode>General</c:formatCode>
                <c:ptCount val="10"/>
                <c:pt idx="0">
                  <c:v>2.368807716974934</c:v>
                </c:pt>
                <c:pt idx="1">
                  <c:v>3.35</c:v>
                </c:pt>
                <c:pt idx="2">
                  <c:v>4.7376154339498688</c:v>
                </c:pt>
                <c:pt idx="3">
                  <c:v>6.7</c:v>
                </c:pt>
                <c:pt idx="4">
                  <c:v>9.4752308678997359</c:v>
                </c:pt>
                <c:pt idx="5">
                  <c:v>13.4</c:v>
                </c:pt>
                <c:pt idx="6">
                  <c:v>18.950461735799475</c:v>
                </c:pt>
                <c:pt idx="7">
                  <c:v>26.8</c:v>
                </c:pt>
                <c:pt idx="8">
                  <c:v>37.900923471598944</c:v>
                </c:pt>
                <c:pt idx="9">
                  <c:v>53.6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1D-42DE-8CCF-0C8AB2BF3A77}"/>
            </c:ext>
          </c:extLst>
        </c:ser>
        <c:ser>
          <c:idx val="1"/>
          <c:order val="1"/>
          <c:tx>
            <c:strRef>
              <c:f>Wythers!$K$9</c:f>
              <c:strCache>
                <c:ptCount val="1"/>
                <c:pt idx="0">
                  <c:v>Wythers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Wythers!$B$10:$B$19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cat>
          <c:val>
            <c:numRef>
              <c:f>Wythers!$K$10:$K$19</c:f>
              <c:numCache>
                <c:formatCode>General</c:formatCode>
                <c:ptCount val="10"/>
                <c:pt idx="0">
                  <c:v>1.6488025221849893</c:v>
                </c:pt>
                <c:pt idx="1">
                  <c:v>2.7214922901466982</c:v>
                </c:pt>
                <c:pt idx="2">
                  <c:v>4.2846005753919725</c:v>
                </c:pt>
                <c:pt idx="3">
                  <c:v>6.4086956521739129</c:v>
                </c:pt>
                <c:pt idx="4">
                  <c:v>9.0652352259892925</c:v>
                </c:pt>
                <c:pt idx="5">
                  <c:v>12.060000000000002</c:v>
                </c:pt>
                <c:pt idx="6">
                  <c:v>14.988844918805455</c:v>
                </c:pt>
                <c:pt idx="7">
                  <c:v>17.259200000000003</c:v>
                </c:pt>
                <c:pt idx="8">
                  <c:v>18.215441326660198</c:v>
                </c:pt>
                <c:pt idx="9">
                  <c:v>17.367070000000012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1D-42DE-8CCF-0C8AB2BF3A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0690912"/>
        <c:axId val="600699536"/>
      </c:lineChart>
      <c:catAx>
        <c:axId val="600690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Tave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699536"/>
        <c:crosses val="autoZero"/>
        <c:auto val="1"/>
        <c:lblAlgn val="ctr"/>
        <c:lblOffset val="100"/>
        <c:noMultiLvlLbl val="0"/>
      </c:catAx>
      <c:valAx>
        <c:axId val="60069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Foliar respiraton (g/m2)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690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Foliar Respiraton fraction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Wythers!$D$9</c:f>
              <c:strCache>
                <c:ptCount val="1"/>
                <c:pt idx="0">
                  <c:v>No Wythers-Bfol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Wythers!$B$10:$B$19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cat>
          <c:val>
            <c:numRef>
              <c:f>Wythers!$D$10:$D$19</c:f>
              <c:numCache>
                <c:formatCode>General</c:formatCode>
                <c:ptCount val="10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BE-4CFF-824E-B631804A36BE}"/>
            </c:ext>
          </c:extLst>
        </c:ser>
        <c:ser>
          <c:idx val="1"/>
          <c:order val="1"/>
          <c:tx>
            <c:strRef>
              <c:f>Wythers!$E$9</c:f>
              <c:strCache>
                <c:ptCount val="1"/>
                <c:pt idx="0">
                  <c:v>Wythers-Bfol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Wythers!$B$10:$B$19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cat>
          <c:val>
            <c:numRef>
              <c:f>Wythers!$E$10:$E$19</c:f>
              <c:numCache>
                <c:formatCode>General</c:formatCode>
                <c:ptCount val="10"/>
                <c:pt idx="0">
                  <c:v>0.14000000000000001</c:v>
                </c:pt>
                <c:pt idx="1">
                  <c:v>0.13</c:v>
                </c:pt>
                <c:pt idx="2">
                  <c:v>0.12000000000000001</c:v>
                </c:pt>
                <c:pt idx="3">
                  <c:v>0.11000000000000001</c:v>
                </c:pt>
                <c:pt idx="4">
                  <c:v>0.1</c:v>
                </c:pt>
                <c:pt idx="5">
                  <c:v>9.0000000000000011E-2</c:v>
                </c:pt>
                <c:pt idx="6">
                  <c:v>8.0000000000000016E-2</c:v>
                </c:pt>
                <c:pt idx="7">
                  <c:v>7.0000000000000007E-2</c:v>
                </c:pt>
                <c:pt idx="8">
                  <c:v>6.0000000000000012E-2</c:v>
                </c:pt>
                <c:pt idx="9">
                  <c:v>5.0000000000000017E-2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BE-4CFF-824E-B631804A36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0693264"/>
        <c:axId val="600699928"/>
      </c:lineChart>
      <c:catAx>
        <c:axId val="600693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699928"/>
        <c:crosses val="autoZero"/>
        <c:auto val="1"/>
        <c:lblAlgn val="ctr"/>
        <c:lblOffset val="100"/>
        <c:noMultiLvlLbl val="0"/>
      </c:catAx>
      <c:valAx>
        <c:axId val="600699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693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Wythers!$L$9</c:f>
              <c:strCache>
                <c:ptCount val="1"/>
                <c:pt idx="0">
                  <c:v>Wythers Q10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Wythers!$L$10:$L$19</c:f>
              <c:numCache>
                <c:formatCode>General</c:formatCode>
                <c:ptCount val="10"/>
                <c:pt idx="0">
                  <c:v>2.6450000000000005</c:v>
                </c:pt>
                <c:pt idx="1">
                  <c:v>2.5300000000000002</c:v>
                </c:pt>
                <c:pt idx="2">
                  <c:v>2.415</c:v>
                </c:pt>
                <c:pt idx="3">
                  <c:v>2.3000000000000003</c:v>
                </c:pt>
                <c:pt idx="4">
                  <c:v>2.1850000000000005</c:v>
                </c:pt>
                <c:pt idx="5">
                  <c:v>2.0700000000000003</c:v>
                </c:pt>
                <c:pt idx="6">
                  <c:v>1.9550000000000003</c:v>
                </c:pt>
                <c:pt idx="7">
                  <c:v>1.8400000000000003</c:v>
                </c:pt>
                <c:pt idx="8">
                  <c:v>1.7250000000000003</c:v>
                </c:pt>
                <c:pt idx="9">
                  <c:v>1.6100000000000003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41-4FFC-B328-D5A6E0C036D4}"/>
            </c:ext>
          </c:extLst>
        </c:ser>
        <c:ser>
          <c:idx val="1"/>
          <c:order val="1"/>
          <c:tx>
            <c:strRef>
              <c:f>Wythers!$M$9</c:f>
              <c:strCache>
                <c:ptCount val="1"/>
                <c:pt idx="0">
                  <c:v>NoWythers Q10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Wythers!$M$10:$M$19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41-4FFC-B328-D5A6E0C036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0693656"/>
        <c:axId val="600694048"/>
      </c:lineChart>
      <c:catAx>
        <c:axId val="600693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694048"/>
        <c:crosses val="autoZero"/>
        <c:auto val="1"/>
        <c:lblAlgn val="ctr"/>
        <c:lblOffset val="100"/>
        <c:noMultiLvlLbl val="0"/>
      </c:catAx>
      <c:valAx>
        <c:axId val="60069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693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 HalfSat-is log scaled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yVal>
            <c:numRef>
              <c:f>HalfSat!$C$3:$C$7</c:f>
              <c:numCache>
                <c:formatCode>General</c:formatCode>
                <c:ptCount val="5"/>
                <c:pt idx="0">
                  <c:v>280</c:v>
                </c:pt>
                <c:pt idx="1">
                  <c:v>200</c:v>
                </c:pt>
                <c:pt idx="2">
                  <c:v>155</c:v>
                </c:pt>
                <c:pt idx="3">
                  <c:v>120</c:v>
                </c:pt>
                <c:pt idx="4">
                  <c:v>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13-4316-A7C6-341ABA7B6E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4814112"/>
        <c:axId val="1915221024"/>
      </c:scatterChart>
      <c:valAx>
        <c:axId val="1534814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5221024"/>
        <c:crosses val="autoZero"/>
        <c:crossBetween val="midCat"/>
      </c:valAx>
      <c:valAx>
        <c:axId val="191522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4814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HalfSat by shade class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HalfSat!$A$11:$A$15</c:f>
              <c:numCache>
                <c:formatCode>General</c:formatCode>
                <c:ptCount val="5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</c:numCache>
            </c:numRef>
          </c:xVal>
          <c:yVal>
            <c:numRef>
              <c:f>HalfSat!$B$11:$B$15</c:f>
              <c:numCache>
                <c:formatCode>General</c:formatCode>
                <c:ptCount val="5"/>
                <c:pt idx="0">
                  <c:v>250</c:v>
                </c:pt>
                <c:pt idx="1">
                  <c:v>211.25</c:v>
                </c:pt>
                <c:pt idx="2">
                  <c:v>172.5</c:v>
                </c:pt>
                <c:pt idx="3">
                  <c:v>133.75</c:v>
                </c:pt>
                <c:pt idx="4">
                  <c:v>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43-475F-B517-2AEA6B16A4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402511"/>
        <c:axId val="480859327"/>
      </c:scatterChart>
      <c:valAx>
        <c:axId val="626402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859327"/>
        <c:crosses val="autoZero"/>
        <c:crossBetween val="midCat"/>
      </c:valAx>
      <c:valAx>
        <c:axId val="480859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4025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fRad!$B$1</c:f>
              <c:strCache>
                <c:ptCount val="1"/>
                <c:pt idx="0">
                  <c:v>fRad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fRad!$A$2:$A$8</c:f>
              <c:numCache>
                <c:formatCode>General</c:formatCode>
                <c:ptCount val="7"/>
                <c:pt idx="0">
                  <c:v>1200</c:v>
                </c:pt>
                <c:pt idx="1">
                  <c:v>1000</c:v>
                </c:pt>
                <c:pt idx="2">
                  <c:v>800</c:v>
                </c:pt>
                <c:pt idx="3">
                  <c:v>600</c:v>
                </c:pt>
                <c:pt idx="4">
                  <c:v>400</c:v>
                </c:pt>
                <c:pt idx="5">
                  <c:v>200</c:v>
                </c:pt>
                <c:pt idx="6">
                  <c:v>0</c:v>
                </c:pt>
              </c:numCache>
            </c:numRef>
          </c:cat>
          <c:val>
            <c:numRef>
              <c:f>fRad!$B$2:$B$8</c:f>
              <c:numCache>
                <c:formatCode>General</c:formatCode>
                <c:ptCount val="7"/>
                <c:pt idx="0">
                  <c:v>0.83571950454557586</c:v>
                </c:pt>
                <c:pt idx="1">
                  <c:v>0.77801600145192173</c:v>
                </c:pt>
                <c:pt idx="2">
                  <c:v>0.70004415024993694</c:v>
                </c:pt>
                <c:pt idx="3">
                  <c:v>0.59468469624942089</c:v>
                </c:pt>
                <c:pt idx="4">
                  <c:v>0.45231774745746678</c:v>
                </c:pt>
                <c:pt idx="5">
                  <c:v>0.25994442604454826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21-46A2-BB9D-30201AC184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953663"/>
        <c:axId val="41949087"/>
      </c:lineChart>
      <c:catAx>
        <c:axId val="419536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49087"/>
        <c:crosses val="autoZero"/>
        <c:auto val="1"/>
        <c:lblAlgn val="ctr"/>
        <c:lblOffset val="100"/>
        <c:noMultiLvlLbl val="0"/>
      </c:catAx>
      <c:valAx>
        <c:axId val="4194908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536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Drought and waterlogging tolerance parameters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fWater!$B$1</c:f>
              <c:strCache>
                <c:ptCount val="1"/>
                <c:pt idx="0">
                  <c:v>fWater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fWater!$A$4:$A$34</c:f>
              <c:numCache>
                <c:formatCode>General</c:formatCode>
                <c:ptCount val="31"/>
                <c:pt idx="0">
                  <c:v>-100</c:v>
                </c:pt>
                <c:pt idx="1">
                  <c:v>-90</c:v>
                </c:pt>
                <c:pt idx="2">
                  <c:v>-80</c:v>
                </c:pt>
                <c:pt idx="3">
                  <c:v>-70</c:v>
                </c:pt>
                <c:pt idx="4">
                  <c:v>-60</c:v>
                </c:pt>
                <c:pt idx="5">
                  <c:v>-50</c:v>
                </c:pt>
                <c:pt idx="6">
                  <c:v>-40</c:v>
                </c:pt>
                <c:pt idx="7">
                  <c:v>-30</c:v>
                </c:pt>
                <c:pt idx="8">
                  <c:v>-20</c:v>
                </c:pt>
                <c:pt idx="9">
                  <c:v>-10</c:v>
                </c:pt>
                <c:pt idx="10">
                  <c:v>0</c:v>
                </c:pt>
                <c:pt idx="11">
                  <c:v>10</c:v>
                </c:pt>
                <c:pt idx="12">
                  <c:v>20</c:v>
                </c:pt>
                <c:pt idx="13">
                  <c:v>30</c:v>
                </c:pt>
                <c:pt idx="14">
                  <c:v>40</c:v>
                </c:pt>
                <c:pt idx="15">
                  <c:v>50</c:v>
                </c:pt>
                <c:pt idx="16">
                  <c:v>60</c:v>
                </c:pt>
                <c:pt idx="17">
                  <c:v>70</c:v>
                </c:pt>
                <c:pt idx="18">
                  <c:v>80</c:v>
                </c:pt>
                <c:pt idx="19">
                  <c:v>90</c:v>
                </c:pt>
                <c:pt idx="20">
                  <c:v>100</c:v>
                </c:pt>
                <c:pt idx="21">
                  <c:v>110</c:v>
                </c:pt>
                <c:pt idx="22">
                  <c:v>120</c:v>
                </c:pt>
                <c:pt idx="23">
                  <c:v>130</c:v>
                </c:pt>
                <c:pt idx="24">
                  <c:v>140</c:v>
                </c:pt>
                <c:pt idx="25">
                  <c:v>150</c:v>
                </c:pt>
                <c:pt idx="26">
                  <c:v>160</c:v>
                </c:pt>
                <c:pt idx="27">
                  <c:v>170</c:v>
                </c:pt>
                <c:pt idx="28">
                  <c:v>180</c:v>
                </c:pt>
                <c:pt idx="29">
                  <c:v>190</c:v>
                </c:pt>
                <c:pt idx="30">
                  <c:v>200</c:v>
                </c:pt>
              </c:numCache>
            </c:numRef>
          </c:cat>
          <c:val>
            <c:numRef>
              <c:f>fWater!$B$4:$B$34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0.5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0.95238095238095233</c:v>
                </c:pt>
                <c:pt idx="23">
                  <c:v>0.7142857142857143</c:v>
                </c:pt>
                <c:pt idx="24">
                  <c:v>0.47619047619047616</c:v>
                </c:pt>
                <c:pt idx="25">
                  <c:v>0.23809523809523814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75-42D5-92AA-F3BF109FD5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0703456"/>
        <c:axId val="600703064"/>
      </c:lineChart>
      <c:catAx>
        <c:axId val="600703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Pressure head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703064"/>
        <c:crosses val="autoZero"/>
        <c:auto val="1"/>
        <c:lblAlgn val="ctr"/>
        <c:lblOffset val="100"/>
        <c:noMultiLvlLbl val="0"/>
      </c:catAx>
      <c:valAx>
        <c:axId val="600703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fWater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703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 Reduction Factor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DTemp!$J$1</c:f>
              <c:strCache>
                <c:ptCount val="1"/>
                <c:pt idx="0">
                  <c:v>Old Dtemp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DTemp!$D$2:$D$13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</c:numCache>
            </c:numRef>
          </c:cat>
          <c:val>
            <c:numRef>
              <c:f>DTemp!$J$2:$J$13</c:f>
              <c:numCache>
                <c:formatCode>General</c:formatCode>
                <c:ptCount val="12"/>
                <c:pt idx="0">
                  <c:v>0</c:v>
                </c:pt>
                <c:pt idx="1">
                  <c:v>3.8831218762014612E-2</c:v>
                </c:pt>
                <c:pt idx="2">
                  <c:v>0.38485198000768933</c:v>
                </c:pt>
                <c:pt idx="3">
                  <c:v>0.65397923875432529</c:v>
                </c:pt>
                <c:pt idx="4">
                  <c:v>0.84621299500192237</c:v>
                </c:pt>
                <c:pt idx="5">
                  <c:v>0.96155324875048054</c:v>
                </c:pt>
                <c:pt idx="6">
                  <c:v>1</c:v>
                </c:pt>
                <c:pt idx="7">
                  <c:v>0.96155324875048054</c:v>
                </c:pt>
                <c:pt idx="8">
                  <c:v>0.84621299500192237</c:v>
                </c:pt>
                <c:pt idx="9">
                  <c:v>0.65397923875432529</c:v>
                </c:pt>
                <c:pt idx="10">
                  <c:v>0.38485198000768933</c:v>
                </c:pt>
                <c:pt idx="11">
                  <c:v>3.8831218762014612E-2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48-4E47-B6DE-D8C9DACCE371}"/>
            </c:ext>
          </c:extLst>
        </c:ser>
        <c:ser>
          <c:idx val="1"/>
          <c:order val="1"/>
          <c:tx>
            <c:strRef>
              <c:f>DTemp!$K$1</c:f>
              <c:strCache>
                <c:ptCount val="1"/>
                <c:pt idx="0">
                  <c:v>Dtemp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DTemp!$D$2:$D$13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</c:numCache>
            </c:numRef>
          </c:cat>
          <c:val>
            <c:numRef>
              <c:f>DTemp!$K$2:$K$13</c:f>
              <c:numCache>
                <c:formatCode>General</c:formatCode>
                <c:ptCount val="12"/>
                <c:pt idx="0">
                  <c:v>0</c:v>
                </c:pt>
                <c:pt idx="1">
                  <c:v>3.8831218762014612E-2</c:v>
                </c:pt>
                <c:pt idx="2">
                  <c:v>0.38485198000768933</c:v>
                </c:pt>
                <c:pt idx="3">
                  <c:v>0.65397923875432529</c:v>
                </c:pt>
                <c:pt idx="4">
                  <c:v>0.84621299500192237</c:v>
                </c:pt>
                <c:pt idx="5">
                  <c:v>0.96155324875048054</c:v>
                </c:pt>
                <c:pt idx="6">
                  <c:v>1</c:v>
                </c:pt>
                <c:pt idx="7">
                  <c:v>0.69135802469135799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48-4E47-B6DE-D8C9DACCE3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7979224"/>
        <c:axId val="597978048"/>
      </c:lineChart>
      <c:catAx>
        <c:axId val="597979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978048"/>
        <c:crosses val="autoZero"/>
        <c:auto val="1"/>
        <c:lblAlgn val="ctr"/>
        <c:lblOffset val="100"/>
        <c:noMultiLvlLbl val="0"/>
      </c:catAx>
      <c:valAx>
        <c:axId val="59797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979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 rez around PH=0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fWater!$M$2</c:f>
              <c:strCache>
                <c:ptCount val="1"/>
                <c:pt idx="0">
                  <c:v>fWater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fWater!$L$4:$L$24</c:f>
              <c:numCache>
                <c:formatCode>General</c:formatCod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cat>
          <c:val>
            <c:numRef>
              <c:f>fWater!$M$4:$M$24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0.125</c:v>
                </c:pt>
                <c:pt idx="8">
                  <c:v>0.25</c:v>
                </c:pt>
                <c:pt idx="9">
                  <c:v>0.375</c:v>
                </c:pt>
                <c:pt idx="10">
                  <c:v>0.5</c:v>
                </c:pt>
                <c:pt idx="11">
                  <c:v>0.625</c:v>
                </c:pt>
                <c:pt idx="12">
                  <c:v>0.75</c:v>
                </c:pt>
                <c:pt idx="13">
                  <c:v>0.875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C3-4B1E-A2C5-FB2476A64F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0709728"/>
        <c:axId val="600705808"/>
      </c:lineChart>
      <c:catAx>
        <c:axId val="600709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Pressure head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705808"/>
        <c:crosses val="autoZero"/>
        <c:auto val="1"/>
        <c:lblAlgn val="ctr"/>
        <c:lblOffset val="100"/>
        <c:noMultiLvlLbl val="0"/>
      </c:catAx>
      <c:valAx>
        <c:axId val="60070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709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Desired fWater@ph=0 for various settings of H1 &amp; H2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fWater!$V$4:$V$9</c:f>
              <c:strCache>
                <c:ptCount val="6"/>
                <c:pt idx="0">
                  <c:v>Default upland</c:v>
                </c:pt>
                <c:pt idx="1">
                  <c:v>somewh  intol</c:v>
                </c:pt>
                <c:pt idx="2">
                  <c:v>intermediate</c:v>
                </c:pt>
                <c:pt idx="3">
                  <c:v>fairly tol</c:v>
                </c:pt>
                <c:pt idx="4">
                  <c:v>tolerant</c:v>
                </c:pt>
                <c:pt idx="5">
                  <c:v>super tol</c:v>
                </c:pt>
              </c:strCache>
            </c:strRef>
          </c:cat>
          <c:val>
            <c:numRef>
              <c:f>fWater!$Y$4:$Y$9</c:f>
              <c:numCache>
                <c:formatCode>General</c:formatCode>
                <c:ptCount val="6"/>
                <c:pt idx="0">
                  <c:v>0</c:v>
                </c:pt>
                <c:pt idx="1">
                  <c:v>0.16667000000000001</c:v>
                </c:pt>
                <c:pt idx="2">
                  <c:v>0.30487999999999998</c:v>
                </c:pt>
                <c:pt idx="3">
                  <c:v>0.47367999999999999</c:v>
                </c:pt>
                <c:pt idx="4">
                  <c:v>0.62264200000000003</c:v>
                </c:pt>
                <c:pt idx="5">
                  <c:v>0.83333000000000002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3C-484A-AF41-672065F585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0706200"/>
        <c:axId val="600704240"/>
      </c:lineChart>
      <c:catAx>
        <c:axId val="600706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Waterlogging tolerance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704240"/>
        <c:crosses val="autoZero"/>
        <c:auto val="1"/>
        <c:lblAlgn val="ctr"/>
        <c:lblOffset val="100"/>
        <c:noMultiLvlLbl val="0"/>
      </c:catAx>
      <c:valAx>
        <c:axId val="60070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706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 reduction factor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fAge!$B$1</c:f>
              <c:strCache>
                <c:ptCount val="1"/>
                <c:pt idx="0">
                  <c:v>fAge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fAge!$A$2:$A$32</c:f>
              <c:numCache>
                <c:formatCode>General</c:formatCode>
                <c:ptCount val="3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</c:numCache>
            </c:numRef>
          </c:cat>
          <c:val>
            <c:numRef>
              <c:f>fAge!$B$2:$B$32</c:f>
              <c:numCache>
                <c:formatCode>General</c:formatCode>
                <c:ptCount val="31"/>
                <c:pt idx="0">
                  <c:v>1</c:v>
                </c:pt>
                <c:pt idx="1">
                  <c:v>0.99999989759999997</c:v>
                </c:pt>
                <c:pt idx="2">
                  <c:v>0.99999672319999999</c:v>
                </c:pt>
                <c:pt idx="3">
                  <c:v>0.99997511679999995</c:v>
                </c:pt>
                <c:pt idx="4">
                  <c:v>0.99989514239999999</c:v>
                </c:pt>
                <c:pt idx="5">
                  <c:v>0.99968000000000001</c:v>
                </c:pt>
                <c:pt idx="6">
                  <c:v>0.99920373760000003</c:v>
                </c:pt>
                <c:pt idx="7">
                  <c:v>0.99827896319999998</c:v>
                </c:pt>
                <c:pt idx="8">
                  <c:v>0.99664455679999997</c:v>
                </c:pt>
                <c:pt idx="9">
                  <c:v>0.99395338239999997</c:v>
                </c:pt>
                <c:pt idx="10">
                  <c:v>0.98975999999999997</c:v>
                </c:pt>
                <c:pt idx="11">
                  <c:v>0.98350837759999998</c:v>
                </c:pt>
                <c:pt idx="12">
                  <c:v>0.97451960319999997</c:v>
                </c:pt>
                <c:pt idx="13">
                  <c:v>0.9619795968</c:v>
                </c:pt>
                <c:pt idx="14">
                  <c:v>0.94492682240000003</c:v>
                </c:pt>
                <c:pt idx="15">
                  <c:v>0.92223999999999995</c:v>
                </c:pt>
                <c:pt idx="16">
                  <c:v>0.89262581760000004</c:v>
                </c:pt>
                <c:pt idx="17">
                  <c:v>0.8546066431999999</c:v>
                </c:pt>
                <c:pt idx="18">
                  <c:v>0.80650823680000006</c:v>
                </c:pt>
                <c:pt idx="19">
                  <c:v>0.74644746239999993</c:v>
                </c:pt>
                <c:pt idx="20">
                  <c:v>0.67231999999999981</c:v>
                </c:pt>
                <c:pt idx="21">
                  <c:v>0.58178805760000007</c:v>
                </c:pt>
                <c:pt idx="22">
                  <c:v>0.47226808320000002</c:v>
                </c:pt>
                <c:pt idx="23">
                  <c:v>0.34091847679999987</c:v>
                </c:pt>
                <c:pt idx="24">
                  <c:v>0.18462730240000003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40-4057-9E06-11C12837A0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smooth val="0"/>
        <c:axId val="600706984"/>
        <c:axId val="600705024"/>
      </c:lineChart>
      <c:catAx>
        <c:axId val="600706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/>
                  <a:t>Age (years</a:t>
                </a:r>
                <a:r>
                  <a:rPr lang="en-US" sz="1050" baseline="0"/>
                  <a:t>)</a:t>
                </a:r>
                <a:endParaRPr lang="en-US" sz="105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705024"/>
        <c:crosses val="autoZero"/>
        <c:auto val="1"/>
        <c:lblAlgn val="ctr"/>
        <c:lblOffset val="100"/>
        <c:noMultiLvlLbl val="0"/>
      </c:catAx>
      <c:valAx>
        <c:axId val="60070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706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Fraction of woody biomass that is </a:t>
            </a:r>
            <a:r>
              <a:rPr lang="en-US" sz="1400" b="0" i="0" u="none" strike="noStrike" baseline="0">
                <a:effectLst/>
              </a:rPr>
              <a:t>active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FrActWd!$B$1</c:f>
              <c:strCache>
                <c:ptCount val="1"/>
                <c:pt idx="0">
                  <c:v>Fraction Active Biomass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FrActWd!$A$2:$A$29</c:f>
              <c:numCache>
                <c:formatCode>General</c:formatCode>
                <c:ptCount val="28"/>
                <c:pt idx="0">
                  <c:v>100</c:v>
                </c:pt>
                <c:pt idx="1">
                  <c:v>1500</c:v>
                </c:pt>
                <c:pt idx="2">
                  <c:v>2900</c:v>
                </c:pt>
                <c:pt idx="3">
                  <c:v>4300</c:v>
                </c:pt>
                <c:pt idx="4">
                  <c:v>5700</c:v>
                </c:pt>
                <c:pt idx="5">
                  <c:v>7100</c:v>
                </c:pt>
                <c:pt idx="6">
                  <c:v>8500</c:v>
                </c:pt>
                <c:pt idx="7">
                  <c:v>9900</c:v>
                </c:pt>
                <c:pt idx="8">
                  <c:v>11300</c:v>
                </c:pt>
                <c:pt idx="9">
                  <c:v>12700</c:v>
                </c:pt>
                <c:pt idx="10">
                  <c:v>14100</c:v>
                </c:pt>
                <c:pt idx="11">
                  <c:v>15500</c:v>
                </c:pt>
                <c:pt idx="12">
                  <c:v>16900</c:v>
                </c:pt>
                <c:pt idx="13">
                  <c:v>18300</c:v>
                </c:pt>
                <c:pt idx="14">
                  <c:v>19700</c:v>
                </c:pt>
                <c:pt idx="15">
                  <c:v>21100</c:v>
                </c:pt>
                <c:pt idx="16">
                  <c:v>22500</c:v>
                </c:pt>
                <c:pt idx="17">
                  <c:v>23900</c:v>
                </c:pt>
                <c:pt idx="18">
                  <c:v>25300</c:v>
                </c:pt>
                <c:pt idx="19">
                  <c:v>26700</c:v>
                </c:pt>
                <c:pt idx="20">
                  <c:v>28100</c:v>
                </c:pt>
                <c:pt idx="21">
                  <c:v>29500</c:v>
                </c:pt>
                <c:pt idx="22">
                  <c:v>30900</c:v>
                </c:pt>
                <c:pt idx="23">
                  <c:v>32300</c:v>
                </c:pt>
                <c:pt idx="24">
                  <c:v>33700</c:v>
                </c:pt>
                <c:pt idx="25">
                  <c:v>35100</c:v>
                </c:pt>
                <c:pt idx="26">
                  <c:v>36500</c:v>
                </c:pt>
                <c:pt idx="27">
                  <c:v>37900</c:v>
                </c:pt>
              </c:numCache>
            </c:numRef>
          </c:cat>
          <c:val>
            <c:numRef>
              <c:f>FrActWd!$B$2:$B$29</c:f>
              <c:numCache>
                <c:formatCode>General</c:formatCode>
                <c:ptCount val="28"/>
                <c:pt idx="0">
                  <c:v>0.99600798934399148</c:v>
                </c:pt>
                <c:pt idx="1">
                  <c:v>0.94176453358424872</c:v>
                </c:pt>
                <c:pt idx="2">
                  <c:v>0.89047522329747264</c:v>
                </c:pt>
                <c:pt idx="3">
                  <c:v>0.84197917316849991</c:v>
                </c:pt>
                <c:pt idx="4">
                  <c:v>0.79612425983545376</c:v>
                </c:pt>
                <c:pt idx="5">
                  <c:v>0.75276664470619625</c:v>
                </c:pt>
                <c:pt idx="6">
                  <c:v>0.71177032276260965</c:v>
                </c:pt>
                <c:pt idx="7">
                  <c:v>0.67300669593738638</c:v>
                </c:pt>
                <c:pt idx="8">
                  <c:v>0.63635416972508707</c:v>
                </c:pt>
                <c:pt idx="9">
                  <c:v>0.60169777176210937</c:v>
                </c:pt>
                <c:pt idx="10">
                  <c:v>0.56892879117912176</c:v>
                </c:pt>
                <c:pt idx="11">
                  <c:v>0.53794443759467447</c:v>
                </c:pt>
                <c:pt idx="12">
                  <c:v>0.50864751868031366</c:v>
                </c:pt>
                <c:pt idx="13">
                  <c:v>0.48094613528577795</c:v>
                </c:pt>
                <c:pt idx="14">
                  <c:v>0.45475339316794017</c:v>
                </c:pt>
                <c:pt idx="15">
                  <c:v>0.42998713041923975</c:v>
                </c:pt>
                <c:pt idx="16">
                  <c:v>0.40656965974059911</c:v>
                </c:pt>
                <c:pt idx="17">
                  <c:v>0.3844275247503785</c:v>
                </c:pt>
                <c:pt idx="18">
                  <c:v>0.36349126956495681</c:v>
                </c:pt>
                <c:pt idx="19">
                  <c:v>0.34369522092815236</c:v>
                </c:pt>
                <c:pt idx="20">
                  <c:v>0.32497728220606398</c:v>
                </c:pt>
                <c:pt idx="21">
                  <c:v>0.3072787386011312</c:v>
                </c:pt>
                <c:pt idx="22">
                  <c:v>0.29054407297440454</c:v>
                </c:pt>
                <c:pt idx="23">
                  <c:v>0.27472079169829472</c:v>
                </c:pt>
                <c:pt idx="24">
                  <c:v>0.25975925999353111</c:v>
                </c:pt>
                <c:pt idx="25">
                  <c:v>0.24561254623381221</c:v>
                </c:pt>
                <c:pt idx="26">
                  <c:v>0.23223627472975877</c:v>
                </c:pt>
                <c:pt idx="27">
                  <c:v>0.21958848653038082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42-43F7-9787-14C5994260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0705416"/>
        <c:axId val="600708944"/>
      </c:lineChart>
      <c:catAx>
        <c:axId val="600705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biomass (g/m2)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708944"/>
        <c:crosses val="autoZero"/>
        <c:auto val="1"/>
        <c:lblAlgn val="ctr"/>
        <c:lblOffset val="100"/>
        <c:noMultiLvlLbl val="0"/>
      </c:catAx>
      <c:valAx>
        <c:axId val="60070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705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woody biomass (g/m2)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FrActWd!$D$1</c:f>
              <c:strCache>
                <c:ptCount val="1"/>
                <c:pt idx="0">
                  <c:v>Activ BM (g/m2)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FrActWd!$D$2:$D$29</c:f>
              <c:numCache>
                <c:formatCode>General</c:formatCode>
                <c:ptCount val="28"/>
                <c:pt idx="0">
                  <c:v>99.600798934399151</c:v>
                </c:pt>
                <c:pt idx="1">
                  <c:v>1412.646800376373</c:v>
                </c:pt>
                <c:pt idx="2">
                  <c:v>2582.3781475626706</c:v>
                </c:pt>
                <c:pt idx="3">
                  <c:v>3620.5104446245496</c:v>
                </c:pt>
                <c:pt idx="4">
                  <c:v>4537.9082810620866</c:v>
                </c:pt>
                <c:pt idx="5">
                  <c:v>5344.6431774139937</c:v>
                </c:pt>
                <c:pt idx="6">
                  <c:v>6050.0477434821823</c:v>
                </c:pt>
                <c:pt idx="7">
                  <c:v>6662.7662897801256</c:v>
                </c:pt>
                <c:pt idx="8">
                  <c:v>7190.8021178934841</c:v>
                </c:pt>
                <c:pt idx="9">
                  <c:v>7641.5617013787887</c:v>
                </c:pt>
                <c:pt idx="10">
                  <c:v>8021.8959556256168</c:v>
                </c:pt>
                <c:pt idx="11">
                  <c:v>8338.1387827174549</c:v>
                </c:pt>
                <c:pt idx="12">
                  <c:v>8596.1430656973007</c:v>
                </c:pt>
                <c:pt idx="13">
                  <c:v>8801.3142757297373</c:v>
                </c:pt>
                <c:pt idx="14">
                  <c:v>8958.6418454084214</c:v>
                </c:pt>
                <c:pt idx="15">
                  <c:v>9072.7284518459583</c:v>
                </c:pt>
                <c:pt idx="16">
                  <c:v>9147.8173441634808</c:v>
                </c:pt>
                <c:pt idx="17">
                  <c:v>9187.8178415340462</c:v>
                </c:pt>
                <c:pt idx="18">
                  <c:v>9196.3291199934065</c:v>
                </c:pt>
                <c:pt idx="19">
                  <c:v>9176.6623987816674</c:v>
                </c:pt>
                <c:pt idx="20">
                  <c:v>9131.861629990397</c:v>
                </c:pt>
                <c:pt idx="21">
                  <c:v>9064.7227887333702</c:v>
                </c:pt>
                <c:pt idx="22">
                  <c:v>8977.8118549090996</c:v>
                </c:pt>
                <c:pt idx="23">
                  <c:v>8873.4815718549198</c:v>
                </c:pt>
                <c:pt idx="24">
                  <c:v>8753.8870617819975</c:v>
                </c:pt>
                <c:pt idx="25">
                  <c:v>8621.0003728068077</c:v>
                </c:pt>
                <c:pt idx="26">
                  <c:v>8476.624027636195</c:v>
                </c:pt>
                <c:pt idx="27">
                  <c:v>8322.4036395014336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09-4D76-8E1A-74B5987114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0408960"/>
        <c:axId val="1923601408"/>
      </c:lineChart>
      <c:catAx>
        <c:axId val="18704089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3601408"/>
        <c:crosses val="autoZero"/>
        <c:auto val="1"/>
        <c:lblAlgn val="ctr"/>
        <c:lblOffset val="100"/>
        <c:noMultiLvlLbl val="0"/>
      </c:catAx>
      <c:valAx>
        <c:axId val="192360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0408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Predicting peak biomass</a:t>
            </a:r>
            <a:r>
              <a:rPr lang="en-US" baseline="0"/>
              <a:t> from FrActWd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FrActWd!$O$1</c:f>
              <c:strCache>
                <c:ptCount val="1"/>
                <c:pt idx="0">
                  <c:v>PeakBiomass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3.0517060367454069E-2"/>
                  <c:y val="-0.2019754301545640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FrActWd!$N$2:$N$7</c:f>
              <c:numCache>
                <c:formatCode>General</c:formatCode>
                <c:ptCount val="6"/>
                <c:pt idx="0">
                  <c:v>2.0000000000000002E-5</c:v>
                </c:pt>
                <c:pt idx="1">
                  <c:v>4.0000000000000003E-5</c:v>
                </c:pt>
                <c:pt idx="2">
                  <c:v>6.0000000000000002E-5</c:v>
                </c:pt>
                <c:pt idx="3">
                  <c:v>8.0000000000000007E-5</c:v>
                </c:pt>
                <c:pt idx="4">
                  <c:v>1E-4</c:v>
                </c:pt>
                <c:pt idx="5">
                  <c:v>2.0000000000000001E-4</c:v>
                </c:pt>
              </c:numCache>
            </c:numRef>
          </c:xVal>
          <c:yVal>
            <c:numRef>
              <c:f>FrActWd!$O$2:$O$7</c:f>
              <c:numCache>
                <c:formatCode>General</c:formatCode>
                <c:ptCount val="6"/>
                <c:pt idx="0">
                  <c:v>50500</c:v>
                </c:pt>
                <c:pt idx="1">
                  <c:v>25300</c:v>
                </c:pt>
                <c:pt idx="2">
                  <c:v>16900</c:v>
                </c:pt>
                <c:pt idx="3">
                  <c:v>12700</c:v>
                </c:pt>
                <c:pt idx="4">
                  <c:v>9900</c:v>
                </c:pt>
                <c:pt idx="5">
                  <c:v>5700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4A-47FE-8076-6CCB509ADA0E}"/>
            </c:ext>
          </c:extLst>
        </c:ser>
        <c:ser>
          <c:idx val="1"/>
          <c:order val="1"/>
          <c:tx>
            <c:strRef>
              <c:f>FrActWd!$Q$1</c:f>
              <c:strCache>
                <c:ptCount val="1"/>
                <c:pt idx="0">
                  <c:v>Predicted peak BM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FrActWd!$N$2:$N$7</c:f>
              <c:numCache>
                <c:formatCode>General</c:formatCode>
                <c:ptCount val="6"/>
                <c:pt idx="0">
                  <c:v>2.0000000000000002E-5</c:v>
                </c:pt>
                <c:pt idx="1">
                  <c:v>4.0000000000000003E-5</c:v>
                </c:pt>
                <c:pt idx="2">
                  <c:v>6.0000000000000002E-5</c:v>
                </c:pt>
                <c:pt idx="3">
                  <c:v>8.0000000000000007E-5</c:v>
                </c:pt>
                <c:pt idx="4">
                  <c:v>1E-4</c:v>
                </c:pt>
                <c:pt idx="5">
                  <c:v>2.0000000000000001E-4</c:v>
                </c:pt>
              </c:numCache>
            </c:numRef>
          </c:xVal>
          <c:yVal>
            <c:numRef>
              <c:f>FrActWd!$Q$2:$Q$7</c:f>
              <c:numCache>
                <c:formatCode>General</c:formatCode>
                <c:ptCount val="6"/>
                <c:pt idx="0">
                  <c:v>48879.435921237702</c:v>
                </c:pt>
                <c:pt idx="1">
                  <c:v>25144.234571270994</c:v>
                </c:pt>
                <c:pt idx="2">
                  <c:v>17043.818554862344</c:v>
                </c:pt>
                <c:pt idx="3">
                  <c:v>12934.530038232288</c:v>
                </c:pt>
                <c:pt idx="4">
                  <c:v>10442.72764177984</c:v>
                </c:pt>
                <c:pt idx="5">
                  <c:v>5371.8785505608012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A4A-47FE-8076-6CCB509ADA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5880416"/>
        <c:axId val="1923662144"/>
      </c:scatterChart>
      <c:valAx>
        <c:axId val="1435880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FrActWd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3662144"/>
        <c:crosses val="autoZero"/>
        <c:crossBetween val="midCat"/>
      </c:valAx>
      <c:valAx>
        <c:axId val="192366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Peak</a:t>
                </a:r>
                <a:r>
                  <a:rPr lang="en-US" baseline="0"/>
                  <a:t> </a:t>
                </a:r>
                <a:r>
                  <a:rPr lang="en-US"/>
                  <a:t>Woody biomass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880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Adjusted Pest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'EstMod-MaxPest'!$I$1</c:f>
              <c:strCache>
                <c:ptCount val="1"/>
                <c:pt idx="0">
                  <c:v>Modified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'EstMod-MaxPest'!$A$3:$A$13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'EstMod-MaxPest'!$I$3:$I$13</c:f>
              <c:numCache>
                <c:formatCode>General</c:formatCode>
                <c:ptCount val="11"/>
                <c:pt idx="0">
                  <c:v>0</c:v>
                </c:pt>
                <c:pt idx="1">
                  <c:v>7.8100589751872729E-4</c:v>
                </c:pt>
                <c:pt idx="2">
                  <c:v>1.2437656054784862E-2</c:v>
                </c:pt>
                <c:pt idx="3">
                  <c:v>6.1699588260176963E-2</c:v>
                </c:pt>
                <c:pt idx="4">
                  <c:v>0.18462730240000003</c:v>
                </c:pt>
                <c:pt idx="5">
                  <c:v>0.40178117853884032</c:v>
                </c:pt>
                <c:pt idx="6">
                  <c:v>0.67740809984384742</c:v>
                </c:pt>
                <c:pt idx="7">
                  <c:v>0.9047517180591802</c:v>
                </c:pt>
                <c:pt idx="8">
                  <c:v>0.99395338239999997</c:v>
                </c:pt>
                <c:pt idx="9">
                  <c:v>0.99975239010000005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3B-4401-92AF-997D8E3C8A66}"/>
            </c:ext>
          </c:extLst>
        </c:ser>
        <c:ser>
          <c:idx val="1"/>
          <c:order val="1"/>
          <c:tx>
            <c:strRef>
              <c:f>'EstMod-MaxPest'!$J$1</c:f>
              <c:strCache>
                <c:ptCount val="1"/>
                <c:pt idx="0">
                  <c:v>UnModified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'EstMod-MaxPest'!$J$3:$J$13</c:f>
              <c:numCache>
                <c:formatCode>General</c:formatCode>
                <c:ptCount val="11"/>
                <c:pt idx="0">
                  <c:v>0</c:v>
                </c:pt>
                <c:pt idx="1">
                  <c:v>4.9999000009681716E-5</c:v>
                </c:pt>
                <c:pt idx="2">
                  <c:v>1.5989763276273994E-3</c:v>
                </c:pt>
                <c:pt idx="3">
                  <c:v>1.2091094314815809E-2</c:v>
                </c:pt>
                <c:pt idx="4">
                  <c:v>5.0162106555248775E-2</c:v>
                </c:pt>
                <c:pt idx="5">
                  <c:v>0.14678481221199036</c:v>
                </c:pt>
                <c:pt idx="6">
                  <c:v>0.33285570895256</c:v>
                </c:pt>
                <c:pt idx="7">
                  <c:v>0.60149485964651572</c:v>
                </c:pt>
                <c:pt idx="8">
                  <c:v>0.86263371484427331</c:v>
                </c:pt>
                <c:pt idx="9">
                  <c:v>0.98848344576282887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3B-4401-92AF-997D8E3C8A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0704632"/>
        <c:axId val="600707768"/>
      </c:lineChart>
      <c:catAx>
        <c:axId val="600704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Both Reduction factors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707768"/>
        <c:crosses val="autoZero"/>
        <c:auto val="1"/>
        <c:lblAlgn val="ctr"/>
        <c:lblOffset val="100"/>
        <c:noMultiLvlLbl val="0"/>
      </c:catAx>
      <c:valAx>
        <c:axId val="60070776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704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Modified reduction factors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'EstMod-MaxPest'!$E$1:$E$2</c:f>
              <c:strCache>
                <c:ptCount val="2"/>
                <c:pt idx="0">
                  <c:v>Modified</c:v>
                </c:pt>
                <c:pt idx="1">
                  <c:v>fWater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'EstMod-MaxPest'!$A$3:$A$13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'EstMod-MaxPest'!$E$3:$E$13</c:f>
              <c:numCache>
                <c:formatCode>General</c:formatCode>
                <c:ptCount val="11"/>
                <c:pt idx="0">
                  <c:v>0</c:v>
                </c:pt>
                <c:pt idx="1">
                  <c:v>1.0000000000000002E-2</c:v>
                </c:pt>
                <c:pt idx="2">
                  <c:v>4.0000000000000008E-2</c:v>
                </c:pt>
                <c:pt idx="3">
                  <c:v>0.09</c:v>
                </c:pt>
                <c:pt idx="4">
                  <c:v>0.16000000000000003</c:v>
                </c:pt>
                <c:pt idx="5">
                  <c:v>0.25</c:v>
                </c:pt>
                <c:pt idx="6">
                  <c:v>0.36</c:v>
                </c:pt>
                <c:pt idx="7">
                  <c:v>0.48999999999999994</c:v>
                </c:pt>
                <c:pt idx="8">
                  <c:v>0.64000000000000012</c:v>
                </c:pt>
                <c:pt idx="9">
                  <c:v>0.81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D0-4431-9BC9-C0A109474A02}"/>
            </c:ext>
          </c:extLst>
        </c:ser>
        <c:ser>
          <c:idx val="1"/>
          <c:order val="1"/>
          <c:tx>
            <c:strRef>
              <c:f>'EstMod-MaxPest'!$F$1:$F$2</c:f>
              <c:strCache>
                <c:ptCount val="2"/>
                <c:pt idx="0">
                  <c:v>Modified</c:v>
                </c:pt>
                <c:pt idx="1">
                  <c:v>fRad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'EstMod-MaxPest'!$A$3:$A$13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'EstMod-MaxPest'!$F$3:$F$13</c:f>
              <c:numCache>
                <c:formatCode>General</c:formatCode>
                <c:ptCount val="11"/>
                <c:pt idx="0">
                  <c:v>0</c:v>
                </c:pt>
                <c:pt idx="1">
                  <c:v>1.5625E-2</c:v>
                </c:pt>
                <c:pt idx="2">
                  <c:v>6.25E-2</c:v>
                </c:pt>
                <c:pt idx="3">
                  <c:v>0.14062499999999997</c:v>
                </c:pt>
                <c:pt idx="4">
                  <c:v>0.25</c:v>
                </c:pt>
                <c:pt idx="5">
                  <c:v>0.39062499999999994</c:v>
                </c:pt>
                <c:pt idx="6">
                  <c:v>0.56249999999999989</c:v>
                </c:pt>
                <c:pt idx="7">
                  <c:v>0.76562499999999978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D0-4431-9BC9-C0A109474A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0710120"/>
        <c:axId val="600680328"/>
      </c:lineChart>
      <c:catAx>
        <c:axId val="600710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Nominal reduction factor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680328"/>
        <c:crosses val="autoZero"/>
        <c:auto val="1"/>
        <c:lblAlgn val="ctr"/>
        <c:lblOffset val="100"/>
        <c:noMultiLvlLbl val="0"/>
      </c:catAx>
      <c:valAx>
        <c:axId val="60068032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Modified reduction factor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710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Adjusted Pest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'EstMod-MaxPest'!$I$1</c:f>
              <c:strCache>
                <c:ptCount val="1"/>
                <c:pt idx="0">
                  <c:v>Modified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'EstMod-MaxPest'!$B$14:$B$24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'EstMod-MaxPest'!$I$14:$I$24</c:f>
              <c:numCache>
                <c:formatCode>General</c:formatCode>
                <c:ptCount val="11"/>
                <c:pt idx="0">
                  <c:v>0</c:v>
                </c:pt>
                <c:pt idx="1">
                  <c:v>7.5721443630754948E-2</c:v>
                </c:pt>
                <c:pt idx="2">
                  <c:v>0.27580356597900391</c:v>
                </c:pt>
                <c:pt idx="3">
                  <c:v>0.53127990011125803</c:v>
                </c:pt>
                <c:pt idx="4">
                  <c:v>0.7626953125</c:v>
                </c:pt>
                <c:pt idx="5">
                  <c:v>0.91597216669470072</c:v>
                </c:pt>
                <c:pt idx="6">
                  <c:v>0.98397159576416016</c:v>
                </c:pt>
                <c:pt idx="7">
                  <c:v>0.99929277691990137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E9-4C44-A8E9-646186E668BC}"/>
            </c:ext>
          </c:extLst>
        </c:ser>
        <c:ser>
          <c:idx val="1"/>
          <c:order val="1"/>
          <c:tx>
            <c:strRef>
              <c:f>'EstMod-MaxPest'!$J$1</c:f>
              <c:strCache>
                <c:ptCount val="1"/>
                <c:pt idx="0">
                  <c:v>UnModified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'EstMod-MaxPest'!$B$14:$B$24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'EstMod-MaxPest'!$J$14:$J$24</c:f>
              <c:numCache>
                <c:formatCode>General</c:formatCode>
                <c:ptCount val="11"/>
                <c:pt idx="0">
                  <c:v>0</c:v>
                </c:pt>
                <c:pt idx="1">
                  <c:v>1.5711704028924411E-2</c:v>
                </c:pt>
                <c:pt idx="2">
                  <c:v>8.6299452272002308E-2</c:v>
                </c:pt>
                <c:pt idx="3">
                  <c:v>0.22334378669281185</c:v>
                </c:pt>
                <c:pt idx="4">
                  <c:v>0.41341289990685182</c:v>
                </c:pt>
                <c:pt idx="5">
                  <c:v>0.62191601475488401</c:v>
                </c:pt>
                <c:pt idx="6">
                  <c:v>0.80496453818258329</c:v>
                </c:pt>
                <c:pt idx="7">
                  <c:v>0.92848540045729167</c:v>
                </c:pt>
                <c:pt idx="8">
                  <c:v>0.98571044020355092</c:v>
                </c:pt>
                <c:pt idx="9">
                  <c:v>0.99933414613362181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E9-4C44-A8E9-646186E668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0689344"/>
        <c:axId val="600678760"/>
      </c:lineChart>
      <c:catAx>
        <c:axId val="600689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fRad (given fWater = 1)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678760"/>
        <c:crosses val="autoZero"/>
        <c:auto val="1"/>
        <c:lblAlgn val="ctr"/>
        <c:lblOffset val="100"/>
        <c:noMultiLvlLbl val="0"/>
      </c:catAx>
      <c:valAx>
        <c:axId val="60067876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689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Scaled fRad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'EstMod-MaxPest'!$E$2</c:f>
              <c:strCache>
                <c:ptCount val="1"/>
                <c:pt idx="0">
                  <c:v>fWater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'EstMod-MaxPest'!$B$3:$B$13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'EstMod-MaxPest'!$E$3:$E$13</c:f>
              <c:numCache>
                <c:formatCode>General</c:formatCode>
                <c:ptCount val="11"/>
                <c:pt idx="0">
                  <c:v>0</c:v>
                </c:pt>
                <c:pt idx="1">
                  <c:v>1.0000000000000002E-2</c:v>
                </c:pt>
                <c:pt idx="2">
                  <c:v>4.0000000000000008E-2</c:v>
                </c:pt>
                <c:pt idx="3">
                  <c:v>0.09</c:v>
                </c:pt>
                <c:pt idx="4">
                  <c:v>0.16000000000000003</c:v>
                </c:pt>
                <c:pt idx="5">
                  <c:v>0.25</c:v>
                </c:pt>
                <c:pt idx="6">
                  <c:v>0.36</c:v>
                </c:pt>
                <c:pt idx="7">
                  <c:v>0.48999999999999994</c:v>
                </c:pt>
                <c:pt idx="8">
                  <c:v>0.64000000000000012</c:v>
                </c:pt>
                <c:pt idx="9">
                  <c:v>0.81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47-4EAB-9E82-0BCA740EC33A}"/>
            </c:ext>
          </c:extLst>
        </c:ser>
        <c:ser>
          <c:idx val="1"/>
          <c:order val="1"/>
          <c:tx>
            <c:strRef>
              <c:f>'EstMod-MaxPest'!$F$2</c:f>
              <c:strCache>
                <c:ptCount val="1"/>
                <c:pt idx="0">
                  <c:v>fRad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'EstMod-MaxPest'!$B$3:$B$13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'EstMod-MaxPest'!$F$3:$F$13</c:f>
              <c:numCache>
                <c:formatCode>General</c:formatCode>
                <c:ptCount val="11"/>
                <c:pt idx="0">
                  <c:v>0</c:v>
                </c:pt>
                <c:pt idx="1">
                  <c:v>1.5625E-2</c:v>
                </c:pt>
                <c:pt idx="2">
                  <c:v>6.25E-2</c:v>
                </c:pt>
                <c:pt idx="3">
                  <c:v>0.14062499999999997</c:v>
                </c:pt>
                <c:pt idx="4">
                  <c:v>0.25</c:v>
                </c:pt>
                <c:pt idx="5">
                  <c:v>0.39062499999999994</c:v>
                </c:pt>
                <c:pt idx="6">
                  <c:v>0.56249999999999989</c:v>
                </c:pt>
                <c:pt idx="7">
                  <c:v>0.76562499999999978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47-4EAB-9E82-0BCA740EC33A}"/>
            </c:ext>
          </c:extLst>
        </c:ser>
        <c:ser>
          <c:idx val="2"/>
          <c:order val="2"/>
          <c:tx>
            <c:strRef>
              <c:f>'EstMod-MaxPest'!$K$2</c:f>
              <c:strCache>
                <c:ptCount val="1"/>
                <c:pt idx="0">
                  <c:v>Scaled fRad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'EstMod-MaxPest'!$B$3:$B$13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'EstMod-MaxPest'!$K$3:$K$13</c:f>
              <c:numCache>
                <c:formatCode>General</c:formatCode>
                <c:ptCount val="11"/>
                <c:pt idx="0">
                  <c:v>0.19999999999999996</c:v>
                </c:pt>
                <c:pt idx="1">
                  <c:v>0.29999999999999993</c:v>
                </c:pt>
                <c:pt idx="2">
                  <c:v>0.39999999999999997</c:v>
                </c:pt>
                <c:pt idx="3">
                  <c:v>0.49999999999999994</c:v>
                </c:pt>
                <c:pt idx="4">
                  <c:v>0.6</c:v>
                </c:pt>
                <c:pt idx="5">
                  <c:v>0.7</c:v>
                </c:pt>
                <c:pt idx="6">
                  <c:v>0.79999999999999993</c:v>
                </c:pt>
                <c:pt idx="7">
                  <c:v>0.89999999999999991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47-4EAB-9E82-0BCA740EC3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4457359"/>
        <c:axId val="657292159"/>
      </c:lineChart>
      <c:catAx>
        <c:axId val="684457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292159"/>
        <c:crosses val="autoZero"/>
        <c:auto val="1"/>
        <c:lblAlgn val="ctr"/>
        <c:lblOffset val="100"/>
        <c:noMultiLvlLbl val="0"/>
      </c:catAx>
      <c:valAx>
        <c:axId val="65729215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457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Gross Photosynthesis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DTemp!$T$1</c:f>
              <c:strCache>
                <c:ptCount val="1"/>
                <c:pt idx="0">
                  <c:v>FtempGrossPsn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DTemp!$D$2:$D$13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</c:numCache>
            </c:numRef>
          </c:cat>
          <c:val>
            <c:numRef>
              <c:f>DTemp!$T$2:$T$13</c:f>
              <c:numCache>
                <c:formatCode>General</c:formatCode>
                <c:ptCount val="12"/>
                <c:pt idx="0">
                  <c:v>0.54797472000000014</c:v>
                </c:pt>
                <c:pt idx="1">
                  <c:v>1.6114523580200211</c:v>
                </c:pt>
                <c:pt idx="2">
                  <c:v>9.2570209038490763</c:v>
                </c:pt>
                <c:pt idx="3">
                  <c:v>15.025960523764965</c:v>
                </c:pt>
                <c:pt idx="4">
                  <c:v>18.747373282834886</c:v>
                </c:pt>
                <c:pt idx="5">
                  <c:v>20.211599327456298</c:v>
                </c:pt>
                <c:pt idx="6">
                  <c:v>19.24658753232146</c:v>
                </c:pt>
                <c:pt idx="7">
                  <c:v>16.299447514135025</c:v>
                </c:pt>
                <c:pt idx="8">
                  <c:v>11.287389130830476</c:v>
                </c:pt>
                <c:pt idx="9">
                  <c:v>12.399252493785589</c:v>
                </c:pt>
                <c:pt idx="10">
                  <c:v>17.535191040000004</c:v>
                </c:pt>
                <c:pt idx="11">
                  <c:v>24.798504987571182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10-413D-A9A6-6367974B3EC0}"/>
            </c:ext>
          </c:extLst>
        </c:ser>
        <c:ser>
          <c:idx val="1"/>
          <c:order val="1"/>
          <c:tx>
            <c:strRef>
              <c:f>DTemp!$U$1</c:f>
              <c:strCache>
                <c:ptCount val="1"/>
                <c:pt idx="0">
                  <c:v>DTEMPGrossPsn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DTemp!$D$2:$D$13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</c:numCache>
            </c:numRef>
          </c:cat>
          <c:val>
            <c:numRef>
              <c:f>DTemp!$U$2:$U$13</c:f>
              <c:numCache>
                <c:formatCode>General</c:formatCode>
                <c:ptCount val="12"/>
                <c:pt idx="0">
                  <c:v>0.54797472000000014</c:v>
                </c:pt>
                <c:pt idx="1">
                  <c:v>1.6114523580200211</c:v>
                </c:pt>
                <c:pt idx="2">
                  <c:v>9.2570209038490763</c:v>
                </c:pt>
                <c:pt idx="3">
                  <c:v>15.025960523764965</c:v>
                </c:pt>
                <c:pt idx="4">
                  <c:v>18.747373282834886</c:v>
                </c:pt>
                <c:pt idx="5">
                  <c:v>20.211599327456298</c:v>
                </c:pt>
                <c:pt idx="6">
                  <c:v>19.24658753232146</c:v>
                </c:pt>
                <c:pt idx="7">
                  <c:v>13.182218727949152</c:v>
                </c:pt>
                <c:pt idx="8">
                  <c:v>8.7675955200000022</c:v>
                </c:pt>
                <c:pt idx="9">
                  <c:v>12.399252493785589</c:v>
                </c:pt>
                <c:pt idx="10">
                  <c:v>17.535191040000004</c:v>
                </c:pt>
                <c:pt idx="11">
                  <c:v>24.798504987571182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10-413D-A9A6-6367974B3E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7979616"/>
        <c:axId val="372671472"/>
      </c:lineChart>
      <c:catAx>
        <c:axId val="597979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671472"/>
        <c:crosses val="autoZero"/>
        <c:auto val="1"/>
        <c:lblAlgn val="ctr"/>
        <c:lblOffset val="100"/>
        <c:noMultiLvlLbl val="0"/>
      </c:catAx>
      <c:valAx>
        <c:axId val="37267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979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AdjFolN!$G$2</c:f>
              <c:strCache>
                <c:ptCount val="1"/>
                <c:pt idx="0">
                  <c:v>ModAdjFolN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AdjFolN!$A$3:$A$13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AdjFolN!$G$3:$G$13</c:f>
              <c:numCache>
                <c:formatCode>General</c:formatCode>
                <c:ptCount val="11"/>
                <c:pt idx="0">
                  <c:v>2.2999999999999998</c:v>
                </c:pt>
                <c:pt idx="1">
                  <c:v>2.3003999999999998</c:v>
                </c:pt>
                <c:pt idx="2">
                  <c:v>2.3031999999999999</c:v>
                </c:pt>
                <c:pt idx="3">
                  <c:v>2.3108</c:v>
                </c:pt>
                <c:pt idx="4">
                  <c:v>2.3255999999999997</c:v>
                </c:pt>
                <c:pt idx="5">
                  <c:v>2.3499999999999996</c:v>
                </c:pt>
                <c:pt idx="6">
                  <c:v>2.3864000000000001</c:v>
                </c:pt>
                <c:pt idx="7">
                  <c:v>2.4371999999999998</c:v>
                </c:pt>
                <c:pt idx="8">
                  <c:v>2.5047999999999999</c:v>
                </c:pt>
                <c:pt idx="9">
                  <c:v>2.5916000000000001</c:v>
                </c:pt>
                <c:pt idx="10">
                  <c:v>2.7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C8-4086-A652-CDD4A77C60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0679152"/>
        <c:axId val="600679936"/>
      </c:lineChart>
      <c:catAx>
        <c:axId val="600679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679936"/>
        <c:crosses val="autoZero"/>
        <c:auto val="1"/>
        <c:lblAlgn val="ctr"/>
        <c:lblOffset val="100"/>
        <c:noMultiLvlLbl val="0"/>
      </c:catAx>
      <c:valAx>
        <c:axId val="60067993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ModAdjFolN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679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Deciduous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AdjFracFol!$C$15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AdjFracFol!$C$16:$C$20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BF-41EF-9D29-2CA7ADBC54C8}"/>
            </c:ext>
          </c:extLst>
        </c:ser>
        <c:ser>
          <c:idx val="1"/>
          <c:order val="1"/>
          <c:tx>
            <c:strRef>
              <c:f>AdjFracFol!$D$15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AdjFracFol!$D$16:$D$20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BF-41EF-9D29-2CA7ADBC54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0686600"/>
        <c:axId val="600680720"/>
      </c:lineChart>
      <c:catAx>
        <c:axId val="600686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Shade tolerance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680720"/>
        <c:crosses val="autoZero"/>
        <c:auto val="1"/>
        <c:lblAlgn val="ctr"/>
        <c:lblOffset val="100"/>
        <c:noMultiLvlLbl val="0"/>
      </c:catAx>
      <c:valAx>
        <c:axId val="60068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FracFol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686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AdjFracFol!$G$1</c:f>
              <c:strCache>
                <c:ptCount val="1"/>
                <c:pt idx="0">
                  <c:v>AdjFracFol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AdjFracFol!$A$2:$A$12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AdjFracFol!$G$2:$G$12</c:f>
              <c:numCache>
                <c:formatCode>General</c:formatCode>
                <c:ptCount val="11"/>
                <c:pt idx="0">
                  <c:v>7.0000000000000007E-2</c:v>
                </c:pt>
                <c:pt idx="1">
                  <c:v>7.0000080000000006E-2</c:v>
                </c:pt>
                <c:pt idx="2">
                  <c:v>7.0005120000000004E-2</c:v>
                </c:pt>
                <c:pt idx="3">
                  <c:v>7.0058320000000007E-2</c:v>
                </c:pt>
                <c:pt idx="4">
                  <c:v>7.0327680000000004E-2</c:v>
                </c:pt>
                <c:pt idx="5">
                  <c:v>7.1250000000000008E-2</c:v>
                </c:pt>
                <c:pt idx="6">
                  <c:v>7.3732480000000003E-2</c:v>
                </c:pt>
                <c:pt idx="7">
                  <c:v>7.9411919999999997E-2</c:v>
                </c:pt>
                <c:pt idx="8">
                  <c:v>9.0971520000000014E-2</c:v>
                </c:pt>
                <c:pt idx="9">
                  <c:v>0.11251528000000002</c:v>
                </c:pt>
                <c:pt idx="10">
                  <c:v>0.15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79-49DE-A930-5B0E084455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0684640"/>
        <c:axId val="600686208"/>
      </c:lineChart>
      <c:catAx>
        <c:axId val="600684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686208"/>
        <c:crosses val="autoZero"/>
        <c:auto val="1"/>
        <c:lblAlgn val="ctr"/>
        <c:lblOffset val="100"/>
        <c:noMultiLvlLbl val="0"/>
      </c:catAx>
      <c:valAx>
        <c:axId val="60068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684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Effect of CO2 on HalfSat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CO2HalfSatEff!$C$1</c:f>
              <c:strCache>
                <c:ptCount val="1"/>
                <c:pt idx="0">
                  <c:v>Species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CO2HalfSatEff!$A$7:$A$21</c:f>
              <c:numCache>
                <c:formatCode>General</c:formatCode>
                <c:ptCount val="15"/>
                <c:pt idx="0">
                  <c:v>300</c:v>
                </c:pt>
                <c:pt idx="1">
                  <c:v>350</c:v>
                </c:pt>
                <c:pt idx="2">
                  <c:v>400</c:v>
                </c:pt>
                <c:pt idx="3">
                  <c:v>450</c:v>
                </c:pt>
                <c:pt idx="4">
                  <c:v>500</c:v>
                </c:pt>
                <c:pt idx="5">
                  <c:v>550</c:v>
                </c:pt>
                <c:pt idx="6">
                  <c:v>600</c:v>
                </c:pt>
                <c:pt idx="7">
                  <c:v>650</c:v>
                </c:pt>
                <c:pt idx="8">
                  <c:v>700</c:v>
                </c:pt>
                <c:pt idx="9">
                  <c:v>750</c:v>
                </c:pt>
                <c:pt idx="10">
                  <c:v>800</c:v>
                </c:pt>
                <c:pt idx="11">
                  <c:v>850</c:v>
                </c:pt>
                <c:pt idx="12">
                  <c:v>900</c:v>
                </c:pt>
                <c:pt idx="13">
                  <c:v>950</c:v>
                </c:pt>
                <c:pt idx="14">
                  <c:v>1000</c:v>
                </c:pt>
              </c:numCache>
            </c:numRef>
          </c:cat>
          <c:val>
            <c:numRef>
              <c:f>CO2HalfSatEff!$C$7:$C$21</c:f>
              <c:numCache>
                <c:formatCode>General</c:formatCode>
                <c:ptCount val="15"/>
                <c:pt idx="0">
                  <c:v>304.5</c:v>
                </c:pt>
                <c:pt idx="1">
                  <c:v>302</c:v>
                </c:pt>
                <c:pt idx="2">
                  <c:v>299.5</c:v>
                </c:pt>
                <c:pt idx="3">
                  <c:v>297</c:v>
                </c:pt>
                <c:pt idx="4">
                  <c:v>294.5</c:v>
                </c:pt>
                <c:pt idx="5">
                  <c:v>292</c:v>
                </c:pt>
                <c:pt idx="6">
                  <c:v>289.5</c:v>
                </c:pt>
                <c:pt idx="7">
                  <c:v>287</c:v>
                </c:pt>
                <c:pt idx="8">
                  <c:v>284.5</c:v>
                </c:pt>
                <c:pt idx="9">
                  <c:v>282</c:v>
                </c:pt>
                <c:pt idx="10">
                  <c:v>279.5</c:v>
                </c:pt>
                <c:pt idx="11">
                  <c:v>277</c:v>
                </c:pt>
                <c:pt idx="12">
                  <c:v>274.5</c:v>
                </c:pt>
                <c:pt idx="13">
                  <c:v>272</c:v>
                </c:pt>
                <c:pt idx="14">
                  <c:v>269.5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12-467E-9DD2-AFCB8F6D9DC6}"/>
            </c:ext>
          </c:extLst>
        </c:ser>
        <c:ser>
          <c:idx val="1"/>
          <c:order val="1"/>
          <c:tx>
            <c:strRef>
              <c:f>CO2HalfSatEff!$D$1</c:f>
              <c:strCache>
                <c:ptCount val="1"/>
                <c:pt idx="0">
                  <c:v>Species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CO2HalfSatEff!$A$7:$A$21</c:f>
              <c:numCache>
                <c:formatCode>General</c:formatCode>
                <c:ptCount val="15"/>
                <c:pt idx="0">
                  <c:v>300</c:v>
                </c:pt>
                <c:pt idx="1">
                  <c:v>350</c:v>
                </c:pt>
                <c:pt idx="2">
                  <c:v>400</c:v>
                </c:pt>
                <c:pt idx="3">
                  <c:v>450</c:v>
                </c:pt>
                <c:pt idx="4">
                  <c:v>500</c:v>
                </c:pt>
                <c:pt idx="5">
                  <c:v>550</c:v>
                </c:pt>
                <c:pt idx="6">
                  <c:v>600</c:v>
                </c:pt>
                <c:pt idx="7">
                  <c:v>650</c:v>
                </c:pt>
                <c:pt idx="8">
                  <c:v>700</c:v>
                </c:pt>
                <c:pt idx="9">
                  <c:v>750</c:v>
                </c:pt>
                <c:pt idx="10">
                  <c:v>800</c:v>
                </c:pt>
                <c:pt idx="11">
                  <c:v>850</c:v>
                </c:pt>
                <c:pt idx="12">
                  <c:v>900</c:v>
                </c:pt>
                <c:pt idx="13">
                  <c:v>950</c:v>
                </c:pt>
                <c:pt idx="14">
                  <c:v>1000</c:v>
                </c:pt>
              </c:numCache>
            </c:numRef>
          </c:cat>
          <c:val>
            <c:numRef>
              <c:f>CO2HalfSatEff!$D$7:$D$21</c:f>
              <c:numCache>
                <c:formatCode>General</c:formatCode>
                <c:ptCount val="15"/>
                <c:pt idx="0">
                  <c:v>254</c:v>
                </c:pt>
                <c:pt idx="1">
                  <c:v>252</c:v>
                </c:pt>
                <c:pt idx="2">
                  <c:v>250</c:v>
                </c:pt>
                <c:pt idx="3">
                  <c:v>248</c:v>
                </c:pt>
                <c:pt idx="4">
                  <c:v>246</c:v>
                </c:pt>
                <c:pt idx="5">
                  <c:v>244</c:v>
                </c:pt>
                <c:pt idx="6">
                  <c:v>242</c:v>
                </c:pt>
                <c:pt idx="7">
                  <c:v>240</c:v>
                </c:pt>
                <c:pt idx="8">
                  <c:v>238</c:v>
                </c:pt>
                <c:pt idx="9">
                  <c:v>236</c:v>
                </c:pt>
                <c:pt idx="10">
                  <c:v>234</c:v>
                </c:pt>
                <c:pt idx="11">
                  <c:v>232</c:v>
                </c:pt>
                <c:pt idx="12">
                  <c:v>230</c:v>
                </c:pt>
                <c:pt idx="13">
                  <c:v>228</c:v>
                </c:pt>
                <c:pt idx="14">
                  <c:v>226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12-467E-9DD2-AFCB8F6D9DC6}"/>
            </c:ext>
          </c:extLst>
        </c:ser>
        <c:ser>
          <c:idx val="2"/>
          <c:order val="2"/>
          <c:tx>
            <c:strRef>
              <c:f>CO2HalfSatEff!$E$1</c:f>
              <c:strCache>
                <c:ptCount val="1"/>
                <c:pt idx="0">
                  <c:v>Species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CO2HalfSatEff!$A$7:$A$21</c:f>
              <c:numCache>
                <c:formatCode>General</c:formatCode>
                <c:ptCount val="15"/>
                <c:pt idx="0">
                  <c:v>300</c:v>
                </c:pt>
                <c:pt idx="1">
                  <c:v>350</c:v>
                </c:pt>
                <c:pt idx="2">
                  <c:v>400</c:v>
                </c:pt>
                <c:pt idx="3">
                  <c:v>450</c:v>
                </c:pt>
                <c:pt idx="4">
                  <c:v>500</c:v>
                </c:pt>
                <c:pt idx="5">
                  <c:v>550</c:v>
                </c:pt>
                <c:pt idx="6">
                  <c:v>600</c:v>
                </c:pt>
                <c:pt idx="7">
                  <c:v>650</c:v>
                </c:pt>
                <c:pt idx="8">
                  <c:v>700</c:v>
                </c:pt>
                <c:pt idx="9">
                  <c:v>750</c:v>
                </c:pt>
                <c:pt idx="10">
                  <c:v>800</c:v>
                </c:pt>
                <c:pt idx="11">
                  <c:v>850</c:v>
                </c:pt>
                <c:pt idx="12">
                  <c:v>900</c:v>
                </c:pt>
                <c:pt idx="13">
                  <c:v>950</c:v>
                </c:pt>
                <c:pt idx="14">
                  <c:v>1000</c:v>
                </c:pt>
              </c:numCache>
            </c:numRef>
          </c:cat>
          <c:val>
            <c:numRef>
              <c:f>CO2HalfSatEff!$E$7:$E$21</c:f>
              <c:numCache>
                <c:formatCode>General</c:formatCode>
                <c:ptCount val="15"/>
                <c:pt idx="0">
                  <c:v>202.5</c:v>
                </c:pt>
                <c:pt idx="1">
                  <c:v>201</c:v>
                </c:pt>
                <c:pt idx="2">
                  <c:v>199.5</c:v>
                </c:pt>
                <c:pt idx="3">
                  <c:v>198</c:v>
                </c:pt>
                <c:pt idx="4">
                  <c:v>196.5</c:v>
                </c:pt>
                <c:pt idx="5">
                  <c:v>195</c:v>
                </c:pt>
                <c:pt idx="6">
                  <c:v>193.5</c:v>
                </c:pt>
                <c:pt idx="7">
                  <c:v>192</c:v>
                </c:pt>
                <c:pt idx="8">
                  <c:v>190.5</c:v>
                </c:pt>
                <c:pt idx="9">
                  <c:v>189</c:v>
                </c:pt>
                <c:pt idx="10">
                  <c:v>187.5</c:v>
                </c:pt>
                <c:pt idx="11">
                  <c:v>186</c:v>
                </c:pt>
                <c:pt idx="12">
                  <c:v>184.5</c:v>
                </c:pt>
                <c:pt idx="13">
                  <c:v>183</c:v>
                </c:pt>
                <c:pt idx="14">
                  <c:v>181.5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12-467E-9DD2-AFCB8F6D9DC6}"/>
            </c:ext>
          </c:extLst>
        </c:ser>
        <c:ser>
          <c:idx val="3"/>
          <c:order val="3"/>
          <c:tx>
            <c:strRef>
              <c:f>CO2HalfSatEff!$F$1</c:f>
              <c:strCache>
                <c:ptCount val="1"/>
                <c:pt idx="0">
                  <c:v>Species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CO2HalfSatEff!$A$7:$A$21</c:f>
              <c:numCache>
                <c:formatCode>General</c:formatCode>
                <c:ptCount val="15"/>
                <c:pt idx="0">
                  <c:v>300</c:v>
                </c:pt>
                <c:pt idx="1">
                  <c:v>350</c:v>
                </c:pt>
                <c:pt idx="2">
                  <c:v>400</c:v>
                </c:pt>
                <c:pt idx="3">
                  <c:v>450</c:v>
                </c:pt>
                <c:pt idx="4">
                  <c:v>500</c:v>
                </c:pt>
                <c:pt idx="5">
                  <c:v>550</c:v>
                </c:pt>
                <c:pt idx="6">
                  <c:v>600</c:v>
                </c:pt>
                <c:pt idx="7">
                  <c:v>650</c:v>
                </c:pt>
                <c:pt idx="8">
                  <c:v>700</c:v>
                </c:pt>
                <c:pt idx="9">
                  <c:v>750</c:v>
                </c:pt>
                <c:pt idx="10">
                  <c:v>800</c:v>
                </c:pt>
                <c:pt idx="11">
                  <c:v>850</c:v>
                </c:pt>
                <c:pt idx="12">
                  <c:v>900</c:v>
                </c:pt>
                <c:pt idx="13">
                  <c:v>950</c:v>
                </c:pt>
                <c:pt idx="14">
                  <c:v>1000</c:v>
                </c:pt>
              </c:numCache>
            </c:numRef>
          </c:cat>
          <c:val>
            <c:numRef>
              <c:f>CO2HalfSatEff!$F$7:$F$21</c:f>
              <c:numCache>
                <c:formatCode>General</c:formatCode>
                <c:ptCount val="15"/>
                <c:pt idx="0">
                  <c:v>152</c:v>
                </c:pt>
                <c:pt idx="1">
                  <c:v>151</c:v>
                </c:pt>
                <c:pt idx="2">
                  <c:v>150</c:v>
                </c:pt>
                <c:pt idx="3">
                  <c:v>149</c:v>
                </c:pt>
                <c:pt idx="4">
                  <c:v>148</c:v>
                </c:pt>
                <c:pt idx="5">
                  <c:v>147</c:v>
                </c:pt>
                <c:pt idx="6">
                  <c:v>146</c:v>
                </c:pt>
                <c:pt idx="7">
                  <c:v>145</c:v>
                </c:pt>
                <c:pt idx="8">
                  <c:v>144</c:v>
                </c:pt>
                <c:pt idx="9">
                  <c:v>143</c:v>
                </c:pt>
                <c:pt idx="10">
                  <c:v>142</c:v>
                </c:pt>
                <c:pt idx="11">
                  <c:v>141</c:v>
                </c:pt>
                <c:pt idx="12">
                  <c:v>140</c:v>
                </c:pt>
                <c:pt idx="13">
                  <c:v>139</c:v>
                </c:pt>
                <c:pt idx="14">
                  <c:v>138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112-467E-9DD2-AFCB8F6D9DC6}"/>
            </c:ext>
          </c:extLst>
        </c:ser>
        <c:ser>
          <c:idx val="4"/>
          <c:order val="4"/>
          <c:tx>
            <c:strRef>
              <c:f>CO2HalfSatEff!$G$1</c:f>
              <c:strCache>
                <c:ptCount val="1"/>
                <c:pt idx="0">
                  <c:v>Species 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CO2HalfSatEff!$A$7:$A$21</c:f>
              <c:numCache>
                <c:formatCode>General</c:formatCode>
                <c:ptCount val="15"/>
                <c:pt idx="0">
                  <c:v>300</c:v>
                </c:pt>
                <c:pt idx="1">
                  <c:v>350</c:v>
                </c:pt>
                <c:pt idx="2">
                  <c:v>400</c:v>
                </c:pt>
                <c:pt idx="3">
                  <c:v>450</c:v>
                </c:pt>
                <c:pt idx="4">
                  <c:v>500</c:v>
                </c:pt>
                <c:pt idx="5">
                  <c:v>550</c:v>
                </c:pt>
                <c:pt idx="6">
                  <c:v>600</c:v>
                </c:pt>
                <c:pt idx="7">
                  <c:v>650</c:v>
                </c:pt>
                <c:pt idx="8">
                  <c:v>700</c:v>
                </c:pt>
                <c:pt idx="9">
                  <c:v>750</c:v>
                </c:pt>
                <c:pt idx="10">
                  <c:v>800</c:v>
                </c:pt>
                <c:pt idx="11">
                  <c:v>850</c:v>
                </c:pt>
                <c:pt idx="12">
                  <c:v>900</c:v>
                </c:pt>
                <c:pt idx="13">
                  <c:v>950</c:v>
                </c:pt>
                <c:pt idx="14">
                  <c:v>1000</c:v>
                </c:pt>
              </c:numCache>
            </c:numRef>
          </c:cat>
          <c:val>
            <c:numRef>
              <c:f>CO2HalfSatEff!$G$7:$G$21</c:f>
              <c:numCache>
                <c:formatCode>General</c:formatCode>
                <c:ptCount val="15"/>
                <c:pt idx="0">
                  <c:v>101.9</c:v>
                </c:pt>
                <c:pt idx="1">
                  <c:v>101.4</c:v>
                </c:pt>
                <c:pt idx="2">
                  <c:v>100.9</c:v>
                </c:pt>
                <c:pt idx="3">
                  <c:v>100.4</c:v>
                </c:pt>
                <c:pt idx="4">
                  <c:v>99.9</c:v>
                </c:pt>
                <c:pt idx="5">
                  <c:v>99.4</c:v>
                </c:pt>
                <c:pt idx="6">
                  <c:v>98.9</c:v>
                </c:pt>
                <c:pt idx="7">
                  <c:v>98.4</c:v>
                </c:pt>
                <c:pt idx="8">
                  <c:v>97.9</c:v>
                </c:pt>
                <c:pt idx="9">
                  <c:v>97.4</c:v>
                </c:pt>
                <c:pt idx="10">
                  <c:v>96.9</c:v>
                </c:pt>
                <c:pt idx="11">
                  <c:v>96.4</c:v>
                </c:pt>
                <c:pt idx="12">
                  <c:v>95.9</c:v>
                </c:pt>
                <c:pt idx="13">
                  <c:v>95.4</c:v>
                </c:pt>
                <c:pt idx="14">
                  <c:v>94.9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112-467E-9DD2-AFCB8F6D9D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0687384"/>
        <c:axId val="600679544"/>
      </c:lineChart>
      <c:catAx>
        <c:axId val="600687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CO2 (ppm)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679544"/>
        <c:crosses val="autoZero"/>
        <c:auto val="1"/>
        <c:lblAlgn val="ctr"/>
        <c:lblOffset val="100"/>
        <c:noMultiLvlLbl val="0"/>
      </c:catAx>
      <c:valAx>
        <c:axId val="600679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ADjHalfSat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687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fLAI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MaxLAI!$X$16:$X$28</c:f>
              <c:numCache>
                <c:formatCode>General</c:formatCode>
                <c:ptCount val="1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</c:numCache>
            </c:numRef>
          </c:cat>
          <c:val>
            <c:numRef>
              <c:f>MaxLAI!$Y$16:$Y$28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0.95150076567442754</c:v>
                </c:pt>
                <c:pt idx="7">
                  <c:v>0.77675089328683211</c:v>
                </c:pt>
                <c:pt idx="8">
                  <c:v>0.60200102089923679</c:v>
                </c:pt>
                <c:pt idx="9">
                  <c:v>0.42725114851164137</c:v>
                </c:pt>
                <c:pt idx="10">
                  <c:v>0.25250127612404594</c:v>
                </c:pt>
                <c:pt idx="11">
                  <c:v>7.7751403736450619E-2</c:v>
                </c:pt>
                <c:pt idx="12">
                  <c:v>-9.699846865114492E-2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1B-484F-861F-6D80C166AC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6480800"/>
        <c:axId val="1456973792"/>
      </c:lineChart>
      <c:catAx>
        <c:axId val="1306480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Site LAI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6973792"/>
        <c:crosses val="autoZero"/>
        <c:auto val="1"/>
        <c:lblAlgn val="ctr"/>
        <c:lblOffset val="100"/>
        <c:noMultiLvlLbl val="0"/>
      </c:catAx>
      <c:valAx>
        <c:axId val="145697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6480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Cohort1 </a:t>
            </a:r>
            <a:r>
              <a:rPr lang="en-US" sz="1400" b="0" i="0" u="none" strike="noStrike" baseline="0">
                <a:effectLst/>
              </a:rPr>
              <a:t>LAI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MaxLAI!$C$2</c:f>
              <c:strCache>
                <c:ptCount val="1"/>
                <c:pt idx="0">
                  <c:v>LAI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MaxLAI!$C$3:$C$32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9.2775009978367295E-2</c:v>
                </c:pt>
                <c:pt idx="14">
                  <c:v>0.13874565302820371</c:v>
                </c:pt>
                <c:pt idx="15">
                  <c:v>0.27500508906032423</c:v>
                </c:pt>
                <c:pt idx="16">
                  <c:v>0.45287458232263711</c:v>
                </c:pt>
                <c:pt idx="17">
                  <c:v>0.66919823728316996</c:v>
                </c:pt>
                <c:pt idx="18">
                  <c:v>0.92016460421535062</c:v>
                </c:pt>
                <c:pt idx="19">
                  <c:v>1.201390174630963</c:v>
                </c:pt>
                <c:pt idx="20">
                  <c:v>1.5080143620031305</c:v>
                </c:pt>
                <c:pt idx="21">
                  <c:v>1.8348034145448722</c:v>
                </c:pt>
                <c:pt idx="22">
                  <c:v>2.1762605071589842</c:v>
                </c:pt>
                <c:pt idx="23">
                  <c:v>2.4959317961032559</c:v>
                </c:pt>
                <c:pt idx="24">
                  <c:v>2.7948067656578197</c:v>
                </c:pt>
                <c:pt idx="25">
                  <c:v>3.073835441912288</c:v>
                </c:pt>
                <c:pt idx="26">
                  <c:v>3.3339298608159296</c:v>
                </c:pt>
                <c:pt idx="27">
                  <c:v>3.5759654839183783</c:v>
                </c:pt>
                <c:pt idx="28">
                  <c:v>3.8007825636105266</c:v>
                </c:pt>
                <c:pt idx="29">
                  <c:v>4.0091874596140054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0B-4CBD-B9FE-BBDDED8B4725}"/>
            </c:ext>
          </c:extLst>
        </c:ser>
        <c:ser>
          <c:idx val="1"/>
          <c:order val="1"/>
          <c:tx>
            <c:strRef>
              <c:f>MaxLAI!$E$2</c:f>
              <c:strCache>
                <c:ptCount val="1"/>
                <c:pt idx="0">
                  <c:v>AdjLAI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MaxLAI!$E$3:$E$32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9.2775009978367295E-2</c:v>
                </c:pt>
                <c:pt idx="14">
                  <c:v>0.13874565302820371</c:v>
                </c:pt>
                <c:pt idx="15">
                  <c:v>0.27500508906032423</c:v>
                </c:pt>
                <c:pt idx="16">
                  <c:v>0.45287458232263711</c:v>
                </c:pt>
                <c:pt idx="17">
                  <c:v>0.66919823728316996</c:v>
                </c:pt>
                <c:pt idx="18">
                  <c:v>0.92016460421535062</c:v>
                </c:pt>
                <c:pt idx="19">
                  <c:v>1.201390174630963</c:v>
                </c:pt>
                <c:pt idx="20">
                  <c:v>1.5080143620031305</c:v>
                </c:pt>
                <c:pt idx="21">
                  <c:v>1.8348034145448722</c:v>
                </c:pt>
                <c:pt idx="22">
                  <c:v>2.168054126142128</c:v>
                </c:pt>
                <c:pt idx="23">
                  <c:v>2.4731204284161197</c:v>
                </c:pt>
                <c:pt idx="24">
                  <c:v>2.7948067656578197</c:v>
                </c:pt>
                <c:pt idx="25">
                  <c:v>3.073835441912288</c:v>
                </c:pt>
                <c:pt idx="26">
                  <c:v>3.3339298608159296</c:v>
                </c:pt>
                <c:pt idx="27">
                  <c:v>3.5670810394355601</c:v>
                </c:pt>
                <c:pt idx="28">
                  <c:v>3.7872599788686636</c:v>
                </c:pt>
                <c:pt idx="29">
                  <c:v>4.0091874596140054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0B-4CBD-B9FE-BBDDED8B4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2007616"/>
        <c:axId val="1292148144"/>
      </c:lineChart>
      <c:catAx>
        <c:axId val="1302007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2148144"/>
        <c:crosses val="autoZero"/>
        <c:auto val="1"/>
        <c:lblAlgn val="ctr"/>
        <c:lblOffset val="100"/>
        <c:noMultiLvlLbl val="0"/>
      </c:catAx>
      <c:valAx>
        <c:axId val="129214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2007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Cohort2 </a:t>
            </a:r>
            <a:r>
              <a:rPr lang="en-US" sz="1400" b="0" i="0" u="none" strike="noStrike" baseline="0">
                <a:effectLst/>
              </a:rPr>
              <a:t>LAI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MaxLAI!$H$2</c:f>
              <c:strCache>
                <c:ptCount val="1"/>
                <c:pt idx="0">
                  <c:v>LAI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MaxLAI!$H$3:$H$32</c:f>
              <c:numCache>
                <c:formatCode>General</c:formatCode>
                <c:ptCount val="30"/>
                <c:pt idx="0">
                  <c:v>8.4484252479929009E-2</c:v>
                </c:pt>
                <c:pt idx="1">
                  <c:v>0.1672872402443529</c:v>
                </c:pt>
                <c:pt idx="2">
                  <c:v>0.28839415098892651</c:v>
                </c:pt>
                <c:pt idx="3">
                  <c:v>0.44421702943950181</c:v>
                </c:pt>
                <c:pt idx="4">
                  <c:v>0.63018075913327676</c:v>
                </c:pt>
                <c:pt idx="5">
                  <c:v>0.8408896416650079</c:v>
                </c:pt>
                <c:pt idx="6">
                  <c:v>1.0703209173423571</c:v>
                </c:pt>
                <c:pt idx="7">
                  <c:v>1.3120366294412225</c:v>
                </c:pt>
                <c:pt idx="8">
                  <c:v>1.5594046171798772</c:v>
                </c:pt>
                <c:pt idx="9">
                  <c:v>1.805819286251547</c:v>
                </c:pt>
                <c:pt idx="10">
                  <c:v>2.0244892333443043</c:v>
                </c:pt>
                <c:pt idx="11">
                  <c:v>2.2175345962725994</c:v>
                </c:pt>
                <c:pt idx="12">
                  <c:v>2.386934704904756</c:v>
                </c:pt>
                <c:pt idx="13">
                  <c:v>2.5345367728379529</c:v>
                </c:pt>
                <c:pt idx="14">
                  <c:v>2.6620640761986407</c:v>
                </c:pt>
                <c:pt idx="15">
                  <c:v>2.7711236489210296</c:v>
                </c:pt>
                <c:pt idx="16">
                  <c:v>2.8632135222130795</c:v>
                </c:pt>
                <c:pt idx="17">
                  <c:v>2.9397295343667271</c:v>
                </c:pt>
                <c:pt idx="18">
                  <c:v>3.0019717356019009</c:v>
                </c:pt>
                <c:pt idx="19">
                  <c:v>3.0511504112475678</c:v>
                </c:pt>
                <c:pt idx="20">
                  <c:v>3.0883917452533294</c:v>
                </c:pt>
                <c:pt idx="21">
                  <c:v>3.1147431447875551</c:v>
                </c:pt>
                <c:pt idx="22">
                  <c:v>3.1147431447875551</c:v>
                </c:pt>
                <c:pt idx="23">
                  <c:v>3.1102963016144725</c:v>
                </c:pt>
                <c:pt idx="24">
                  <c:v>3.1001829730680974</c:v>
                </c:pt>
                <c:pt idx="25">
                  <c:v>3.0748589537329685</c:v>
                </c:pt>
                <c:pt idx="26">
                  <c:v>3.0019717356019009</c:v>
                </c:pt>
                <c:pt idx="27">
                  <c:v>2.7507157338345483</c:v>
                </c:pt>
                <c:pt idx="28">
                  <c:v>1.6614416705523305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0B-4547-BA69-98EC2693CC06}"/>
            </c:ext>
          </c:extLst>
        </c:ser>
        <c:ser>
          <c:idx val="1"/>
          <c:order val="1"/>
          <c:tx>
            <c:strRef>
              <c:f>MaxLAI!$J$2</c:f>
              <c:strCache>
                <c:ptCount val="1"/>
                <c:pt idx="0">
                  <c:v>AdjLAI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MaxLAI!$J$3:$J$32</c:f>
              <c:numCache>
                <c:formatCode>General</c:formatCode>
                <c:ptCount val="30"/>
                <c:pt idx="0">
                  <c:v>8.4484252479929009E-2</c:v>
                </c:pt>
                <c:pt idx="1">
                  <c:v>0.1672872402443529</c:v>
                </c:pt>
                <c:pt idx="2">
                  <c:v>0.28839415098892651</c:v>
                </c:pt>
                <c:pt idx="3">
                  <c:v>0.44421702943950181</c:v>
                </c:pt>
                <c:pt idx="4">
                  <c:v>0.63018075913327676</c:v>
                </c:pt>
                <c:pt idx="5">
                  <c:v>0.8408896416650079</c:v>
                </c:pt>
                <c:pt idx="6">
                  <c:v>1.0703209173423571</c:v>
                </c:pt>
                <c:pt idx="7">
                  <c:v>1.3120366294412225</c:v>
                </c:pt>
                <c:pt idx="8">
                  <c:v>1.5594046171798772</c:v>
                </c:pt>
                <c:pt idx="9">
                  <c:v>1.805819286251547</c:v>
                </c:pt>
                <c:pt idx="10">
                  <c:v>2.0244892333443043</c:v>
                </c:pt>
                <c:pt idx="11">
                  <c:v>2.2175345962725994</c:v>
                </c:pt>
                <c:pt idx="12">
                  <c:v>2.386934704904756</c:v>
                </c:pt>
                <c:pt idx="13">
                  <c:v>2.5345367728379529</c:v>
                </c:pt>
                <c:pt idx="14">
                  <c:v>2.6620640761986407</c:v>
                </c:pt>
                <c:pt idx="15">
                  <c:v>2.7711236489210296</c:v>
                </c:pt>
                <c:pt idx="16">
                  <c:v>2.8632135222130795</c:v>
                </c:pt>
                <c:pt idx="17">
                  <c:v>2.9397295343667271</c:v>
                </c:pt>
                <c:pt idx="18">
                  <c:v>3.0019717356019009</c:v>
                </c:pt>
                <c:pt idx="19">
                  <c:v>3.0511504112475678</c:v>
                </c:pt>
                <c:pt idx="20">
                  <c:v>3.0883917452533294</c:v>
                </c:pt>
                <c:pt idx="21">
                  <c:v>3.1147431447875551</c:v>
                </c:pt>
                <c:pt idx="22">
                  <c:v>3.1147431447875551</c:v>
                </c:pt>
                <c:pt idx="23">
                  <c:v>3.1102963016144725</c:v>
                </c:pt>
                <c:pt idx="24">
                  <c:v>3.1001829730680974</c:v>
                </c:pt>
                <c:pt idx="25">
                  <c:v>3.0748589537329685</c:v>
                </c:pt>
                <c:pt idx="26">
                  <c:v>3.0019717356019009</c:v>
                </c:pt>
                <c:pt idx="27">
                  <c:v>2.7507157338345483</c:v>
                </c:pt>
                <c:pt idx="28">
                  <c:v>1.6614416705523305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0B-4547-BA69-98EC2693CC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1629440"/>
        <c:axId val="1292164368"/>
      </c:lineChart>
      <c:catAx>
        <c:axId val="1301629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2164368"/>
        <c:crosses val="autoZero"/>
        <c:auto val="1"/>
        <c:lblAlgn val="ctr"/>
        <c:lblOffset val="100"/>
        <c:noMultiLvlLbl val="0"/>
      </c:catAx>
      <c:valAx>
        <c:axId val="129216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162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Cohort3 </a:t>
            </a:r>
            <a:r>
              <a:rPr lang="en-US" sz="1400" b="0" i="0" u="none" strike="noStrike" baseline="0">
                <a:effectLst/>
              </a:rPr>
              <a:t>LAI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MaxLAI!$M$2</c:f>
              <c:strCache>
                <c:ptCount val="1"/>
                <c:pt idx="0">
                  <c:v>LAI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MaxLAI!$M$3:$M$32</c:f>
              <c:numCache>
                <c:formatCode>General</c:formatCode>
                <c:ptCount val="30"/>
                <c:pt idx="0">
                  <c:v>8.7532227779740651E-2</c:v>
                </c:pt>
                <c:pt idx="1">
                  <c:v>0.17366952706857974</c:v>
                </c:pt>
                <c:pt idx="2">
                  <c:v>0.3002964073945027</c:v>
                </c:pt>
                <c:pt idx="3">
                  <c:v>0.46440412642074325</c:v>
                </c:pt>
                <c:pt idx="4">
                  <c:v>0.66212117613933841</c:v>
                </c:pt>
                <c:pt idx="5">
                  <c:v>0.8888267332902865</c:v>
                </c:pt>
                <c:pt idx="6">
                  <c:v>1.1392844768658841</c:v>
                </c:pt>
                <c:pt idx="7">
                  <c:v>1.4077919670377506</c:v>
                </c:pt>
                <c:pt idx="8">
                  <c:v>1.6883403077658927</c:v>
                </c:pt>
                <c:pt idx="9">
                  <c:v>1.9747785672654903</c:v>
                </c:pt>
                <c:pt idx="10">
                  <c:v>2.2361582478239383</c:v>
                </c:pt>
                <c:pt idx="11">
                  <c:v>2.4740040816284528</c:v>
                </c:pt>
                <c:pt idx="12">
                  <c:v>2.6897597564231437</c:v>
                </c:pt>
                <c:pt idx="13">
                  <c:v>2.8847919268780822</c:v>
                </c:pt>
                <c:pt idx="14">
                  <c:v>3.0603940359855448</c:v>
                </c:pt>
                <c:pt idx="15">
                  <c:v>3.2177899552139739</c:v>
                </c:pt>
                <c:pt idx="16">
                  <c:v>3.3581374517576008</c:v>
                </c:pt>
                <c:pt idx="17">
                  <c:v>3.4825314908444547</c:v>
                </c:pt>
                <c:pt idx="18">
                  <c:v>3.5920073807068902</c:v>
                </c:pt>
                <c:pt idx="19">
                  <c:v>3.6875437674760212</c:v>
                </c:pt>
                <c:pt idx="20">
                  <c:v>3.7700654869338885</c:v>
                </c:pt>
                <c:pt idx="21">
                  <c:v>3.8404462797442074</c:v>
                </c:pt>
                <c:pt idx="22">
                  <c:v>3.8995113764833618</c:v>
                </c:pt>
                <c:pt idx="23">
                  <c:v>1.80602372002496</c:v>
                </c:pt>
                <c:pt idx="24">
                  <c:v>2.0822502204702884</c:v>
                </c:pt>
                <c:pt idx="25">
                  <c:v>2.3340380250838582</c:v>
                </c:pt>
                <c:pt idx="26">
                  <c:v>2.5628789543777324</c:v>
                </c:pt>
                <c:pt idx="27">
                  <c:v>2.7701854123408585</c:v>
                </c:pt>
                <c:pt idx="28">
                  <c:v>2.9572943207454676</c:v>
                </c:pt>
                <c:pt idx="29">
                  <c:v>3.1254708670211269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C3-4AB6-B803-E4A3FE6B279A}"/>
            </c:ext>
          </c:extLst>
        </c:ser>
        <c:ser>
          <c:idx val="1"/>
          <c:order val="1"/>
          <c:tx>
            <c:strRef>
              <c:f>MaxLAI!$O$2</c:f>
              <c:strCache>
                <c:ptCount val="1"/>
                <c:pt idx="0">
                  <c:v>AdjLAI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MaxLAI!$O$3:$O$32</c:f>
              <c:numCache>
                <c:formatCode>General</c:formatCode>
                <c:ptCount val="30"/>
                <c:pt idx="0">
                  <c:v>8.7532227779740651E-2</c:v>
                </c:pt>
                <c:pt idx="1">
                  <c:v>0.17366952706857974</c:v>
                </c:pt>
                <c:pt idx="2">
                  <c:v>0.3002964073945027</c:v>
                </c:pt>
                <c:pt idx="3">
                  <c:v>0.46440412642074325</c:v>
                </c:pt>
                <c:pt idx="4">
                  <c:v>0.66212117613933841</c:v>
                </c:pt>
                <c:pt idx="5">
                  <c:v>0.8888267332902865</c:v>
                </c:pt>
                <c:pt idx="6">
                  <c:v>1.1392844768658841</c:v>
                </c:pt>
                <c:pt idx="7">
                  <c:v>1.4077919670377506</c:v>
                </c:pt>
                <c:pt idx="8">
                  <c:v>1.6883403077658927</c:v>
                </c:pt>
                <c:pt idx="9">
                  <c:v>1.9747785672654903</c:v>
                </c:pt>
                <c:pt idx="10">
                  <c:v>2.2361582478239383</c:v>
                </c:pt>
                <c:pt idx="11">
                  <c:v>2.4740040816284528</c:v>
                </c:pt>
                <c:pt idx="12">
                  <c:v>2.6897597564231437</c:v>
                </c:pt>
                <c:pt idx="13">
                  <c:v>2.8847919268780822</c:v>
                </c:pt>
                <c:pt idx="14">
                  <c:v>3.0603940359855448</c:v>
                </c:pt>
                <c:pt idx="15">
                  <c:v>3.2177899552139739</c:v>
                </c:pt>
                <c:pt idx="16">
                  <c:v>3.3581374517576008</c:v>
                </c:pt>
                <c:pt idx="17">
                  <c:v>3.4825314908444547</c:v>
                </c:pt>
                <c:pt idx="18">
                  <c:v>3.5920073807068902</c:v>
                </c:pt>
                <c:pt idx="19">
                  <c:v>3.6875437674760212</c:v>
                </c:pt>
                <c:pt idx="20">
                  <c:v>3.7700654869338885</c:v>
                </c:pt>
                <c:pt idx="21">
                  <c:v>3.8404462797442074</c:v>
                </c:pt>
                <c:pt idx="22">
                  <c:v>3.8980918403275062</c:v>
                </c:pt>
                <c:pt idx="23">
                  <c:v>1.80602372002496</c:v>
                </c:pt>
                <c:pt idx="24">
                  <c:v>2.0822502204702884</c:v>
                </c:pt>
                <c:pt idx="25">
                  <c:v>2.3340380250838582</c:v>
                </c:pt>
                <c:pt idx="26">
                  <c:v>2.5628789543777324</c:v>
                </c:pt>
                <c:pt idx="27">
                  <c:v>2.7625757774735007</c:v>
                </c:pt>
                <c:pt idx="28">
                  <c:v>2.9460273937902293</c:v>
                </c:pt>
                <c:pt idx="29">
                  <c:v>3.1254708670211269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C3-4AB6-B803-E4A3FE6B27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5606272"/>
        <c:axId val="1292158544"/>
      </c:lineChart>
      <c:catAx>
        <c:axId val="13056062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2158544"/>
        <c:crosses val="autoZero"/>
        <c:auto val="1"/>
        <c:lblAlgn val="ctr"/>
        <c:lblOffset val="100"/>
        <c:noMultiLvlLbl val="0"/>
      </c:catAx>
      <c:valAx>
        <c:axId val="129215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606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LAI in canopy layer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MaxLAI!$R$2</c:f>
              <c:strCache>
                <c:ptCount val="1"/>
                <c:pt idx="0">
                  <c:v>LAI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MaxLAI!$R$3:$R$32</c:f>
              <c:numCache>
                <c:formatCode>General</c:formatCode>
                <c:ptCount val="30"/>
                <c:pt idx="0">
                  <c:v>5.7338826753223215E-2</c:v>
                </c:pt>
                <c:pt idx="1">
                  <c:v>0.11365225577097755</c:v>
                </c:pt>
                <c:pt idx="2">
                  <c:v>0.19623018612780974</c:v>
                </c:pt>
                <c:pt idx="3">
                  <c:v>0.30287371862008167</c:v>
                </c:pt>
                <c:pt idx="4">
                  <c:v>0.43076731175753835</c:v>
                </c:pt>
                <c:pt idx="5">
                  <c:v>0.57657212498509813</c:v>
                </c:pt>
                <c:pt idx="6">
                  <c:v>0.73653513140274696</c:v>
                </c:pt>
                <c:pt idx="7">
                  <c:v>0.90660953215965767</c:v>
                </c:pt>
                <c:pt idx="8">
                  <c:v>1.0825816416485898</c:v>
                </c:pt>
                <c:pt idx="9">
                  <c:v>1.2601992845056791</c:v>
                </c:pt>
                <c:pt idx="10">
                  <c:v>1.420215827056081</c:v>
                </c:pt>
                <c:pt idx="11">
                  <c:v>1.5638462259670174</c:v>
                </c:pt>
                <c:pt idx="12">
                  <c:v>1.6922314871093</c:v>
                </c:pt>
                <c:pt idx="13">
                  <c:v>1.8373679032314676</c:v>
                </c:pt>
                <c:pt idx="14">
                  <c:v>1.9537345884041297</c:v>
                </c:pt>
                <c:pt idx="15">
                  <c:v>2.0879728977317757</c:v>
                </c:pt>
                <c:pt idx="16">
                  <c:v>2.2247418520977722</c:v>
                </c:pt>
                <c:pt idx="17">
                  <c:v>2.3638197541647838</c:v>
                </c:pt>
                <c:pt idx="18">
                  <c:v>2.5047145735080476</c:v>
                </c:pt>
                <c:pt idx="19">
                  <c:v>2.6466947844515176</c:v>
                </c:pt>
                <c:pt idx="20">
                  <c:v>2.7888238647301158</c:v>
                </c:pt>
                <c:pt idx="21">
                  <c:v>2.9299976130255452</c:v>
                </c:pt>
                <c:pt idx="22">
                  <c:v>3.0635050094766338</c:v>
                </c:pt>
                <c:pt idx="23">
                  <c:v>2.4707506059142297</c:v>
                </c:pt>
                <c:pt idx="24">
                  <c:v>2.6590799863987349</c:v>
                </c:pt>
                <c:pt idx="25">
                  <c:v>2.8275774735763712</c:v>
                </c:pt>
                <c:pt idx="26">
                  <c:v>2.9662601835985209</c:v>
                </c:pt>
                <c:pt idx="27">
                  <c:v>3.0322888766979283</c:v>
                </c:pt>
                <c:pt idx="28">
                  <c:v>2.8065061849694417</c:v>
                </c:pt>
                <c:pt idx="29">
                  <c:v>2.3782194422117109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26-4A41-BA3F-A856579F9F17}"/>
            </c:ext>
          </c:extLst>
        </c:ser>
        <c:ser>
          <c:idx val="1"/>
          <c:order val="1"/>
          <c:tx>
            <c:strRef>
              <c:f>MaxLAI!$U$2</c:f>
              <c:strCache>
                <c:ptCount val="1"/>
                <c:pt idx="0">
                  <c:v>AdjLAI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MaxLAI!$U$3:$U$32</c:f>
              <c:numCache>
                <c:formatCode>General</c:formatCode>
                <c:ptCount val="30"/>
                <c:pt idx="0">
                  <c:v>5.7338826753223215E-2</c:v>
                </c:pt>
                <c:pt idx="1">
                  <c:v>0.11365225577097755</c:v>
                </c:pt>
                <c:pt idx="2">
                  <c:v>0.19623018612780974</c:v>
                </c:pt>
                <c:pt idx="3">
                  <c:v>0.30287371862008167</c:v>
                </c:pt>
                <c:pt idx="4">
                  <c:v>0.43076731175753835</c:v>
                </c:pt>
                <c:pt idx="5">
                  <c:v>0.57657212498509813</c:v>
                </c:pt>
                <c:pt idx="6">
                  <c:v>0.73653513140274696</c:v>
                </c:pt>
                <c:pt idx="7">
                  <c:v>0.90660953215965767</c:v>
                </c:pt>
                <c:pt idx="8">
                  <c:v>1.0825816416485898</c:v>
                </c:pt>
                <c:pt idx="9">
                  <c:v>1.2601992845056791</c:v>
                </c:pt>
                <c:pt idx="10">
                  <c:v>1.420215827056081</c:v>
                </c:pt>
                <c:pt idx="11">
                  <c:v>1.5638462259670174</c:v>
                </c:pt>
                <c:pt idx="12">
                  <c:v>1.6922314871093</c:v>
                </c:pt>
                <c:pt idx="13">
                  <c:v>1.8373679032314676</c:v>
                </c:pt>
                <c:pt idx="14">
                  <c:v>1.9537345884041297</c:v>
                </c:pt>
                <c:pt idx="15">
                  <c:v>2.0879728977317757</c:v>
                </c:pt>
                <c:pt idx="16">
                  <c:v>2.2247418520977722</c:v>
                </c:pt>
                <c:pt idx="17">
                  <c:v>2.3638197541647838</c:v>
                </c:pt>
                <c:pt idx="18">
                  <c:v>2.5047145735080476</c:v>
                </c:pt>
                <c:pt idx="19">
                  <c:v>2.6466947844515176</c:v>
                </c:pt>
                <c:pt idx="20">
                  <c:v>2.7888238647301158</c:v>
                </c:pt>
                <c:pt idx="21">
                  <c:v>2.9299976130255452</c:v>
                </c:pt>
                <c:pt idx="22">
                  <c:v>3.0602963704190631</c:v>
                </c:pt>
                <c:pt idx="23">
                  <c:v>2.463146816685184</c:v>
                </c:pt>
                <c:pt idx="24">
                  <c:v>2.6590799863987349</c:v>
                </c:pt>
                <c:pt idx="25">
                  <c:v>2.8275774735763712</c:v>
                </c:pt>
                <c:pt idx="26">
                  <c:v>2.9662601835985209</c:v>
                </c:pt>
                <c:pt idx="27">
                  <c:v>3.02679085024787</c:v>
                </c:pt>
                <c:pt idx="28">
                  <c:v>2.7982430144037411</c:v>
                </c:pt>
                <c:pt idx="29">
                  <c:v>2.3782194422117109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26-4A41-BA3F-A856579F9F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7132495"/>
        <c:axId val="41375935"/>
      </c:lineChart>
      <c:catAx>
        <c:axId val="5271324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75935"/>
        <c:crosses val="autoZero"/>
        <c:auto val="1"/>
        <c:lblAlgn val="ctr"/>
        <c:lblOffset val="100"/>
        <c:noMultiLvlLbl val="0"/>
      </c:catAx>
      <c:valAx>
        <c:axId val="41375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132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Adjusted layer LAI (v.4.1)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MaxLAI!$A$1</c:f>
              <c:strCache>
                <c:ptCount val="1"/>
                <c:pt idx="0">
                  <c:v>Cohort1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MaxLAI!$E$3:$E$32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9.2775009978367295E-2</c:v>
                </c:pt>
                <c:pt idx="14">
                  <c:v>0.13874565302820371</c:v>
                </c:pt>
                <c:pt idx="15">
                  <c:v>0.27500508906032423</c:v>
                </c:pt>
                <c:pt idx="16">
                  <c:v>0.45287458232263711</c:v>
                </c:pt>
                <c:pt idx="17">
                  <c:v>0.66919823728316996</c:v>
                </c:pt>
                <c:pt idx="18">
                  <c:v>0.92016460421535062</c:v>
                </c:pt>
                <c:pt idx="19">
                  <c:v>1.201390174630963</c:v>
                </c:pt>
                <c:pt idx="20">
                  <c:v>1.5080143620031305</c:v>
                </c:pt>
                <c:pt idx="21">
                  <c:v>1.8348034145448722</c:v>
                </c:pt>
                <c:pt idx="22">
                  <c:v>2.168054126142128</c:v>
                </c:pt>
                <c:pt idx="23">
                  <c:v>2.4731204284161197</c:v>
                </c:pt>
                <c:pt idx="24">
                  <c:v>2.7948067656578197</c:v>
                </c:pt>
                <c:pt idx="25">
                  <c:v>3.073835441912288</c:v>
                </c:pt>
                <c:pt idx="26">
                  <c:v>3.3339298608159296</c:v>
                </c:pt>
                <c:pt idx="27">
                  <c:v>3.5670810394355601</c:v>
                </c:pt>
                <c:pt idx="28">
                  <c:v>3.7872599788686636</c:v>
                </c:pt>
                <c:pt idx="29">
                  <c:v>4.0091874596140054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40-40B8-95BD-89D864EEDC0C}"/>
            </c:ext>
          </c:extLst>
        </c:ser>
        <c:ser>
          <c:idx val="1"/>
          <c:order val="1"/>
          <c:tx>
            <c:strRef>
              <c:f>MaxLAI!$F$1</c:f>
              <c:strCache>
                <c:ptCount val="1"/>
                <c:pt idx="0">
                  <c:v>Cohort2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MaxLAI!$J$3:$J$32</c:f>
              <c:numCache>
                <c:formatCode>General</c:formatCode>
                <c:ptCount val="30"/>
                <c:pt idx="0">
                  <c:v>8.4484252479929009E-2</c:v>
                </c:pt>
                <c:pt idx="1">
                  <c:v>0.1672872402443529</c:v>
                </c:pt>
                <c:pt idx="2">
                  <c:v>0.28839415098892651</c:v>
                </c:pt>
                <c:pt idx="3">
                  <c:v>0.44421702943950181</c:v>
                </c:pt>
                <c:pt idx="4">
                  <c:v>0.63018075913327676</c:v>
                </c:pt>
                <c:pt idx="5">
                  <c:v>0.8408896416650079</c:v>
                </c:pt>
                <c:pt idx="6">
                  <c:v>1.0703209173423571</c:v>
                </c:pt>
                <c:pt idx="7">
                  <c:v>1.3120366294412225</c:v>
                </c:pt>
                <c:pt idx="8">
                  <c:v>1.5594046171798772</c:v>
                </c:pt>
                <c:pt idx="9">
                  <c:v>1.805819286251547</c:v>
                </c:pt>
                <c:pt idx="10">
                  <c:v>2.0244892333443043</c:v>
                </c:pt>
                <c:pt idx="11">
                  <c:v>2.2175345962725994</c:v>
                </c:pt>
                <c:pt idx="12">
                  <c:v>2.386934704904756</c:v>
                </c:pt>
                <c:pt idx="13">
                  <c:v>2.5345367728379529</c:v>
                </c:pt>
                <c:pt idx="14">
                  <c:v>2.6620640761986407</c:v>
                </c:pt>
                <c:pt idx="15">
                  <c:v>2.7711236489210296</c:v>
                </c:pt>
                <c:pt idx="16">
                  <c:v>2.8632135222130795</c:v>
                </c:pt>
                <c:pt idx="17">
                  <c:v>2.9397295343667271</c:v>
                </c:pt>
                <c:pt idx="18">
                  <c:v>3.0019717356019009</c:v>
                </c:pt>
                <c:pt idx="19">
                  <c:v>3.0511504112475678</c:v>
                </c:pt>
                <c:pt idx="20">
                  <c:v>3.0883917452533294</c:v>
                </c:pt>
                <c:pt idx="21">
                  <c:v>3.1147431447875551</c:v>
                </c:pt>
                <c:pt idx="22">
                  <c:v>3.1147431447875551</c:v>
                </c:pt>
                <c:pt idx="23">
                  <c:v>3.1102963016144725</c:v>
                </c:pt>
                <c:pt idx="24">
                  <c:v>3.1001829730680974</c:v>
                </c:pt>
                <c:pt idx="25">
                  <c:v>3.0748589537329685</c:v>
                </c:pt>
                <c:pt idx="26">
                  <c:v>3.0019717356019009</c:v>
                </c:pt>
                <c:pt idx="27">
                  <c:v>2.7507157338345483</c:v>
                </c:pt>
                <c:pt idx="28">
                  <c:v>1.6614416705523305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40-40B8-95BD-89D864EEDC0C}"/>
            </c:ext>
          </c:extLst>
        </c:ser>
        <c:ser>
          <c:idx val="2"/>
          <c:order val="2"/>
          <c:tx>
            <c:strRef>
              <c:f>MaxLAI!$K$1</c:f>
              <c:strCache>
                <c:ptCount val="1"/>
                <c:pt idx="0">
                  <c:v>Cohort3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MaxLAI!$O$3:$O$32</c:f>
              <c:numCache>
                <c:formatCode>General</c:formatCode>
                <c:ptCount val="30"/>
                <c:pt idx="0">
                  <c:v>8.7532227779740651E-2</c:v>
                </c:pt>
                <c:pt idx="1">
                  <c:v>0.17366952706857974</c:v>
                </c:pt>
                <c:pt idx="2">
                  <c:v>0.3002964073945027</c:v>
                </c:pt>
                <c:pt idx="3">
                  <c:v>0.46440412642074325</c:v>
                </c:pt>
                <c:pt idx="4">
                  <c:v>0.66212117613933841</c:v>
                </c:pt>
                <c:pt idx="5">
                  <c:v>0.8888267332902865</c:v>
                </c:pt>
                <c:pt idx="6">
                  <c:v>1.1392844768658841</c:v>
                </c:pt>
                <c:pt idx="7">
                  <c:v>1.4077919670377506</c:v>
                </c:pt>
                <c:pt idx="8">
                  <c:v>1.6883403077658927</c:v>
                </c:pt>
                <c:pt idx="9">
                  <c:v>1.9747785672654903</c:v>
                </c:pt>
                <c:pt idx="10">
                  <c:v>2.2361582478239383</c:v>
                </c:pt>
                <c:pt idx="11">
                  <c:v>2.4740040816284528</c:v>
                </c:pt>
                <c:pt idx="12">
                  <c:v>2.6897597564231437</c:v>
                </c:pt>
                <c:pt idx="13">
                  <c:v>2.8847919268780822</c:v>
                </c:pt>
                <c:pt idx="14">
                  <c:v>3.0603940359855448</c:v>
                </c:pt>
                <c:pt idx="15">
                  <c:v>3.2177899552139739</c:v>
                </c:pt>
                <c:pt idx="16">
                  <c:v>3.3581374517576008</c:v>
                </c:pt>
                <c:pt idx="17">
                  <c:v>3.4825314908444547</c:v>
                </c:pt>
                <c:pt idx="18">
                  <c:v>3.5920073807068902</c:v>
                </c:pt>
                <c:pt idx="19">
                  <c:v>3.6875437674760212</c:v>
                </c:pt>
                <c:pt idx="20">
                  <c:v>3.7700654869338885</c:v>
                </c:pt>
                <c:pt idx="21">
                  <c:v>3.8404462797442074</c:v>
                </c:pt>
                <c:pt idx="22">
                  <c:v>3.8980918403275062</c:v>
                </c:pt>
                <c:pt idx="23">
                  <c:v>1.80602372002496</c:v>
                </c:pt>
                <c:pt idx="24">
                  <c:v>2.0822502204702884</c:v>
                </c:pt>
                <c:pt idx="25">
                  <c:v>2.3340380250838582</c:v>
                </c:pt>
                <c:pt idx="26">
                  <c:v>2.5628789543777324</c:v>
                </c:pt>
                <c:pt idx="27">
                  <c:v>2.7625757774735007</c:v>
                </c:pt>
                <c:pt idx="28">
                  <c:v>2.9460273937902293</c:v>
                </c:pt>
                <c:pt idx="29">
                  <c:v>3.1254708670211269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40-40B8-95BD-89D864EEDC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31025024"/>
        <c:axId val="41396319"/>
      </c:barChart>
      <c:catAx>
        <c:axId val="10310250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96319"/>
        <c:crosses val="autoZero"/>
        <c:auto val="1"/>
        <c:lblAlgn val="ctr"/>
        <c:lblOffset val="100"/>
        <c:noMultiLvlLbl val="0"/>
      </c:catAx>
      <c:valAx>
        <c:axId val="41396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1025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DTemp!$W$1</c:f>
              <c:strCache>
                <c:ptCount val="1"/>
                <c:pt idx="0">
                  <c:v>FolResp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DTemp!$D$2:$D$13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</c:numCache>
            </c:numRef>
          </c:cat>
          <c:val>
            <c:numRef>
              <c:f>DTemp!$W$2:$W$13</c:f>
              <c:numCache>
                <c:formatCode>General</c:formatCode>
                <c:ptCount val="12"/>
                <c:pt idx="0">
                  <c:v>0.54797472000000014</c:v>
                </c:pt>
                <c:pt idx="1">
                  <c:v>0.77495328086159931</c:v>
                </c:pt>
                <c:pt idx="2">
                  <c:v>1.0959494400000003</c:v>
                </c:pt>
                <c:pt idx="3">
                  <c:v>1.5499065617231989</c:v>
                </c:pt>
                <c:pt idx="4">
                  <c:v>2.1918988800000005</c:v>
                </c:pt>
                <c:pt idx="5">
                  <c:v>3.0998131234463973</c:v>
                </c:pt>
                <c:pt idx="6">
                  <c:v>4.3837977600000011</c:v>
                </c:pt>
                <c:pt idx="7">
                  <c:v>6.1996262468927954</c:v>
                </c:pt>
                <c:pt idx="8">
                  <c:v>8.7675955200000022</c:v>
                </c:pt>
                <c:pt idx="9">
                  <c:v>12.399252493785589</c:v>
                </c:pt>
                <c:pt idx="10">
                  <c:v>17.535191040000004</c:v>
                </c:pt>
                <c:pt idx="11">
                  <c:v>24.798504987571182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32-4D65-A464-B9DF28E629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2670296"/>
        <c:axId val="372659712"/>
      </c:lineChart>
      <c:catAx>
        <c:axId val="372670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659712"/>
        <c:crosses val="autoZero"/>
        <c:auto val="1"/>
        <c:lblAlgn val="ctr"/>
        <c:lblOffset val="100"/>
        <c:noMultiLvlLbl val="0"/>
      </c:catAx>
      <c:valAx>
        <c:axId val="37265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670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Unadjusted layer LAI (v1.0-4.0)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MaxLAI!$A$1</c:f>
              <c:strCache>
                <c:ptCount val="1"/>
                <c:pt idx="0">
                  <c:v>Cohort1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MaxLAI!$C$3:$C$32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9.2775009978367295E-2</c:v>
                </c:pt>
                <c:pt idx="14">
                  <c:v>0.13874565302820371</c:v>
                </c:pt>
                <c:pt idx="15">
                  <c:v>0.27500508906032423</c:v>
                </c:pt>
                <c:pt idx="16">
                  <c:v>0.45287458232263711</c:v>
                </c:pt>
                <c:pt idx="17">
                  <c:v>0.66919823728316996</c:v>
                </c:pt>
                <c:pt idx="18">
                  <c:v>0.92016460421535062</c:v>
                </c:pt>
                <c:pt idx="19">
                  <c:v>1.201390174630963</c:v>
                </c:pt>
                <c:pt idx="20">
                  <c:v>1.5080143620031305</c:v>
                </c:pt>
                <c:pt idx="21">
                  <c:v>1.8348034145448722</c:v>
                </c:pt>
                <c:pt idx="22">
                  <c:v>2.1762605071589842</c:v>
                </c:pt>
                <c:pt idx="23">
                  <c:v>2.4959317961032559</c:v>
                </c:pt>
                <c:pt idx="24">
                  <c:v>2.7948067656578197</c:v>
                </c:pt>
                <c:pt idx="25">
                  <c:v>3.073835441912288</c:v>
                </c:pt>
                <c:pt idx="26">
                  <c:v>3.3339298608159296</c:v>
                </c:pt>
                <c:pt idx="27">
                  <c:v>3.5759654839183783</c:v>
                </c:pt>
                <c:pt idx="28">
                  <c:v>3.8007825636105266</c:v>
                </c:pt>
                <c:pt idx="29">
                  <c:v>4.0091874596140054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AF-4F09-B314-6D534B3DF330}"/>
            </c:ext>
          </c:extLst>
        </c:ser>
        <c:ser>
          <c:idx val="1"/>
          <c:order val="1"/>
          <c:tx>
            <c:strRef>
              <c:f>MaxLAI!$F$1</c:f>
              <c:strCache>
                <c:ptCount val="1"/>
                <c:pt idx="0">
                  <c:v>Cohort2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MaxLAI!$H$3:$H$32</c:f>
              <c:numCache>
                <c:formatCode>General</c:formatCode>
                <c:ptCount val="30"/>
                <c:pt idx="0">
                  <c:v>8.4484252479929009E-2</c:v>
                </c:pt>
                <c:pt idx="1">
                  <c:v>0.1672872402443529</c:v>
                </c:pt>
                <c:pt idx="2">
                  <c:v>0.28839415098892651</c:v>
                </c:pt>
                <c:pt idx="3">
                  <c:v>0.44421702943950181</c:v>
                </c:pt>
                <c:pt idx="4">
                  <c:v>0.63018075913327676</c:v>
                </c:pt>
                <c:pt idx="5">
                  <c:v>0.8408896416650079</c:v>
                </c:pt>
                <c:pt idx="6">
                  <c:v>1.0703209173423571</c:v>
                </c:pt>
                <c:pt idx="7">
                  <c:v>1.3120366294412225</c:v>
                </c:pt>
                <c:pt idx="8">
                  <c:v>1.5594046171798772</c:v>
                </c:pt>
                <c:pt idx="9">
                  <c:v>1.805819286251547</c:v>
                </c:pt>
                <c:pt idx="10">
                  <c:v>2.0244892333443043</c:v>
                </c:pt>
                <c:pt idx="11">
                  <c:v>2.2175345962725994</c:v>
                </c:pt>
                <c:pt idx="12">
                  <c:v>2.386934704904756</c:v>
                </c:pt>
                <c:pt idx="13">
                  <c:v>2.5345367728379529</c:v>
                </c:pt>
                <c:pt idx="14">
                  <c:v>2.6620640761986407</c:v>
                </c:pt>
                <c:pt idx="15">
                  <c:v>2.7711236489210296</c:v>
                </c:pt>
                <c:pt idx="16">
                  <c:v>2.8632135222130795</c:v>
                </c:pt>
                <c:pt idx="17">
                  <c:v>2.9397295343667271</c:v>
                </c:pt>
                <c:pt idx="18">
                  <c:v>3.0019717356019009</c:v>
                </c:pt>
                <c:pt idx="19">
                  <c:v>3.0511504112475678</c:v>
                </c:pt>
                <c:pt idx="20">
                  <c:v>3.0883917452533294</c:v>
                </c:pt>
                <c:pt idx="21">
                  <c:v>3.1147431447875551</c:v>
                </c:pt>
                <c:pt idx="22">
                  <c:v>3.1147431447875551</c:v>
                </c:pt>
                <c:pt idx="23">
                  <c:v>3.1102963016144725</c:v>
                </c:pt>
                <c:pt idx="24">
                  <c:v>3.1001829730680974</c:v>
                </c:pt>
                <c:pt idx="25">
                  <c:v>3.0748589537329685</c:v>
                </c:pt>
                <c:pt idx="26">
                  <c:v>3.0019717356019009</c:v>
                </c:pt>
                <c:pt idx="27">
                  <c:v>2.7507157338345483</c:v>
                </c:pt>
                <c:pt idx="28">
                  <c:v>1.6614416705523305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AF-4F09-B314-6D534B3DF330}"/>
            </c:ext>
          </c:extLst>
        </c:ser>
        <c:ser>
          <c:idx val="2"/>
          <c:order val="2"/>
          <c:tx>
            <c:strRef>
              <c:f>MaxLAI!$K$1</c:f>
              <c:strCache>
                <c:ptCount val="1"/>
                <c:pt idx="0">
                  <c:v>Cohort3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MaxLAI!$M$3:$M$32</c:f>
              <c:numCache>
                <c:formatCode>General</c:formatCode>
                <c:ptCount val="30"/>
                <c:pt idx="0">
                  <c:v>8.7532227779740651E-2</c:v>
                </c:pt>
                <c:pt idx="1">
                  <c:v>0.17366952706857974</c:v>
                </c:pt>
                <c:pt idx="2">
                  <c:v>0.3002964073945027</c:v>
                </c:pt>
                <c:pt idx="3">
                  <c:v>0.46440412642074325</c:v>
                </c:pt>
                <c:pt idx="4">
                  <c:v>0.66212117613933841</c:v>
                </c:pt>
                <c:pt idx="5">
                  <c:v>0.8888267332902865</c:v>
                </c:pt>
                <c:pt idx="6">
                  <c:v>1.1392844768658841</c:v>
                </c:pt>
                <c:pt idx="7">
                  <c:v>1.4077919670377506</c:v>
                </c:pt>
                <c:pt idx="8">
                  <c:v>1.6883403077658927</c:v>
                </c:pt>
                <c:pt idx="9">
                  <c:v>1.9747785672654903</c:v>
                </c:pt>
                <c:pt idx="10">
                  <c:v>2.2361582478239383</c:v>
                </c:pt>
                <c:pt idx="11">
                  <c:v>2.4740040816284528</c:v>
                </c:pt>
                <c:pt idx="12">
                  <c:v>2.6897597564231437</c:v>
                </c:pt>
                <c:pt idx="13">
                  <c:v>2.8847919268780822</c:v>
                </c:pt>
                <c:pt idx="14">
                  <c:v>3.0603940359855448</c:v>
                </c:pt>
                <c:pt idx="15">
                  <c:v>3.2177899552139739</c:v>
                </c:pt>
                <c:pt idx="16">
                  <c:v>3.3581374517576008</c:v>
                </c:pt>
                <c:pt idx="17">
                  <c:v>3.4825314908444547</c:v>
                </c:pt>
                <c:pt idx="18">
                  <c:v>3.5920073807068902</c:v>
                </c:pt>
                <c:pt idx="19">
                  <c:v>3.6875437674760212</c:v>
                </c:pt>
                <c:pt idx="20">
                  <c:v>3.7700654869338885</c:v>
                </c:pt>
                <c:pt idx="21">
                  <c:v>3.8404462797442074</c:v>
                </c:pt>
                <c:pt idx="22">
                  <c:v>3.8995113764833618</c:v>
                </c:pt>
                <c:pt idx="23">
                  <c:v>1.80602372002496</c:v>
                </c:pt>
                <c:pt idx="24">
                  <c:v>2.0822502204702884</c:v>
                </c:pt>
                <c:pt idx="25">
                  <c:v>2.3340380250838582</c:v>
                </c:pt>
                <c:pt idx="26">
                  <c:v>2.5628789543777324</c:v>
                </c:pt>
                <c:pt idx="27">
                  <c:v>2.7701854123408585</c:v>
                </c:pt>
                <c:pt idx="28">
                  <c:v>2.9572943207454676</c:v>
                </c:pt>
                <c:pt idx="29">
                  <c:v>3.1254708670211269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EAF-4F09-B314-6D534B3DF3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85221440"/>
        <c:axId val="41387999"/>
      </c:barChart>
      <c:catAx>
        <c:axId val="2085221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87999"/>
        <c:crosses val="autoZero"/>
        <c:auto val="1"/>
        <c:lblAlgn val="ctr"/>
        <c:lblOffset val="100"/>
        <c:noMultiLvlLbl val="0"/>
      </c:catAx>
      <c:valAx>
        <c:axId val="4138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221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Dispersal</a:t>
            </a:r>
            <a:r>
              <a:rPr lang="en-US" baseline="0"/>
              <a:t> distance probabilities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EffDispDist!$E$7</c:f>
              <c:strCache>
                <c:ptCount val="1"/>
                <c:pt idx="0">
                  <c:v>distanceProb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EffDispDist!$B$8:$B$33</c:f>
              <c:numCache>
                <c:formatCode>General</c:formatCode>
                <c:ptCount val="26"/>
                <c:pt idx="0">
                  <c:v>0</c:v>
                </c:pt>
                <c:pt idx="1">
                  <c:v>150</c:v>
                </c:pt>
                <c:pt idx="2">
                  <c:v>300</c:v>
                </c:pt>
                <c:pt idx="3">
                  <c:v>450</c:v>
                </c:pt>
                <c:pt idx="4">
                  <c:v>600</c:v>
                </c:pt>
                <c:pt idx="5">
                  <c:v>750</c:v>
                </c:pt>
                <c:pt idx="6">
                  <c:v>900</c:v>
                </c:pt>
                <c:pt idx="7">
                  <c:v>1050</c:v>
                </c:pt>
                <c:pt idx="8">
                  <c:v>1200</c:v>
                </c:pt>
                <c:pt idx="9">
                  <c:v>1350</c:v>
                </c:pt>
                <c:pt idx="10">
                  <c:v>1500</c:v>
                </c:pt>
                <c:pt idx="11">
                  <c:v>1650</c:v>
                </c:pt>
                <c:pt idx="12">
                  <c:v>1800</c:v>
                </c:pt>
                <c:pt idx="13">
                  <c:v>1950</c:v>
                </c:pt>
                <c:pt idx="14">
                  <c:v>2100</c:v>
                </c:pt>
                <c:pt idx="15">
                  <c:v>2250</c:v>
                </c:pt>
                <c:pt idx="16">
                  <c:v>2400</c:v>
                </c:pt>
                <c:pt idx="17">
                  <c:v>2550</c:v>
                </c:pt>
                <c:pt idx="18">
                  <c:v>2700</c:v>
                </c:pt>
                <c:pt idx="19">
                  <c:v>2850</c:v>
                </c:pt>
                <c:pt idx="20">
                  <c:v>3000</c:v>
                </c:pt>
                <c:pt idx="21">
                  <c:v>3150</c:v>
                </c:pt>
                <c:pt idx="22">
                  <c:v>3300</c:v>
                </c:pt>
                <c:pt idx="23">
                  <c:v>3450</c:v>
                </c:pt>
                <c:pt idx="24">
                  <c:v>3600</c:v>
                </c:pt>
                <c:pt idx="25">
                  <c:v>3750</c:v>
                </c:pt>
              </c:numCache>
            </c:numRef>
          </c:cat>
          <c:val>
            <c:numRef>
              <c:f>EffDispDist!$E$8:$E$33</c:f>
              <c:numCache>
                <c:formatCode>General</c:formatCode>
                <c:ptCount val="26"/>
                <c:pt idx="0">
                  <c:v>1</c:v>
                </c:pt>
                <c:pt idx="1">
                  <c:v>0.22910723379553888</c:v>
                </c:pt>
                <c:pt idx="2">
                  <c:v>0.17661710921809515</c:v>
                </c:pt>
                <c:pt idx="3">
                  <c:v>0.13615285188417287</c:v>
                </c:pt>
                <c:pt idx="4">
                  <c:v>0.10495924861561623</c:v>
                </c:pt>
                <c:pt idx="5">
                  <c:v>8.0912325504034155E-2</c:v>
                </c:pt>
                <c:pt idx="6">
                  <c:v>1.2426135346235712E-2</c:v>
                </c:pt>
                <c:pt idx="7">
                  <c:v>9.3379585533763451E-3</c:v>
                </c:pt>
                <c:pt idx="8">
                  <c:v>7.0172638165404699E-3</c:v>
                </c:pt>
                <c:pt idx="9">
                  <c:v>5.2733144176489825E-3</c:v>
                </c:pt>
                <c:pt idx="10">
                  <c:v>3.9627760441097344E-3</c:v>
                </c:pt>
                <c:pt idx="11">
                  <c:v>2.9779362146911733E-3</c:v>
                </c:pt>
                <c:pt idx="12">
                  <c:v>2.237851445566986E-3</c:v>
                </c:pt>
                <c:pt idx="13">
                  <c:v>1.681694546619295E-3</c:v>
                </c:pt>
                <c:pt idx="14">
                  <c:v>1.2637552656729395E-3</c:v>
                </c:pt>
                <c:pt idx="15">
                  <c:v>9.4968338615753715E-4</c:v>
                </c:pt>
                <c:pt idx="16">
                  <c:v>7.1366550030823803E-4</c:v>
                </c:pt>
                <c:pt idx="17">
                  <c:v>5.3630341833285416E-4</c:v>
                </c:pt>
                <c:pt idx="18">
                  <c:v>4.0301984107579659E-4</c:v>
                </c:pt>
                <c:pt idx="19">
                  <c:v>3.0286025922727133E-4</c:v>
                </c:pt>
                <c:pt idx="20">
                  <c:v>2.2759260778418906E-4</c:v>
                </c:pt>
                <c:pt idx="21">
                  <c:v>1.7103067682160773E-4</c:v>
                </c:pt>
                <c:pt idx="22">
                  <c:v>1.2852567005073581E-4</c:v>
                </c:pt>
                <c:pt idx="23">
                  <c:v>9.6584122620414618E-5</c:v>
                </c:pt>
                <c:pt idx="24">
                  <c:v>7.2580775020840378E-5</c:v>
                </c:pt>
                <c:pt idx="25">
                  <c:v>5.4542804341967469E-5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C0-40A0-AE5D-B40ACDE7EE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3552383"/>
        <c:axId val="2053552799"/>
      </c:lineChart>
      <c:catAx>
        <c:axId val="20535523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3552799"/>
        <c:crosses val="autoZero"/>
        <c:auto val="1"/>
        <c:lblAlgn val="ctr"/>
        <c:lblOffset val="100"/>
        <c:noMultiLvlLbl val="0"/>
      </c:catAx>
      <c:valAx>
        <c:axId val="2053552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distanceProb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3552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Effective probability</a:t>
            </a:r>
            <a:r>
              <a:rPr lang="en-US" baseline="0"/>
              <a:t> of establishment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EffDispDist!$F$7</c:f>
              <c:strCache>
                <c:ptCount val="1"/>
                <c:pt idx="0">
                  <c:v>Effective Pest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EffDispDist!$B$8:$B$33</c:f>
              <c:numCache>
                <c:formatCode>General</c:formatCode>
                <c:ptCount val="26"/>
                <c:pt idx="0">
                  <c:v>0</c:v>
                </c:pt>
                <c:pt idx="1">
                  <c:v>150</c:v>
                </c:pt>
                <c:pt idx="2">
                  <c:v>300</c:v>
                </c:pt>
                <c:pt idx="3">
                  <c:v>450</c:v>
                </c:pt>
                <c:pt idx="4">
                  <c:v>600</c:v>
                </c:pt>
                <c:pt idx="5">
                  <c:v>750</c:v>
                </c:pt>
                <c:pt idx="6">
                  <c:v>900</c:v>
                </c:pt>
                <c:pt idx="7">
                  <c:v>1050</c:v>
                </c:pt>
                <c:pt idx="8">
                  <c:v>1200</c:v>
                </c:pt>
                <c:pt idx="9">
                  <c:v>1350</c:v>
                </c:pt>
                <c:pt idx="10">
                  <c:v>1500</c:v>
                </c:pt>
                <c:pt idx="11">
                  <c:v>1650</c:v>
                </c:pt>
                <c:pt idx="12">
                  <c:v>1800</c:v>
                </c:pt>
                <c:pt idx="13">
                  <c:v>1950</c:v>
                </c:pt>
                <c:pt idx="14">
                  <c:v>2100</c:v>
                </c:pt>
                <c:pt idx="15">
                  <c:v>2250</c:v>
                </c:pt>
                <c:pt idx="16">
                  <c:v>2400</c:v>
                </c:pt>
                <c:pt idx="17">
                  <c:v>2550</c:v>
                </c:pt>
                <c:pt idx="18">
                  <c:v>2700</c:v>
                </c:pt>
                <c:pt idx="19">
                  <c:v>2850</c:v>
                </c:pt>
                <c:pt idx="20">
                  <c:v>3000</c:v>
                </c:pt>
                <c:pt idx="21">
                  <c:v>3150</c:v>
                </c:pt>
                <c:pt idx="22">
                  <c:v>3300</c:v>
                </c:pt>
                <c:pt idx="23">
                  <c:v>3450</c:v>
                </c:pt>
                <c:pt idx="24">
                  <c:v>3600</c:v>
                </c:pt>
                <c:pt idx="25">
                  <c:v>3750</c:v>
                </c:pt>
              </c:numCache>
            </c:numRef>
          </c:cat>
          <c:val>
            <c:numRef>
              <c:f>EffDispDist!$F$8:$F$33</c:f>
              <c:numCache>
                <c:formatCode>General</c:formatCode>
                <c:ptCount val="26"/>
                <c:pt idx="0">
                  <c:v>0.25</c:v>
                </c:pt>
                <c:pt idx="1">
                  <c:v>5.727680844888472E-2</c:v>
                </c:pt>
                <c:pt idx="2">
                  <c:v>4.4154277304523787E-2</c:v>
                </c:pt>
                <c:pt idx="3">
                  <c:v>3.4038212971043216E-2</c:v>
                </c:pt>
                <c:pt idx="4">
                  <c:v>2.6239812153904057E-2</c:v>
                </c:pt>
                <c:pt idx="5">
                  <c:v>2.0228081376008539E-2</c:v>
                </c:pt>
                <c:pt idx="6">
                  <c:v>3.1065338365589279E-3</c:v>
                </c:pt>
                <c:pt idx="7">
                  <c:v>2.3344896383440863E-3</c:v>
                </c:pt>
                <c:pt idx="8">
                  <c:v>1.7543159541351175E-3</c:v>
                </c:pt>
                <c:pt idx="9">
                  <c:v>1.3183286044122456E-3</c:v>
                </c:pt>
                <c:pt idx="10">
                  <c:v>9.906940110274336E-4</c:v>
                </c:pt>
                <c:pt idx="11">
                  <c:v>7.4448405367279332E-4</c:v>
                </c:pt>
                <c:pt idx="12">
                  <c:v>5.594628613917465E-4</c:v>
                </c:pt>
                <c:pt idx="13">
                  <c:v>4.2042363665482376E-4</c:v>
                </c:pt>
                <c:pt idx="14">
                  <c:v>3.1593881641823487E-4</c:v>
                </c:pt>
                <c:pt idx="15">
                  <c:v>2.3742084653938429E-4</c:v>
                </c:pt>
                <c:pt idx="16">
                  <c:v>1.7841637507705951E-4</c:v>
                </c:pt>
                <c:pt idx="17">
                  <c:v>1.3407585458321354E-4</c:v>
                </c:pt>
                <c:pt idx="18">
                  <c:v>1.0075496026894915E-4</c:v>
                </c:pt>
                <c:pt idx="19">
                  <c:v>7.5715064806817833E-5</c:v>
                </c:pt>
                <c:pt idx="20">
                  <c:v>5.6898151946047266E-5</c:v>
                </c:pt>
                <c:pt idx="21">
                  <c:v>4.2757669205401933E-5</c:v>
                </c:pt>
                <c:pt idx="22">
                  <c:v>3.2131417512683952E-5</c:v>
                </c:pt>
                <c:pt idx="23">
                  <c:v>2.4146030655103654E-5</c:v>
                </c:pt>
                <c:pt idx="24">
                  <c:v>1.8145193755210094E-5</c:v>
                </c:pt>
                <c:pt idx="25">
                  <c:v>1.3635701085491867E-5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38-4A94-8A24-8A1E2230D3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228607"/>
        <c:axId val="141225695"/>
      </c:lineChart>
      <c:catAx>
        <c:axId val="1412286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25695"/>
        <c:crosses val="autoZero"/>
        <c:auto val="1"/>
        <c:lblAlgn val="ctr"/>
        <c:lblOffset val="100"/>
        <c:noMultiLvlLbl val="0"/>
      </c:catAx>
      <c:valAx>
        <c:axId val="141225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Effective Pest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28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Net Photosynthesis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DTemp!$P$1</c:f>
              <c:strCache>
                <c:ptCount val="1"/>
                <c:pt idx="0">
                  <c:v>FtempNetPsn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DTemp!$D$2:$D$13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</c:numCache>
            </c:numRef>
          </c:cat>
          <c:val>
            <c:numRef>
              <c:f>DTemp!$P$2:$P$13</c:f>
              <c:numCache>
                <c:formatCode>General</c:formatCode>
                <c:ptCount val="12"/>
                <c:pt idx="0">
                  <c:v>0</c:v>
                </c:pt>
                <c:pt idx="1">
                  <c:v>0.83649907715842176</c:v>
                </c:pt>
                <c:pt idx="2">
                  <c:v>8.1610714638490762</c:v>
                </c:pt>
                <c:pt idx="3">
                  <c:v>13.476053962041766</c:v>
                </c:pt>
                <c:pt idx="4">
                  <c:v>16.555474402834886</c:v>
                </c:pt>
                <c:pt idx="5">
                  <c:v>17.111786204009899</c:v>
                </c:pt>
                <c:pt idx="6">
                  <c:v>14.862789772321459</c:v>
                </c:pt>
                <c:pt idx="7">
                  <c:v>10.099821267242231</c:v>
                </c:pt>
                <c:pt idx="8">
                  <c:v>2.519793610830475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12-4CF9-8C74-92D7F888EC83}"/>
            </c:ext>
          </c:extLst>
        </c:ser>
        <c:ser>
          <c:idx val="1"/>
          <c:order val="1"/>
          <c:tx>
            <c:strRef>
              <c:f>DTemp!$Q$1</c:f>
              <c:strCache>
                <c:ptCount val="1"/>
                <c:pt idx="0">
                  <c:v>DTEMPNetPsn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DTemp!$D$2:$D$13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</c:numCache>
            </c:numRef>
          </c:cat>
          <c:val>
            <c:numRef>
              <c:f>DTemp!$Q$2:$Q$13</c:f>
              <c:numCache>
                <c:formatCode>General</c:formatCode>
                <c:ptCount val="12"/>
                <c:pt idx="0">
                  <c:v>0</c:v>
                </c:pt>
                <c:pt idx="1">
                  <c:v>0.83649907715842176</c:v>
                </c:pt>
                <c:pt idx="2">
                  <c:v>8.1610714638490762</c:v>
                </c:pt>
                <c:pt idx="3">
                  <c:v>13.476053962041766</c:v>
                </c:pt>
                <c:pt idx="4">
                  <c:v>16.555474402834886</c:v>
                </c:pt>
                <c:pt idx="5">
                  <c:v>17.111786204009899</c:v>
                </c:pt>
                <c:pt idx="6">
                  <c:v>14.862789772321459</c:v>
                </c:pt>
                <c:pt idx="7">
                  <c:v>6.9825924810563569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12-4CF9-8C74-92D7F888EC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7256928"/>
        <c:axId val="600702672"/>
      </c:lineChart>
      <c:catAx>
        <c:axId val="597256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702672"/>
        <c:crosses val="autoZero"/>
        <c:auto val="1"/>
        <c:lblAlgn val="ctr"/>
        <c:lblOffset val="100"/>
        <c:noMultiLvlLbl val="0"/>
      </c:catAx>
      <c:valAx>
        <c:axId val="60070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256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Vapor Pressure Deficit reduction factor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DTemp!$I$1</c:f>
              <c:strCache>
                <c:ptCount val="1"/>
                <c:pt idx="0">
                  <c:v>DVPD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DTemp!$D$2:$D$13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</c:numCache>
            </c:numRef>
          </c:cat>
          <c:val>
            <c:numRef>
              <c:f>DTemp!$I$2:$I$13</c:f>
              <c:numCache>
                <c:formatCode>General</c:formatCode>
                <c:ptCount val="12"/>
                <c:pt idx="0">
                  <c:v>0.99116670419529562</c:v>
                </c:pt>
                <c:pt idx="1">
                  <c:v>0.98279724378067812</c:v>
                </c:pt>
                <c:pt idx="2">
                  <c:v>0.96745982808910902</c:v>
                </c:pt>
                <c:pt idx="3">
                  <c:v>0.94010911869918679</c:v>
                </c:pt>
                <c:pt idx="4">
                  <c:v>0.89256823099917959</c:v>
                </c:pt>
                <c:pt idx="5">
                  <c:v>0.81189803669513572</c:v>
                </c:pt>
                <c:pt idx="6">
                  <c:v>0.67807825935480448</c:v>
                </c:pt>
                <c:pt idx="7">
                  <c:v>0.46077952588954418</c:v>
                </c:pt>
                <c:pt idx="8">
                  <c:v>0.11495939132148625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FB-490A-9837-D9EF6A5899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0692480"/>
        <c:axId val="600701496"/>
      </c:lineChart>
      <c:catAx>
        <c:axId val="600692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701496"/>
        <c:crosses val="autoZero"/>
        <c:auto val="1"/>
        <c:lblAlgn val="ctr"/>
        <c:lblOffset val="100"/>
        <c:noMultiLvlLbl val="0"/>
      </c:catAx>
      <c:valAx>
        <c:axId val="600701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692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'CO2 effects'!$L$1</c:f>
              <c:strCache>
                <c:ptCount val="1"/>
                <c:pt idx="0">
                  <c:v>Amax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'CO2 effects'!$A$2:$A$16</c:f>
              <c:numCache>
                <c:formatCode>General</c:formatCode>
                <c:ptCount val="15"/>
                <c:pt idx="0">
                  <c:v>300</c:v>
                </c:pt>
                <c:pt idx="1">
                  <c:v>350</c:v>
                </c:pt>
                <c:pt idx="2">
                  <c:v>400</c:v>
                </c:pt>
                <c:pt idx="3">
                  <c:v>450</c:v>
                </c:pt>
                <c:pt idx="4">
                  <c:v>500</c:v>
                </c:pt>
                <c:pt idx="5">
                  <c:v>550</c:v>
                </c:pt>
                <c:pt idx="6">
                  <c:v>600</c:v>
                </c:pt>
                <c:pt idx="7">
                  <c:v>650</c:v>
                </c:pt>
                <c:pt idx="8">
                  <c:v>700</c:v>
                </c:pt>
                <c:pt idx="9">
                  <c:v>750</c:v>
                </c:pt>
                <c:pt idx="10">
                  <c:v>800</c:v>
                </c:pt>
                <c:pt idx="11">
                  <c:v>850</c:v>
                </c:pt>
                <c:pt idx="12">
                  <c:v>900</c:v>
                </c:pt>
                <c:pt idx="13">
                  <c:v>950</c:v>
                </c:pt>
                <c:pt idx="14">
                  <c:v>1000</c:v>
                </c:pt>
              </c:numCache>
            </c:numRef>
          </c:xVal>
          <c:yVal>
            <c:numRef>
              <c:f>'CO2 effects'!$L$2:$L$16</c:f>
              <c:numCache>
                <c:formatCode>General</c:formatCode>
                <c:ptCount val="15"/>
                <c:pt idx="0">
                  <c:v>142.33767892435716</c:v>
                </c:pt>
                <c:pt idx="1">
                  <c:v>162.51000000000002</c:v>
                </c:pt>
                <c:pt idx="2">
                  <c:v>179.35818545979444</c:v>
                </c:pt>
                <c:pt idx="3">
                  <c:v>193.64135049937124</c:v>
                </c:pt>
                <c:pt idx="4">
                  <c:v>205.90382032355882</c:v>
                </c:pt>
                <c:pt idx="5">
                  <c:v>216.54607936464592</c:v>
                </c:pt>
                <c:pt idx="6">
                  <c:v>225.86934023051822</c:v>
                </c:pt>
                <c:pt idx="7">
                  <c:v>234.10450808209077</c:v>
                </c:pt>
                <c:pt idx="8">
                  <c:v>241.43156308462196</c:v>
                </c:pt>
                <c:pt idx="9">
                  <c:v>247.99286586554953</c:v>
                </c:pt>
                <c:pt idx="10">
                  <c:v>253.902498468462</c:v>
                </c:pt>
                <c:pt idx="11">
                  <c:v>259.25295374647209</c:v>
                </c:pt>
                <c:pt idx="12">
                  <c:v>264.12001165652737</c:v>
                </c:pt>
                <c:pt idx="13">
                  <c:v>268.56635100278822</c:v>
                </c:pt>
                <c:pt idx="14">
                  <c:v>272.64426336478101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5F-4508-896A-BF923DBA1604}"/>
            </c:ext>
          </c:extLst>
        </c:ser>
        <c:ser>
          <c:idx val="1"/>
          <c:order val="1"/>
          <c:tx>
            <c:strRef>
              <c:f>'CO2 effects'!$M$1</c:f>
              <c:strCache>
                <c:ptCount val="1"/>
                <c:pt idx="0">
                  <c:v>Amax'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'CO2 effects'!$A$2:$A$16</c:f>
              <c:numCache>
                <c:formatCode>General</c:formatCode>
                <c:ptCount val="15"/>
                <c:pt idx="0">
                  <c:v>300</c:v>
                </c:pt>
                <c:pt idx="1">
                  <c:v>350</c:v>
                </c:pt>
                <c:pt idx="2">
                  <c:v>400</c:v>
                </c:pt>
                <c:pt idx="3">
                  <c:v>450</c:v>
                </c:pt>
                <c:pt idx="4">
                  <c:v>500</c:v>
                </c:pt>
                <c:pt idx="5">
                  <c:v>550</c:v>
                </c:pt>
                <c:pt idx="6">
                  <c:v>600</c:v>
                </c:pt>
                <c:pt idx="7">
                  <c:v>650</c:v>
                </c:pt>
                <c:pt idx="8">
                  <c:v>700</c:v>
                </c:pt>
                <c:pt idx="9">
                  <c:v>750</c:v>
                </c:pt>
                <c:pt idx="10">
                  <c:v>800</c:v>
                </c:pt>
                <c:pt idx="11">
                  <c:v>850</c:v>
                </c:pt>
                <c:pt idx="12">
                  <c:v>900</c:v>
                </c:pt>
                <c:pt idx="13">
                  <c:v>950</c:v>
                </c:pt>
                <c:pt idx="14">
                  <c:v>1000</c:v>
                </c:pt>
              </c:numCache>
            </c:numRef>
          </c:xVal>
          <c:yVal>
            <c:numRef>
              <c:f>'CO2 effects'!$M$2:$M$16</c:f>
              <c:numCache>
                <c:formatCode>General</c:formatCode>
                <c:ptCount val="15"/>
                <c:pt idx="0">
                  <c:v>154.23275042444826</c:v>
                </c:pt>
                <c:pt idx="1">
                  <c:v>162.51000000000002</c:v>
                </c:pt>
                <c:pt idx="2">
                  <c:v>169.06282258064519</c:v>
                </c:pt>
                <c:pt idx="3">
                  <c:v>174.37926354230069</c:v>
                </c:pt>
                <c:pt idx="4">
                  <c:v>178.77907675194663</c:v>
                </c:pt>
                <c:pt idx="5">
                  <c:v>182.48050691244242</c:v>
                </c:pt>
                <c:pt idx="6">
                  <c:v>185.63760910815941</c:v>
                </c:pt>
                <c:pt idx="7">
                  <c:v>188.36223155103849</c:v>
                </c:pt>
                <c:pt idx="8">
                  <c:v>190.73754342431766</c:v>
                </c:pt>
                <c:pt idx="9">
                  <c:v>192.82667314418967</c:v>
                </c:pt>
                <c:pt idx="10">
                  <c:v>194.67840175953083</c:v>
                </c:pt>
                <c:pt idx="11">
                  <c:v>196.33101977107182</c:v>
                </c:pt>
                <c:pt idx="12">
                  <c:v>197.81500329163924</c:v>
                </c:pt>
                <c:pt idx="13">
                  <c:v>199.15491074224869</c:v>
                </c:pt>
                <c:pt idx="14">
                  <c:v>200.37075268817208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F5F-4508-896A-BF923DBA16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694440"/>
        <c:axId val="600702280"/>
      </c:scatterChart>
      <c:valAx>
        <c:axId val="600694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702280"/>
        <c:crosses val="autoZero"/>
        <c:crossBetween val="midCat"/>
      </c:valAx>
      <c:valAx>
        <c:axId val="600702280"/>
        <c:scaling>
          <c:orientation val="minMax"/>
          <c:max val="3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694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Water Use 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939844640632042"/>
          <c:y val="0.19355508091178722"/>
          <c:w val="0.66258384368620593"/>
          <c:h val="0.5747251645478908"/>
        </c:manualLayout>
      </c:layout>
      <c:scatterChart>
        <c:scatterStyle val="lineMarker"/>
        <c:varyColors val="0"/>
        <c:ser>
          <c:idx val="0"/>
          <c:order val="0"/>
          <c:tx>
            <c:strRef>
              <c:f>'CO2 effects'!$K$1</c:f>
              <c:strCache>
                <c:ptCount val="1"/>
                <c:pt idx="0">
                  <c:v>wue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'CO2 effects'!$A$2:$A$16</c:f>
              <c:numCache>
                <c:formatCode>General</c:formatCode>
                <c:ptCount val="15"/>
                <c:pt idx="0">
                  <c:v>300</c:v>
                </c:pt>
                <c:pt idx="1">
                  <c:v>350</c:v>
                </c:pt>
                <c:pt idx="2">
                  <c:v>400</c:v>
                </c:pt>
                <c:pt idx="3">
                  <c:v>450</c:v>
                </c:pt>
                <c:pt idx="4">
                  <c:v>500</c:v>
                </c:pt>
                <c:pt idx="5">
                  <c:v>550</c:v>
                </c:pt>
                <c:pt idx="6">
                  <c:v>600</c:v>
                </c:pt>
                <c:pt idx="7">
                  <c:v>650</c:v>
                </c:pt>
                <c:pt idx="8">
                  <c:v>700</c:v>
                </c:pt>
                <c:pt idx="9">
                  <c:v>750</c:v>
                </c:pt>
                <c:pt idx="10">
                  <c:v>800</c:v>
                </c:pt>
                <c:pt idx="11">
                  <c:v>850</c:v>
                </c:pt>
                <c:pt idx="12">
                  <c:v>900</c:v>
                </c:pt>
                <c:pt idx="13">
                  <c:v>950</c:v>
                </c:pt>
                <c:pt idx="14">
                  <c:v>1000</c:v>
                </c:pt>
              </c:numCache>
            </c:numRef>
          </c:xVal>
          <c:yVal>
            <c:numRef>
              <c:f>'CO2 effects'!$K$2:$K$16</c:f>
              <c:numCache>
                <c:formatCode>General</c:formatCode>
                <c:ptCount val="15"/>
                <c:pt idx="0">
                  <c:v>5.6114998040992621</c:v>
                </c:pt>
                <c:pt idx="1">
                  <c:v>5.7368421052631584</c:v>
                </c:pt>
                <c:pt idx="2">
                  <c:v>5.9335273494982044</c:v>
                </c:pt>
                <c:pt idx="3">
                  <c:v>6.1569317576490947</c:v>
                </c:pt>
                <c:pt idx="4">
                  <c:v>6.3855887441137122</c:v>
                </c:pt>
                <c:pt idx="5">
                  <c:v>6.6090690759045003</c:v>
                </c:pt>
                <c:pt idx="6">
                  <c:v>6.8224641885496551</c:v>
                </c:pt>
                <c:pt idx="7">
                  <c:v>7.0237122831273862</c:v>
                </c:pt>
                <c:pt idx="8">
                  <c:v>7.212239509759109</c:v>
                </c:pt>
                <c:pt idx="9">
                  <c:v>7.3882447902171906</c:v>
                </c:pt>
                <c:pt idx="10">
                  <c:v>7.5523140614132975</c:v>
                </c:pt>
                <c:pt idx="11">
                  <c:v>7.7052092110633978</c:v>
                </c:pt>
                <c:pt idx="12">
                  <c:v>7.8477522589895443</c:v>
                </c:pt>
                <c:pt idx="13">
                  <c:v>7.9807625592505218</c:v>
                </c:pt>
                <c:pt idx="14">
                  <c:v>8.1050239346027642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02-4F61-8EE7-D20E105C5D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695616"/>
        <c:axId val="600701888"/>
      </c:scatterChart>
      <c:valAx>
        <c:axId val="600695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701888"/>
        <c:crosses val="autoZero"/>
        <c:crossBetween val="midCat"/>
      </c:valAx>
      <c:valAx>
        <c:axId val="60070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695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Delgs-change in conductance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'CO2 effects'!$I$1</c:f>
              <c:strCache>
                <c:ptCount val="1"/>
                <c:pt idx="0">
                  <c:v>Delgs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'CO2 effects'!$A$2:$A$16</c:f>
              <c:numCache>
                <c:formatCode>General</c:formatCode>
                <c:ptCount val="15"/>
                <c:pt idx="0">
                  <c:v>300</c:v>
                </c:pt>
                <c:pt idx="1">
                  <c:v>350</c:v>
                </c:pt>
                <c:pt idx="2">
                  <c:v>400</c:v>
                </c:pt>
                <c:pt idx="3">
                  <c:v>450</c:v>
                </c:pt>
                <c:pt idx="4">
                  <c:v>500</c:v>
                </c:pt>
                <c:pt idx="5">
                  <c:v>550</c:v>
                </c:pt>
                <c:pt idx="6">
                  <c:v>600</c:v>
                </c:pt>
                <c:pt idx="7">
                  <c:v>650</c:v>
                </c:pt>
                <c:pt idx="8">
                  <c:v>700</c:v>
                </c:pt>
                <c:pt idx="9">
                  <c:v>750</c:v>
                </c:pt>
                <c:pt idx="10">
                  <c:v>800</c:v>
                </c:pt>
                <c:pt idx="11">
                  <c:v>850</c:v>
                </c:pt>
                <c:pt idx="12">
                  <c:v>900</c:v>
                </c:pt>
                <c:pt idx="13">
                  <c:v>950</c:v>
                </c:pt>
                <c:pt idx="14">
                  <c:v>1000</c:v>
                </c:pt>
              </c:numCache>
            </c:numRef>
          </c:xVal>
          <c:yVal>
            <c:numRef>
              <c:f>'CO2 effects'!$I$2:$I$16</c:f>
              <c:numCache>
                <c:formatCode>General</c:formatCode>
                <c:ptCount val="15"/>
                <c:pt idx="0">
                  <c:v>1.0218486580010462</c:v>
                </c:pt>
                <c:pt idx="1">
                  <c:v>1</c:v>
                </c:pt>
                <c:pt idx="2">
                  <c:v>0.96571541614251499</c:v>
                </c:pt>
                <c:pt idx="3">
                  <c:v>0.92677336334557081</c:v>
                </c:pt>
                <c:pt idx="4">
                  <c:v>0.88691572350311454</c:v>
                </c:pt>
                <c:pt idx="5">
                  <c:v>0.847960436310225</c:v>
                </c:pt>
                <c:pt idx="6">
                  <c:v>0.81076312309684917</c:v>
                </c:pt>
                <c:pt idx="7">
                  <c:v>0.77568318000531811</c:v>
                </c:pt>
                <c:pt idx="8">
                  <c:v>0.74282063591354974</c:v>
                </c:pt>
                <c:pt idx="9">
                  <c:v>0.7121408163841596</c:v>
                </c:pt>
                <c:pt idx="10">
                  <c:v>0.68354158562520528</c:v>
                </c:pt>
                <c:pt idx="11">
                  <c:v>0.65689013752105918</c:v>
                </c:pt>
                <c:pt idx="12">
                  <c:v>0.63204318421283179</c:v>
                </c:pt>
                <c:pt idx="13">
                  <c:v>0.60885790251596417</c:v>
                </c:pt>
                <c:pt idx="14">
                  <c:v>0.5871976627756651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BD-4A9F-A634-274737CBDB04}"/>
            </c:ext>
          </c:extLst>
        </c:ser>
        <c:ser>
          <c:idx val="1"/>
          <c:order val="1"/>
          <c:tx>
            <c:strRef>
              <c:f>'CO2 effects'!$J$1</c:f>
              <c:strCache>
                <c:ptCount val="1"/>
                <c:pt idx="0">
                  <c:v>Delgs'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'CO2 effects'!$A$2:$A$16</c:f>
              <c:numCache>
                <c:formatCode>General</c:formatCode>
                <c:ptCount val="15"/>
                <c:pt idx="0">
                  <c:v>300</c:v>
                </c:pt>
                <c:pt idx="1">
                  <c:v>350</c:v>
                </c:pt>
                <c:pt idx="2">
                  <c:v>400</c:v>
                </c:pt>
                <c:pt idx="3">
                  <c:v>450</c:v>
                </c:pt>
                <c:pt idx="4">
                  <c:v>500</c:v>
                </c:pt>
                <c:pt idx="5">
                  <c:v>550</c:v>
                </c:pt>
                <c:pt idx="6">
                  <c:v>600</c:v>
                </c:pt>
                <c:pt idx="7">
                  <c:v>650</c:v>
                </c:pt>
                <c:pt idx="8">
                  <c:v>700</c:v>
                </c:pt>
                <c:pt idx="9">
                  <c:v>750</c:v>
                </c:pt>
                <c:pt idx="10">
                  <c:v>800</c:v>
                </c:pt>
                <c:pt idx="11">
                  <c:v>850</c:v>
                </c:pt>
                <c:pt idx="12">
                  <c:v>900</c:v>
                </c:pt>
                <c:pt idx="13">
                  <c:v>950</c:v>
                </c:pt>
                <c:pt idx="14">
                  <c:v>1000</c:v>
                </c:pt>
              </c:numCache>
            </c:numRef>
          </c:xVal>
          <c:yVal>
            <c:numRef>
              <c:f>'CO2 effects'!$J$2:$J$16</c:f>
              <c:numCache>
                <c:formatCode>General</c:formatCode>
                <c:ptCount val="15"/>
                <c:pt idx="0">
                  <c:v>1.1072439162422185</c:v>
                </c:pt>
                <c:pt idx="1">
                  <c:v>1</c:v>
                </c:pt>
                <c:pt idx="2">
                  <c:v>0.91028225806451613</c:v>
                </c:pt>
                <c:pt idx="3">
                  <c:v>0.83458443227158985</c:v>
                </c:pt>
                <c:pt idx="4">
                  <c:v>0.77007786429365954</c:v>
                </c:pt>
                <c:pt idx="5">
                  <c:v>0.71456500488758556</c:v>
                </c:pt>
                <c:pt idx="6">
                  <c:v>0.66635041113219484</c:v>
                </c:pt>
                <c:pt idx="7">
                  <c:v>0.62412046636527418</c:v>
                </c:pt>
                <c:pt idx="8">
                  <c:v>0.58684863523573205</c:v>
                </c:pt>
                <c:pt idx="9">
                  <c:v>0.55372457572224376</c:v>
                </c:pt>
                <c:pt idx="10">
                  <c:v>0.52410190615835783</c:v>
                </c:pt>
                <c:pt idx="11">
                  <c:v>0.49745975393279063</c:v>
                </c:pt>
                <c:pt idx="12">
                  <c:v>0.47337429595494107</c:v>
                </c:pt>
                <c:pt idx="13">
                  <c:v>0.45149751924439974</c:v>
                </c:pt>
                <c:pt idx="14">
                  <c:v>0.43154121863799283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8C-4521-AC6B-8D07868E9B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697968"/>
        <c:axId val="600696792"/>
      </c:scatterChart>
      <c:valAx>
        <c:axId val="600697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696792"/>
        <c:crosses val="autoZero"/>
        <c:crossBetween val="midCat"/>
      </c:valAx>
      <c:valAx>
        <c:axId val="600696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697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5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8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Relationship Id="rId4" Type="http://schemas.openxmlformats.org/officeDocument/2006/relationships/chart" Target="../charts/chart29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6.xml"/><Relationship Id="rId7" Type="http://schemas.openxmlformats.org/officeDocument/2006/relationships/chart" Target="../charts/chart40.xml"/><Relationship Id="rId2" Type="http://schemas.openxmlformats.org/officeDocument/2006/relationships/chart" Target="../charts/chart35.xml"/><Relationship Id="rId1" Type="http://schemas.openxmlformats.org/officeDocument/2006/relationships/chart" Target="../charts/chart34.xml"/><Relationship Id="rId6" Type="http://schemas.openxmlformats.org/officeDocument/2006/relationships/chart" Target="../charts/chart39.xml"/><Relationship Id="rId5" Type="http://schemas.openxmlformats.org/officeDocument/2006/relationships/chart" Target="../charts/chart38.xml"/><Relationship Id="rId4" Type="http://schemas.openxmlformats.org/officeDocument/2006/relationships/chart" Target="../charts/chart37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2.xml"/><Relationship Id="rId1" Type="http://schemas.openxmlformats.org/officeDocument/2006/relationships/chart" Target="../charts/chart4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5</xdr:row>
      <xdr:rowOff>60960</xdr:rowOff>
    </xdr:from>
    <xdr:to>
      <xdr:col>10</xdr:col>
      <xdr:colOff>304800</xdr:colOff>
      <xdr:row>20</xdr:row>
      <xdr:rowOff>60960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3</xdr:row>
      <xdr:rowOff>185737</xdr:rowOff>
    </xdr:from>
    <xdr:to>
      <xdr:col>10</xdr:col>
      <xdr:colOff>228600</xdr:colOff>
      <xdr:row>18</xdr:row>
      <xdr:rowOff>61912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152400</xdr:colOff>
      <xdr:row>2</xdr:row>
      <xdr:rowOff>14287</xdr:rowOff>
    </xdr:from>
    <xdr:to>
      <xdr:col>11</xdr:col>
      <xdr:colOff>457200</xdr:colOff>
      <xdr:row>16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45720</xdr:colOff>
      <xdr:row>16</xdr:row>
      <xdr:rowOff>11430</xdr:rowOff>
    </xdr:from>
    <xdr:to>
      <xdr:col>11</xdr:col>
      <xdr:colOff>441960</xdr:colOff>
      <xdr:row>31</xdr:row>
      <xdr:rowOff>11430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6DA7D29-693F-4403-B8F4-ADE44B7BC8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472440</xdr:colOff>
      <xdr:row>7</xdr:row>
      <xdr:rowOff>156210</xdr:rowOff>
    </xdr:from>
    <xdr:to>
      <xdr:col>20</xdr:col>
      <xdr:colOff>167640</xdr:colOff>
      <xdr:row>22</xdr:row>
      <xdr:rowOff>156210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C488B6C-6712-4006-BBE5-71BF3F44F4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333375</xdr:colOff>
      <xdr:row>7</xdr:row>
      <xdr:rowOff>69532</xdr:rowOff>
    </xdr:from>
    <xdr:to>
      <xdr:col>19</xdr:col>
      <xdr:colOff>335280</xdr:colOff>
      <xdr:row>21</xdr:row>
      <xdr:rowOff>145732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245745</xdr:colOff>
      <xdr:row>22</xdr:row>
      <xdr:rowOff>23812</xdr:rowOff>
    </xdr:from>
    <xdr:to>
      <xdr:col>22</xdr:col>
      <xdr:colOff>251461</xdr:colOff>
      <xdr:row>36</xdr:row>
      <xdr:rowOff>100012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451485</xdr:colOff>
      <xdr:row>7</xdr:row>
      <xdr:rowOff>66675</xdr:rowOff>
    </xdr:from>
    <xdr:to>
      <xdr:col>25</xdr:col>
      <xdr:colOff>502920</xdr:colOff>
      <xdr:row>21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106680</xdr:colOff>
      <xdr:row>25</xdr:row>
      <xdr:rowOff>64770</xdr:rowOff>
    </xdr:from>
    <xdr:to>
      <xdr:col>15</xdr:col>
      <xdr:colOff>457200</xdr:colOff>
      <xdr:row>40</xdr:row>
      <xdr:rowOff>64770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AC48C8D-DD53-4211-9CC6-3F9874CB97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</xdr:colOff>
      <xdr:row>0</xdr:row>
      <xdr:rowOff>0</xdr:rowOff>
    </xdr:from>
    <xdr:to>
      <xdr:col>13</xdr:col>
      <xdr:colOff>594360</xdr:colOff>
      <xdr:row>13</xdr:row>
      <xdr:rowOff>137160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21</xdr:row>
      <xdr:rowOff>68580</xdr:rowOff>
    </xdr:from>
    <xdr:to>
      <xdr:col>2</xdr:col>
      <xdr:colOff>36195</xdr:colOff>
      <xdr:row>36</xdr:row>
      <xdr:rowOff>68580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B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129540</xdr:colOff>
      <xdr:row>0</xdr:row>
      <xdr:rowOff>15240</xdr:rowOff>
    </xdr:from>
    <xdr:to>
      <xdr:col>16</xdr:col>
      <xdr:colOff>327660</xdr:colOff>
      <xdr:row>15</xdr:row>
      <xdr:rowOff>15240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600075</xdr:colOff>
      <xdr:row>9</xdr:row>
      <xdr:rowOff>4762</xdr:rowOff>
    </xdr:from>
    <xdr:to>
      <xdr:col>18</xdr:col>
      <xdr:colOff>238125</xdr:colOff>
      <xdr:row>22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0.24792</cdr:x>
      <cdr:y>0.19965</cdr:y>
    </cdr:from>
    <cdr:to>
      <cdr:x>0.25</cdr:x>
      <cdr:y>0.7934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61E42737-A79C-42F7-B33D-C27EB41F11F9}"/>
            </a:ext>
          </a:extLst>
        </cdr:cNvPr>
        <cdr:cNvCxnSpPr/>
      </cdr:nvCxnSpPr>
      <cdr:spPr>
        <a:xfrm xmlns:a="http://schemas.openxmlformats.org/drawingml/2006/main" flipV="1">
          <a:off x="1133475" y="547688"/>
          <a:ext cx="9525" cy="1628775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60960</xdr:colOff>
      <xdr:row>15</xdr:row>
      <xdr:rowOff>0</xdr:rowOff>
    </xdr:from>
    <xdr:to>
      <xdr:col>29</xdr:col>
      <xdr:colOff>15240</xdr:colOff>
      <xdr:row>27</xdr:row>
      <xdr:rowOff>26670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2BF18A-9438-4CD6-89E3-FABF941C34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57150</xdr:colOff>
      <xdr:row>32</xdr:row>
      <xdr:rowOff>15240</xdr:rowOff>
    </xdr:from>
    <xdr:to>
      <xdr:col>5</xdr:col>
      <xdr:colOff>64770</xdr:colOff>
      <xdr:row>41</xdr:row>
      <xdr:rowOff>3810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43F8575-B61B-48E8-807F-11BBEC0221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87630</xdr:colOff>
      <xdr:row>32</xdr:row>
      <xdr:rowOff>30480</xdr:rowOff>
    </xdr:from>
    <xdr:to>
      <xdr:col>10</xdr:col>
      <xdr:colOff>72390</xdr:colOff>
      <xdr:row>40</xdr:row>
      <xdr:rowOff>179070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5C4A931-CC79-48D0-ABEB-310EEF89BE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57150</xdr:colOff>
      <xdr:row>32</xdr:row>
      <xdr:rowOff>22860</xdr:rowOff>
    </xdr:from>
    <xdr:to>
      <xdr:col>15</xdr:col>
      <xdr:colOff>102870</xdr:colOff>
      <xdr:row>41</xdr:row>
      <xdr:rowOff>3810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0CA8B7A-4AF2-4A61-BBF0-E589C0D5DB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81915</xdr:colOff>
      <xdr:row>32</xdr:row>
      <xdr:rowOff>7620</xdr:rowOff>
    </xdr:from>
    <xdr:to>
      <xdr:col>20</xdr:col>
      <xdr:colOff>118110</xdr:colOff>
      <xdr:row>40</xdr:row>
      <xdr:rowOff>163830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B91404D-7522-44BF-AC09-CC24617F71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493395</xdr:colOff>
      <xdr:row>42</xdr:row>
      <xdr:rowOff>47625</xdr:rowOff>
    </xdr:from>
    <xdr:to>
      <xdr:col>14</xdr:col>
      <xdr:colOff>443865</xdr:colOff>
      <xdr:row>54</xdr:row>
      <xdr:rowOff>142875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7F1D119-180A-4C2B-A293-DD64E3FCC4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417195</xdr:colOff>
      <xdr:row>42</xdr:row>
      <xdr:rowOff>47625</xdr:rowOff>
    </xdr:from>
    <xdr:to>
      <xdr:col>8</xdr:col>
      <xdr:colOff>447675</xdr:colOff>
      <xdr:row>54</xdr:row>
      <xdr:rowOff>127635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D725A18-C344-4642-825C-29538F0EAE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350520</xdr:colOff>
      <xdr:row>1</xdr:row>
      <xdr:rowOff>3810</xdr:rowOff>
    </xdr:from>
    <xdr:to>
      <xdr:col>14</xdr:col>
      <xdr:colOff>45720</xdr:colOff>
      <xdr:row>16</xdr:row>
      <xdr:rowOff>3810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435751F-4EB7-4E95-AA90-087F197415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358140</xdr:colOff>
      <xdr:row>16</xdr:row>
      <xdr:rowOff>3810</xdr:rowOff>
    </xdr:from>
    <xdr:to>
      <xdr:col>14</xdr:col>
      <xdr:colOff>53340</xdr:colOff>
      <xdr:row>28</xdr:row>
      <xdr:rowOff>22860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1EE5298-7F43-41A6-B505-0342F3A9A2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</xdr:row>
      <xdr:rowOff>80962</xdr:rowOff>
    </xdr:from>
    <xdr:to>
      <xdr:col>8</xdr:col>
      <xdr:colOff>304800</xdr:colOff>
      <xdr:row>32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66675</xdr:colOff>
      <xdr:row>21</xdr:row>
      <xdr:rowOff>66675</xdr:rowOff>
    </xdr:from>
    <xdr:to>
      <xdr:col>30</xdr:col>
      <xdr:colOff>0</xdr:colOff>
      <xdr:row>35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28575</xdr:colOff>
      <xdr:row>18</xdr:row>
      <xdr:rowOff>76200</xdr:rowOff>
    </xdr:from>
    <xdr:to>
      <xdr:col>24</xdr:col>
      <xdr:colOff>95250</xdr:colOff>
      <xdr:row>32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295275</xdr:colOff>
      <xdr:row>18</xdr:row>
      <xdr:rowOff>76200</xdr:rowOff>
    </xdr:from>
    <xdr:to>
      <xdr:col>17</xdr:col>
      <xdr:colOff>600075</xdr:colOff>
      <xdr:row>32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4762</xdr:colOff>
      <xdr:row>32</xdr:row>
      <xdr:rowOff>119062</xdr:rowOff>
    </xdr:from>
    <xdr:to>
      <xdr:col>8</xdr:col>
      <xdr:colOff>285750</xdr:colOff>
      <xdr:row>42</xdr:row>
      <xdr:rowOff>47625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16</xdr:row>
      <xdr:rowOff>23812</xdr:rowOff>
    </xdr:from>
    <xdr:to>
      <xdr:col>8</xdr:col>
      <xdr:colOff>476250</xdr:colOff>
      <xdr:row>29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200025</xdr:colOff>
      <xdr:row>16</xdr:row>
      <xdr:rowOff>23812</xdr:rowOff>
    </xdr:from>
    <xdr:to>
      <xdr:col>24</xdr:col>
      <xdr:colOff>361950</xdr:colOff>
      <xdr:row>28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490537</xdr:colOff>
      <xdr:row>28</xdr:row>
      <xdr:rowOff>147637</xdr:rowOff>
    </xdr:from>
    <xdr:to>
      <xdr:col>17</xdr:col>
      <xdr:colOff>185737</xdr:colOff>
      <xdr:row>39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171450</xdr:colOff>
      <xdr:row>28</xdr:row>
      <xdr:rowOff>166686</xdr:rowOff>
    </xdr:from>
    <xdr:to>
      <xdr:col>8</xdr:col>
      <xdr:colOff>476250</xdr:colOff>
      <xdr:row>39</xdr:row>
      <xdr:rowOff>171449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495300</xdr:colOff>
      <xdr:row>16</xdr:row>
      <xdr:rowOff>23813</xdr:rowOff>
    </xdr:from>
    <xdr:to>
      <xdr:col>17</xdr:col>
      <xdr:colOff>190500</xdr:colOff>
      <xdr:row>28</xdr:row>
      <xdr:rowOff>161925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200025</xdr:colOff>
      <xdr:row>28</xdr:row>
      <xdr:rowOff>176212</xdr:rowOff>
    </xdr:from>
    <xdr:to>
      <xdr:col>24</xdr:col>
      <xdr:colOff>361950</xdr:colOff>
      <xdr:row>39</xdr:row>
      <xdr:rowOff>171450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600075</xdr:colOff>
      <xdr:row>19</xdr:row>
      <xdr:rowOff>166687</xdr:rowOff>
    </xdr:from>
    <xdr:to>
      <xdr:col>19</xdr:col>
      <xdr:colOff>0</xdr:colOff>
      <xdr:row>33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33337</xdr:colOff>
      <xdr:row>19</xdr:row>
      <xdr:rowOff>176212</xdr:rowOff>
    </xdr:from>
    <xdr:to>
      <xdr:col>6</xdr:col>
      <xdr:colOff>0</xdr:colOff>
      <xdr:row>33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785812</xdr:colOff>
      <xdr:row>19</xdr:row>
      <xdr:rowOff>166687</xdr:rowOff>
    </xdr:from>
    <xdr:to>
      <xdr:col>12</xdr:col>
      <xdr:colOff>0</xdr:colOff>
      <xdr:row>33</xdr:row>
      <xdr:rowOff>28575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236220</xdr:colOff>
      <xdr:row>9</xdr:row>
      <xdr:rowOff>110490</xdr:rowOff>
    </xdr:from>
    <xdr:to>
      <xdr:col>10</xdr:col>
      <xdr:colOff>480060</xdr:colOff>
      <xdr:row>24</xdr:row>
      <xdr:rowOff>110490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59505C-5B1D-4122-86E8-A1DB287934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15240</xdr:colOff>
      <xdr:row>15</xdr:row>
      <xdr:rowOff>163830</xdr:rowOff>
    </xdr:from>
    <xdr:to>
      <xdr:col>3</xdr:col>
      <xdr:colOff>533400</xdr:colOff>
      <xdr:row>26</xdr:row>
      <xdr:rowOff>68580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B760D11-0F36-4BEC-99F1-506BEF69A4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3</xdr:row>
      <xdr:rowOff>11430</xdr:rowOff>
    </xdr:from>
    <xdr:to>
      <xdr:col>10</xdr:col>
      <xdr:colOff>190500</xdr:colOff>
      <xdr:row>18</xdr:row>
      <xdr:rowOff>11430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37A91D0-6BE1-4FC1-8CD2-DF201D77B0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133350</xdr:colOff>
      <xdr:row>3</xdr:row>
      <xdr:rowOff>66675</xdr:rowOff>
    </xdr:from>
    <xdr:to>
      <xdr:col>10</xdr:col>
      <xdr:colOff>438150</xdr:colOff>
      <xdr:row>17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247650</xdr:colOff>
      <xdr:row>3</xdr:row>
      <xdr:rowOff>42862</xdr:rowOff>
    </xdr:from>
    <xdr:to>
      <xdr:col>20</xdr:col>
      <xdr:colOff>552450</xdr:colOff>
      <xdr:row>17</xdr:row>
      <xdr:rowOff>119062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558165</xdr:colOff>
      <xdr:row>10</xdr:row>
      <xdr:rowOff>33337</xdr:rowOff>
    </xdr:from>
    <xdr:to>
      <xdr:col>25</xdr:col>
      <xdr:colOff>502920</xdr:colOff>
      <xdr:row>25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0.41042</cdr:x>
      <cdr:y>0.28125</cdr:y>
    </cdr:from>
    <cdr:to>
      <cdr:x>0.4125</cdr:x>
      <cdr:y>0.79167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7A65C829-F914-4D43-B112-82634FAF33B1}"/>
            </a:ext>
          </a:extLst>
        </cdr:cNvPr>
        <cdr:cNvCxnSpPr/>
      </cdr:nvCxnSpPr>
      <cdr:spPr>
        <a:xfrm xmlns:a="http://schemas.openxmlformats.org/drawingml/2006/main" flipH="1" flipV="1">
          <a:off x="1876425" y="771525"/>
          <a:ext cx="9525" cy="1400175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0.52083</cdr:x>
      <cdr:y>0.27778</cdr:y>
    </cdr:from>
    <cdr:to>
      <cdr:x>0.52152</cdr:x>
      <cdr:y>0.79456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BC4B009D-1BB6-4F87-8A9E-4ED779AD6E3E}"/>
            </a:ext>
          </a:extLst>
        </cdr:cNvPr>
        <cdr:cNvCxnSpPr/>
      </cdr:nvCxnSpPr>
      <cdr:spPr>
        <a:xfrm xmlns:a="http://schemas.openxmlformats.org/drawingml/2006/main" flipH="1" flipV="1">
          <a:off x="2381250" y="762001"/>
          <a:ext cx="3160" cy="1417646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persons/person.xml><?xml version="1.0" encoding="utf-8"?>
<personList xmlns="http://schemas.microsoft.com/office/spreadsheetml/2018/threadedcomments" xmlns:x="http://schemas.openxmlformats.org/spreadsheetml/2006/main">
  <person displayName="Gustafson, Eric -FS" id="{61137D4D-7D46-4519-97E1-3C08264A79EE}" userId="S::eric.gustafson@usda.gov::4d9d2eb0-e2ec-42a1-80a3-1a9e4ccec451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" dT="2022-09-12T16:03:00.68" personId="{61137D4D-7D46-4519-97E1-3C08264A79EE}" id="{AF8C6896-43FE-444E-99A5-C137D2C64D8A}">
    <text>CO2 concentration INSIDE leaves</text>
  </threadedComment>
  <threadedComment ref="K1" dT="2022-09-12T15:54:00.75" personId="{61137D4D-7D46-4519-97E1-3C08264A79EE}" id="{4593498B-297A-4FB9-98BE-B1F76BDCCB0B}">
    <text>This is a placeholder held over from previous versions of PnET-Succession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W4" dT="2021-05-07T12:30:38.86" personId="{61137D4D-7D46-4519-97E1-3C08264A79EE}" id="{19269EC9-95C4-4749-9F22-F728D1E0E5AD}">
    <text>FrActWd=0.00004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2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14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17.xml"/><Relationship Id="rId4" Type="http://schemas.microsoft.com/office/2017/10/relationships/threadedComment" Target="../threadedComments/threadedComment2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@ref" TargetMode="External"/><Relationship Id="rId6" Type="http://schemas.microsoft.com/office/2017/10/relationships/threadedComment" Target="../threadedComments/threadedComment1.xm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hyperlink" Target="mailto:fwater@ph=0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J9"/>
  <sheetViews>
    <sheetView workbookViewId="0">
      <selection activeCell="A2" sqref="A2"/>
    </sheetView>
  </sheetViews>
  <sheetFormatPr defaultRowHeight="14.4"/>
  <sheetData>
    <row r="1" spans="1:10">
      <c r="A1" t="s">
        <v>8</v>
      </c>
      <c r="B1" t="s">
        <v>186</v>
      </c>
      <c r="C1" s="7" t="s">
        <v>187</v>
      </c>
      <c r="D1" s="10" t="s">
        <v>85</v>
      </c>
      <c r="E1" s="10">
        <v>-46</v>
      </c>
      <c r="F1" s="10">
        <v>5.3</v>
      </c>
      <c r="H1" s="8" t="s">
        <v>53</v>
      </c>
      <c r="I1" s="8"/>
      <c r="J1" s="8"/>
    </row>
    <row r="2" spans="1:10">
      <c r="A2">
        <v>0</v>
      </c>
      <c r="B2" s="7">
        <f>A2*$E$2+$E$1</f>
        <v>-46</v>
      </c>
      <c r="C2" s="7">
        <f>A2*$F$2+$F$1</f>
        <v>5.3</v>
      </c>
      <c r="D2" s="10" t="s">
        <v>86</v>
      </c>
      <c r="E2" s="10">
        <v>71.900000000000006</v>
      </c>
      <c r="F2" s="10">
        <v>21.5</v>
      </c>
      <c r="H2" s="10" t="s">
        <v>201</v>
      </c>
      <c r="I2" s="10"/>
      <c r="J2" s="10"/>
    </row>
    <row r="3" spans="1:10">
      <c r="A3">
        <v>0.5</v>
      </c>
      <c r="B3" s="7">
        <f t="shared" ref="B3:B9" si="0">A3*$E$2+$E$1</f>
        <v>-10.049999999999997</v>
      </c>
      <c r="C3" s="7">
        <f t="shared" ref="C3:C9" si="1">A3*$F$2+$F$1</f>
        <v>16.05</v>
      </c>
      <c r="E3" t="s">
        <v>133</v>
      </c>
      <c r="F3" t="s">
        <v>134</v>
      </c>
    </row>
    <row r="4" spans="1:10">
      <c r="A4">
        <v>1</v>
      </c>
      <c r="B4" s="7">
        <f t="shared" si="0"/>
        <v>25.900000000000006</v>
      </c>
      <c r="C4" s="7">
        <f t="shared" si="1"/>
        <v>26.8</v>
      </c>
      <c r="D4" s="8" t="s">
        <v>85</v>
      </c>
      <c r="E4" s="8">
        <v>-46</v>
      </c>
      <c r="F4" s="8">
        <v>5.3</v>
      </c>
      <c r="G4" s="7" t="s">
        <v>157</v>
      </c>
    </row>
    <row r="5" spans="1:10">
      <c r="A5">
        <v>1.5</v>
      </c>
      <c r="B5" s="7">
        <f t="shared" si="0"/>
        <v>61.850000000000009</v>
      </c>
      <c r="C5" s="7">
        <f t="shared" si="1"/>
        <v>37.549999999999997</v>
      </c>
      <c r="D5" s="8" t="s">
        <v>86</v>
      </c>
      <c r="E5" s="8">
        <v>71.900000000000006</v>
      </c>
      <c r="F5" s="8">
        <v>21.5</v>
      </c>
      <c r="G5" s="7"/>
    </row>
    <row r="6" spans="1:10">
      <c r="A6">
        <v>2</v>
      </c>
      <c r="B6" s="7">
        <f t="shared" si="0"/>
        <v>97.800000000000011</v>
      </c>
      <c r="C6" s="7">
        <f t="shared" si="1"/>
        <v>48.3</v>
      </c>
    </row>
    <row r="7" spans="1:10">
      <c r="A7">
        <v>2.5</v>
      </c>
      <c r="B7" s="7">
        <f t="shared" si="0"/>
        <v>133.75</v>
      </c>
      <c r="C7" s="7">
        <f t="shared" si="1"/>
        <v>59.05</v>
      </c>
    </row>
    <row r="8" spans="1:10">
      <c r="A8">
        <v>3</v>
      </c>
      <c r="B8" s="7">
        <f t="shared" si="0"/>
        <v>169.70000000000002</v>
      </c>
      <c r="C8" s="7">
        <f t="shared" si="1"/>
        <v>69.8</v>
      </c>
    </row>
    <row r="9" spans="1:10">
      <c r="A9">
        <v>3.5</v>
      </c>
      <c r="B9" s="7">
        <f t="shared" si="0"/>
        <v>205.65000000000003</v>
      </c>
      <c r="C9" s="7">
        <f t="shared" si="1"/>
        <v>80.55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3"/>
  <dimension ref="A1:S25"/>
  <sheetViews>
    <sheetView workbookViewId="0">
      <selection activeCell="M5" sqref="M5"/>
    </sheetView>
  </sheetViews>
  <sheetFormatPr defaultColWidth="9.109375" defaultRowHeight="14.4"/>
  <cols>
    <col min="1" max="1" width="9.109375" style="7"/>
    <col min="2" max="2" width="9.109375" style="7" customWidth="1"/>
    <col min="3" max="4" width="9.109375" style="7" hidden="1" customWidth="1"/>
    <col min="5" max="11" width="9.109375" style="7"/>
    <col min="12" max="12" width="16" style="7" customWidth="1"/>
    <col min="13" max="16" width="9.109375" style="7"/>
    <col min="17" max="17" width="12" style="7" bestFit="1" customWidth="1"/>
    <col min="18" max="16384" width="9.109375" style="7"/>
  </cols>
  <sheetData>
    <row r="1" spans="1:19">
      <c r="A1" s="7" t="s">
        <v>129</v>
      </c>
      <c r="B1" s="7" t="s">
        <v>129</v>
      </c>
      <c r="C1" s="7" t="s">
        <v>67</v>
      </c>
      <c r="D1" s="7" t="s">
        <v>156</v>
      </c>
      <c r="E1" s="7" t="s">
        <v>68</v>
      </c>
      <c r="F1" s="7" t="s">
        <v>68</v>
      </c>
      <c r="G1" s="7" t="s">
        <v>68</v>
      </c>
      <c r="H1" s="7" t="s">
        <v>67</v>
      </c>
      <c r="I1" s="7" t="s">
        <v>68</v>
      </c>
      <c r="J1" s="7" t="s">
        <v>166</v>
      </c>
      <c r="O1" s="15" t="s">
        <v>196</v>
      </c>
      <c r="P1" s="15"/>
      <c r="Q1" s="15"/>
      <c r="R1" s="15"/>
    </row>
    <row r="2" spans="1:19">
      <c r="A2" s="21" t="s">
        <v>55</v>
      </c>
      <c r="B2" s="21" t="s">
        <v>54</v>
      </c>
      <c r="C2" s="21" t="s">
        <v>66</v>
      </c>
      <c r="D2" s="21" t="s">
        <v>128</v>
      </c>
      <c r="E2" s="21" t="s">
        <v>55</v>
      </c>
      <c r="F2" s="21" t="s">
        <v>54</v>
      </c>
      <c r="G2" s="21" t="s">
        <v>66</v>
      </c>
      <c r="H2" s="21" t="s">
        <v>66</v>
      </c>
      <c r="I2" s="21" t="s">
        <v>128</v>
      </c>
      <c r="J2" s="21" t="s">
        <v>128</v>
      </c>
      <c r="K2" s="6" t="s">
        <v>253</v>
      </c>
      <c r="M2" s="7" t="s">
        <v>183</v>
      </c>
      <c r="O2" s="15" t="s">
        <v>55</v>
      </c>
      <c r="P2" s="15" t="s">
        <v>54</v>
      </c>
      <c r="Q2" s="15" t="s">
        <v>128</v>
      </c>
      <c r="R2" s="15" t="s">
        <v>169</v>
      </c>
    </row>
    <row r="3" spans="1:19">
      <c r="A3" s="7">
        <v>0</v>
      </c>
      <c r="B3" s="7">
        <f>A3</f>
        <v>0</v>
      </c>
      <c r="C3" s="7">
        <f t="shared" ref="C3:C13" si="0">1 - (A3* B3)</f>
        <v>1</v>
      </c>
      <c r="D3" s="7">
        <f t="shared" ref="D3:D24" si="1">1-(C3^$M$8)</f>
        <v>0</v>
      </c>
      <c r="E3" s="7">
        <f>MIN(1,(A3^2)*(1/($M$4^2)))</f>
        <v>0</v>
      </c>
      <c r="F3" s="21">
        <f t="shared" ref="F3:F13" si="2">MIN(1,(B3^2)*(1/($M$5^2)))</f>
        <v>0</v>
      </c>
      <c r="G3" s="7">
        <f>1 - (E3* F3)</f>
        <v>1</v>
      </c>
      <c r="H3" s="7">
        <f>1 - ((A3^$M$10)* (B3^$M$11))</f>
        <v>1</v>
      </c>
      <c r="I3" s="7">
        <f t="shared" ref="I3:I24" si="3">(1-((G3)^$M$8))*$M$6</f>
        <v>0</v>
      </c>
      <c r="J3" s="7">
        <f t="shared" ref="J3:J24" si="4">1-(H3^$M$8)</f>
        <v>0</v>
      </c>
      <c r="K3" s="7">
        <f>MIN((B3+(1-$M$5)),1)</f>
        <v>0.19999999999999996</v>
      </c>
      <c r="L3" s="10" t="s">
        <v>131</v>
      </c>
      <c r="M3" s="10"/>
      <c r="N3" s="7" t="s">
        <v>173</v>
      </c>
      <c r="O3" s="15">
        <v>0.9</v>
      </c>
      <c r="P3" s="15">
        <v>0.4</v>
      </c>
      <c r="Q3" s="8">
        <f>1-((1 - ((MIN(1,(O3^2)*(1/($M$4^2))))* (MIN(1,(P3^2)*(1/($M$5^2))))*$M$6))^$M$8)</f>
        <v>0.67740809984384764</v>
      </c>
      <c r="R3" s="8">
        <f>1-((1 - ((O3^$M$10)* (P3^$M$11)))^$M$8)</f>
        <v>0.33285570895256</v>
      </c>
      <c r="S3" s="7" t="s">
        <v>172</v>
      </c>
    </row>
    <row r="4" spans="1:19">
      <c r="A4" s="7">
        <v>0.1</v>
      </c>
      <c r="B4" s="7">
        <f t="shared" ref="B4:B13" si="5">A4</f>
        <v>0.1</v>
      </c>
      <c r="C4" s="7">
        <f t="shared" si="0"/>
        <v>0.99</v>
      </c>
      <c r="D4" s="7">
        <f t="shared" si="1"/>
        <v>4.9009950100000088E-2</v>
      </c>
      <c r="E4" s="7">
        <f>MIN(1,(A4^2)*(1/($M$4^2)))</f>
        <v>1.0000000000000002E-2</v>
      </c>
      <c r="F4" s="21">
        <f t="shared" si="2"/>
        <v>1.5625E-2</v>
      </c>
      <c r="G4" s="7">
        <f t="shared" ref="G4:G24" si="6">1 - (E4* F4)</f>
        <v>0.99984375000000003</v>
      </c>
      <c r="H4" s="7">
        <f t="shared" ref="H4:H13" si="7">1 - ((A4^$M$10)* (B4^$M$11))</f>
        <v>0.99999000000000005</v>
      </c>
      <c r="I4" s="7">
        <f t="shared" si="3"/>
        <v>7.8100589751872729E-4</v>
      </c>
      <c r="J4" s="7">
        <f t="shared" si="4"/>
        <v>4.9999000009681716E-5</v>
      </c>
      <c r="K4" s="7">
        <f t="shared" ref="K4:K13" si="8">MIN((B4+(1-$M$5)),1)</f>
        <v>0.29999999999999993</v>
      </c>
      <c r="L4" s="10" t="s">
        <v>126</v>
      </c>
      <c r="M4" s="10">
        <v>1</v>
      </c>
      <c r="N4" s="7" t="s">
        <v>167</v>
      </c>
    </row>
    <row r="5" spans="1:19">
      <c r="A5" s="7">
        <v>0.2</v>
      </c>
      <c r="B5" s="7">
        <f t="shared" si="5"/>
        <v>0.2</v>
      </c>
      <c r="C5" s="7">
        <f t="shared" si="0"/>
        <v>0.96</v>
      </c>
      <c r="D5" s="7">
        <f t="shared" si="1"/>
        <v>0.18462730240000003</v>
      </c>
      <c r="E5" s="7">
        <f t="shared" ref="E5:E13" si="9">MIN(1,(A5^2)*(1/($M$4^2)))</f>
        <v>4.0000000000000008E-2</v>
      </c>
      <c r="F5" s="21">
        <f t="shared" si="2"/>
        <v>6.25E-2</v>
      </c>
      <c r="G5" s="7">
        <f t="shared" si="6"/>
        <v>0.99750000000000005</v>
      </c>
      <c r="H5" s="7">
        <f t="shared" si="7"/>
        <v>0.99968000000000001</v>
      </c>
      <c r="I5" s="7">
        <f t="shared" si="3"/>
        <v>1.2437656054784862E-2</v>
      </c>
      <c r="J5" s="7">
        <f t="shared" si="4"/>
        <v>1.5989763276273994E-3</v>
      </c>
      <c r="K5" s="7">
        <f t="shared" si="8"/>
        <v>0.39999999999999997</v>
      </c>
      <c r="L5" s="10" t="s">
        <v>127</v>
      </c>
      <c r="M5" s="10">
        <v>0.8</v>
      </c>
      <c r="N5" s="7" t="s">
        <v>191</v>
      </c>
    </row>
    <row r="6" spans="1:19">
      <c r="A6" s="7">
        <v>0.3</v>
      </c>
      <c r="B6" s="7">
        <f t="shared" si="5"/>
        <v>0.3</v>
      </c>
      <c r="C6" s="7">
        <f t="shared" si="0"/>
        <v>0.91</v>
      </c>
      <c r="D6" s="7">
        <f t="shared" si="1"/>
        <v>0.37596785489999984</v>
      </c>
      <c r="E6" s="7">
        <f t="shared" si="9"/>
        <v>0.09</v>
      </c>
      <c r="F6" s="21">
        <f t="shared" si="2"/>
        <v>0.14062499999999997</v>
      </c>
      <c r="G6" s="7">
        <f t="shared" si="6"/>
        <v>0.98734374999999996</v>
      </c>
      <c r="H6" s="7">
        <f t="shared" si="7"/>
        <v>0.99756999999999996</v>
      </c>
      <c r="I6" s="7">
        <f t="shared" si="3"/>
        <v>6.1699588260176963E-2</v>
      </c>
      <c r="J6" s="7">
        <f t="shared" si="4"/>
        <v>1.2091094314815809E-2</v>
      </c>
      <c r="K6" s="7">
        <f t="shared" si="8"/>
        <v>0.49999999999999994</v>
      </c>
      <c r="L6" s="10" t="s">
        <v>170</v>
      </c>
      <c r="M6" s="10">
        <v>1</v>
      </c>
    </row>
    <row r="7" spans="1:19">
      <c r="A7" s="7">
        <v>0.4</v>
      </c>
      <c r="B7" s="7">
        <f t="shared" si="5"/>
        <v>0.4</v>
      </c>
      <c r="C7" s="7">
        <f t="shared" si="0"/>
        <v>0.84</v>
      </c>
      <c r="D7" s="7">
        <f t="shared" si="1"/>
        <v>0.58178805760000007</v>
      </c>
      <c r="E7" s="7">
        <f t="shared" si="9"/>
        <v>0.16000000000000003</v>
      </c>
      <c r="F7" s="21">
        <f t="shared" si="2"/>
        <v>0.25</v>
      </c>
      <c r="G7" s="7">
        <f t="shared" si="6"/>
        <v>0.96</v>
      </c>
      <c r="H7" s="7">
        <f t="shared" si="7"/>
        <v>0.98975999999999997</v>
      </c>
      <c r="I7" s="7">
        <f t="shared" si="3"/>
        <v>0.18462730240000003</v>
      </c>
      <c r="J7" s="7">
        <f t="shared" si="4"/>
        <v>5.0162106555248775E-2</v>
      </c>
      <c r="K7" s="7">
        <f t="shared" si="8"/>
        <v>0.6</v>
      </c>
      <c r="L7" s="8" t="s">
        <v>203</v>
      </c>
      <c r="M7" s="8">
        <v>1</v>
      </c>
      <c r="N7" s="7" t="s">
        <v>171</v>
      </c>
    </row>
    <row r="8" spans="1:19">
      <c r="A8" s="7">
        <v>0.5</v>
      </c>
      <c r="B8" s="7">
        <f t="shared" si="5"/>
        <v>0.5</v>
      </c>
      <c r="C8" s="7">
        <f t="shared" si="0"/>
        <v>0.75</v>
      </c>
      <c r="D8" s="7">
        <f t="shared" si="1"/>
        <v>0.7626953125</v>
      </c>
      <c r="E8" s="7">
        <f t="shared" si="9"/>
        <v>0.25</v>
      </c>
      <c r="F8" s="21">
        <f t="shared" si="2"/>
        <v>0.39062499999999994</v>
      </c>
      <c r="G8" s="7">
        <f t="shared" si="6"/>
        <v>0.90234375</v>
      </c>
      <c r="H8" s="7">
        <f t="shared" si="7"/>
        <v>0.96875</v>
      </c>
      <c r="I8" s="7">
        <f t="shared" si="3"/>
        <v>0.40178117853884032</v>
      </c>
      <c r="J8" s="7">
        <f t="shared" si="4"/>
        <v>0.14678481221199036</v>
      </c>
      <c r="K8" s="7">
        <f t="shared" si="8"/>
        <v>0.7</v>
      </c>
      <c r="L8" s="10" t="s">
        <v>130</v>
      </c>
      <c r="M8" s="10">
        <v>5</v>
      </c>
    </row>
    <row r="9" spans="1:19">
      <c r="A9" s="7">
        <v>0.6</v>
      </c>
      <c r="B9" s="7">
        <f t="shared" si="5"/>
        <v>0.6</v>
      </c>
      <c r="C9" s="7">
        <f t="shared" si="0"/>
        <v>0.64</v>
      </c>
      <c r="D9" s="7">
        <f t="shared" si="1"/>
        <v>0.89262581760000004</v>
      </c>
      <c r="E9" s="7">
        <f t="shared" si="9"/>
        <v>0.36</v>
      </c>
      <c r="F9" s="21">
        <f t="shared" si="2"/>
        <v>0.56249999999999989</v>
      </c>
      <c r="G9" s="7">
        <f t="shared" si="6"/>
        <v>0.7975000000000001</v>
      </c>
      <c r="H9" s="7">
        <f t="shared" si="7"/>
        <v>0.92223999999999995</v>
      </c>
      <c r="I9" s="7">
        <f t="shared" si="3"/>
        <v>0.67740809984384742</v>
      </c>
      <c r="J9" s="7">
        <f t="shared" si="4"/>
        <v>0.33285570895256</v>
      </c>
      <c r="K9" s="7">
        <f t="shared" si="8"/>
        <v>0.79999999999999993</v>
      </c>
      <c r="L9" s="8" t="s">
        <v>168</v>
      </c>
      <c r="M9" s="8"/>
    </row>
    <row r="10" spans="1:19">
      <c r="A10" s="7">
        <v>0.7</v>
      </c>
      <c r="B10" s="7">
        <f t="shared" si="5"/>
        <v>0.7</v>
      </c>
      <c r="C10" s="7">
        <f t="shared" si="0"/>
        <v>0.51</v>
      </c>
      <c r="D10" s="7">
        <f t="shared" si="1"/>
        <v>0.96549747490000004</v>
      </c>
      <c r="E10" s="7">
        <f t="shared" si="9"/>
        <v>0.48999999999999994</v>
      </c>
      <c r="F10" s="21">
        <f t="shared" si="2"/>
        <v>0.76562499999999978</v>
      </c>
      <c r="G10" s="7">
        <f t="shared" si="6"/>
        <v>0.62484375000000014</v>
      </c>
      <c r="H10" s="7">
        <f t="shared" si="7"/>
        <v>0.83193000000000006</v>
      </c>
      <c r="I10" s="7">
        <f t="shared" si="3"/>
        <v>0.9047517180591802</v>
      </c>
      <c r="J10" s="7">
        <f t="shared" si="4"/>
        <v>0.60149485964651572</v>
      </c>
      <c r="K10" s="7">
        <f t="shared" si="8"/>
        <v>0.89999999999999991</v>
      </c>
      <c r="L10" s="8" t="s">
        <v>126</v>
      </c>
      <c r="M10" s="8">
        <v>2.5</v>
      </c>
    </row>
    <row r="11" spans="1:19">
      <c r="A11" s="7">
        <v>0.8</v>
      </c>
      <c r="B11" s="7">
        <f t="shared" si="5"/>
        <v>0.8</v>
      </c>
      <c r="C11" s="7">
        <f t="shared" si="0"/>
        <v>0.35999999999999988</v>
      </c>
      <c r="D11" s="7">
        <f t="shared" si="1"/>
        <v>0.99395338239999997</v>
      </c>
      <c r="E11" s="7">
        <f t="shared" si="9"/>
        <v>0.64000000000000012</v>
      </c>
      <c r="F11" s="21">
        <f t="shared" si="2"/>
        <v>1</v>
      </c>
      <c r="G11" s="7">
        <f t="shared" si="6"/>
        <v>0.35999999999999988</v>
      </c>
      <c r="H11" s="7">
        <f t="shared" si="7"/>
        <v>0.67232000000000003</v>
      </c>
      <c r="I11" s="7">
        <f t="shared" si="3"/>
        <v>0.99395338239999997</v>
      </c>
      <c r="J11" s="7">
        <f t="shared" si="4"/>
        <v>0.86263371484427331</v>
      </c>
      <c r="K11" s="7">
        <f t="shared" si="8"/>
        <v>1</v>
      </c>
      <c r="L11" s="8" t="s">
        <v>127</v>
      </c>
      <c r="M11" s="8">
        <v>2.5</v>
      </c>
    </row>
    <row r="12" spans="1:19">
      <c r="A12" s="7">
        <v>0.9</v>
      </c>
      <c r="B12" s="7">
        <f t="shared" si="5"/>
        <v>0.9</v>
      </c>
      <c r="C12" s="7">
        <f t="shared" si="0"/>
        <v>0.18999999999999995</v>
      </c>
      <c r="D12" s="7">
        <f t="shared" si="1"/>
        <v>0.99975239010000005</v>
      </c>
      <c r="E12" s="7">
        <f t="shared" si="9"/>
        <v>0.81</v>
      </c>
      <c r="F12" s="21">
        <f t="shared" si="2"/>
        <v>1</v>
      </c>
      <c r="G12" s="7">
        <f t="shared" si="6"/>
        <v>0.18999999999999995</v>
      </c>
      <c r="H12" s="7">
        <f t="shared" si="7"/>
        <v>0.40950999999999993</v>
      </c>
      <c r="I12" s="7">
        <f t="shared" si="3"/>
        <v>0.99975239010000005</v>
      </c>
      <c r="J12" s="7">
        <f t="shared" si="4"/>
        <v>0.98848344576282887</v>
      </c>
      <c r="K12" s="7">
        <f t="shared" si="8"/>
        <v>1</v>
      </c>
    </row>
    <row r="13" spans="1:19">
      <c r="A13" s="21">
        <v>1</v>
      </c>
      <c r="B13" s="21">
        <f t="shared" si="5"/>
        <v>1</v>
      </c>
      <c r="C13" s="21">
        <f t="shared" si="0"/>
        <v>0</v>
      </c>
      <c r="D13" s="21">
        <f t="shared" si="1"/>
        <v>1</v>
      </c>
      <c r="E13" s="21">
        <f t="shared" si="9"/>
        <v>1</v>
      </c>
      <c r="F13" s="21">
        <f t="shared" si="2"/>
        <v>1</v>
      </c>
      <c r="G13" s="21">
        <f t="shared" si="6"/>
        <v>0</v>
      </c>
      <c r="H13" s="21">
        <f t="shared" si="7"/>
        <v>0</v>
      </c>
      <c r="I13" s="21">
        <f t="shared" si="3"/>
        <v>1</v>
      </c>
      <c r="J13" s="21">
        <f t="shared" si="4"/>
        <v>1</v>
      </c>
      <c r="K13" s="7">
        <f t="shared" si="8"/>
        <v>1</v>
      </c>
      <c r="L13" s="8" t="s">
        <v>53</v>
      </c>
      <c r="M13" s="8"/>
      <c r="N13" s="8"/>
    </row>
    <row r="14" spans="1:19">
      <c r="A14" s="7">
        <v>1</v>
      </c>
      <c r="B14" s="7">
        <v>0</v>
      </c>
      <c r="C14" s="7">
        <f t="shared" ref="C14:C24" si="10">1 - (A14* B14)</f>
        <v>1</v>
      </c>
      <c r="D14" s="7">
        <f t="shared" si="1"/>
        <v>0</v>
      </c>
      <c r="E14" s="7">
        <f>MIN(1,(A14^2)*(1/($M$4^2)))</f>
        <v>1</v>
      </c>
      <c r="F14" s="7">
        <f>MIN(1,(B14^2)*(1/($M$5^2)))</f>
        <v>0</v>
      </c>
      <c r="G14" s="7">
        <f t="shared" si="6"/>
        <v>1</v>
      </c>
      <c r="H14" s="7">
        <f>1 - ((A14^$M$10)* (B14^$M$11))</f>
        <v>1</v>
      </c>
      <c r="I14" s="7">
        <f t="shared" si="3"/>
        <v>0</v>
      </c>
      <c r="J14" s="7">
        <f t="shared" si="4"/>
        <v>0</v>
      </c>
      <c r="L14" s="10" t="s">
        <v>201</v>
      </c>
      <c r="M14" s="10"/>
      <c r="N14" s="10"/>
    </row>
    <row r="15" spans="1:19">
      <c r="A15" s="7">
        <v>1</v>
      </c>
      <c r="B15" s="7">
        <v>0.1</v>
      </c>
      <c r="C15" s="7">
        <f t="shared" si="10"/>
        <v>0.9</v>
      </c>
      <c r="D15" s="7">
        <f t="shared" si="1"/>
        <v>0.40950999999999982</v>
      </c>
      <c r="E15" s="7">
        <f>MIN(1,(A15^2)*(1/($M$4^2)))</f>
        <v>1</v>
      </c>
      <c r="F15" s="7">
        <f t="shared" ref="F15:F24" si="11">MIN(1,(B15^2)*(1/($M$5^2)))</f>
        <v>1.5625E-2</v>
      </c>
      <c r="G15" s="7">
        <f t="shared" si="6"/>
        <v>0.984375</v>
      </c>
      <c r="H15" s="7">
        <f t="shared" ref="H15:H24" si="12">1 - ((A15^$M$10)* (B15^$M$11))</f>
        <v>0.99683772233983159</v>
      </c>
      <c r="I15" s="7">
        <f t="shared" si="3"/>
        <v>7.5721443630754948E-2</v>
      </c>
      <c r="J15" s="7">
        <f t="shared" si="4"/>
        <v>1.5711704028924411E-2</v>
      </c>
    </row>
    <row r="16" spans="1:19">
      <c r="A16" s="7">
        <v>1</v>
      </c>
      <c r="B16" s="7">
        <v>0.2</v>
      </c>
      <c r="C16" s="7">
        <f t="shared" si="10"/>
        <v>0.8</v>
      </c>
      <c r="D16" s="7">
        <f t="shared" si="1"/>
        <v>0.67231999999999981</v>
      </c>
      <c r="E16" s="7">
        <f t="shared" ref="E16:E24" si="13">MIN(1,(A16^2)*(1/($M$4^2)))</f>
        <v>1</v>
      </c>
      <c r="F16" s="7">
        <f t="shared" si="11"/>
        <v>6.25E-2</v>
      </c>
      <c r="G16" s="7">
        <f t="shared" si="6"/>
        <v>0.9375</v>
      </c>
      <c r="H16" s="7">
        <f t="shared" si="12"/>
        <v>0.98211145618000173</v>
      </c>
      <c r="I16" s="7">
        <f t="shared" si="3"/>
        <v>0.27580356597900391</v>
      </c>
      <c r="J16" s="7">
        <f t="shared" si="4"/>
        <v>8.6299452272002308E-2</v>
      </c>
    </row>
    <row r="17" spans="1:16">
      <c r="A17" s="7">
        <v>1</v>
      </c>
      <c r="B17" s="7">
        <v>0.3</v>
      </c>
      <c r="C17" s="7">
        <f t="shared" si="10"/>
        <v>0.7</v>
      </c>
      <c r="D17" s="7">
        <f t="shared" si="1"/>
        <v>0.83193000000000006</v>
      </c>
      <c r="E17" s="7">
        <f t="shared" si="13"/>
        <v>1</v>
      </c>
      <c r="F17" s="7">
        <f t="shared" si="11"/>
        <v>0.14062499999999997</v>
      </c>
      <c r="G17" s="7">
        <f t="shared" si="6"/>
        <v>0.859375</v>
      </c>
      <c r="H17" s="7">
        <f t="shared" si="12"/>
        <v>0.95070496982453512</v>
      </c>
      <c r="I17" s="7">
        <f t="shared" si="3"/>
        <v>0.53127990011125803</v>
      </c>
      <c r="J17" s="7">
        <f t="shared" si="4"/>
        <v>0.22334378669281185</v>
      </c>
    </row>
    <row r="18" spans="1:16">
      <c r="A18" s="7">
        <v>1</v>
      </c>
      <c r="B18" s="7">
        <v>0.4</v>
      </c>
      <c r="C18" s="7">
        <f t="shared" si="10"/>
        <v>0.6</v>
      </c>
      <c r="D18" s="7">
        <f t="shared" si="1"/>
        <v>0.92223999999999995</v>
      </c>
      <c r="E18" s="7">
        <f t="shared" si="13"/>
        <v>1</v>
      </c>
      <c r="F18" s="7">
        <f t="shared" si="11"/>
        <v>0.25</v>
      </c>
      <c r="G18" s="7">
        <f t="shared" si="6"/>
        <v>0.75</v>
      </c>
      <c r="H18" s="7">
        <f t="shared" si="12"/>
        <v>0.89880711487461185</v>
      </c>
      <c r="I18" s="7">
        <f t="shared" si="3"/>
        <v>0.7626953125</v>
      </c>
      <c r="J18" s="7">
        <f t="shared" si="4"/>
        <v>0.41341289990685182</v>
      </c>
    </row>
    <row r="19" spans="1:16">
      <c r="A19" s="7">
        <v>1</v>
      </c>
      <c r="B19" s="7">
        <v>0.5</v>
      </c>
      <c r="C19" s="7">
        <f t="shared" si="10"/>
        <v>0.5</v>
      </c>
      <c r="D19" s="7">
        <f t="shared" si="1"/>
        <v>0.96875</v>
      </c>
      <c r="E19" s="7">
        <f t="shared" si="13"/>
        <v>1</v>
      </c>
      <c r="F19" s="7">
        <f t="shared" si="11"/>
        <v>0.39062499999999994</v>
      </c>
      <c r="G19" s="7">
        <f t="shared" si="6"/>
        <v>0.609375</v>
      </c>
      <c r="H19" s="7">
        <f t="shared" si="12"/>
        <v>0.82322330470336313</v>
      </c>
      <c r="I19" s="7">
        <f t="shared" si="3"/>
        <v>0.91597216669470072</v>
      </c>
      <c r="J19" s="7">
        <f t="shared" si="4"/>
        <v>0.62191601475488401</v>
      </c>
    </row>
    <row r="20" spans="1:16">
      <c r="A20" s="7">
        <v>1</v>
      </c>
      <c r="B20" s="7">
        <v>0.6</v>
      </c>
      <c r="C20" s="7">
        <f t="shared" si="10"/>
        <v>0.4</v>
      </c>
      <c r="D20" s="7">
        <f t="shared" si="1"/>
        <v>0.98975999999999997</v>
      </c>
      <c r="E20" s="7">
        <f t="shared" si="13"/>
        <v>1</v>
      </c>
      <c r="F20" s="7">
        <f t="shared" si="11"/>
        <v>0.56249999999999989</v>
      </c>
      <c r="G20" s="7">
        <f t="shared" si="6"/>
        <v>0.43750000000000011</v>
      </c>
      <c r="H20" s="7">
        <f t="shared" si="12"/>
        <v>0.72114519907306596</v>
      </c>
      <c r="I20" s="7">
        <f t="shared" si="3"/>
        <v>0.98397159576416016</v>
      </c>
      <c r="J20" s="7">
        <f t="shared" si="4"/>
        <v>0.80496453818258329</v>
      </c>
    </row>
    <row r="21" spans="1:16">
      <c r="A21" s="7">
        <v>1</v>
      </c>
      <c r="B21" s="7">
        <v>0.7</v>
      </c>
      <c r="C21" s="7">
        <f t="shared" si="10"/>
        <v>0.30000000000000004</v>
      </c>
      <c r="D21" s="7">
        <f t="shared" si="1"/>
        <v>0.99756999999999996</v>
      </c>
      <c r="E21" s="7">
        <f t="shared" si="13"/>
        <v>1</v>
      </c>
      <c r="F21" s="7">
        <f t="shared" si="11"/>
        <v>0.76562499999999978</v>
      </c>
      <c r="G21" s="7">
        <f t="shared" si="6"/>
        <v>0.23437500000000022</v>
      </c>
      <c r="H21" s="7">
        <f t="shared" si="12"/>
        <v>0.59003658699830308</v>
      </c>
      <c r="I21" s="7">
        <f t="shared" si="3"/>
        <v>0.99929277691990137</v>
      </c>
      <c r="J21" s="7">
        <f t="shared" si="4"/>
        <v>0.92848540045729167</v>
      </c>
    </row>
    <row r="22" spans="1:16">
      <c r="A22" s="7">
        <v>1</v>
      </c>
      <c r="B22" s="7">
        <v>0.8</v>
      </c>
      <c r="C22" s="7">
        <f t="shared" si="10"/>
        <v>0.19999999999999996</v>
      </c>
      <c r="D22" s="7">
        <f t="shared" si="1"/>
        <v>0.99968000000000001</v>
      </c>
      <c r="E22" s="7">
        <f t="shared" si="13"/>
        <v>1</v>
      </c>
      <c r="F22" s="7">
        <f t="shared" si="11"/>
        <v>1</v>
      </c>
      <c r="G22" s="7">
        <f t="shared" si="6"/>
        <v>0</v>
      </c>
      <c r="H22" s="7">
        <f t="shared" si="12"/>
        <v>0.42756659776005379</v>
      </c>
      <c r="I22" s="7">
        <f t="shared" si="3"/>
        <v>1</v>
      </c>
      <c r="J22" s="7">
        <f t="shared" si="4"/>
        <v>0.98571044020355092</v>
      </c>
    </row>
    <row r="23" spans="1:16">
      <c r="A23" s="7">
        <v>1</v>
      </c>
      <c r="B23" s="7">
        <v>0.9</v>
      </c>
      <c r="C23" s="7">
        <f t="shared" si="10"/>
        <v>9.9999999999999978E-2</v>
      </c>
      <c r="D23" s="7">
        <f t="shared" si="1"/>
        <v>0.99999000000000005</v>
      </c>
      <c r="E23" s="7">
        <f t="shared" si="13"/>
        <v>1</v>
      </c>
      <c r="F23" s="7">
        <f t="shared" si="11"/>
        <v>1</v>
      </c>
      <c r="G23" s="7">
        <f t="shared" si="6"/>
        <v>0</v>
      </c>
      <c r="H23" s="7">
        <f t="shared" si="12"/>
        <v>0.23156652857908377</v>
      </c>
      <c r="I23" s="7">
        <f t="shared" si="3"/>
        <v>1</v>
      </c>
      <c r="J23" s="7">
        <f t="shared" si="4"/>
        <v>0.99933414613362181</v>
      </c>
      <c r="L23" s="2" t="s">
        <v>192</v>
      </c>
      <c r="M23" s="2"/>
      <c r="N23" s="2"/>
      <c r="O23" s="2"/>
      <c r="P23" s="2"/>
    </row>
    <row r="24" spans="1:16">
      <c r="A24" s="21">
        <v>1</v>
      </c>
      <c r="B24" s="21">
        <v>1</v>
      </c>
      <c r="C24" s="21">
        <f t="shared" si="10"/>
        <v>0</v>
      </c>
      <c r="D24" s="21">
        <f t="shared" si="1"/>
        <v>1</v>
      </c>
      <c r="E24" s="21">
        <f t="shared" si="13"/>
        <v>1</v>
      </c>
      <c r="F24" s="21">
        <f t="shared" si="11"/>
        <v>1</v>
      </c>
      <c r="G24" s="21">
        <f t="shared" si="6"/>
        <v>0</v>
      </c>
      <c r="H24" s="21">
        <f t="shared" si="12"/>
        <v>0</v>
      </c>
      <c r="I24" s="21">
        <f t="shared" si="3"/>
        <v>1</v>
      </c>
      <c r="J24" s="21">
        <f t="shared" si="4"/>
        <v>1</v>
      </c>
      <c r="L24" s="2" t="s">
        <v>193</v>
      </c>
      <c r="M24" s="2"/>
      <c r="N24" s="2"/>
      <c r="O24" s="2"/>
      <c r="P24" s="2"/>
    </row>
    <row r="25" spans="1:16">
      <c r="L25" s="2" t="s">
        <v>268</v>
      </c>
      <c r="M25" s="2"/>
      <c r="N25" s="2"/>
      <c r="O25" s="2"/>
      <c r="P25" s="2"/>
    </row>
  </sheetData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B2B8C6-C4B4-4BDE-AF18-493D27A8BC56}">
  <dimension ref="A1:K18"/>
  <sheetViews>
    <sheetView workbookViewId="0">
      <selection activeCell="I16" sqref="I16"/>
    </sheetView>
  </sheetViews>
  <sheetFormatPr defaultRowHeight="14.4"/>
  <sheetData>
    <row r="1" spans="1:11">
      <c r="A1" t="s">
        <v>254</v>
      </c>
      <c r="B1" t="s">
        <v>264</v>
      </c>
      <c r="C1" t="s">
        <v>257</v>
      </c>
      <c r="D1" t="s">
        <v>258</v>
      </c>
      <c r="E1" t="s">
        <v>259</v>
      </c>
      <c r="F1" t="s">
        <v>260</v>
      </c>
      <c r="G1" t="s">
        <v>261</v>
      </c>
      <c r="I1" s="26" t="s">
        <v>256</v>
      </c>
      <c r="J1" s="26"/>
      <c r="K1" s="26">
        <v>30000</v>
      </c>
    </row>
    <row r="2" spans="1:11" s="7" customFormat="1">
      <c r="B2" s="8">
        <f>$K$1</f>
        <v>30000</v>
      </c>
      <c r="C2" s="8">
        <f t="shared" ref="C2:G2" si="0">$K$1</f>
        <v>30000</v>
      </c>
      <c r="D2" s="8">
        <f t="shared" si="0"/>
        <v>30000</v>
      </c>
      <c r="E2" s="8">
        <f t="shared" si="0"/>
        <v>30000</v>
      </c>
      <c r="F2" s="8">
        <f t="shared" si="0"/>
        <v>30000</v>
      </c>
      <c r="G2" s="8">
        <f t="shared" si="0"/>
        <v>30000</v>
      </c>
      <c r="H2" s="7" t="s">
        <v>262</v>
      </c>
      <c r="I2" s="26" t="s">
        <v>263</v>
      </c>
      <c r="J2" s="26"/>
      <c r="K2" s="26">
        <v>0.4</v>
      </c>
    </row>
    <row r="3" spans="1:11">
      <c r="A3">
        <v>6</v>
      </c>
      <c r="B3" s="8">
        <f>$K$1/2</f>
        <v>15000</v>
      </c>
      <c r="C3" s="8"/>
      <c r="D3" s="8"/>
      <c r="E3" s="8"/>
      <c r="F3" s="8"/>
      <c r="G3" s="8"/>
      <c r="H3" t="s">
        <v>255</v>
      </c>
      <c r="I3" s="7" t="s">
        <v>279</v>
      </c>
    </row>
    <row r="4" spans="1:11">
      <c r="A4">
        <v>5</v>
      </c>
      <c r="B4" s="8">
        <f>B3/2</f>
        <v>7500</v>
      </c>
      <c r="C4" s="8">
        <f>$K$1/2</f>
        <v>15000</v>
      </c>
      <c r="D4" s="8"/>
      <c r="E4" s="8"/>
      <c r="F4" s="8"/>
      <c r="G4" s="8"/>
      <c r="H4" s="7" t="s">
        <v>255</v>
      </c>
      <c r="I4" t="s">
        <v>281</v>
      </c>
    </row>
    <row r="5" spans="1:11">
      <c r="A5">
        <v>4</v>
      </c>
      <c r="B5" s="8">
        <f t="shared" ref="B5:B7" si="1">B4/2</f>
        <v>3750</v>
      </c>
      <c r="C5" s="8">
        <f>C4/2</f>
        <v>7500</v>
      </c>
      <c r="D5" s="8">
        <f>$K$1/2</f>
        <v>15000</v>
      </c>
      <c r="E5" s="8"/>
      <c r="F5" s="8"/>
      <c r="G5" s="8"/>
      <c r="H5" s="7" t="s">
        <v>255</v>
      </c>
    </row>
    <row r="6" spans="1:11">
      <c r="A6">
        <v>3</v>
      </c>
      <c r="B6" s="8">
        <f t="shared" si="1"/>
        <v>1875</v>
      </c>
      <c r="C6" s="8">
        <f t="shared" ref="C6:C7" si="2">C5/2</f>
        <v>3750</v>
      </c>
      <c r="D6" s="8">
        <f>D5/2</f>
        <v>7500</v>
      </c>
      <c r="E6" s="8">
        <f>$K$1/2</f>
        <v>15000</v>
      </c>
      <c r="F6" s="8"/>
      <c r="G6" s="8"/>
      <c r="H6" s="7" t="s">
        <v>255</v>
      </c>
    </row>
    <row r="7" spans="1:11">
      <c r="A7">
        <v>2</v>
      </c>
      <c r="B7" s="8">
        <f t="shared" si="1"/>
        <v>937.5</v>
      </c>
      <c r="C7" s="8">
        <f t="shared" si="2"/>
        <v>1875</v>
      </c>
      <c r="D7" s="8">
        <f t="shared" ref="D7" si="3">D6/2</f>
        <v>3750</v>
      </c>
      <c r="E7" s="8">
        <f>E6/2</f>
        <v>7500</v>
      </c>
      <c r="F7" s="8">
        <f>$K$1/2</f>
        <v>15000</v>
      </c>
      <c r="G7" s="8"/>
      <c r="H7" s="7" t="s">
        <v>255</v>
      </c>
    </row>
    <row r="8" spans="1:11">
      <c r="A8">
        <v>1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7" t="s">
        <v>255</v>
      </c>
    </row>
    <row r="11" spans="1:11">
      <c r="A11" s="7" t="s">
        <v>254</v>
      </c>
      <c r="B11" s="7" t="s">
        <v>264</v>
      </c>
      <c r="C11" s="7" t="s">
        <v>257</v>
      </c>
      <c r="D11" s="7" t="s">
        <v>258</v>
      </c>
      <c r="E11" s="7" t="s">
        <v>259</v>
      </c>
      <c r="F11" s="7" t="s">
        <v>260</v>
      </c>
      <c r="G11" s="7" t="s">
        <v>261</v>
      </c>
      <c r="H11" t="s">
        <v>278</v>
      </c>
    </row>
    <row r="12" spans="1:11">
      <c r="B12" s="8">
        <f>$K$1</f>
        <v>30000</v>
      </c>
      <c r="C12" s="8">
        <f t="shared" ref="C12:G12" si="4">$K$1</f>
        <v>30000</v>
      </c>
      <c r="D12" s="8">
        <f t="shared" si="4"/>
        <v>30000</v>
      </c>
      <c r="E12" s="8">
        <f t="shared" si="4"/>
        <v>30000</v>
      </c>
      <c r="F12" s="8">
        <f t="shared" si="4"/>
        <v>30000</v>
      </c>
      <c r="G12" s="8">
        <f t="shared" si="4"/>
        <v>30000</v>
      </c>
      <c r="H12" s="7" t="s">
        <v>262</v>
      </c>
    </row>
    <row r="13" spans="1:11">
      <c r="A13" s="7">
        <v>6</v>
      </c>
      <c r="B13" s="8">
        <f>B$12*$K$2</f>
        <v>12000</v>
      </c>
      <c r="C13" s="8"/>
      <c r="D13" s="8"/>
      <c r="E13" s="8"/>
      <c r="F13" s="8"/>
      <c r="G13" s="8"/>
      <c r="H13" s="7" t="s">
        <v>255</v>
      </c>
      <c r="I13" t="s">
        <v>279</v>
      </c>
    </row>
    <row r="14" spans="1:11">
      <c r="A14" s="7">
        <v>5</v>
      </c>
      <c r="B14" s="8">
        <f t="shared" ref="B14:E17" si="5">B13*$K$2</f>
        <v>4800</v>
      </c>
      <c r="C14" s="8">
        <f>C$12*$K$2</f>
        <v>12000</v>
      </c>
      <c r="D14" s="8"/>
      <c r="E14" s="8"/>
      <c r="F14" s="8"/>
      <c r="G14" s="8"/>
      <c r="H14" s="7" t="s">
        <v>255</v>
      </c>
      <c r="I14" s="26" t="s">
        <v>280</v>
      </c>
      <c r="J14" s="26"/>
      <c r="K14" s="26"/>
    </row>
    <row r="15" spans="1:11">
      <c r="A15" s="7">
        <v>4</v>
      </c>
      <c r="B15" s="8">
        <f t="shared" si="5"/>
        <v>1920</v>
      </c>
      <c r="C15" s="8">
        <f t="shared" si="5"/>
        <v>4800</v>
      </c>
      <c r="D15" s="8">
        <f>D$12*$K$2</f>
        <v>12000</v>
      </c>
      <c r="E15" s="8"/>
      <c r="F15" s="8"/>
      <c r="G15" s="8"/>
      <c r="H15" s="7" t="s">
        <v>255</v>
      </c>
    </row>
    <row r="16" spans="1:11">
      <c r="A16" s="7">
        <v>3</v>
      </c>
      <c r="B16" s="8">
        <f t="shared" si="5"/>
        <v>768</v>
      </c>
      <c r="C16" s="8">
        <f t="shared" si="5"/>
        <v>1920</v>
      </c>
      <c r="D16" s="8">
        <f t="shared" si="5"/>
        <v>4800</v>
      </c>
      <c r="E16" s="8">
        <f>E$12*$K$2</f>
        <v>12000</v>
      </c>
      <c r="F16" s="8"/>
      <c r="G16" s="8"/>
      <c r="H16" s="7" t="s">
        <v>255</v>
      </c>
    </row>
    <row r="17" spans="1:8">
      <c r="A17" s="7">
        <v>2</v>
      </c>
      <c r="B17" s="8">
        <f t="shared" si="5"/>
        <v>307.20000000000005</v>
      </c>
      <c r="C17" s="8">
        <f t="shared" si="5"/>
        <v>768</v>
      </c>
      <c r="D17" s="8">
        <f t="shared" si="5"/>
        <v>1920</v>
      </c>
      <c r="E17" s="8">
        <f t="shared" si="5"/>
        <v>4800</v>
      </c>
      <c r="F17" s="8">
        <f>F12*K2</f>
        <v>12000</v>
      </c>
      <c r="G17" s="8"/>
      <c r="H17" s="7" t="s">
        <v>255</v>
      </c>
    </row>
    <row r="18" spans="1:8">
      <c r="A18" s="7">
        <v>1</v>
      </c>
      <c r="B18" s="8">
        <v>0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7" t="s">
        <v>255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7"/>
  <dimension ref="A1:O33"/>
  <sheetViews>
    <sheetView workbookViewId="0">
      <selection activeCell="C6" sqref="C6:E7"/>
    </sheetView>
  </sheetViews>
  <sheetFormatPr defaultRowHeight="14.4"/>
  <cols>
    <col min="5" max="5" width="10.33203125" customWidth="1"/>
    <col min="8" max="8" width="8.88671875" style="7"/>
    <col min="12" max="12" width="8.88671875" style="7"/>
  </cols>
  <sheetData>
    <row r="1" spans="1:9" s="7" customFormat="1">
      <c r="C1" s="7" t="s">
        <v>161</v>
      </c>
    </row>
    <row r="2" spans="1:9">
      <c r="A2" s="7" t="s">
        <v>96</v>
      </c>
      <c r="C2" s="10" t="s">
        <v>8</v>
      </c>
      <c r="D2" s="10" t="s">
        <v>104</v>
      </c>
      <c r="E2" s="10" t="s">
        <v>195</v>
      </c>
      <c r="F2" s="7" t="s">
        <v>105</v>
      </c>
      <c r="G2" s="17" t="s">
        <v>106</v>
      </c>
      <c r="H2" s="4" t="s">
        <v>109</v>
      </c>
      <c r="I2" s="7"/>
    </row>
    <row r="3" spans="1:9">
      <c r="A3" s="7">
        <v>0</v>
      </c>
      <c r="B3" s="7" t="s">
        <v>200</v>
      </c>
      <c r="C3" s="10">
        <v>2.2999999999999998</v>
      </c>
      <c r="D3" s="10">
        <v>2.7</v>
      </c>
      <c r="E3" s="10">
        <v>3</v>
      </c>
      <c r="F3" s="7">
        <f t="shared" ref="F3:F13" si="0">A3^$E$3</f>
        <v>0</v>
      </c>
      <c r="G3" s="17">
        <f>$C$3+(($D$3-$C$3)*F3)</f>
        <v>2.2999999999999998</v>
      </c>
      <c r="H3" s="7">
        <v>2.6</v>
      </c>
      <c r="I3" s="7"/>
    </row>
    <row r="4" spans="1:9">
      <c r="A4" s="7">
        <v>0.1</v>
      </c>
      <c r="B4" s="7" t="s">
        <v>199</v>
      </c>
      <c r="C4" s="10"/>
      <c r="D4" s="10"/>
      <c r="E4" s="8">
        <v>0</v>
      </c>
      <c r="F4" s="7">
        <f t="shared" si="0"/>
        <v>1.0000000000000002E-3</v>
      </c>
      <c r="G4" s="17">
        <f>$C$3+(($D$3-$C$3)*F4)</f>
        <v>2.3003999999999998</v>
      </c>
      <c r="I4" s="7"/>
    </row>
    <row r="5" spans="1:9">
      <c r="A5" s="7">
        <v>0.2</v>
      </c>
      <c r="B5" s="7"/>
      <c r="C5" s="7"/>
      <c r="D5" s="7"/>
      <c r="E5" s="7"/>
      <c r="F5" s="7">
        <f t="shared" si="0"/>
        <v>8.0000000000000019E-3</v>
      </c>
      <c r="G5" s="17">
        <f t="shared" ref="G5:G13" si="1">$C$3+(($D$3-$C$3)*F5)</f>
        <v>2.3031999999999999</v>
      </c>
      <c r="I5" s="7"/>
    </row>
    <row r="6" spans="1:9">
      <c r="A6" s="7">
        <v>0.3</v>
      </c>
      <c r="B6" s="7"/>
      <c r="C6" s="8" t="s">
        <v>53</v>
      </c>
      <c r="D6" s="8"/>
      <c r="E6" s="8"/>
      <c r="F6" s="7">
        <f t="shared" si="0"/>
        <v>2.7E-2</v>
      </c>
      <c r="G6" s="17">
        <f t="shared" si="1"/>
        <v>2.3108</v>
      </c>
      <c r="I6" s="7"/>
    </row>
    <row r="7" spans="1:9">
      <c r="A7" s="7">
        <v>0.4</v>
      </c>
      <c r="B7" s="7"/>
      <c r="C7" s="10" t="s">
        <v>201</v>
      </c>
      <c r="D7" s="10"/>
      <c r="E7" s="10"/>
      <c r="F7" s="7">
        <f t="shared" si="0"/>
        <v>6.4000000000000015E-2</v>
      </c>
      <c r="G7" s="17">
        <f t="shared" si="1"/>
        <v>2.3255999999999997</v>
      </c>
      <c r="I7" s="7"/>
    </row>
    <row r="8" spans="1:9">
      <c r="A8" s="7">
        <v>0.5</v>
      </c>
      <c r="B8" s="7"/>
      <c r="C8" s="7"/>
      <c r="D8" s="7"/>
      <c r="E8" s="7"/>
      <c r="F8" s="7">
        <f t="shared" si="0"/>
        <v>0.125</v>
      </c>
      <c r="G8" s="17">
        <f t="shared" si="1"/>
        <v>2.3499999999999996</v>
      </c>
      <c r="H8" s="7">
        <v>2.63</v>
      </c>
      <c r="I8" s="7"/>
    </row>
    <row r="9" spans="1:9">
      <c r="A9" s="7">
        <v>0.6</v>
      </c>
      <c r="B9" s="7"/>
      <c r="C9" s="7"/>
      <c r="D9" s="7"/>
      <c r="E9" s="7"/>
      <c r="F9" s="7">
        <f t="shared" si="0"/>
        <v>0.216</v>
      </c>
      <c r="G9" s="17">
        <f t="shared" si="1"/>
        <v>2.3864000000000001</v>
      </c>
      <c r="I9" s="7"/>
    </row>
    <row r="10" spans="1:9">
      <c r="A10" s="7">
        <v>0.7</v>
      </c>
      <c r="B10" s="7"/>
      <c r="C10" s="7"/>
      <c r="D10" s="7"/>
      <c r="E10" s="7"/>
      <c r="F10" s="7">
        <f t="shared" si="0"/>
        <v>0.34299999999999992</v>
      </c>
      <c r="G10" s="17">
        <f t="shared" si="1"/>
        <v>2.4371999999999998</v>
      </c>
      <c r="I10" s="7"/>
    </row>
    <row r="11" spans="1:9">
      <c r="A11" s="7">
        <v>0.8</v>
      </c>
      <c r="B11" s="7"/>
      <c r="C11" s="7"/>
      <c r="D11" s="7"/>
      <c r="E11" s="7"/>
      <c r="F11" s="7">
        <f t="shared" si="0"/>
        <v>0.51200000000000012</v>
      </c>
      <c r="G11" s="17">
        <f t="shared" si="1"/>
        <v>2.5047999999999999</v>
      </c>
      <c r="H11" s="7">
        <v>2.75</v>
      </c>
      <c r="I11" s="7"/>
    </row>
    <row r="12" spans="1:9">
      <c r="A12" s="7">
        <v>0.9</v>
      </c>
      <c r="B12" s="7"/>
      <c r="C12" s="7"/>
      <c r="D12" s="7"/>
      <c r="E12" s="7"/>
      <c r="F12" s="7">
        <f t="shared" si="0"/>
        <v>0.72900000000000009</v>
      </c>
      <c r="G12" s="17">
        <f t="shared" si="1"/>
        <v>2.5916000000000001</v>
      </c>
      <c r="I12" s="7"/>
    </row>
    <row r="13" spans="1:9">
      <c r="A13" s="7">
        <v>1</v>
      </c>
      <c r="B13" s="7"/>
      <c r="C13" s="7"/>
      <c r="D13" s="7"/>
      <c r="E13" s="7"/>
      <c r="F13" s="7">
        <f t="shared" si="0"/>
        <v>1</v>
      </c>
      <c r="G13" s="17">
        <f t="shared" si="1"/>
        <v>2.7</v>
      </c>
      <c r="H13" s="7">
        <v>3</v>
      </c>
      <c r="I13" s="7"/>
    </row>
    <row r="14" spans="1:9">
      <c r="A14" s="7"/>
      <c r="B14" s="7"/>
      <c r="C14" s="7"/>
      <c r="D14" s="7"/>
      <c r="E14" s="7"/>
      <c r="F14" s="7"/>
      <c r="G14" s="7"/>
    </row>
    <row r="15" spans="1:9">
      <c r="A15" s="7"/>
      <c r="B15" s="7"/>
      <c r="C15" s="7"/>
      <c r="D15" s="7"/>
      <c r="E15" s="7"/>
      <c r="F15" s="7"/>
      <c r="G15" s="7"/>
    </row>
    <row r="16" spans="1:9">
      <c r="A16" s="7"/>
      <c r="B16" s="7"/>
      <c r="C16" s="7"/>
      <c r="D16" s="7"/>
      <c r="E16" s="7"/>
      <c r="F16" s="7"/>
      <c r="G16" s="7"/>
    </row>
    <row r="17" spans="1:15">
      <c r="A17" s="7"/>
      <c r="B17" s="7"/>
      <c r="C17" s="7"/>
      <c r="D17" s="7"/>
      <c r="E17" s="7"/>
      <c r="F17" s="7"/>
      <c r="G17" s="7"/>
      <c r="I17" s="7"/>
    </row>
    <row r="18" spans="1:15">
      <c r="A18" s="7"/>
      <c r="B18" s="7"/>
      <c r="C18" s="7"/>
      <c r="D18" s="7"/>
      <c r="E18" s="7"/>
      <c r="F18" s="7"/>
      <c r="G18" s="7"/>
      <c r="I18" s="7"/>
      <c r="O18" s="7"/>
    </row>
    <row r="19" spans="1:15">
      <c r="A19" s="7"/>
      <c r="B19" s="7"/>
      <c r="C19" s="7"/>
      <c r="D19" s="7"/>
      <c r="E19" s="7"/>
      <c r="F19" s="7"/>
      <c r="G19" s="7"/>
      <c r="I19" s="7"/>
      <c r="O19" s="7"/>
    </row>
    <row r="20" spans="1:15">
      <c r="A20" s="7"/>
      <c r="B20" s="7"/>
      <c r="C20" s="7"/>
      <c r="D20" s="7"/>
      <c r="E20" s="7"/>
      <c r="F20" s="7"/>
      <c r="G20" s="7"/>
      <c r="I20" s="7"/>
      <c r="O20" s="7"/>
    </row>
    <row r="21" spans="1:15">
      <c r="A21" s="7"/>
      <c r="B21" s="7"/>
      <c r="C21" s="7"/>
      <c r="D21" s="7"/>
      <c r="E21" s="7"/>
      <c r="F21" s="7"/>
      <c r="G21" s="7"/>
      <c r="I21" s="7"/>
      <c r="O21" s="7"/>
    </row>
    <row r="22" spans="1:15">
      <c r="A22" s="7"/>
      <c r="B22" s="7"/>
      <c r="C22" s="7"/>
      <c r="D22" s="7"/>
      <c r="E22" s="7"/>
      <c r="F22" s="7"/>
      <c r="G22" s="7"/>
    </row>
    <row r="23" spans="1:15">
      <c r="A23" s="7"/>
      <c r="B23" s="7"/>
      <c r="C23" s="7"/>
      <c r="D23" s="7"/>
      <c r="E23" s="7"/>
      <c r="F23" s="7"/>
      <c r="G23" s="7"/>
    </row>
    <row r="24" spans="1:15">
      <c r="A24" s="7"/>
      <c r="B24" s="7"/>
      <c r="C24" s="7"/>
      <c r="D24" s="7"/>
      <c r="E24" s="7"/>
      <c r="F24" s="7"/>
      <c r="G24" s="7"/>
    </row>
    <row r="25" spans="1:15">
      <c r="A25" s="7"/>
      <c r="B25" s="7"/>
      <c r="C25" s="7"/>
      <c r="D25" s="7"/>
      <c r="E25" s="7"/>
      <c r="F25" s="7"/>
      <c r="G25" s="7"/>
    </row>
    <row r="26" spans="1:15">
      <c r="A26" s="7"/>
      <c r="B26" s="7"/>
      <c r="C26" s="7"/>
      <c r="D26" s="7"/>
      <c r="E26" s="7"/>
      <c r="F26" s="7"/>
      <c r="G26" s="7"/>
    </row>
    <row r="27" spans="1:15">
      <c r="A27" s="7"/>
      <c r="B27" s="7"/>
      <c r="C27" s="7"/>
      <c r="D27" s="7"/>
      <c r="E27" s="7"/>
      <c r="F27" s="7"/>
      <c r="G27" s="7"/>
    </row>
    <row r="28" spans="1:15">
      <c r="A28" s="7"/>
      <c r="B28" s="7"/>
      <c r="C28" s="7"/>
      <c r="D28" s="7"/>
      <c r="E28" s="7"/>
      <c r="F28" s="7"/>
      <c r="G28" s="7"/>
    </row>
    <row r="29" spans="1:15">
      <c r="A29" s="7"/>
      <c r="B29" s="7"/>
      <c r="C29" s="7"/>
      <c r="D29" s="7"/>
      <c r="E29" s="7"/>
      <c r="F29" s="7"/>
      <c r="G29" s="7"/>
    </row>
    <row r="30" spans="1:15">
      <c r="A30" s="7"/>
      <c r="B30" s="7"/>
      <c r="C30" s="7"/>
      <c r="D30" s="7"/>
      <c r="E30" s="7"/>
      <c r="F30" s="7"/>
      <c r="G30" s="7"/>
    </row>
    <row r="31" spans="1:15">
      <c r="A31" s="7"/>
      <c r="B31" s="7"/>
      <c r="C31" s="7"/>
      <c r="D31" s="7"/>
      <c r="E31" s="7"/>
      <c r="F31" s="7"/>
      <c r="G31" s="7"/>
    </row>
    <row r="32" spans="1:15">
      <c r="A32" s="7"/>
      <c r="B32" s="7"/>
      <c r="C32" s="7"/>
      <c r="D32" s="7"/>
      <c r="E32" s="7"/>
      <c r="F32" s="7"/>
      <c r="G32" s="7"/>
    </row>
    <row r="33" spans="1:7">
      <c r="A33" s="7"/>
      <c r="B33" s="7"/>
      <c r="C33" s="7"/>
      <c r="D33" s="7"/>
      <c r="E33" s="7"/>
      <c r="F33" s="7"/>
      <c r="G33" s="7"/>
    </row>
  </sheetData>
  <pageMargins left="0.7" right="0.7" top="0.75" bottom="0.75" header="0.3" footer="0.3"/>
  <pageSetup orientation="portrait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8"/>
  <dimension ref="A1:I12"/>
  <sheetViews>
    <sheetView workbookViewId="0">
      <selection activeCell="C5" sqref="C5:E6"/>
    </sheetView>
  </sheetViews>
  <sheetFormatPr defaultColWidth="9.109375" defaultRowHeight="14.4"/>
  <cols>
    <col min="1" max="1" width="9.109375" style="7"/>
    <col min="2" max="2" width="10.109375" style="7" customWidth="1"/>
    <col min="3" max="3" width="11.5546875" style="7" customWidth="1"/>
    <col min="4" max="4" width="10.44140625" style="7" customWidth="1"/>
    <col min="5" max="5" width="12.44140625" style="7" customWidth="1"/>
    <col min="6" max="6" width="9.88671875" style="7" customWidth="1"/>
    <col min="7" max="7" width="11.33203125" style="7" customWidth="1"/>
    <col min="8" max="8" width="7.88671875" style="7" customWidth="1"/>
    <col min="9" max="16384" width="9.109375" style="7"/>
  </cols>
  <sheetData>
    <row r="1" spans="1:9">
      <c r="A1" s="7" t="s">
        <v>96</v>
      </c>
      <c r="C1" s="10" t="s">
        <v>194</v>
      </c>
      <c r="D1" s="10" t="s">
        <v>108</v>
      </c>
      <c r="E1" s="10" t="s">
        <v>118</v>
      </c>
      <c r="F1" s="7" t="s">
        <v>107</v>
      </c>
      <c r="G1" s="18" t="s">
        <v>103</v>
      </c>
      <c r="H1" s="10" t="s">
        <v>109</v>
      </c>
      <c r="I1" s="7" t="s">
        <v>96</v>
      </c>
    </row>
    <row r="2" spans="1:9">
      <c r="A2" s="7">
        <v>0</v>
      </c>
      <c r="B2" s="7" t="s">
        <v>200</v>
      </c>
      <c r="C2" s="10">
        <v>6</v>
      </c>
      <c r="D2" s="10">
        <v>7.0000000000000007E-2</v>
      </c>
      <c r="E2" s="10">
        <v>0.15</v>
      </c>
      <c r="F2" s="7">
        <f>A2^$C$2</f>
        <v>0</v>
      </c>
      <c r="G2" s="18">
        <f>$D$2+(($E$2-$D$2)*F2)</f>
        <v>7.0000000000000007E-2</v>
      </c>
      <c r="H2" s="10">
        <v>7.0000000000000007E-2</v>
      </c>
      <c r="I2" s="7">
        <v>0</v>
      </c>
    </row>
    <row r="3" spans="1:9">
      <c r="A3" s="7">
        <v>0.1</v>
      </c>
      <c r="B3" s="7" t="s">
        <v>199</v>
      </c>
      <c r="C3" s="8">
        <v>0</v>
      </c>
      <c r="D3" s="8">
        <v>1</v>
      </c>
      <c r="E3" s="8">
        <v>1</v>
      </c>
      <c r="F3" s="7">
        <f>A3^$C$2</f>
        <v>1.0000000000000006E-6</v>
      </c>
      <c r="G3" s="18">
        <f t="shared" ref="G3:G12" si="0">$D$2+(($E$2-$D$2)*F3)</f>
        <v>7.0000080000000006E-2</v>
      </c>
      <c r="H3" s="10"/>
      <c r="I3" s="7">
        <v>0.1</v>
      </c>
    </row>
    <row r="4" spans="1:9">
      <c r="A4" s="7">
        <v>0.2</v>
      </c>
      <c r="F4" s="7">
        <f>A4^$C$2</f>
        <v>6.4000000000000038E-5</v>
      </c>
      <c r="G4" s="18">
        <f t="shared" si="0"/>
        <v>7.0005120000000004E-2</v>
      </c>
      <c r="H4" s="10"/>
      <c r="I4" s="7">
        <v>0.2</v>
      </c>
    </row>
    <row r="5" spans="1:9">
      <c r="A5" s="7">
        <v>0.3</v>
      </c>
      <c r="C5" s="8" t="s">
        <v>53</v>
      </c>
      <c r="D5" s="8"/>
      <c r="E5" s="8"/>
      <c r="F5" s="7">
        <f t="shared" ref="F5:F12" si="1">A5^$C$2</f>
        <v>7.2899999999999994E-4</v>
      </c>
      <c r="G5" s="18">
        <f t="shared" si="0"/>
        <v>7.0058320000000007E-2</v>
      </c>
      <c r="H5" s="10"/>
      <c r="I5" s="7">
        <v>0.3</v>
      </c>
    </row>
    <row r="6" spans="1:9">
      <c r="A6" s="7">
        <v>0.4</v>
      </c>
      <c r="C6" s="10" t="s">
        <v>201</v>
      </c>
      <c r="D6" s="10"/>
      <c r="E6" s="10"/>
      <c r="F6" s="7">
        <f t="shared" si="1"/>
        <v>4.0960000000000024E-3</v>
      </c>
      <c r="G6" s="18">
        <f t="shared" si="0"/>
        <v>7.0327680000000004E-2</v>
      </c>
      <c r="H6" s="10"/>
      <c r="I6" s="7">
        <v>0.4</v>
      </c>
    </row>
    <row r="7" spans="1:9">
      <c r="A7" s="7">
        <v>0.5</v>
      </c>
      <c r="F7" s="7">
        <f t="shared" si="1"/>
        <v>1.5625E-2</v>
      </c>
      <c r="G7" s="18">
        <f t="shared" si="0"/>
        <v>7.1250000000000008E-2</v>
      </c>
      <c r="H7" s="10"/>
      <c r="I7" s="7">
        <v>0.5</v>
      </c>
    </row>
    <row r="8" spans="1:9">
      <c r="A8" s="7">
        <v>0.6</v>
      </c>
      <c r="F8" s="7">
        <f t="shared" si="1"/>
        <v>4.6655999999999996E-2</v>
      </c>
      <c r="G8" s="18">
        <f t="shared" si="0"/>
        <v>7.3732480000000003E-2</v>
      </c>
      <c r="H8" s="10">
        <v>7.2999999999999995E-2</v>
      </c>
      <c r="I8" s="7">
        <v>0.6</v>
      </c>
    </row>
    <row r="9" spans="1:9">
      <c r="A9" s="7">
        <v>0.7</v>
      </c>
      <c r="F9" s="7">
        <f t="shared" si="1"/>
        <v>0.11764899999999995</v>
      </c>
      <c r="G9" s="18">
        <f t="shared" si="0"/>
        <v>7.9411919999999997E-2</v>
      </c>
      <c r="H9" s="10"/>
      <c r="I9" s="7">
        <v>0.7</v>
      </c>
    </row>
    <row r="10" spans="1:9">
      <c r="A10" s="7">
        <v>0.8</v>
      </c>
      <c r="F10" s="7">
        <f t="shared" si="1"/>
        <v>0.26214400000000015</v>
      </c>
      <c r="G10" s="18">
        <f t="shared" si="0"/>
        <v>9.0971520000000014E-2</v>
      </c>
      <c r="H10" s="10">
        <v>0.09</v>
      </c>
      <c r="I10" s="7">
        <v>0.8</v>
      </c>
    </row>
    <row r="11" spans="1:9">
      <c r="A11" s="7">
        <v>0.9</v>
      </c>
      <c r="F11" s="7">
        <f t="shared" si="1"/>
        <v>0.53144100000000016</v>
      </c>
      <c r="G11" s="18">
        <f t="shared" si="0"/>
        <v>0.11251528000000002</v>
      </c>
      <c r="H11" s="10"/>
      <c r="I11" s="7">
        <v>0.9</v>
      </c>
    </row>
    <row r="12" spans="1:9">
      <c r="A12" s="7">
        <v>1</v>
      </c>
      <c r="F12" s="7">
        <f t="shared" si="1"/>
        <v>1</v>
      </c>
      <c r="G12" s="18">
        <f t="shared" si="0"/>
        <v>0.15</v>
      </c>
      <c r="H12" s="10"/>
      <c r="I12" s="7">
        <v>1</v>
      </c>
    </row>
  </sheetData>
  <pageMargins left="0.7" right="0.7" top="0.75" bottom="0.75" header="0.3" footer="0.3"/>
  <drawing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4"/>
  <dimension ref="A1:P22"/>
  <sheetViews>
    <sheetView workbookViewId="0">
      <selection activeCell="I5" sqref="I5:K6"/>
    </sheetView>
  </sheetViews>
  <sheetFormatPr defaultColWidth="9.109375" defaultRowHeight="14.4"/>
  <cols>
    <col min="1" max="1" width="13" style="7" customWidth="1"/>
    <col min="2" max="2" width="7" style="7" customWidth="1"/>
    <col min="3" max="16384" width="9.109375" style="7"/>
  </cols>
  <sheetData>
    <row r="1" spans="1:16">
      <c r="B1" s="7" t="s">
        <v>120</v>
      </c>
      <c r="C1" s="7" t="s">
        <v>91</v>
      </c>
      <c r="D1" s="7" t="s">
        <v>92</v>
      </c>
      <c r="E1" s="7" t="s">
        <v>111</v>
      </c>
      <c r="F1" s="7" t="s">
        <v>112</v>
      </c>
      <c r="G1" s="7" t="s">
        <v>113</v>
      </c>
    </row>
    <row r="2" spans="1:16">
      <c r="A2" s="7" t="s">
        <v>160</v>
      </c>
      <c r="C2" s="7">
        <v>302</v>
      </c>
      <c r="D2" s="7">
        <v>252</v>
      </c>
      <c r="E2" s="7">
        <v>201</v>
      </c>
      <c r="F2" s="7">
        <v>151</v>
      </c>
      <c r="G2" s="7">
        <v>101.4</v>
      </c>
      <c r="H2" s="2" t="s">
        <v>197</v>
      </c>
      <c r="I2" s="2"/>
      <c r="J2" s="2"/>
      <c r="K2" s="2"/>
      <c r="L2" s="2"/>
      <c r="M2" s="2"/>
      <c r="N2" s="2"/>
      <c r="O2" s="2"/>
      <c r="P2" s="2"/>
    </row>
    <row r="3" spans="1:16">
      <c r="A3" s="7" t="s">
        <v>94</v>
      </c>
      <c r="C3" s="10">
        <v>-0.05</v>
      </c>
      <c r="D3" s="10">
        <v>-0.04</v>
      </c>
      <c r="E3" s="10">
        <v>-0.03</v>
      </c>
      <c r="F3" s="10">
        <v>-0.02</v>
      </c>
      <c r="G3" s="10">
        <v>-0.01</v>
      </c>
      <c r="H3" s="2" t="s">
        <v>190</v>
      </c>
      <c r="I3" s="2"/>
      <c r="J3" s="2"/>
      <c r="K3" s="2"/>
      <c r="L3" s="2"/>
      <c r="M3" s="2"/>
      <c r="N3" s="10" t="s">
        <v>165</v>
      </c>
      <c r="O3" s="10"/>
      <c r="P3" s="10"/>
    </row>
    <row r="4" spans="1:16">
      <c r="A4" s="7" t="s">
        <v>110</v>
      </c>
      <c r="B4" s="8">
        <f>L4</f>
        <v>385</v>
      </c>
      <c r="C4" s="8">
        <f>C$3*$L$4 + (C$2 - (350*C$3))</f>
        <v>300.25</v>
      </c>
      <c r="D4" s="8">
        <f>D$3*$L$4 + (D$2 - (350*D$3))</f>
        <v>250.6</v>
      </c>
      <c r="E4" s="8">
        <f>E$3*$L$4 + (E$2 - (350*E$3))</f>
        <v>199.95</v>
      </c>
      <c r="F4" s="8">
        <f>F$3*$L$4 + (F$2 - (350*F$3))</f>
        <v>150.30000000000001</v>
      </c>
      <c r="G4" s="8">
        <f>G$3*$L$4 + (G$2 - (350*G$3))</f>
        <v>101.05000000000001</v>
      </c>
      <c r="H4" s="7" t="s">
        <v>119</v>
      </c>
      <c r="L4" s="10">
        <v>385</v>
      </c>
      <c r="M4" s="2" t="s">
        <v>189</v>
      </c>
      <c r="N4" s="2"/>
      <c r="O4" s="2"/>
      <c r="P4" s="2"/>
    </row>
    <row r="5" spans="1:16">
      <c r="C5" s="7" t="s">
        <v>114</v>
      </c>
      <c r="E5" s="7" t="s">
        <v>116</v>
      </c>
      <c r="G5" s="7" t="s">
        <v>115</v>
      </c>
      <c r="I5" s="8" t="s">
        <v>53</v>
      </c>
      <c r="J5" s="8"/>
      <c r="K5" s="8"/>
    </row>
    <row r="6" spans="1:16">
      <c r="A6" s="7" t="s">
        <v>102</v>
      </c>
      <c r="C6" s="7" t="s">
        <v>95</v>
      </c>
      <c r="D6" s="7" t="s">
        <v>95</v>
      </c>
      <c r="E6" s="7" t="s">
        <v>95</v>
      </c>
      <c r="F6" s="7" t="s">
        <v>95</v>
      </c>
      <c r="G6" s="7" t="s">
        <v>95</v>
      </c>
      <c r="I6" s="10" t="s">
        <v>201</v>
      </c>
      <c r="J6" s="10"/>
      <c r="K6" s="10"/>
    </row>
    <row r="7" spans="1:16">
      <c r="A7" s="7">
        <v>300</v>
      </c>
      <c r="C7" s="7">
        <f>C$3*A7 + (C$2 - (350*C$3))</f>
        <v>304.5</v>
      </c>
      <c r="D7" s="7">
        <f>D$3*$A7 + (D$2 - (350*D$3))</f>
        <v>254</v>
      </c>
      <c r="E7" s="7">
        <f>E$3*$A7 + (E$2 - (350*E$3))</f>
        <v>202.5</v>
      </c>
      <c r="F7" s="7">
        <f>F$3*$A7 + (F$2 - (350*F$3))</f>
        <v>152</v>
      </c>
      <c r="G7" s="7">
        <f>G$3*$A7 + (G$2 - (350*G$3))</f>
        <v>101.9</v>
      </c>
    </row>
    <row r="8" spans="1:16">
      <c r="A8" s="7">
        <v>350</v>
      </c>
      <c r="C8" s="7">
        <f t="shared" ref="C8:C21" si="0">C$3*A8 + (C$2 - (350*C$3))</f>
        <v>302</v>
      </c>
      <c r="D8" s="7">
        <f t="shared" ref="D8:G21" si="1">D$3*$A8 + (D$2 - (350*D$3))</f>
        <v>252</v>
      </c>
      <c r="E8" s="7">
        <f t="shared" si="1"/>
        <v>201</v>
      </c>
      <c r="F8" s="7">
        <f t="shared" si="1"/>
        <v>151</v>
      </c>
      <c r="G8" s="7">
        <f t="shared" si="1"/>
        <v>101.4</v>
      </c>
      <c r="H8" s="2" t="s">
        <v>198</v>
      </c>
      <c r="I8" s="2"/>
      <c r="J8" s="2"/>
      <c r="K8" s="2"/>
      <c r="L8" s="2"/>
      <c r="M8" s="2"/>
      <c r="N8" s="2"/>
    </row>
    <row r="9" spans="1:16">
      <c r="A9" s="7">
        <v>400</v>
      </c>
      <c r="C9" s="7">
        <f t="shared" si="0"/>
        <v>299.5</v>
      </c>
      <c r="D9" s="7">
        <f t="shared" si="1"/>
        <v>250</v>
      </c>
      <c r="E9" s="7">
        <f t="shared" si="1"/>
        <v>199.5</v>
      </c>
      <c r="F9" s="7">
        <f t="shared" si="1"/>
        <v>150</v>
      </c>
      <c r="G9" s="7">
        <f t="shared" si="1"/>
        <v>100.9</v>
      </c>
    </row>
    <row r="10" spans="1:16">
      <c r="A10" s="7">
        <v>450</v>
      </c>
      <c r="C10" s="7">
        <f t="shared" si="0"/>
        <v>297</v>
      </c>
      <c r="D10" s="7">
        <f t="shared" si="1"/>
        <v>248</v>
      </c>
      <c r="E10" s="7">
        <f t="shared" si="1"/>
        <v>198</v>
      </c>
      <c r="F10" s="7">
        <f t="shared" si="1"/>
        <v>149</v>
      </c>
      <c r="G10" s="7">
        <f t="shared" si="1"/>
        <v>100.4</v>
      </c>
    </row>
    <row r="11" spans="1:16">
      <c r="A11" s="7">
        <v>500</v>
      </c>
      <c r="C11" s="7">
        <f t="shared" si="0"/>
        <v>294.5</v>
      </c>
      <c r="D11" s="7">
        <f t="shared" si="1"/>
        <v>246</v>
      </c>
      <c r="E11" s="7">
        <f t="shared" si="1"/>
        <v>196.5</v>
      </c>
      <c r="F11" s="7">
        <f t="shared" si="1"/>
        <v>148</v>
      </c>
      <c r="G11" s="7">
        <f t="shared" si="1"/>
        <v>99.9</v>
      </c>
    </row>
    <row r="12" spans="1:16">
      <c r="A12" s="7">
        <v>550</v>
      </c>
      <c r="C12" s="7">
        <f t="shared" si="0"/>
        <v>292</v>
      </c>
      <c r="D12" s="7">
        <f t="shared" si="1"/>
        <v>244</v>
      </c>
      <c r="E12" s="7">
        <f t="shared" si="1"/>
        <v>195</v>
      </c>
      <c r="F12" s="7">
        <f t="shared" si="1"/>
        <v>147</v>
      </c>
      <c r="G12" s="7">
        <f t="shared" si="1"/>
        <v>99.4</v>
      </c>
    </row>
    <row r="13" spans="1:16">
      <c r="A13" s="7">
        <v>600</v>
      </c>
      <c r="C13" s="7">
        <f t="shared" si="0"/>
        <v>289.5</v>
      </c>
      <c r="D13" s="7">
        <f t="shared" si="1"/>
        <v>242</v>
      </c>
      <c r="E13" s="7">
        <f t="shared" si="1"/>
        <v>193.5</v>
      </c>
      <c r="F13" s="7">
        <f t="shared" si="1"/>
        <v>146</v>
      </c>
      <c r="G13" s="7">
        <f t="shared" si="1"/>
        <v>98.9</v>
      </c>
    </row>
    <row r="14" spans="1:16">
      <c r="A14" s="7">
        <v>650</v>
      </c>
      <c r="C14" s="7">
        <f t="shared" si="0"/>
        <v>287</v>
      </c>
      <c r="D14" s="7">
        <f t="shared" si="1"/>
        <v>240</v>
      </c>
      <c r="E14" s="7">
        <f t="shared" si="1"/>
        <v>192</v>
      </c>
      <c r="F14" s="7">
        <f t="shared" si="1"/>
        <v>145</v>
      </c>
      <c r="G14" s="7">
        <f t="shared" si="1"/>
        <v>98.4</v>
      </c>
    </row>
    <row r="15" spans="1:16">
      <c r="A15" s="7">
        <v>700</v>
      </c>
      <c r="C15" s="7">
        <f t="shared" si="0"/>
        <v>284.5</v>
      </c>
      <c r="D15" s="7">
        <f t="shared" si="1"/>
        <v>238</v>
      </c>
      <c r="E15" s="7">
        <f t="shared" si="1"/>
        <v>190.5</v>
      </c>
      <c r="F15" s="7">
        <f t="shared" si="1"/>
        <v>144</v>
      </c>
      <c r="G15" s="7">
        <f t="shared" si="1"/>
        <v>97.9</v>
      </c>
    </row>
    <row r="16" spans="1:16">
      <c r="A16" s="7">
        <v>750</v>
      </c>
      <c r="C16" s="7">
        <f t="shared" si="0"/>
        <v>282</v>
      </c>
      <c r="D16" s="7">
        <f t="shared" si="1"/>
        <v>236</v>
      </c>
      <c r="E16" s="7">
        <f t="shared" si="1"/>
        <v>189</v>
      </c>
      <c r="F16" s="7">
        <f t="shared" si="1"/>
        <v>143</v>
      </c>
      <c r="G16" s="7">
        <f t="shared" si="1"/>
        <v>97.4</v>
      </c>
    </row>
    <row r="17" spans="1:7">
      <c r="A17" s="7">
        <v>800</v>
      </c>
      <c r="C17" s="7">
        <f t="shared" si="0"/>
        <v>279.5</v>
      </c>
      <c r="D17" s="7">
        <f t="shared" si="1"/>
        <v>234</v>
      </c>
      <c r="E17" s="7">
        <f t="shared" si="1"/>
        <v>187.5</v>
      </c>
      <c r="F17" s="7">
        <f t="shared" si="1"/>
        <v>142</v>
      </c>
      <c r="G17" s="7">
        <f t="shared" si="1"/>
        <v>96.9</v>
      </c>
    </row>
    <row r="18" spans="1:7">
      <c r="A18" s="7">
        <v>850</v>
      </c>
      <c r="C18" s="7">
        <f t="shared" si="0"/>
        <v>277</v>
      </c>
      <c r="D18" s="7">
        <f t="shared" si="1"/>
        <v>232</v>
      </c>
      <c r="E18" s="7">
        <f t="shared" si="1"/>
        <v>186</v>
      </c>
      <c r="F18" s="7">
        <f t="shared" si="1"/>
        <v>141</v>
      </c>
      <c r="G18" s="7">
        <f t="shared" si="1"/>
        <v>96.4</v>
      </c>
    </row>
    <row r="19" spans="1:7">
      <c r="A19" s="7">
        <v>900</v>
      </c>
      <c r="C19" s="7">
        <f t="shared" si="0"/>
        <v>274.5</v>
      </c>
      <c r="D19" s="7">
        <f t="shared" si="1"/>
        <v>230</v>
      </c>
      <c r="E19" s="7">
        <f t="shared" si="1"/>
        <v>184.5</v>
      </c>
      <c r="F19" s="7">
        <f t="shared" si="1"/>
        <v>140</v>
      </c>
      <c r="G19" s="7">
        <f t="shared" si="1"/>
        <v>95.9</v>
      </c>
    </row>
    <row r="20" spans="1:7">
      <c r="A20" s="7">
        <v>950</v>
      </c>
      <c r="C20" s="7">
        <f t="shared" si="0"/>
        <v>272</v>
      </c>
      <c r="D20" s="7">
        <f t="shared" si="1"/>
        <v>228</v>
      </c>
      <c r="E20" s="7">
        <f t="shared" si="1"/>
        <v>183</v>
      </c>
      <c r="F20" s="7">
        <f t="shared" si="1"/>
        <v>139</v>
      </c>
      <c r="G20" s="7">
        <f t="shared" si="1"/>
        <v>95.4</v>
      </c>
    </row>
    <row r="21" spans="1:7">
      <c r="A21" s="7">
        <v>1000</v>
      </c>
      <c r="C21" s="7">
        <f t="shared" si="0"/>
        <v>269.5</v>
      </c>
      <c r="D21" s="7">
        <f t="shared" si="1"/>
        <v>226</v>
      </c>
      <c r="E21" s="7">
        <f t="shared" si="1"/>
        <v>181.5</v>
      </c>
      <c r="F21" s="7">
        <f t="shared" si="1"/>
        <v>138</v>
      </c>
      <c r="G21" s="7">
        <f t="shared" si="1"/>
        <v>94.9</v>
      </c>
    </row>
    <row r="22" spans="1:7">
      <c r="C22" s="7">
        <f>C10/C8</f>
        <v>0.98344370860927155</v>
      </c>
      <c r="D22" s="7">
        <f>D10/D8</f>
        <v>0.98412698412698407</v>
      </c>
      <c r="E22" s="7">
        <f>E10/E8</f>
        <v>0.9850746268656716</v>
      </c>
      <c r="F22" s="7">
        <f>F10/F8</f>
        <v>0.98675496688741726</v>
      </c>
      <c r="G22" s="7">
        <f>G10/G8</f>
        <v>0.99013806706114393</v>
      </c>
    </row>
  </sheetData>
  <pageMargins left="0.7" right="0.7" top="0.75" bottom="0.75" header="0.3" footer="0.3"/>
  <pageSetup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9DB00-0EE1-4308-8BD7-3B8D7B766590}">
  <dimension ref="A1:AD42"/>
  <sheetViews>
    <sheetView workbookViewId="0">
      <selection activeCell="U4" sqref="U4"/>
    </sheetView>
  </sheetViews>
  <sheetFormatPr defaultRowHeight="14.4"/>
  <cols>
    <col min="4" max="5" width="8.88671875" style="7"/>
    <col min="9" max="10" width="9.6640625" style="7" customWidth="1"/>
    <col min="11" max="21" width="8.88671875" style="7"/>
    <col min="22" max="22" width="9.109375" style="3"/>
    <col min="24" max="24" width="9.88671875" customWidth="1"/>
    <col min="25" max="25" width="12.6640625" customWidth="1"/>
    <col min="26" max="26" width="12.88671875" customWidth="1"/>
  </cols>
  <sheetData>
    <row r="1" spans="1:30">
      <c r="A1" s="23" t="s">
        <v>208</v>
      </c>
      <c r="B1" s="23"/>
      <c r="C1" s="23"/>
      <c r="D1" s="23"/>
      <c r="E1" s="23"/>
      <c r="F1" s="24" t="s">
        <v>217</v>
      </c>
      <c r="G1" s="24"/>
      <c r="H1" s="24"/>
      <c r="I1" s="24"/>
      <c r="J1" s="24"/>
      <c r="K1" s="12" t="s">
        <v>218</v>
      </c>
      <c r="L1" s="12"/>
      <c r="M1" s="12"/>
      <c r="N1" s="12"/>
      <c r="O1" s="12"/>
      <c r="P1" s="25" t="s">
        <v>240</v>
      </c>
      <c r="Q1" s="25"/>
      <c r="R1" s="25"/>
      <c r="S1" s="25"/>
      <c r="T1" s="25"/>
      <c r="U1" s="25"/>
      <c r="W1" s="10" t="s">
        <v>235</v>
      </c>
      <c r="X1" s="10"/>
      <c r="AA1" s="23" t="s">
        <v>210</v>
      </c>
      <c r="AB1" s="24" t="s">
        <v>211</v>
      </c>
      <c r="AC1" s="12" t="s">
        <v>212</v>
      </c>
      <c r="AD1" s="25" t="s">
        <v>238</v>
      </c>
    </row>
    <row r="2" spans="1:30">
      <c r="A2" s="23" t="s">
        <v>209</v>
      </c>
      <c r="B2" s="23" t="s">
        <v>215</v>
      </c>
      <c r="C2" s="23" t="s">
        <v>216</v>
      </c>
      <c r="D2" s="2" t="s">
        <v>221</v>
      </c>
      <c r="E2" s="2" t="s">
        <v>222</v>
      </c>
      <c r="F2" s="24" t="s">
        <v>209</v>
      </c>
      <c r="G2" s="24" t="s">
        <v>215</v>
      </c>
      <c r="H2" s="24" t="s">
        <v>216</v>
      </c>
      <c r="I2" s="2" t="s">
        <v>221</v>
      </c>
      <c r="J2" s="2" t="s">
        <v>222</v>
      </c>
      <c r="K2" s="12" t="s">
        <v>209</v>
      </c>
      <c r="L2" s="12" t="s">
        <v>215</v>
      </c>
      <c r="M2" s="12" t="s">
        <v>216</v>
      </c>
      <c r="N2" s="2" t="s">
        <v>221</v>
      </c>
      <c r="O2" s="2" t="s">
        <v>222</v>
      </c>
      <c r="P2" s="25" t="s">
        <v>209</v>
      </c>
      <c r="Q2" s="25" t="s">
        <v>215</v>
      </c>
      <c r="R2" s="25" t="s">
        <v>216</v>
      </c>
      <c r="S2" s="25" t="s">
        <v>219</v>
      </c>
      <c r="T2" s="2" t="s">
        <v>221</v>
      </c>
      <c r="U2" s="2" t="s">
        <v>222</v>
      </c>
      <c r="V2" s="25" t="s">
        <v>207</v>
      </c>
      <c r="W2" s="10" t="s">
        <v>207</v>
      </c>
      <c r="X2" s="8">
        <f>AD7</f>
        <v>5.7224648369527786</v>
      </c>
      <c r="Z2" t="s">
        <v>108</v>
      </c>
      <c r="AA2" s="10">
        <v>2.8000000000000001E-2</v>
      </c>
      <c r="AB2" s="10">
        <v>3.2000000000000001E-2</v>
      </c>
      <c r="AC2" s="10">
        <v>7.4999999999999997E-2</v>
      </c>
    </row>
    <row r="3" spans="1:30">
      <c r="A3" s="23">
        <v>0</v>
      </c>
      <c r="B3" s="23">
        <f t="shared" ref="B3:B32" si="0">A3*$AA$2*EXP(-$AA$3*A3)</f>
        <v>0</v>
      </c>
      <c r="C3" s="23">
        <f t="shared" ref="C3:C32" si="1">B3/$AA$5</f>
        <v>0</v>
      </c>
      <c r="D3" s="2">
        <f>B3</f>
        <v>0</v>
      </c>
      <c r="E3" s="2">
        <f t="shared" ref="E3:E27" si="2">D3/$AA$5</f>
        <v>0</v>
      </c>
      <c r="F3" s="24">
        <v>200</v>
      </c>
      <c r="G3" s="24">
        <f t="shared" ref="G3:G32" si="3">F3*$AB$2*EXP(-$AB$3*F3)</f>
        <v>6.3363189359946759</v>
      </c>
      <c r="H3" s="24">
        <f t="shared" ref="H3:H32" si="4">G3/$AB$5</f>
        <v>8.4484252479929009E-2</v>
      </c>
      <c r="I3" s="2">
        <f>G3</f>
        <v>6.3363189359946759</v>
      </c>
      <c r="J3" s="2">
        <f t="shared" ref="J3:J27" si="5">I3/$AB$5</f>
        <v>8.4484252479929009E-2</v>
      </c>
      <c r="K3" s="12">
        <v>200</v>
      </c>
      <c r="L3" s="12">
        <f t="shared" ref="L3:L32" si="6">K3*$AC$2*EXP(-$AC$3*K3)</f>
        <v>14.88047872255591</v>
      </c>
      <c r="M3" s="12">
        <f t="shared" ref="M3:M32" si="7">L3/$AC$5</f>
        <v>8.7532227779740651E-2</v>
      </c>
      <c r="N3" s="2">
        <f>L3</f>
        <v>14.88047872255591</v>
      </c>
      <c r="O3" s="2">
        <f t="shared" ref="O3:O27" si="8">N3/$AC$5</f>
        <v>8.7532227779740651E-2</v>
      </c>
      <c r="P3" s="25">
        <f t="shared" ref="P3:P18" si="9">A3+F3+K3</f>
        <v>400</v>
      </c>
      <c r="Q3" s="25">
        <f t="shared" ref="Q3:Q18" si="10">B3+G3+L3</f>
        <v>21.216797658550586</v>
      </c>
      <c r="R3" s="25">
        <f>AVERAGE(C3,H3,M3)</f>
        <v>5.7338826753223215E-2</v>
      </c>
      <c r="S3" s="25">
        <f t="shared" ref="S3:S32" si="11">IF($U3&lt;($V3/2),1,1-((($U3-($V3/2))/($V3/2))^$X$3))</f>
        <v>1</v>
      </c>
      <c r="T3" s="2">
        <f>D3+I3+N3</f>
        <v>21.216797658550586</v>
      </c>
      <c r="U3" s="2">
        <f>AVERAGE(E3,J3,O3)</f>
        <v>5.7338826753223215E-2</v>
      </c>
      <c r="V3" s="3">
        <f t="shared" ref="V3:V27" si="12">MAX(IF(A3&gt;0,$AA$7,0),IF(F3&gt;0,$AB$7,0),IF(K3&gt;0,$AC$7,0))</f>
        <v>4.0574265671996903</v>
      </c>
      <c r="W3" s="10" t="s">
        <v>220</v>
      </c>
      <c r="X3" s="8">
        <v>1</v>
      </c>
      <c r="Y3" t="s">
        <v>234</v>
      </c>
      <c r="Z3" t="s">
        <v>97</v>
      </c>
      <c r="AA3" s="10">
        <v>3.0000000000000001E-5</v>
      </c>
      <c r="AB3" s="10">
        <v>5.0000000000000002E-5</v>
      </c>
      <c r="AC3" s="10">
        <v>4.0000000000000003E-5</v>
      </c>
    </row>
    <row r="4" spans="1:30">
      <c r="A4" s="23">
        <v>0</v>
      </c>
      <c r="B4" s="23">
        <f t="shared" si="0"/>
        <v>0</v>
      </c>
      <c r="C4" s="23">
        <f t="shared" si="1"/>
        <v>0</v>
      </c>
      <c r="D4" s="2">
        <f>MIN(B4,D3+((B4-D3)*$S3))</f>
        <v>0</v>
      </c>
      <c r="E4" s="2">
        <f t="shared" si="2"/>
        <v>0</v>
      </c>
      <c r="F4" s="24">
        <f>F3+200</f>
        <v>400</v>
      </c>
      <c r="G4" s="24">
        <f t="shared" si="3"/>
        <v>12.546543018326467</v>
      </c>
      <c r="H4" s="24">
        <f t="shared" si="4"/>
        <v>0.1672872402443529</v>
      </c>
      <c r="I4" s="2">
        <f>MIN(G4,I3+((G4-I3)*$S3))</f>
        <v>12.546543018326467</v>
      </c>
      <c r="J4" s="2">
        <f t="shared" si="5"/>
        <v>0.1672872402443529</v>
      </c>
      <c r="K4" s="12">
        <f>K3+200</f>
        <v>400</v>
      </c>
      <c r="L4" s="12">
        <f t="shared" si="6"/>
        <v>29.523819601658555</v>
      </c>
      <c r="M4" s="12">
        <f t="shared" si="7"/>
        <v>0.17366952706857974</v>
      </c>
      <c r="N4" s="2">
        <f>MIN(L4,N3+((L4-N3)*$S3))</f>
        <v>29.523819601658555</v>
      </c>
      <c r="O4" s="2">
        <f t="shared" si="8"/>
        <v>0.17366952706857974</v>
      </c>
      <c r="P4" s="25">
        <f t="shared" si="9"/>
        <v>800</v>
      </c>
      <c r="Q4" s="25">
        <f t="shared" si="10"/>
        <v>42.070362619985019</v>
      </c>
      <c r="R4" s="25">
        <f t="shared" ref="R4:R32" si="13">AVERAGE(C4,H4,M4)</f>
        <v>0.11365225577097755</v>
      </c>
      <c r="S4" s="25">
        <f t="shared" si="11"/>
        <v>1</v>
      </c>
      <c r="T4" s="2">
        <f t="shared" ref="T4:T18" si="14">D4+I4+N4</f>
        <v>42.070362619985019</v>
      </c>
      <c r="U4" s="2">
        <f t="shared" ref="U4:U32" si="15">AVERAGE(E4,J4,O4)</f>
        <v>0.11365225577097755</v>
      </c>
      <c r="V4" s="3">
        <f t="shared" si="12"/>
        <v>4.0574265671996903</v>
      </c>
      <c r="W4" s="10"/>
      <c r="X4" s="10"/>
      <c r="Z4" t="s">
        <v>213</v>
      </c>
      <c r="AA4" s="10">
        <v>1</v>
      </c>
      <c r="AB4" s="10">
        <v>1</v>
      </c>
      <c r="AC4" s="10">
        <v>0.5</v>
      </c>
    </row>
    <row r="5" spans="1:30">
      <c r="A5" s="23">
        <v>0</v>
      </c>
      <c r="B5" s="23">
        <f t="shared" si="0"/>
        <v>0</v>
      </c>
      <c r="C5" s="23">
        <f t="shared" si="1"/>
        <v>0</v>
      </c>
      <c r="D5" s="2">
        <f t="shared" ref="D5:D27" si="16">MIN(B5,D4+((B5-D4)*$S4))</f>
        <v>0</v>
      </c>
      <c r="E5" s="2">
        <f t="shared" si="2"/>
        <v>0</v>
      </c>
      <c r="F5" s="24">
        <f>F4+300</f>
        <v>700</v>
      </c>
      <c r="G5" s="24">
        <f t="shared" si="3"/>
        <v>21.62956132416949</v>
      </c>
      <c r="H5" s="24">
        <f t="shared" si="4"/>
        <v>0.28839415098892651</v>
      </c>
      <c r="I5" s="2">
        <f t="shared" ref="I5:I27" si="17">MIN(G5,I4+((G5-I4)*$S4))</f>
        <v>21.62956132416949</v>
      </c>
      <c r="J5" s="2">
        <f t="shared" si="5"/>
        <v>0.28839415098892651</v>
      </c>
      <c r="K5" s="12">
        <f>K4+300</f>
        <v>700</v>
      </c>
      <c r="L5" s="12">
        <f t="shared" si="6"/>
        <v>51.050389257065461</v>
      </c>
      <c r="M5" s="12">
        <f t="shared" si="7"/>
        <v>0.3002964073945027</v>
      </c>
      <c r="N5" s="2">
        <f t="shared" ref="N5:N27" si="18">MIN(L5,N4+((L5-N4)*$S4))</f>
        <v>51.050389257065461</v>
      </c>
      <c r="O5" s="2">
        <f t="shared" si="8"/>
        <v>0.3002964073945027</v>
      </c>
      <c r="P5" s="25">
        <f t="shared" si="9"/>
        <v>1400</v>
      </c>
      <c r="Q5" s="25">
        <f t="shared" si="10"/>
        <v>72.679950581234948</v>
      </c>
      <c r="R5" s="25">
        <f t="shared" si="13"/>
        <v>0.19623018612780974</v>
      </c>
      <c r="S5" s="25">
        <f t="shared" si="11"/>
        <v>1</v>
      </c>
      <c r="T5" s="2">
        <f>D5+I5+N5</f>
        <v>72.679950581234948</v>
      </c>
      <c r="U5" s="2">
        <f t="shared" si="15"/>
        <v>0.19623018612780974</v>
      </c>
      <c r="V5" s="3">
        <f t="shared" si="12"/>
        <v>4.0574265671996903</v>
      </c>
      <c r="W5" s="8" t="s">
        <v>225</v>
      </c>
      <c r="X5" s="8"/>
      <c r="Y5" s="8"/>
      <c r="Z5" t="s">
        <v>214</v>
      </c>
      <c r="AA5" s="10">
        <v>60</v>
      </c>
      <c r="AB5" s="10">
        <v>75</v>
      </c>
      <c r="AC5" s="10">
        <v>170</v>
      </c>
    </row>
    <row r="6" spans="1:30">
      <c r="A6" s="23">
        <v>0</v>
      </c>
      <c r="B6" s="23">
        <f t="shared" si="0"/>
        <v>0</v>
      </c>
      <c r="C6" s="23">
        <f t="shared" si="1"/>
        <v>0</v>
      </c>
      <c r="D6" s="2">
        <f t="shared" si="16"/>
        <v>0</v>
      </c>
      <c r="E6" s="2">
        <f t="shared" si="2"/>
        <v>0</v>
      </c>
      <c r="F6" s="24">
        <f>F5+400</f>
        <v>1100</v>
      </c>
      <c r="G6" s="24">
        <f t="shared" si="3"/>
        <v>33.316277207962635</v>
      </c>
      <c r="H6" s="24">
        <f t="shared" si="4"/>
        <v>0.44421702943950181</v>
      </c>
      <c r="I6" s="2">
        <f t="shared" si="17"/>
        <v>33.316277207962635</v>
      </c>
      <c r="J6" s="2">
        <f t="shared" si="5"/>
        <v>0.44421702943950181</v>
      </c>
      <c r="K6" s="12">
        <f>K5+400</f>
        <v>1100</v>
      </c>
      <c r="L6" s="12">
        <f t="shared" si="6"/>
        <v>78.94870149152635</v>
      </c>
      <c r="M6" s="12">
        <f t="shared" si="7"/>
        <v>0.46440412642074325</v>
      </c>
      <c r="N6" s="2">
        <f t="shared" si="18"/>
        <v>78.94870149152635</v>
      </c>
      <c r="O6" s="2">
        <f t="shared" si="8"/>
        <v>0.46440412642074325</v>
      </c>
      <c r="P6" s="25">
        <f t="shared" si="9"/>
        <v>2200</v>
      </c>
      <c r="Q6" s="25">
        <f t="shared" si="10"/>
        <v>112.26497869948898</v>
      </c>
      <c r="R6" s="25">
        <f t="shared" si="13"/>
        <v>0.30287371862008167</v>
      </c>
      <c r="S6" s="25">
        <f t="shared" si="11"/>
        <v>1</v>
      </c>
      <c r="T6" s="2">
        <f>D6+I6+N6</f>
        <v>112.26497869948898</v>
      </c>
      <c r="U6" s="2">
        <f t="shared" si="15"/>
        <v>0.30287371862008167</v>
      </c>
      <c r="V6" s="3">
        <f t="shared" si="12"/>
        <v>4.0574265671996903</v>
      </c>
      <c r="W6" s="7"/>
      <c r="X6" s="7" t="s">
        <v>246</v>
      </c>
      <c r="Z6" t="s">
        <v>231</v>
      </c>
      <c r="AA6" s="8">
        <f>1.5234*(AA3^-0.959)</f>
        <v>33132.53519586</v>
      </c>
      <c r="AB6" s="8">
        <f>1.5234*(AB3^-0.959)</f>
        <v>20300.265460954692</v>
      </c>
      <c r="AC6" s="8">
        <f>1.5234*(AC3^-0.959)</f>
        <v>25144.234571270994</v>
      </c>
      <c r="AD6" t="s">
        <v>233</v>
      </c>
    </row>
    <row r="7" spans="1:30">
      <c r="A7" s="23">
        <v>0</v>
      </c>
      <c r="B7" s="23">
        <f t="shared" si="0"/>
        <v>0</v>
      </c>
      <c r="C7" s="23">
        <f t="shared" si="1"/>
        <v>0</v>
      </c>
      <c r="D7" s="2">
        <f t="shared" si="16"/>
        <v>0</v>
      </c>
      <c r="E7" s="2">
        <f t="shared" si="2"/>
        <v>0</v>
      </c>
      <c r="F7" s="24">
        <f>F6+500</f>
        <v>1600</v>
      </c>
      <c r="G7" s="24">
        <f t="shared" si="3"/>
        <v>47.263556934995755</v>
      </c>
      <c r="H7" s="24">
        <f t="shared" si="4"/>
        <v>0.63018075913327676</v>
      </c>
      <c r="I7" s="2">
        <f t="shared" si="17"/>
        <v>47.263556934995755</v>
      </c>
      <c r="J7" s="2">
        <f t="shared" si="5"/>
        <v>0.63018075913327676</v>
      </c>
      <c r="K7" s="12">
        <f>K6+500</f>
        <v>1600</v>
      </c>
      <c r="L7" s="12">
        <f t="shared" si="6"/>
        <v>112.56059994368754</v>
      </c>
      <c r="M7" s="12">
        <f t="shared" si="7"/>
        <v>0.66212117613933841</v>
      </c>
      <c r="N7" s="2">
        <f t="shared" si="18"/>
        <v>112.56059994368754</v>
      </c>
      <c r="O7" s="2">
        <f t="shared" si="8"/>
        <v>0.66212117613933841</v>
      </c>
      <c r="P7" s="25">
        <f t="shared" si="9"/>
        <v>3200</v>
      </c>
      <c r="Q7" s="25">
        <f t="shared" si="10"/>
        <v>159.82415687868328</v>
      </c>
      <c r="R7" s="25">
        <f t="shared" si="13"/>
        <v>0.43076731175753835</v>
      </c>
      <c r="S7" s="25">
        <f t="shared" si="11"/>
        <v>1</v>
      </c>
      <c r="T7" s="2">
        <f t="shared" si="14"/>
        <v>159.82415687868328</v>
      </c>
      <c r="U7" s="2">
        <f t="shared" si="15"/>
        <v>0.43076731175753835</v>
      </c>
      <c r="V7" s="3">
        <f t="shared" si="12"/>
        <v>4.0574265671996903</v>
      </c>
      <c r="W7" s="9" t="s">
        <v>236</v>
      </c>
      <c r="X7" s="9"/>
      <c r="Z7" t="s">
        <v>230</v>
      </c>
      <c r="AA7" s="8">
        <f>(AA6*AA$2*EXP(-AA$3*AA6))/AA$5</f>
        <v>5.7224648369527786</v>
      </c>
      <c r="AB7" s="8">
        <f>(AB6*AB$2*EXP(-AB$3*AB6))/AB$5</f>
        <v>3.1388876296171744</v>
      </c>
      <c r="AC7" s="8">
        <f>(AC6*AC$2*EXP(-AC$3*AC6))/AC$5</f>
        <v>4.0574265671996903</v>
      </c>
      <c r="AD7" s="8">
        <f>MAX(AA7:AC7)</f>
        <v>5.7224648369527786</v>
      </c>
    </row>
    <row r="8" spans="1:30">
      <c r="A8" s="23">
        <v>0</v>
      </c>
      <c r="B8" s="23">
        <f t="shared" si="0"/>
        <v>0</v>
      </c>
      <c r="C8" s="23">
        <f t="shared" si="1"/>
        <v>0</v>
      </c>
      <c r="D8" s="2">
        <f t="shared" si="16"/>
        <v>0</v>
      </c>
      <c r="E8" s="2">
        <f t="shared" si="2"/>
        <v>0</v>
      </c>
      <c r="F8" s="24">
        <f>F7+600</f>
        <v>2200</v>
      </c>
      <c r="G8" s="24">
        <f t="shared" si="3"/>
        <v>63.066723124875594</v>
      </c>
      <c r="H8" s="24">
        <f t="shared" si="4"/>
        <v>0.8408896416650079</v>
      </c>
      <c r="I8" s="2">
        <f t="shared" si="17"/>
        <v>63.066723124875594</v>
      </c>
      <c r="J8" s="2">
        <f t="shared" si="5"/>
        <v>0.8408896416650079</v>
      </c>
      <c r="K8" s="12">
        <f>K7+600</f>
        <v>2200</v>
      </c>
      <c r="L8" s="12">
        <f t="shared" si="6"/>
        <v>151.10054465934871</v>
      </c>
      <c r="M8" s="12">
        <f t="shared" si="7"/>
        <v>0.8888267332902865</v>
      </c>
      <c r="N8" s="2">
        <f t="shared" si="18"/>
        <v>151.10054465934871</v>
      </c>
      <c r="O8" s="2">
        <f t="shared" si="8"/>
        <v>0.8888267332902865</v>
      </c>
      <c r="P8" s="25">
        <f t="shared" si="9"/>
        <v>4400</v>
      </c>
      <c r="Q8" s="25">
        <f t="shared" si="10"/>
        <v>214.16726778422429</v>
      </c>
      <c r="R8" s="25">
        <f t="shared" si="13"/>
        <v>0.57657212498509813</v>
      </c>
      <c r="S8" s="25">
        <f t="shared" si="11"/>
        <v>1</v>
      </c>
      <c r="T8" s="2">
        <f>D8+I8+N8</f>
        <v>214.16726778422429</v>
      </c>
      <c r="U8" s="2">
        <f t="shared" si="15"/>
        <v>0.57657212498509813</v>
      </c>
      <c r="V8" s="3">
        <f t="shared" si="12"/>
        <v>4.0574265671996903</v>
      </c>
      <c r="Z8" t="s">
        <v>245</v>
      </c>
      <c r="AA8" t="s">
        <v>226</v>
      </c>
      <c r="AB8" t="s">
        <v>227</v>
      </c>
      <c r="AC8" t="s">
        <v>228</v>
      </c>
      <c r="AD8" t="s">
        <v>232</v>
      </c>
    </row>
    <row r="9" spans="1:30">
      <c r="A9" s="23">
        <v>0</v>
      </c>
      <c r="B9" s="23">
        <f t="shared" si="0"/>
        <v>0</v>
      </c>
      <c r="C9" s="23">
        <f t="shared" si="1"/>
        <v>0</v>
      </c>
      <c r="D9" s="2">
        <f t="shared" si="16"/>
        <v>0</v>
      </c>
      <c r="E9" s="2">
        <f t="shared" si="2"/>
        <v>0</v>
      </c>
      <c r="F9" s="24">
        <f>F8+700</f>
        <v>2900</v>
      </c>
      <c r="G9" s="24">
        <f t="shared" si="3"/>
        <v>80.274068800676787</v>
      </c>
      <c r="H9" s="24">
        <f t="shared" si="4"/>
        <v>1.0703209173423571</v>
      </c>
      <c r="I9" s="2">
        <f t="shared" si="17"/>
        <v>80.274068800676787</v>
      </c>
      <c r="J9" s="2">
        <f t="shared" si="5"/>
        <v>1.0703209173423571</v>
      </c>
      <c r="K9" s="12">
        <f>K8+700</f>
        <v>2900</v>
      </c>
      <c r="L9" s="12">
        <f t="shared" si="6"/>
        <v>193.67836106720029</v>
      </c>
      <c r="M9" s="12">
        <f t="shared" si="7"/>
        <v>1.1392844768658841</v>
      </c>
      <c r="N9" s="2">
        <f t="shared" si="18"/>
        <v>193.67836106720029</v>
      </c>
      <c r="O9" s="2">
        <f t="shared" si="8"/>
        <v>1.1392844768658841</v>
      </c>
      <c r="P9" s="25">
        <f t="shared" si="9"/>
        <v>5800</v>
      </c>
      <c r="Q9" s="25">
        <f t="shared" si="10"/>
        <v>273.95242986787707</v>
      </c>
      <c r="R9" s="25">
        <f t="shared" si="13"/>
        <v>0.73653513140274696</v>
      </c>
      <c r="S9" s="25">
        <f t="shared" si="11"/>
        <v>1</v>
      </c>
      <c r="T9" s="2">
        <f t="shared" si="14"/>
        <v>273.95242986787707</v>
      </c>
      <c r="U9" s="2">
        <f t="shared" si="15"/>
        <v>0.73653513140274696</v>
      </c>
      <c r="V9" s="3">
        <f t="shared" si="12"/>
        <v>4.0574265671996903</v>
      </c>
    </row>
    <row r="10" spans="1:30">
      <c r="A10" s="23">
        <v>0</v>
      </c>
      <c r="B10" s="23">
        <f t="shared" si="0"/>
        <v>0</v>
      </c>
      <c r="C10" s="23">
        <f t="shared" si="1"/>
        <v>0</v>
      </c>
      <c r="D10" s="2">
        <f t="shared" si="16"/>
        <v>0</v>
      </c>
      <c r="E10" s="2">
        <f t="shared" si="2"/>
        <v>0</v>
      </c>
      <c r="F10" s="24">
        <f>F9+800</f>
        <v>3700</v>
      </c>
      <c r="G10" s="24">
        <f t="shared" si="3"/>
        <v>98.402747208091682</v>
      </c>
      <c r="H10" s="24">
        <f t="shared" si="4"/>
        <v>1.3120366294412225</v>
      </c>
      <c r="I10" s="2">
        <f t="shared" si="17"/>
        <v>98.402747208091682</v>
      </c>
      <c r="J10" s="2">
        <f t="shared" si="5"/>
        <v>1.3120366294412225</v>
      </c>
      <c r="K10" s="12">
        <f>K9+800</f>
        <v>3700</v>
      </c>
      <c r="L10" s="12">
        <f t="shared" si="6"/>
        <v>239.32463439641759</v>
      </c>
      <c r="M10" s="12">
        <f t="shared" si="7"/>
        <v>1.4077919670377506</v>
      </c>
      <c r="N10" s="2">
        <f t="shared" si="18"/>
        <v>239.32463439641759</v>
      </c>
      <c r="O10" s="2">
        <f t="shared" si="8"/>
        <v>1.4077919670377506</v>
      </c>
      <c r="P10" s="25">
        <f t="shared" si="9"/>
        <v>7400</v>
      </c>
      <c r="Q10" s="25">
        <f t="shared" si="10"/>
        <v>337.72738160450928</v>
      </c>
      <c r="R10" s="25">
        <f t="shared" si="13"/>
        <v>0.90660953215965767</v>
      </c>
      <c r="S10" s="25">
        <f t="shared" si="11"/>
        <v>1</v>
      </c>
      <c r="T10" s="2">
        <f>D10+I10+N10</f>
        <v>337.72738160450928</v>
      </c>
      <c r="U10" s="2">
        <f t="shared" si="15"/>
        <v>0.90660953215965767</v>
      </c>
      <c r="V10" s="3">
        <f t="shared" si="12"/>
        <v>4.0574265671996903</v>
      </c>
    </row>
    <row r="11" spans="1:30">
      <c r="A11" s="23">
        <v>0</v>
      </c>
      <c r="B11" s="23">
        <f t="shared" si="0"/>
        <v>0</v>
      </c>
      <c r="C11" s="23">
        <f t="shared" si="1"/>
        <v>0</v>
      </c>
      <c r="D11" s="2">
        <f t="shared" si="16"/>
        <v>0</v>
      </c>
      <c r="E11" s="2">
        <f t="shared" si="2"/>
        <v>0</v>
      </c>
      <c r="F11" s="24">
        <f>F10+900</f>
        <v>4600</v>
      </c>
      <c r="G11" s="24">
        <f t="shared" si="3"/>
        <v>116.95534628849079</v>
      </c>
      <c r="H11" s="24">
        <f t="shared" si="4"/>
        <v>1.5594046171798772</v>
      </c>
      <c r="I11" s="2">
        <f t="shared" si="17"/>
        <v>116.95534628849079</v>
      </c>
      <c r="J11" s="2">
        <f t="shared" si="5"/>
        <v>1.5594046171798772</v>
      </c>
      <c r="K11" s="12">
        <f>K10+900</f>
        <v>4600</v>
      </c>
      <c r="L11" s="12">
        <f t="shared" si="6"/>
        <v>287.01785232020177</v>
      </c>
      <c r="M11" s="12">
        <f t="shared" si="7"/>
        <v>1.6883403077658927</v>
      </c>
      <c r="N11" s="2">
        <f t="shared" si="18"/>
        <v>287.01785232020177</v>
      </c>
      <c r="O11" s="2">
        <f t="shared" si="8"/>
        <v>1.6883403077658927</v>
      </c>
      <c r="P11" s="25">
        <f t="shared" si="9"/>
        <v>9200</v>
      </c>
      <c r="Q11" s="25">
        <f t="shared" si="10"/>
        <v>403.97319860869254</v>
      </c>
      <c r="R11" s="25">
        <f t="shared" si="13"/>
        <v>1.0825816416485898</v>
      </c>
      <c r="S11" s="25">
        <f t="shared" si="11"/>
        <v>1</v>
      </c>
      <c r="T11" s="2">
        <f t="shared" si="14"/>
        <v>403.97319860869254</v>
      </c>
      <c r="U11" s="2">
        <f t="shared" si="15"/>
        <v>1.0825816416485898</v>
      </c>
      <c r="V11" s="3">
        <f t="shared" si="12"/>
        <v>4.0574265671996903</v>
      </c>
    </row>
    <row r="12" spans="1:30">
      <c r="A12" s="23">
        <v>0</v>
      </c>
      <c r="B12" s="23">
        <f t="shared" si="0"/>
        <v>0</v>
      </c>
      <c r="C12" s="23">
        <f t="shared" si="1"/>
        <v>0</v>
      </c>
      <c r="D12" s="2">
        <f t="shared" si="16"/>
        <v>0</v>
      </c>
      <c r="E12" s="2">
        <f t="shared" si="2"/>
        <v>0</v>
      </c>
      <c r="F12" s="24">
        <f>F11+1000</f>
        <v>5600</v>
      </c>
      <c r="G12" s="24">
        <f t="shared" si="3"/>
        <v>135.43644646886602</v>
      </c>
      <c r="H12" s="24">
        <f t="shared" si="4"/>
        <v>1.805819286251547</v>
      </c>
      <c r="I12" s="2">
        <f t="shared" si="17"/>
        <v>135.43644646886602</v>
      </c>
      <c r="J12" s="2">
        <f t="shared" si="5"/>
        <v>1.805819286251547</v>
      </c>
      <c r="K12" s="12">
        <f>K11+1000</f>
        <v>5600</v>
      </c>
      <c r="L12" s="12">
        <f t="shared" si="6"/>
        <v>335.71235643513336</v>
      </c>
      <c r="M12" s="12">
        <f t="shared" si="7"/>
        <v>1.9747785672654903</v>
      </c>
      <c r="N12" s="2">
        <f t="shared" si="18"/>
        <v>335.71235643513336</v>
      </c>
      <c r="O12" s="2">
        <f t="shared" si="8"/>
        <v>1.9747785672654903</v>
      </c>
      <c r="P12" s="25">
        <f t="shared" si="9"/>
        <v>11200</v>
      </c>
      <c r="Q12" s="25">
        <f t="shared" si="10"/>
        <v>471.14880290399935</v>
      </c>
      <c r="R12" s="25">
        <f t="shared" si="13"/>
        <v>1.2601992845056791</v>
      </c>
      <c r="S12" s="25">
        <f t="shared" si="11"/>
        <v>1</v>
      </c>
      <c r="T12" s="2">
        <f t="shared" si="14"/>
        <v>471.14880290399935</v>
      </c>
      <c r="U12" s="2">
        <f t="shared" si="15"/>
        <v>1.2601992845056791</v>
      </c>
      <c r="V12" s="3">
        <f t="shared" si="12"/>
        <v>4.0574265671996903</v>
      </c>
    </row>
    <row r="13" spans="1:30">
      <c r="A13" s="23">
        <v>0</v>
      </c>
      <c r="B13" s="23">
        <f t="shared" si="0"/>
        <v>0</v>
      </c>
      <c r="C13" s="23">
        <f t="shared" si="1"/>
        <v>0</v>
      </c>
      <c r="D13" s="2">
        <f t="shared" si="16"/>
        <v>0</v>
      </c>
      <c r="E13" s="2">
        <f t="shared" si="2"/>
        <v>0</v>
      </c>
      <c r="F13" s="24">
        <f t="shared" ref="F13:F24" si="19">F12+1000</f>
        <v>6600</v>
      </c>
      <c r="G13" s="24">
        <f t="shared" si="3"/>
        <v>151.83669250082281</v>
      </c>
      <c r="H13" s="24">
        <f t="shared" si="4"/>
        <v>2.0244892333443043</v>
      </c>
      <c r="I13" s="2">
        <f t="shared" si="17"/>
        <v>151.83669250082281</v>
      </c>
      <c r="J13" s="2">
        <f t="shared" si="5"/>
        <v>2.0244892333443043</v>
      </c>
      <c r="K13" s="12">
        <f t="shared" ref="K13:K32" si="20">K12+1000</f>
        <v>6600</v>
      </c>
      <c r="L13" s="12">
        <f t="shared" si="6"/>
        <v>380.14690213006952</v>
      </c>
      <c r="M13" s="12">
        <f t="shared" si="7"/>
        <v>2.2361582478239383</v>
      </c>
      <c r="N13" s="2">
        <f t="shared" si="18"/>
        <v>380.14690213006952</v>
      </c>
      <c r="O13" s="2">
        <f t="shared" si="8"/>
        <v>2.2361582478239383</v>
      </c>
      <c r="P13" s="25">
        <f t="shared" si="9"/>
        <v>13200</v>
      </c>
      <c r="Q13" s="25">
        <f t="shared" si="10"/>
        <v>531.9835946308923</v>
      </c>
      <c r="R13" s="25">
        <f t="shared" si="13"/>
        <v>1.420215827056081</v>
      </c>
      <c r="S13" s="25">
        <f t="shared" si="11"/>
        <v>1</v>
      </c>
      <c r="T13" s="2">
        <f t="shared" si="14"/>
        <v>531.9835946308923</v>
      </c>
      <c r="U13" s="2">
        <f t="shared" si="15"/>
        <v>1.420215827056081</v>
      </c>
      <c r="V13" s="3">
        <f t="shared" si="12"/>
        <v>4.0574265671996903</v>
      </c>
    </row>
    <row r="14" spans="1:30">
      <c r="A14" s="23">
        <v>0</v>
      </c>
      <c r="B14" s="23">
        <f t="shared" si="0"/>
        <v>0</v>
      </c>
      <c r="C14" s="23">
        <f t="shared" si="1"/>
        <v>0</v>
      </c>
      <c r="D14" s="2">
        <f t="shared" si="16"/>
        <v>0</v>
      </c>
      <c r="E14" s="2">
        <f t="shared" si="2"/>
        <v>0</v>
      </c>
      <c r="F14" s="24">
        <f t="shared" si="19"/>
        <v>7600</v>
      </c>
      <c r="G14" s="24">
        <f t="shared" si="3"/>
        <v>166.31509472044496</v>
      </c>
      <c r="H14" s="24">
        <f t="shared" si="4"/>
        <v>2.2175345962725994</v>
      </c>
      <c r="I14" s="2">
        <f t="shared" si="17"/>
        <v>166.31509472044496</v>
      </c>
      <c r="J14" s="2">
        <f t="shared" si="5"/>
        <v>2.2175345962725994</v>
      </c>
      <c r="K14" s="12">
        <f t="shared" si="20"/>
        <v>7600</v>
      </c>
      <c r="L14" s="12">
        <f t="shared" si="6"/>
        <v>420.58069387683696</v>
      </c>
      <c r="M14" s="12">
        <f t="shared" si="7"/>
        <v>2.4740040816284528</v>
      </c>
      <c r="N14" s="2">
        <f t="shared" si="18"/>
        <v>420.58069387683696</v>
      </c>
      <c r="O14" s="2">
        <f t="shared" si="8"/>
        <v>2.4740040816284528</v>
      </c>
      <c r="P14" s="25">
        <f t="shared" si="9"/>
        <v>15200</v>
      </c>
      <c r="Q14" s="25">
        <f t="shared" si="10"/>
        <v>586.89578859728192</v>
      </c>
      <c r="R14" s="25">
        <f t="shared" si="13"/>
        <v>1.5638462259670174</v>
      </c>
      <c r="S14" s="25">
        <f t="shared" si="11"/>
        <v>1</v>
      </c>
      <c r="T14" s="2">
        <f t="shared" si="14"/>
        <v>586.89578859728192</v>
      </c>
      <c r="U14" s="2">
        <f t="shared" si="15"/>
        <v>1.5638462259670174</v>
      </c>
      <c r="V14" s="3">
        <f t="shared" si="12"/>
        <v>4.0574265671996903</v>
      </c>
      <c r="Y14" t="s">
        <v>248</v>
      </c>
    </row>
    <row r="15" spans="1:30">
      <c r="A15" s="23">
        <v>0</v>
      </c>
      <c r="B15" s="23">
        <f t="shared" si="0"/>
        <v>0</v>
      </c>
      <c r="C15" s="23">
        <f t="shared" si="1"/>
        <v>0</v>
      </c>
      <c r="D15" s="2">
        <f t="shared" si="16"/>
        <v>0</v>
      </c>
      <c r="E15" s="2">
        <f t="shared" si="2"/>
        <v>0</v>
      </c>
      <c r="F15" s="24">
        <f t="shared" si="19"/>
        <v>8600</v>
      </c>
      <c r="G15" s="24">
        <f t="shared" si="3"/>
        <v>179.02010286785671</v>
      </c>
      <c r="H15" s="24">
        <f t="shared" si="4"/>
        <v>2.386934704904756</v>
      </c>
      <c r="I15" s="2">
        <f t="shared" si="17"/>
        <v>179.02010286785671</v>
      </c>
      <c r="J15" s="2">
        <f t="shared" si="5"/>
        <v>2.386934704904756</v>
      </c>
      <c r="K15" s="12">
        <f t="shared" si="20"/>
        <v>8600</v>
      </c>
      <c r="L15" s="12">
        <f t="shared" si="6"/>
        <v>457.25915859193441</v>
      </c>
      <c r="M15" s="12">
        <f t="shared" si="7"/>
        <v>2.6897597564231437</v>
      </c>
      <c r="N15" s="2">
        <f t="shared" si="18"/>
        <v>457.25915859193441</v>
      </c>
      <c r="O15" s="2">
        <f t="shared" si="8"/>
        <v>2.6897597564231437</v>
      </c>
      <c r="P15" s="25">
        <f t="shared" si="9"/>
        <v>17200</v>
      </c>
      <c r="Q15" s="25">
        <f t="shared" si="10"/>
        <v>636.27926145979109</v>
      </c>
      <c r="R15" s="25">
        <f t="shared" si="13"/>
        <v>1.6922314871093</v>
      </c>
      <c r="S15" s="25">
        <f t="shared" si="11"/>
        <v>1</v>
      </c>
      <c r="T15" s="2">
        <f t="shared" si="14"/>
        <v>636.27926145979109</v>
      </c>
      <c r="U15" s="2">
        <f t="shared" si="15"/>
        <v>1.6922314871093</v>
      </c>
      <c r="V15" s="3">
        <f t="shared" si="12"/>
        <v>4.0574265671996903</v>
      </c>
      <c r="X15" t="s">
        <v>239</v>
      </c>
      <c r="Y15" t="s">
        <v>219</v>
      </c>
      <c r="Z15" t="s">
        <v>247</v>
      </c>
    </row>
    <row r="16" spans="1:30">
      <c r="A16" s="23">
        <v>200</v>
      </c>
      <c r="B16" s="23">
        <f t="shared" si="0"/>
        <v>5.5665005987020377</v>
      </c>
      <c r="C16" s="23">
        <f t="shared" si="1"/>
        <v>9.2775009978367295E-2</v>
      </c>
      <c r="D16" s="2">
        <f>B16</f>
        <v>5.5665005987020377</v>
      </c>
      <c r="E16" s="2">
        <f t="shared" si="2"/>
        <v>9.2775009978367295E-2</v>
      </c>
      <c r="F16" s="24">
        <f t="shared" si="19"/>
        <v>9600</v>
      </c>
      <c r="G16" s="24">
        <f t="shared" si="3"/>
        <v>190.09025796284647</v>
      </c>
      <c r="H16" s="24">
        <f t="shared" si="4"/>
        <v>2.5345367728379529</v>
      </c>
      <c r="I16" s="2">
        <f t="shared" si="17"/>
        <v>190.09025796284647</v>
      </c>
      <c r="J16" s="2">
        <f t="shared" si="5"/>
        <v>2.5345367728379529</v>
      </c>
      <c r="K16" s="12">
        <f t="shared" si="20"/>
        <v>9600</v>
      </c>
      <c r="L16" s="12">
        <f t="shared" si="6"/>
        <v>490.41462756927393</v>
      </c>
      <c r="M16" s="12">
        <f t="shared" si="7"/>
        <v>2.8847919268780822</v>
      </c>
      <c r="N16" s="2">
        <f t="shared" si="18"/>
        <v>490.41462756927393</v>
      </c>
      <c r="O16" s="2">
        <f t="shared" si="8"/>
        <v>2.8847919268780822</v>
      </c>
      <c r="P16" s="25">
        <f t="shared" si="9"/>
        <v>19400</v>
      </c>
      <c r="Q16" s="25">
        <f t="shared" si="10"/>
        <v>686.07138613082248</v>
      </c>
      <c r="R16" s="25">
        <f t="shared" si="13"/>
        <v>1.8373679032314676</v>
      </c>
      <c r="S16" s="25">
        <f t="shared" si="11"/>
        <v>1</v>
      </c>
      <c r="T16" s="2">
        <f t="shared" si="14"/>
        <v>686.07138613082248</v>
      </c>
      <c r="U16" s="2">
        <f t="shared" si="15"/>
        <v>1.8373679032314676</v>
      </c>
      <c r="V16" s="3">
        <f t="shared" si="12"/>
        <v>5.7224648369527786</v>
      </c>
      <c r="X16">
        <v>0</v>
      </c>
      <c r="Y16" s="7">
        <f t="shared" ref="Y16:Y22" si="21">IF(X16&lt;($X$2/2),1,1-(((X16-($X$2/2))/($X$2/2))^$X$3))</f>
        <v>1</v>
      </c>
    </row>
    <row r="17" spans="1:25">
      <c r="A17" s="23">
        <f>A16+100</f>
        <v>300</v>
      </c>
      <c r="B17" s="23">
        <f t="shared" si="0"/>
        <v>8.3247391816922232</v>
      </c>
      <c r="C17" s="23">
        <f t="shared" si="1"/>
        <v>0.13874565302820371</v>
      </c>
      <c r="D17" s="2">
        <f t="shared" si="16"/>
        <v>8.3247391816922232</v>
      </c>
      <c r="E17" s="2">
        <f t="shared" si="2"/>
        <v>0.13874565302820371</v>
      </c>
      <c r="F17" s="24">
        <f t="shared" si="19"/>
        <v>10600</v>
      </c>
      <c r="G17" s="24">
        <f t="shared" si="3"/>
        <v>199.65480571489806</v>
      </c>
      <c r="H17" s="24">
        <f t="shared" si="4"/>
        <v>2.6620640761986407</v>
      </c>
      <c r="I17" s="2">
        <f t="shared" si="17"/>
        <v>199.65480571489806</v>
      </c>
      <c r="J17" s="2">
        <f t="shared" si="5"/>
        <v>2.6620640761986407</v>
      </c>
      <c r="K17" s="12">
        <f t="shared" si="20"/>
        <v>10600</v>
      </c>
      <c r="L17" s="12">
        <f t="shared" si="6"/>
        <v>520.26698611754261</v>
      </c>
      <c r="M17" s="12">
        <f t="shared" si="7"/>
        <v>3.0603940359855448</v>
      </c>
      <c r="N17" s="2">
        <f t="shared" si="18"/>
        <v>520.26698611754261</v>
      </c>
      <c r="O17" s="2">
        <f t="shared" si="8"/>
        <v>3.0603940359855448</v>
      </c>
      <c r="P17" s="25">
        <f t="shared" si="9"/>
        <v>21500</v>
      </c>
      <c r="Q17" s="25">
        <f t="shared" si="10"/>
        <v>728.24653101413287</v>
      </c>
      <c r="R17" s="25">
        <f t="shared" si="13"/>
        <v>1.9537345884041297</v>
      </c>
      <c r="S17" s="25">
        <f t="shared" si="11"/>
        <v>1</v>
      </c>
      <c r="T17" s="2">
        <f t="shared" si="14"/>
        <v>728.24653101413287</v>
      </c>
      <c r="U17" s="2">
        <f t="shared" si="15"/>
        <v>1.9537345884041297</v>
      </c>
      <c r="V17" s="3">
        <f t="shared" si="12"/>
        <v>5.7224648369527786</v>
      </c>
      <c r="X17">
        <f>X16+0.5</f>
        <v>0.5</v>
      </c>
      <c r="Y17" s="7">
        <f t="shared" si="21"/>
        <v>1</v>
      </c>
    </row>
    <row r="18" spans="1:25">
      <c r="A18" s="23">
        <f>A17+300</f>
        <v>600</v>
      </c>
      <c r="B18" s="23">
        <f t="shared" si="0"/>
        <v>16.500305343619452</v>
      </c>
      <c r="C18" s="23">
        <f t="shared" si="1"/>
        <v>0.27500508906032423</v>
      </c>
      <c r="D18" s="2">
        <f t="shared" si="16"/>
        <v>16.500305343619452</v>
      </c>
      <c r="E18" s="2">
        <f t="shared" si="2"/>
        <v>0.27500508906032423</v>
      </c>
      <c r="F18" s="24">
        <f t="shared" si="19"/>
        <v>11600</v>
      </c>
      <c r="G18" s="24">
        <f t="shared" si="3"/>
        <v>207.83427366907722</v>
      </c>
      <c r="H18" s="24">
        <f t="shared" si="4"/>
        <v>2.7711236489210296</v>
      </c>
      <c r="I18" s="2">
        <f t="shared" si="17"/>
        <v>207.83427366907722</v>
      </c>
      <c r="J18" s="2">
        <f t="shared" si="5"/>
        <v>2.7711236489210296</v>
      </c>
      <c r="K18" s="12">
        <f t="shared" si="20"/>
        <v>11600</v>
      </c>
      <c r="L18" s="12">
        <f t="shared" si="6"/>
        <v>547.02429238637558</v>
      </c>
      <c r="M18" s="12">
        <f t="shared" si="7"/>
        <v>3.2177899552139739</v>
      </c>
      <c r="N18" s="2">
        <f t="shared" si="18"/>
        <v>547.02429238637558</v>
      </c>
      <c r="O18" s="2">
        <f t="shared" si="8"/>
        <v>3.2177899552139739</v>
      </c>
      <c r="P18" s="25">
        <f t="shared" si="9"/>
        <v>23800</v>
      </c>
      <c r="Q18" s="25">
        <f t="shared" si="10"/>
        <v>771.35887139907231</v>
      </c>
      <c r="R18" s="25">
        <f t="shared" si="13"/>
        <v>2.0879728977317757</v>
      </c>
      <c r="S18" s="25">
        <f t="shared" si="11"/>
        <v>1</v>
      </c>
      <c r="T18" s="2">
        <f t="shared" si="14"/>
        <v>771.35887139907231</v>
      </c>
      <c r="U18" s="2">
        <f t="shared" si="15"/>
        <v>2.0879728977317757</v>
      </c>
      <c r="V18" s="3">
        <f t="shared" si="12"/>
        <v>5.7224648369527786</v>
      </c>
      <c r="X18" s="7">
        <f t="shared" ref="X18:X28" si="22">X17+0.5</f>
        <v>1</v>
      </c>
      <c r="Y18" s="7">
        <f t="shared" si="21"/>
        <v>1</v>
      </c>
    </row>
    <row r="19" spans="1:25">
      <c r="A19" s="23">
        <f>A18+400</f>
        <v>1000</v>
      </c>
      <c r="B19" s="23">
        <f t="shared" si="0"/>
        <v>27.172474939358228</v>
      </c>
      <c r="C19" s="23">
        <f t="shared" si="1"/>
        <v>0.45287458232263711</v>
      </c>
      <c r="D19" s="2">
        <f t="shared" si="16"/>
        <v>27.172474939358228</v>
      </c>
      <c r="E19" s="2">
        <f t="shared" si="2"/>
        <v>0.45287458232263711</v>
      </c>
      <c r="F19" s="24">
        <f t="shared" si="19"/>
        <v>12600</v>
      </c>
      <c r="G19" s="24">
        <f t="shared" si="3"/>
        <v>214.74101416598094</v>
      </c>
      <c r="H19" s="24">
        <f t="shared" si="4"/>
        <v>2.8632135222130795</v>
      </c>
      <c r="I19" s="2">
        <f t="shared" si="17"/>
        <v>214.74101416598094</v>
      </c>
      <c r="J19" s="2">
        <f t="shared" si="5"/>
        <v>2.8632135222130795</v>
      </c>
      <c r="K19" s="12">
        <f t="shared" si="20"/>
        <v>12600</v>
      </c>
      <c r="L19" s="12">
        <f t="shared" si="6"/>
        <v>570.88336679879217</v>
      </c>
      <c r="M19" s="12">
        <f t="shared" si="7"/>
        <v>3.3581374517576008</v>
      </c>
      <c r="N19" s="2">
        <f t="shared" si="18"/>
        <v>570.88336679879217</v>
      </c>
      <c r="O19" s="2">
        <f t="shared" si="8"/>
        <v>3.3581374517576008</v>
      </c>
      <c r="P19" s="25">
        <f t="shared" ref="P19:P32" si="23">A19+F19+K19</f>
        <v>26200</v>
      </c>
      <c r="Q19" s="25">
        <f t="shared" ref="Q19:Q32" si="24">B19+G19+L19</f>
        <v>812.79685590413135</v>
      </c>
      <c r="R19" s="25">
        <f t="shared" si="13"/>
        <v>2.2247418520977722</v>
      </c>
      <c r="S19" s="25">
        <f t="shared" si="11"/>
        <v>1</v>
      </c>
      <c r="T19" s="2">
        <f t="shared" ref="T19:T32" si="25">D19+I19+N19</f>
        <v>812.79685590413135</v>
      </c>
      <c r="U19" s="2">
        <f t="shared" si="15"/>
        <v>2.2247418520977722</v>
      </c>
      <c r="V19" s="3">
        <f t="shared" si="12"/>
        <v>5.7224648369527786</v>
      </c>
      <c r="X19" s="7">
        <f t="shared" si="22"/>
        <v>1.5</v>
      </c>
      <c r="Y19" s="7">
        <f t="shared" si="21"/>
        <v>1</v>
      </c>
    </row>
    <row r="20" spans="1:25">
      <c r="A20" s="23">
        <f>A19+500</f>
        <v>1500</v>
      </c>
      <c r="B20" s="23">
        <f t="shared" si="0"/>
        <v>40.151894236990195</v>
      </c>
      <c r="C20" s="23">
        <f t="shared" si="1"/>
        <v>0.66919823728316996</v>
      </c>
      <c r="D20" s="2">
        <f t="shared" si="16"/>
        <v>40.151894236990195</v>
      </c>
      <c r="E20" s="2">
        <f t="shared" si="2"/>
        <v>0.66919823728316996</v>
      </c>
      <c r="F20" s="24">
        <f t="shared" si="19"/>
        <v>13600</v>
      </c>
      <c r="G20" s="24">
        <f t="shared" si="3"/>
        <v>220.47971507750455</v>
      </c>
      <c r="H20" s="24">
        <f t="shared" si="4"/>
        <v>2.9397295343667271</v>
      </c>
      <c r="I20" s="2">
        <f t="shared" si="17"/>
        <v>220.47971507750455</v>
      </c>
      <c r="J20" s="2">
        <f t="shared" si="5"/>
        <v>2.9397295343667271</v>
      </c>
      <c r="K20" s="12">
        <f t="shared" si="20"/>
        <v>13600</v>
      </c>
      <c r="L20" s="12">
        <f t="shared" si="6"/>
        <v>592.03035344355726</v>
      </c>
      <c r="M20" s="12">
        <f t="shared" si="7"/>
        <v>3.4825314908444547</v>
      </c>
      <c r="N20" s="2">
        <f t="shared" si="18"/>
        <v>592.03035344355726</v>
      </c>
      <c r="O20" s="2">
        <f t="shared" si="8"/>
        <v>3.4825314908444547</v>
      </c>
      <c r="P20" s="25">
        <f t="shared" si="23"/>
        <v>28700</v>
      </c>
      <c r="Q20" s="25">
        <f t="shared" si="24"/>
        <v>852.66196275805203</v>
      </c>
      <c r="R20" s="25">
        <f t="shared" si="13"/>
        <v>2.3638197541647838</v>
      </c>
      <c r="S20" s="25">
        <f t="shared" si="11"/>
        <v>1</v>
      </c>
      <c r="T20" s="2">
        <f t="shared" si="25"/>
        <v>852.66196275805203</v>
      </c>
      <c r="U20" s="2">
        <f t="shared" si="15"/>
        <v>2.3638197541647838</v>
      </c>
      <c r="V20" s="3">
        <f t="shared" si="12"/>
        <v>5.7224648369527786</v>
      </c>
      <c r="W20" s="7"/>
      <c r="X20" s="7">
        <f t="shared" si="22"/>
        <v>2</v>
      </c>
      <c r="Y20" s="7">
        <f t="shared" si="21"/>
        <v>1</v>
      </c>
    </row>
    <row r="21" spans="1:25">
      <c r="A21" s="23">
        <f>A20+600</f>
        <v>2100</v>
      </c>
      <c r="B21" s="23">
        <f t="shared" si="0"/>
        <v>55.209876252921035</v>
      </c>
      <c r="C21" s="23">
        <f t="shared" si="1"/>
        <v>0.92016460421535062</v>
      </c>
      <c r="D21" s="2">
        <f t="shared" si="16"/>
        <v>55.209876252921035</v>
      </c>
      <c r="E21" s="2">
        <f t="shared" si="2"/>
        <v>0.92016460421535062</v>
      </c>
      <c r="F21" s="24">
        <f t="shared" si="19"/>
        <v>14600</v>
      </c>
      <c r="G21" s="24">
        <f t="shared" si="3"/>
        <v>225.14788017014257</v>
      </c>
      <c r="H21" s="24">
        <f t="shared" si="4"/>
        <v>3.0019717356019009</v>
      </c>
      <c r="I21" s="2">
        <f t="shared" si="17"/>
        <v>225.14788017014257</v>
      </c>
      <c r="J21" s="2">
        <f t="shared" si="5"/>
        <v>3.0019717356019009</v>
      </c>
      <c r="K21" s="12">
        <f t="shared" si="20"/>
        <v>14600</v>
      </c>
      <c r="L21" s="12">
        <f t="shared" si="6"/>
        <v>610.64125472017133</v>
      </c>
      <c r="M21" s="12">
        <f t="shared" si="7"/>
        <v>3.5920073807068902</v>
      </c>
      <c r="N21" s="2">
        <f t="shared" si="18"/>
        <v>610.64125472017133</v>
      </c>
      <c r="O21" s="2">
        <f t="shared" si="8"/>
        <v>3.5920073807068902</v>
      </c>
      <c r="P21" s="25">
        <f t="shared" si="23"/>
        <v>31300</v>
      </c>
      <c r="Q21" s="25">
        <f t="shared" si="24"/>
        <v>890.99901114323495</v>
      </c>
      <c r="R21" s="25">
        <f t="shared" si="13"/>
        <v>2.5047145735080476</v>
      </c>
      <c r="S21" s="25">
        <f t="shared" si="11"/>
        <v>1</v>
      </c>
      <c r="T21" s="2">
        <f t="shared" si="25"/>
        <v>890.99901114323495</v>
      </c>
      <c r="U21" s="2">
        <f t="shared" si="15"/>
        <v>2.5047145735080476</v>
      </c>
      <c r="V21" s="3">
        <f t="shared" si="12"/>
        <v>5.7224648369527786</v>
      </c>
      <c r="W21" s="7"/>
      <c r="X21" s="7">
        <f t="shared" si="22"/>
        <v>2.5</v>
      </c>
      <c r="Y21" s="7">
        <f t="shared" si="21"/>
        <v>1</v>
      </c>
    </row>
    <row r="22" spans="1:25">
      <c r="A22" s="23">
        <f>A21+700</f>
        <v>2800</v>
      </c>
      <c r="B22" s="23">
        <f t="shared" si="0"/>
        <v>72.083410477857782</v>
      </c>
      <c r="C22" s="23">
        <f t="shared" si="1"/>
        <v>1.201390174630963</v>
      </c>
      <c r="D22" s="2">
        <f t="shared" si="16"/>
        <v>72.083410477857782</v>
      </c>
      <c r="E22" s="2">
        <f t="shared" si="2"/>
        <v>1.201390174630963</v>
      </c>
      <c r="F22" s="24">
        <f t="shared" si="19"/>
        <v>15600</v>
      </c>
      <c r="G22" s="24">
        <f t="shared" si="3"/>
        <v>228.83628084356758</v>
      </c>
      <c r="H22" s="24">
        <f t="shared" si="4"/>
        <v>3.0511504112475678</v>
      </c>
      <c r="I22" s="2">
        <f t="shared" si="17"/>
        <v>228.83628084356758</v>
      </c>
      <c r="J22" s="2">
        <f t="shared" si="5"/>
        <v>3.0511504112475678</v>
      </c>
      <c r="K22" s="12">
        <f t="shared" si="20"/>
        <v>15600</v>
      </c>
      <c r="L22" s="12">
        <f t="shared" si="6"/>
        <v>626.8824404709236</v>
      </c>
      <c r="M22" s="12">
        <f t="shared" si="7"/>
        <v>3.6875437674760212</v>
      </c>
      <c r="N22" s="2">
        <f t="shared" si="18"/>
        <v>626.8824404709236</v>
      </c>
      <c r="O22" s="2">
        <f t="shared" si="8"/>
        <v>3.6875437674760212</v>
      </c>
      <c r="P22" s="25">
        <f t="shared" si="23"/>
        <v>34000</v>
      </c>
      <c r="Q22" s="25">
        <f t="shared" si="24"/>
        <v>927.80213179234897</v>
      </c>
      <c r="R22" s="25">
        <f t="shared" si="13"/>
        <v>2.6466947844515176</v>
      </c>
      <c r="S22" s="25">
        <f t="shared" si="11"/>
        <v>1</v>
      </c>
      <c r="T22" s="2">
        <f t="shared" si="25"/>
        <v>927.80213179234897</v>
      </c>
      <c r="U22" s="2">
        <f t="shared" si="15"/>
        <v>2.6466947844515176</v>
      </c>
      <c r="V22" s="3">
        <f t="shared" si="12"/>
        <v>5.7224648369527786</v>
      </c>
      <c r="W22" s="7"/>
      <c r="X22" s="7">
        <f t="shared" si="22"/>
        <v>3</v>
      </c>
      <c r="Y22" s="7">
        <f t="shared" si="21"/>
        <v>0.95150076567442754</v>
      </c>
    </row>
    <row r="23" spans="1:25">
      <c r="A23" s="23">
        <f>A22+800</f>
        <v>3600</v>
      </c>
      <c r="B23" s="23">
        <f t="shared" si="0"/>
        <v>90.480861720187832</v>
      </c>
      <c r="C23" s="23">
        <f t="shared" si="1"/>
        <v>1.5080143620031305</v>
      </c>
      <c r="D23" s="2">
        <f t="shared" si="16"/>
        <v>90.480861720187832</v>
      </c>
      <c r="E23" s="2">
        <f t="shared" si="2"/>
        <v>1.5080143620031305</v>
      </c>
      <c r="F23" s="24">
        <f t="shared" si="19"/>
        <v>16600</v>
      </c>
      <c r="G23" s="24">
        <f t="shared" si="3"/>
        <v>231.62938089399969</v>
      </c>
      <c r="H23" s="24">
        <f t="shared" si="4"/>
        <v>3.0883917452533294</v>
      </c>
      <c r="I23" s="2">
        <f t="shared" si="17"/>
        <v>231.62938089399969</v>
      </c>
      <c r="J23" s="2">
        <f t="shared" si="5"/>
        <v>3.0883917452533294</v>
      </c>
      <c r="K23" s="12">
        <f t="shared" si="20"/>
        <v>16600</v>
      </c>
      <c r="L23" s="12">
        <f t="shared" si="6"/>
        <v>640.91113277876104</v>
      </c>
      <c r="M23" s="12">
        <f t="shared" si="7"/>
        <v>3.7700654869338885</v>
      </c>
      <c r="N23" s="2">
        <f t="shared" si="18"/>
        <v>640.91113277876104</v>
      </c>
      <c r="O23" s="2">
        <f t="shared" si="8"/>
        <v>3.7700654869338885</v>
      </c>
      <c r="P23" s="25">
        <f t="shared" si="23"/>
        <v>36800</v>
      </c>
      <c r="Q23" s="25">
        <f t="shared" si="24"/>
        <v>963.02137539294858</v>
      </c>
      <c r="R23" s="25">
        <f t="shared" si="13"/>
        <v>2.7888238647301158</v>
      </c>
      <c r="S23" s="25">
        <f t="shared" si="11"/>
        <v>1</v>
      </c>
      <c r="T23" s="2">
        <f t="shared" si="25"/>
        <v>963.02137539294858</v>
      </c>
      <c r="U23" s="2">
        <f t="shared" si="15"/>
        <v>2.7888238647301158</v>
      </c>
      <c r="V23" s="3">
        <f t="shared" si="12"/>
        <v>5.7224648369527786</v>
      </c>
      <c r="W23" s="7"/>
      <c r="X23" s="7">
        <f t="shared" si="22"/>
        <v>3.5</v>
      </c>
      <c r="Y23" s="7">
        <f t="shared" ref="Y23:Y28" si="26">IF(X23&lt;($X$2/2),1,1-(((X23-($X$2/2))/($X$2/2))^$X$3))</f>
        <v>0.77675089328683211</v>
      </c>
    </row>
    <row r="24" spans="1:25">
      <c r="A24" s="23">
        <f>A23+900</f>
        <v>4500</v>
      </c>
      <c r="B24" s="23">
        <f t="shared" si="0"/>
        <v>110.08820487269233</v>
      </c>
      <c r="C24" s="23">
        <f t="shared" si="1"/>
        <v>1.8348034145448722</v>
      </c>
      <c r="D24" s="2">
        <f t="shared" si="16"/>
        <v>110.08820487269233</v>
      </c>
      <c r="E24" s="2">
        <f t="shared" si="2"/>
        <v>1.8348034145448722</v>
      </c>
      <c r="F24" s="24">
        <f t="shared" si="19"/>
        <v>17600</v>
      </c>
      <c r="G24" s="24">
        <f t="shared" si="3"/>
        <v>233.60573585906664</v>
      </c>
      <c r="H24" s="24">
        <f t="shared" si="4"/>
        <v>3.1147431447875551</v>
      </c>
      <c r="I24" s="2">
        <f t="shared" si="17"/>
        <v>233.60573585906664</v>
      </c>
      <c r="J24" s="2">
        <f t="shared" si="5"/>
        <v>3.1147431447875551</v>
      </c>
      <c r="K24" s="12">
        <f t="shared" si="20"/>
        <v>17600</v>
      </c>
      <c r="L24" s="12">
        <f t="shared" si="6"/>
        <v>652.87586755651523</v>
      </c>
      <c r="M24" s="12">
        <f t="shared" si="7"/>
        <v>3.8404462797442074</v>
      </c>
      <c r="N24" s="2">
        <f t="shared" si="18"/>
        <v>652.87586755651523</v>
      </c>
      <c r="O24" s="2">
        <f t="shared" si="8"/>
        <v>3.8404462797442074</v>
      </c>
      <c r="P24" s="25">
        <f t="shared" si="23"/>
        <v>39700</v>
      </c>
      <c r="Q24" s="25">
        <f t="shared" si="24"/>
        <v>996.5698082882742</v>
      </c>
      <c r="R24" s="25">
        <f t="shared" si="13"/>
        <v>2.9299976130255452</v>
      </c>
      <c r="S24" s="25">
        <f t="shared" si="11"/>
        <v>0.97596658205565368</v>
      </c>
      <c r="T24" s="2">
        <f t="shared" si="25"/>
        <v>996.5698082882742</v>
      </c>
      <c r="U24" s="2">
        <f t="shared" si="15"/>
        <v>2.9299976130255452</v>
      </c>
      <c r="V24" s="3">
        <f t="shared" si="12"/>
        <v>5.7224648369527786</v>
      </c>
      <c r="W24" s="7"/>
      <c r="X24" s="7">
        <f t="shared" si="22"/>
        <v>4</v>
      </c>
      <c r="Y24" s="7">
        <f t="shared" si="26"/>
        <v>0.60200102089923679</v>
      </c>
    </row>
    <row r="25" spans="1:25">
      <c r="A25" s="23">
        <f>A24+1000</f>
        <v>5500</v>
      </c>
      <c r="B25" s="23">
        <f t="shared" si="0"/>
        <v>130.57563042953905</v>
      </c>
      <c r="C25" s="23">
        <f t="shared" si="1"/>
        <v>2.1762605071589842</v>
      </c>
      <c r="D25" s="2">
        <f t="shared" si="16"/>
        <v>130.08324756852767</v>
      </c>
      <c r="E25" s="2">
        <f t="shared" si="2"/>
        <v>2.168054126142128</v>
      </c>
      <c r="F25" s="24">
        <v>17600</v>
      </c>
      <c r="G25" s="24">
        <f t="shared" si="3"/>
        <v>233.60573585906664</v>
      </c>
      <c r="H25" s="24">
        <f t="shared" si="4"/>
        <v>3.1147431447875551</v>
      </c>
      <c r="I25" s="2">
        <f t="shared" si="17"/>
        <v>233.60573585906664</v>
      </c>
      <c r="J25" s="2">
        <f t="shared" si="5"/>
        <v>3.1147431447875551</v>
      </c>
      <c r="K25" s="12">
        <f t="shared" si="20"/>
        <v>18600</v>
      </c>
      <c r="L25" s="12">
        <f t="shared" si="6"/>
        <v>662.9169340021715</v>
      </c>
      <c r="M25" s="12">
        <f t="shared" si="7"/>
        <v>3.8995113764833618</v>
      </c>
      <c r="N25" s="2">
        <f t="shared" si="18"/>
        <v>662.67561285567604</v>
      </c>
      <c r="O25" s="2">
        <f t="shared" si="8"/>
        <v>3.8980918403275062</v>
      </c>
      <c r="P25" s="25">
        <f t="shared" si="23"/>
        <v>41700</v>
      </c>
      <c r="Q25" s="25">
        <f t="shared" si="24"/>
        <v>1027.0983002907772</v>
      </c>
      <c r="R25" s="25">
        <f t="shared" si="13"/>
        <v>3.0635050094766338</v>
      </c>
      <c r="S25" s="25">
        <f t="shared" si="11"/>
        <v>0.93042719960209463</v>
      </c>
      <c r="T25" s="2">
        <f t="shared" si="25"/>
        <v>1026.3645962832702</v>
      </c>
      <c r="U25" s="2">
        <f t="shared" si="15"/>
        <v>3.0602963704190631</v>
      </c>
      <c r="V25" s="3">
        <f t="shared" si="12"/>
        <v>5.7224648369527786</v>
      </c>
      <c r="W25" s="7"/>
      <c r="X25" s="7">
        <f t="shared" si="22"/>
        <v>4.5</v>
      </c>
      <c r="Y25" s="7">
        <f t="shared" si="26"/>
        <v>0.42725114851164137</v>
      </c>
    </row>
    <row r="26" spans="1:25">
      <c r="A26" s="23">
        <f t="shared" ref="A26:A32" si="27">A25+1000</f>
        <v>6500</v>
      </c>
      <c r="B26" s="23">
        <f t="shared" si="0"/>
        <v>149.75590776619535</v>
      </c>
      <c r="C26" s="23">
        <f t="shared" si="1"/>
        <v>2.4959317961032559</v>
      </c>
      <c r="D26" s="2">
        <f t="shared" si="16"/>
        <v>148.38722570496719</v>
      </c>
      <c r="E26" s="2">
        <f t="shared" si="2"/>
        <v>2.4731204284161197</v>
      </c>
      <c r="F26" s="24">
        <f>F25-100*2</f>
        <v>17400</v>
      </c>
      <c r="G26" s="24">
        <f t="shared" si="3"/>
        <v>233.27222262108543</v>
      </c>
      <c r="H26" s="24">
        <f t="shared" si="4"/>
        <v>3.1102963016144725</v>
      </c>
      <c r="I26" s="2">
        <f t="shared" si="17"/>
        <v>233.27222262108543</v>
      </c>
      <c r="J26" s="2">
        <f t="shared" si="5"/>
        <v>3.1102963016144725</v>
      </c>
      <c r="K26" s="12">
        <v>5000</v>
      </c>
      <c r="L26" s="12">
        <f t="shared" si="6"/>
        <v>307.0240324042432</v>
      </c>
      <c r="M26" s="12">
        <f t="shared" si="7"/>
        <v>1.80602372002496</v>
      </c>
      <c r="N26" s="2">
        <f t="shared" si="18"/>
        <v>307.0240324042432</v>
      </c>
      <c r="O26" s="2">
        <f t="shared" si="8"/>
        <v>1.80602372002496</v>
      </c>
      <c r="P26" s="25">
        <f t="shared" si="23"/>
        <v>28900</v>
      </c>
      <c r="Q26" s="25">
        <f t="shared" si="24"/>
        <v>690.05216279152398</v>
      </c>
      <c r="R26" s="25">
        <f t="shared" si="13"/>
        <v>2.4707506059142297</v>
      </c>
      <c r="S26" s="25">
        <f t="shared" si="11"/>
        <v>1</v>
      </c>
      <c r="T26" s="2">
        <f t="shared" si="25"/>
        <v>688.68348073029574</v>
      </c>
      <c r="U26" s="2">
        <f t="shared" si="15"/>
        <v>2.463146816685184</v>
      </c>
      <c r="V26" s="3">
        <f t="shared" si="12"/>
        <v>5.7224648369527786</v>
      </c>
      <c r="W26" s="7"/>
      <c r="X26" s="7">
        <f t="shared" si="22"/>
        <v>5</v>
      </c>
      <c r="Y26" s="7">
        <f t="shared" si="26"/>
        <v>0.25250127612404594</v>
      </c>
    </row>
    <row r="27" spans="1:25">
      <c r="A27" s="23">
        <f t="shared" si="27"/>
        <v>7500</v>
      </c>
      <c r="B27" s="23">
        <f t="shared" si="0"/>
        <v>167.68840593946919</v>
      </c>
      <c r="C27" s="23">
        <f t="shared" si="1"/>
        <v>2.7948067656578197</v>
      </c>
      <c r="D27" s="2">
        <f t="shared" si="16"/>
        <v>167.68840593946919</v>
      </c>
      <c r="E27" s="2">
        <f t="shared" si="2"/>
        <v>2.7948067656578197</v>
      </c>
      <c r="F27" s="24">
        <f>F26-100*4</f>
        <v>17000</v>
      </c>
      <c r="G27" s="24">
        <f t="shared" si="3"/>
        <v>232.5137229801073</v>
      </c>
      <c r="H27" s="24">
        <f t="shared" si="4"/>
        <v>3.1001829730680974</v>
      </c>
      <c r="I27" s="2">
        <f t="shared" si="17"/>
        <v>232.5137229801073</v>
      </c>
      <c r="J27" s="2">
        <f t="shared" si="5"/>
        <v>3.1001829730680974</v>
      </c>
      <c r="K27" s="12">
        <f t="shared" si="20"/>
        <v>6000</v>
      </c>
      <c r="L27" s="12">
        <f t="shared" si="6"/>
        <v>353.98253747994903</v>
      </c>
      <c r="M27" s="12">
        <f t="shared" si="7"/>
        <v>2.0822502204702884</v>
      </c>
      <c r="N27" s="2">
        <f t="shared" si="18"/>
        <v>353.98253747994903</v>
      </c>
      <c r="O27" s="2">
        <f t="shared" si="8"/>
        <v>2.0822502204702884</v>
      </c>
      <c r="P27" s="25">
        <f t="shared" si="23"/>
        <v>30500</v>
      </c>
      <c r="Q27" s="25">
        <f t="shared" si="24"/>
        <v>754.18466639952544</v>
      </c>
      <c r="R27" s="25">
        <f t="shared" si="13"/>
        <v>2.6590799863987349</v>
      </c>
      <c r="S27" s="25">
        <f t="shared" si="11"/>
        <v>1</v>
      </c>
      <c r="T27" s="2">
        <f t="shared" si="25"/>
        <v>754.18466639952544</v>
      </c>
      <c r="U27" s="2">
        <f t="shared" si="15"/>
        <v>2.6590799863987349</v>
      </c>
      <c r="V27" s="3">
        <f t="shared" si="12"/>
        <v>5.7224648369527786</v>
      </c>
      <c r="W27" s="7"/>
      <c r="X27" s="7">
        <f t="shared" si="22"/>
        <v>5.5</v>
      </c>
      <c r="Y27" s="7">
        <f t="shared" si="26"/>
        <v>7.7751403736450619E-2</v>
      </c>
    </row>
    <row r="28" spans="1:25">
      <c r="A28" s="23">
        <f t="shared" si="27"/>
        <v>8500</v>
      </c>
      <c r="B28" s="23">
        <f t="shared" si="0"/>
        <v>184.43012651473728</v>
      </c>
      <c r="C28" s="23">
        <f t="shared" si="1"/>
        <v>3.073835441912288</v>
      </c>
      <c r="D28" s="2">
        <f>MIN(B28,D27+((B28-D27)*$S27))</f>
        <v>184.43012651473728</v>
      </c>
      <c r="E28" s="2">
        <f>D28/$AA$5</f>
        <v>3.073835441912288</v>
      </c>
      <c r="F28" s="24">
        <f>F27-100*8</f>
        <v>16200</v>
      </c>
      <c r="G28" s="24">
        <f t="shared" si="3"/>
        <v>230.61442152997265</v>
      </c>
      <c r="H28" s="24">
        <f t="shared" si="4"/>
        <v>3.0748589537329685</v>
      </c>
      <c r="I28" s="2">
        <f>MIN(G28,I27+((G28-I27)*$S27))</f>
        <v>230.61442152997265</v>
      </c>
      <c r="J28" s="2">
        <f>I28/$AB$5</f>
        <v>3.0748589537329685</v>
      </c>
      <c r="K28" s="12">
        <f t="shared" si="20"/>
        <v>7000</v>
      </c>
      <c r="L28" s="12">
        <f t="shared" si="6"/>
        <v>396.78646426425587</v>
      </c>
      <c r="M28" s="12">
        <f t="shared" si="7"/>
        <v>2.3340380250838582</v>
      </c>
      <c r="N28" s="2">
        <f>MIN(L28,N27+((L28-N27)*$S27))</f>
        <v>396.78646426425587</v>
      </c>
      <c r="O28" s="2">
        <f>N28/$AC$5</f>
        <v>2.3340380250838582</v>
      </c>
      <c r="P28" s="25">
        <f t="shared" si="23"/>
        <v>31700</v>
      </c>
      <c r="Q28" s="25">
        <f t="shared" si="24"/>
        <v>811.8310123089658</v>
      </c>
      <c r="R28" s="25">
        <f t="shared" si="13"/>
        <v>2.8275774735763712</v>
      </c>
      <c r="S28" s="25">
        <f t="shared" si="11"/>
        <v>1</v>
      </c>
      <c r="T28" s="2">
        <f t="shared" si="25"/>
        <v>811.8310123089658</v>
      </c>
      <c r="U28" s="2">
        <f t="shared" si="15"/>
        <v>2.8275774735763712</v>
      </c>
      <c r="V28" s="3">
        <f>MAX(IF(A28&gt;0,$AA$7,0),IF(F28&gt;0,$AB$7,0),IF(K28&gt;0,$AC$7,0))</f>
        <v>5.7224648369527786</v>
      </c>
      <c r="W28" s="7"/>
      <c r="X28" s="7">
        <f t="shared" si="22"/>
        <v>6</v>
      </c>
      <c r="Y28" s="7">
        <f t="shared" si="26"/>
        <v>-9.699846865114492E-2</v>
      </c>
    </row>
    <row r="29" spans="1:25">
      <c r="A29" s="23">
        <f t="shared" si="27"/>
        <v>9500</v>
      </c>
      <c r="B29" s="23">
        <f t="shared" si="0"/>
        <v>200.03579164895578</v>
      </c>
      <c r="C29" s="23">
        <f t="shared" si="1"/>
        <v>3.3339298608159296</v>
      </c>
      <c r="D29" s="2">
        <f>MIN(B29,D28+((B29-D28)*$S28))</f>
        <v>200.03579164895578</v>
      </c>
      <c r="E29" s="2">
        <f>D29/$AA$5</f>
        <v>3.3339298608159296</v>
      </c>
      <c r="F29" s="24">
        <f>F28-100*16</f>
        <v>14600</v>
      </c>
      <c r="G29" s="24">
        <f t="shared" si="3"/>
        <v>225.14788017014257</v>
      </c>
      <c r="H29" s="24">
        <f t="shared" si="4"/>
        <v>3.0019717356019009</v>
      </c>
      <c r="I29" s="2">
        <f>MIN(G29,I28+((G29-I28)*$S28))</f>
        <v>225.14788017014257</v>
      </c>
      <c r="J29" s="2">
        <f>I29/$AB$5</f>
        <v>3.0019717356019009</v>
      </c>
      <c r="K29" s="12">
        <f t="shared" si="20"/>
        <v>8000</v>
      </c>
      <c r="L29" s="12">
        <f t="shared" si="6"/>
        <v>435.68942224421454</v>
      </c>
      <c r="M29" s="12">
        <f t="shared" si="7"/>
        <v>2.5628789543777324</v>
      </c>
      <c r="N29" s="2">
        <f>MIN(L29,N28+((L29-N28)*$S28))</f>
        <v>435.68942224421454</v>
      </c>
      <c r="O29" s="2">
        <f>N29/$AC$5</f>
        <v>2.5628789543777324</v>
      </c>
      <c r="P29" s="25">
        <f t="shared" si="23"/>
        <v>32100</v>
      </c>
      <c r="Q29" s="25">
        <f t="shared" si="24"/>
        <v>860.87309406331292</v>
      </c>
      <c r="R29" s="25">
        <f t="shared" si="13"/>
        <v>2.9662601835985209</v>
      </c>
      <c r="S29" s="25">
        <f t="shared" si="11"/>
        <v>0.96329282289550633</v>
      </c>
      <c r="T29" s="2">
        <f t="shared" si="25"/>
        <v>860.87309406331292</v>
      </c>
      <c r="U29" s="2">
        <f t="shared" si="15"/>
        <v>2.9662601835985209</v>
      </c>
      <c r="V29" s="3">
        <f>MAX(IF(A29&gt;0,$AA$7,0),IF(F29&gt;0,$AB$7,0),IF(K29&gt;0,$AC$7,0))</f>
        <v>5.7224648369527786</v>
      </c>
    </row>
    <row r="30" spans="1:25">
      <c r="A30" s="23">
        <f t="shared" si="27"/>
        <v>10500</v>
      </c>
      <c r="B30" s="23">
        <f t="shared" si="0"/>
        <v>214.55792903510269</v>
      </c>
      <c r="C30" s="23">
        <f t="shared" si="1"/>
        <v>3.5759654839183783</v>
      </c>
      <c r="D30" s="2">
        <f>MIN(B30,D29+((B30-D29)*$S29))</f>
        <v>214.02486236613362</v>
      </c>
      <c r="E30" s="2">
        <f>D30/$AA$5</f>
        <v>3.5670810394355601</v>
      </c>
      <c r="F30" s="24">
        <f>F29-100*32</f>
        <v>11400</v>
      </c>
      <c r="G30" s="24">
        <f t="shared" si="3"/>
        <v>206.30368003759114</v>
      </c>
      <c r="H30" s="24">
        <f t="shared" si="4"/>
        <v>2.7507157338345483</v>
      </c>
      <c r="I30" s="2">
        <f>MIN(G30,I29+((G30-I29)*$S29))</f>
        <v>206.30368003759114</v>
      </c>
      <c r="J30" s="2">
        <f>I30/$AB$5</f>
        <v>2.7507157338345483</v>
      </c>
      <c r="K30" s="12">
        <f t="shared" si="20"/>
        <v>9000</v>
      </c>
      <c r="L30" s="12">
        <f t="shared" si="6"/>
        <v>470.93152009794596</v>
      </c>
      <c r="M30" s="12">
        <f t="shared" si="7"/>
        <v>2.7701854123408585</v>
      </c>
      <c r="N30" s="2">
        <f>MIN(L30,N29+((L30-N29)*$S29))</f>
        <v>469.63788217049512</v>
      </c>
      <c r="O30" s="2">
        <f>N30/$AC$5</f>
        <v>2.7625757774735007</v>
      </c>
      <c r="P30" s="25">
        <f t="shared" si="23"/>
        <v>30900</v>
      </c>
      <c r="Q30" s="25">
        <f t="shared" si="24"/>
        <v>891.79312917063976</v>
      </c>
      <c r="R30" s="25">
        <f t="shared" si="13"/>
        <v>3.0322888766979283</v>
      </c>
      <c r="S30" s="25">
        <f t="shared" si="11"/>
        <v>0.94213737035048672</v>
      </c>
      <c r="T30" s="2">
        <f t="shared" si="25"/>
        <v>889.9664245742199</v>
      </c>
      <c r="U30" s="2">
        <f t="shared" si="15"/>
        <v>3.02679085024787</v>
      </c>
      <c r="V30" s="3">
        <f>MAX(IF(A30&gt;0,$AA$7,0),IF(F30&gt;0,$AB$7,0),IF(K30&gt;0,$AC$7,0))</f>
        <v>5.7224648369527786</v>
      </c>
    </row>
    <row r="31" spans="1:25">
      <c r="A31" s="23">
        <f t="shared" si="27"/>
        <v>11500</v>
      </c>
      <c r="B31" s="23">
        <f t="shared" si="0"/>
        <v>228.0469538166316</v>
      </c>
      <c r="C31" s="23">
        <f t="shared" si="1"/>
        <v>3.8007825636105266</v>
      </c>
      <c r="D31" s="2">
        <f>MIN(B31,D30+((B31-D30)*$S30))</f>
        <v>227.23559873211983</v>
      </c>
      <c r="E31" s="2">
        <f>D31/$AA$5</f>
        <v>3.7872599788686636</v>
      </c>
      <c r="F31" s="24">
        <f>F30-100*64</f>
        <v>5000</v>
      </c>
      <c r="G31" s="24">
        <f t="shared" si="3"/>
        <v>124.60812529142478</v>
      </c>
      <c r="H31" s="24">
        <f t="shared" si="4"/>
        <v>1.6614416705523305</v>
      </c>
      <c r="I31" s="2">
        <f>MIN(G31,I30+((G31-I30)*$S30))</f>
        <v>124.60812529142478</v>
      </c>
      <c r="J31" s="2">
        <f>I31/$AB$5</f>
        <v>1.6614416705523305</v>
      </c>
      <c r="K31" s="12">
        <f t="shared" si="20"/>
        <v>10000</v>
      </c>
      <c r="L31" s="12">
        <f t="shared" si="6"/>
        <v>502.74003452672952</v>
      </c>
      <c r="M31" s="12">
        <f t="shared" si="7"/>
        <v>2.9572943207454676</v>
      </c>
      <c r="N31" s="2">
        <f>MIN(L31,N30+((L31-N30)*$S30))</f>
        <v>500.82465694433898</v>
      </c>
      <c r="O31" s="2">
        <f>N31/$AC$5</f>
        <v>2.9460273937902293</v>
      </c>
      <c r="P31" s="25">
        <f t="shared" si="23"/>
        <v>26500</v>
      </c>
      <c r="Q31" s="25">
        <f t="shared" si="24"/>
        <v>855.39511363478596</v>
      </c>
      <c r="R31" s="25">
        <f t="shared" si="13"/>
        <v>2.8065061849694417</v>
      </c>
      <c r="S31" s="25">
        <f t="shared" si="11"/>
        <v>1</v>
      </c>
      <c r="T31" s="2">
        <f t="shared" si="25"/>
        <v>852.66838096788365</v>
      </c>
      <c r="U31" s="2">
        <f t="shared" si="15"/>
        <v>2.7982430144037411</v>
      </c>
      <c r="V31" s="3">
        <f>MAX(IF(A31&gt;0,$AA$7,0),IF(F31&gt;0,$AB$7,0),IF(K31&gt;0,$AC$7,0))</f>
        <v>5.7224648369527786</v>
      </c>
    </row>
    <row r="32" spans="1:25">
      <c r="A32" s="23">
        <f t="shared" si="27"/>
        <v>12500</v>
      </c>
      <c r="B32" s="23">
        <f t="shared" si="0"/>
        <v>240.5512475768403</v>
      </c>
      <c r="C32" s="23">
        <f t="shared" si="1"/>
        <v>4.0091874596140054</v>
      </c>
      <c r="D32" s="2">
        <f>MIN(B32,D31+((B32-D31)*$S31))</f>
        <v>240.5512475768403</v>
      </c>
      <c r="E32" s="2">
        <f>D32/$AA$5</f>
        <v>4.0091874596140054</v>
      </c>
      <c r="F32" s="24">
        <v>0</v>
      </c>
      <c r="G32" s="24">
        <f t="shared" si="3"/>
        <v>0</v>
      </c>
      <c r="H32" s="24">
        <f t="shared" si="4"/>
        <v>0</v>
      </c>
      <c r="I32" s="2">
        <f>MIN(G32,I31+((G32-I31)*$S31))</f>
        <v>0</v>
      </c>
      <c r="J32" s="2">
        <f>I32/$AB$5</f>
        <v>0</v>
      </c>
      <c r="K32" s="12">
        <f t="shared" si="20"/>
        <v>11000</v>
      </c>
      <c r="L32" s="12">
        <f t="shared" si="6"/>
        <v>531.3300473935916</v>
      </c>
      <c r="M32" s="12">
        <f t="shared" si="7"/>
        <v>3.1254708670211269</v>
      </c>
      <c r="N32" s="2">
        <f>MIN(L32,N31+((L32-N31)*$S31))</f>
        <v>531.3300473935916</v>
      </c>
      <c r="O32" s="2">
        <f>N32/$AC$5</f>
        <v>3.1254708670211269</v>
      </c>
      <c r="P32" s="25">
        <f t="shared" si="23"/>
        <v>23500</v>
      </c>
      <c r="Q32" s="25">
        <f t="shared" si="24"/>
        <v>771.8812949704319</v>
      </c>
      <c r="R32" s="25">
        <f t="shared" si="13"/>
        <v>2.3782194422117109</v>
      </c>
      <c r="S32" s="25">
        <f t="shared" si="11"/>
        <v>1</v>
      </c>
      <c r="T32" s="2">
        <f t="shared" si="25"/>
        <v>771.8812949704319</v>
      </c>
      <c r="U32" s="2">
        <f t="shared" si="15"/>
        <v>2.3782194422117109</v>
      </c>
      <c r="V32" s="3">
        <f>MAX(IF(A32&gt;0,$AA$7,0),IF(F32&gt;0,$AB$7,0),IF(K32&gt;0,$AC$7,0))</f>
        <v>5.7224648369527786</v>
      </c>
    </row>
    <row r="42" spans="1:16">
      <c r="A42" t="s">
        <v>244</v>
      </c>
      <c r="G42" t="s">
        <v>242</v>
      </c>
      <c r="L42" s="7" t="s">
        <v>243</v>
      </c>
      <c r="P42" s="7" t="s">
        <v>241</v>
      </c>
    </row>
  </sheetData>
  <pageMargins left="0.7" right="0.7" top="0.75" bottom="0.75" header="0.3" footer="0.3"/>
  <drawing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3BFE8-AC02-4B03-8F9A-A65392D827E2}">
  <dimension ref="A1:K12"/>
  <sheetViews>
    <sheetView workbookViewId="0">
      <selection activeCell="B13" sqref="B13"/>
    </sheetView>
  </sheetViews>
  <sheetFormatPr defaultRowHeight="14.4"/>
  <sheetData>
    <row r="1" spans="1:11">
      <c r="A1" t="s">
        <v>269</v>
      </c>
      <c r="B1" t="s">
        <v>270</v>
      </c>
      <c r="C1" t="s">
        <v>271</v>
      </c>
      <c r="D1" t="s">
        <v>269</v>
      </c>
      <c r="E1" s="7" t="s">
        <v>270</v>
      </c>
      <c r="F1" t="s">
        <v>271</v>
      </c>
      <c r="G1" t="s">
        <v>272</v>
      </c>
      <c r="I1" s="8" t="s">
        <v>53</v>
      </c>
      <c r="J1" s="8"/>
      <c r="K1" s="8"/>
    </row>
    <row r="2" spans="1:11" s="7" customFormat="1">
      <c r="A2" s="7" t="s">
        <v>273</v>
      </c>
      <c r="B2" s="7" t="s">
        <v>273</v>
      </c>
      <c r="C2" s="7" t="s">
        <v>273</v>
      </c>
      <c r="D2" s="7" t="s">
        <v>274</v>
      </c>
      <c r="E2" s="7" t="s">
        <v>274</v>
      </c>
      <c r="F2" s="7" t="s">
        <v>274</v>
      </c>
      <c r="G2" s="27" t="s">
        <v>275</v>
      </c>
      <c r="I2" s="10" t="s">
        <v>201</v>
      </c>
      <c r="J2" s="10"/>
      <c r="K2" s="10"/>
    </row>
    <row r="3" spans="1:11">
      <c r="A3" s="7">
        <v>0</v>
      </c>
      <c r="B3" s="7">
        <v>0</v>
      </c>
      <c r="C3" s="7">
        <v>0</v>
      </c>
      <c r="D3" s="8">
        <f>A3*$A$11</f>
        <v>0</v>
      </c>
      <c r="E3" s="8">
        <f>B3*$B$11</f>
        <v>0</v>
      </c>
      <c r="F3" s="8">
        <f>C3*$C$11</f>
        <v>0</v>
      </c>
      <c r="G3" s="8">
        <f>SUM(D3:F3)</f>
        <v>0</v>
      </c>
      <c r="H3" t="s">
        <v>291</v>
      </c>
    </row>
    <row r="4" spans="1:11">
      <c r="A4" s="7">
        <f>A3+500</f>
        <v>500</v>
      </c>
      <c r="B4" s="7">
        <f>B3+400</f>
        <v>400</v>
      </c>
      <c r="C4" s="7">
        <f>C3+400</f>
        <v>400</v>
      </c>
      <c r="D4" s="8">
        <f t="shared" ref="D4:D9" si="0">A4*$A$11</f>
        <v>0.375</v>
      </c>
      <c r="E4" s="8">
        <f t="shared" ref="E4:E9" si="1">B4*$B$11</f>
        <v>0.1</v>
      </c>
      <c r="F4" s="8">
        <f>C4*$C$11</f>
        <v>1.6E-2</v>
      </c>
      <c r="G4" s="8">
        <f t="shared" ref="G4:G9" si="2">SUM(D4:F4)</f>
        <v>0.49099999999999999</v>
      </c>
    </row>
    <row r="5" spans="1:11">
      <c r="A5" s="7">
        <f t="shared" ref="A5:A9" si="3">A4+500</f>
        <v>1000</v>
      </c>
      <c r="B5" s="7">
        <f t="shared" ref="B5:C9" si="4">B4+400</f>
        <v>800</v>
      </c>
      <c r="C5" s="7">
        <f t="shared" si="4"/>
        <v>800</v>
      </c>
      <c r="D5" s="8">
        <f t="shared" si="0"/>
        <v>0.75</v>
      </c>
      <c r="E5" s="8">
        <f t="shared" si="1"/>
        <v>0.2</v>
      </c>
      <c r="F5" s="8">
        <f t="shared" ref="F5:F9" si="5">C5*$C$11</f>
        <v>3.2000000000000001E-2</v>
      </c>
      <c r="G5" s="8">
        <f t="shared" si="2"/>
        <v>0.98199999999999998</v>
      </c>
    </row>
    <row r="6" spans="1:11">
      <c r="A6" s="7">
        <f t="shared" si="3"/>
        <v>1500</v>
      </c>
      <c r="B6" s="7">
        <f t="shared" si="4"/>
        <v>1200</v>
      </c>
      <c r="C6" s="7">
        <f t="shared" si="4"/>
        <v>1200</v>
      </c>
      <c r="D6" s="8">
        <f t="shared" si="0"/>
        <v>1.125</v>
      </c>
      <c r="E6" s="8">
        <f t="shared" si="1"/>
        <v>0.3</v>
      </c>
      <c r="F6" s="8">
        <f t="shared" si="5"/>
        <v>4.8000000000000001E-2</v>
      </c>
      <c r="G6" s="8">
        <f t="shared" si="2"/>
        <v>1.4730000000000001</v>
      </c>
    </row>
    <row r="7" spans="1:11">
      <c r="A7" s="7">
        <f t="shared" si="3"/>
        <v>2000</v>
      </c>
      <c r="B7" s="7">
        <f t="shared" si="4"/>
        <v>1600</v>
      </c>
      <c r="C7" s="7">
        <f t="shared" si="4"/>
        <v>1600</v>
      </c>
      <c r="D7" s="8">
        <f t="shared" si="0"/>
        <v>1.5</v>
      </c>
      <c r="E7" s="8">
        <f t="shared" si="1"/>
        <v>0.4</v>
      </c>
      <c r="F7" s="8">
        <f t="shared" si="5"/>
        <v>6.4000000000000001E-2</v>
      </c>
      <c r="G7" s="8">
        <f t="shared" si="2"/>
        <v>1.964</v>
      </c>
    </row>
    <row r="8" spans="1:11">
      <c r="A8" s="7">
        <f t="shared" si="3"/>
        <v>2500</v>
      </c>
      <c r="B8" s="7">
        <f t="shared" si="4"/>
        <v>2000</v>
      </c>
      <c r="C8" s="7">
        <f t="shared" si="4"/>
        <v>2000</v>
      </c>
      <c r="D8" s="8">
        <f t="shared" si="0"/>
        <v>1.875</v>
      </c>
      <c r="E8" s="8">
        <f t="shared" si="1"/>
        <v>0.5</v>
      </c>
      <c r="F8" s="8">
        <f t="shared" si="5"/>
        <v>0.08</v>
      </c>
      <c r="G8" s="8">
        <f t="shared" si="2"/>
        <v>2.4550000000000001</v>
      </c>
    </row>
    <row r="9" spans="1:11">
      <c r="A9" s="7">
        <f t="shared" si="3"/>
        <v>3000</v>
      </c>
      <c r="B9" s="7">
        <f t="shared" si="4"/>
        <v>2400</v>
      </c>
      <c r="C9" s="7">
        <f t="shared" si="4"/>
        <v>2400</v>
      </c>
      <c r="D9" s="8">
        <f t="shared" si="0"/>
        <v>2.25</v>
      </c>
      <c r="E9" s="8">
        <f t="shared" si="1"/>
        <v>0.6</v>
      </c>
      <c r="F9" s="8">
        <f t="shared" si="5"/>
        <v>9.6000000000000002E-2</v>
      </c>
      <c r="G9" s="8">
        <f t="shared" si="2"/>
        <v>2.9460000000000002</v>
      </c>
    </row>
    <row r="10" spans="1:11">
      <c r="A10" t="s">
        <v>273</v>
      </c>
      <c r="B10" t="s">
        <v>273</v>
      </c>
      <c r="C10" s="7" t="s">
        <v>273</v>
      </c>
      <c r="D10" t="s">
        <v>276</v>
      </c>
      <c r="E10" s="7" t="s">
        <v>276</v>
      </c>
      <c r="F10" s="7" t="s">
        <v>276</v>
      </c>
      <c r="G10" s="7" t="s">
        <v>276</v>
      </c>
    </row>
    <row r="11" spans="1:11">
      <c r="A11" s="10">
        <v>7.5000000000000002E-4</v>
      </c>
      <c r="B11" s="10">
        <v>2.5000000000000001E-4</v>
      </c>
      <c r="C11" s="10">
        <v>4.0000000000000003E-5</v>
      </c>
      <c r="D11" s="2" t="s">
        <v>290</v>
      </c>
      <c r="E11" s="2"/>
      <c r="F11" s="2"/>
      <c r="G11" s="2"/>
    </row>
    <row r="12" spans="1:11">
      <c r="B12" t="s">
        <v>303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018F5-B884-43E7-964B-A0EF494A74CC}">
  <dimension ref="A1:F33"/>
  <sheetViews>
    <sheetView tabSelected="1" workbookViewId="0">
      <selection activeCell="B3" sqref="B3"/>
    </sheetView>
  </sheetViews>
  <sheetFormatPr defaultRowHeight="14.4"/>
  <cols>
    <col min="1" max="1" width="10.6640625" customWidth="1"/>
    <col min="2" max="2" width="7.44140625" customWidth="1"/>
    <col min="3" max="3" width="7.88671875" customWidth="1"/>
    <col min="4" max="4" width="7.6640625" customWidth="1"/>
  </cols>
  <sheetData>
    <row r="1" spans="1:6">
      <c r="D1" s="8" t="s">
        <v>35</v>
      </c>
      <c r="E1" s="8"/>
    </row>
    <row r="2" spans="1:6">
      <c r="A2" s="10" t="s">
        <v>292</v>
      </c>
      <c r="B2" s="10">
        <v>150</v>
      </c>
      <c r="D2" s="8" t="s">
        <v>293</v>
      </c>
      <c r="E2" s="8">
        <f>LOG(1-0.95)/B3</f>
        <v>-1.7347066608853078E-3</v>
      </c>
    </row>
    <row r="3" spans="1:6">
      <c r="A3" s="10" t="s">
        <v>301</v>
      </c>
      <c r="B3" s="10">
        <v>750</v>
      </c>
      <c r="D3" s="8" t="s">
        <v>294</v>
      </c>
      <c r="E3" s="8">
        <f>LOG(0.01)/B4</f>
        <v>-1.9047619047619048E-3</v>
      </c>
    </row>
    <row r="4" spans="1:6">
      <c r="A4" s="10" t="s">
        <v>302</v>
      </c>
      <c r="B4" s="10">
        <v>1050</v>
      </c>
    </row>
    <row r="5" spans="1:6">
      <c r="A5" s="10" t="s">
        <v>128</v>
      </c>
      <c r="B5" s="10">
        <v>0.25</v>
      </c>
    </row>
    <row r="7" spans="1:6">
      <c r="A7" t="s">
        <v>295</v>
      </c>
      <c r="B7" t="s">
        <v>296</v>
      </c>
      <c r="C7" t="s">
        <v>297</v>
      </c>
      <c r="D7" t="s">
        <v>298</v>
      </c>
      <c r="E7" t="s">
        <v>299</v>
      </c>
      <c r="F7" t="s">
        <v>300</v>
      </c>
    </row>
    <row r="8" spans="1:6">
      <c r="A8">
        <v>0</v>
      </c>
      <c r="B8">
        <f>A8*$B$2</f>
        <v>0</v>
      </c>
      <c r="C8">
        <f>MAX(0,B8-$B$2)</f>
        <v>0</v>
      </c>
      <c r="D8">
        <f>B8</f>
        <v>0</v>
      </c>
      <c r="E8">
        <f>1</f>
        <v>1</v>
      </c>
      <c r="F8">
        <f>E8*$B$5</f>
        <v>0.25</v>
      </c>
    </row>
    <row r="9" spans="1:6">
      <c r="A9">
        <v>1</v>
      </c>
      <c r="B9">
        <f t="shared" ref="B9:B33" si="0">A9*$B$2</f>
        <v>150</v>
      </c>
      <c r="C9">
        <f t="shared" ref="C9:C33" si="1">MAX(0,B9-$B$2)</f>
        <v>0</v>
      </c>
      <c r="D9">
        <f t="shared" ref="D9:D33" si="2">B9</f>
        <v>150</v>
      </c>
      <c r="E9">
        <f>IF($B$2&lt;=$B$3,IF(B9&lt;=$B$3,EXP($E$2*C9)-EXP($E$2*D9),(1-0.95)*EXP($E$3*(C9-$B$3))-(1-0.95)*EXP($E$3*(D9-$B$3))),IF(B9&lt;=$B$2,EXP($E$2*C9)-(1-0.95)*EXP($E$3*(D9-$B$3)),(1-0.95)*EXP($E$3*(C9-$B$3))-(1-0.95)*EXP($E$3*(D9-$B$3))))</f>
        <v>0.22910723379553888</v>
      </c>
      <c r="F9">
        <f t="shared" ref="F9:F33" si="3">E9*$B$5</f>
        <v>5.727680844888472E-2</v>
      </c>
    </row>
    <row r="10" spans="1:6">
      <c r="A10">
        <v>2</v>
      </c>
      <c r="B10">
        <f t="shared" si="0"/>
        <v>300</v>
      </c>
      <c r="C10">
        <f t="shared" si="1"/>
        <v>150</v>
      </c>
      <c r="D10">
        <f t="shared" si="2"/>
        <v>300</v>
      </c>
      <c r="E10">
        <f t="shared" ref="E10:E33" si="4">IF($B$2&lt;=$B$3,IF(B10&lt;=$B$3,EXP($E$2*C10)-EXP($E$2*D10),(1-0.95)*EXP($E$3*(C10-$B$3))-(1-0.95)*EXP($E$3*(D10-$B$3))),IF(B10&lt;=$B$2,EXP($E$2*C10)-(1-0.95)*EXP($E$3*(D10-$B$3)),(1-0.95)*EXP($E$3*(C10-$B$3))-(1-0.95)*EXP($E$3*(D10-$B$3))))</f>
        <v>0.17661710921809515</v>
      </c>
      <c r="F10">
        <f t="shared" si="3"/>
        <v>4.4154277304523787E-2</v>
      </c>
    </row>
    <row r="11" spans="1:6">
      <c r="A11">
        <v>3</v>
      </c>
      <c r="B11">
        <f t="shared" si="0"/>
        <v>450</v>
      </c>
      <c r="C11">
        <f t="shared" si="1"/>
        <v>300</v>
      </c>
      <c r="D11">
        <f t="shared" si="2"/>
        <v>450</v>
      </c>
      <c r="E11">
        <f t="shared" si="4"/>
        <v>0.13615285188417287</v>
      </c>
      <c r="F11">
        <f t="shared" si="3"/>
        <v>3.4038212971043216E-2</v>
      </c>
    </row>
    <row r="12" spans="1:6">
      <c r="A12">
        <v>4</v>
      </c>
      <c r="B12">
        <f t="shared" si="0"/>
        <v>600</v>
      </c>
      <c r="C12">
        <f t="shared" si="1"/>
        <v>450</v>
      </c>
      <c r="D12">
        <f t="shared" si="2"/>
        <v>600</v>
      </c>
      <c r="E12">
        <f t="shared" si="4"/>
        <v>0.10495924861561623</v>
      </c>
      <c r="F12">
        <f t="shared" si="3"/>
        <v>2.6239812153904057E-2</v>
      </c>
    </row>
    <row r="13" spans="1:6">
      <c r="A13">
        <v>5</v>
      </c>
      <c r="B13">
        <f t="shared" si="0"/>
        <v>750</v>
      </c>
      <c r="C13">
        <f t="shared" si="1"/>
        <v>600</v>
      </c>
      <c r="D13">
        <f t="shared" si="2"/>
        <v>750</v>
      </c>
      <c r="E13">
        <f t="shared" si="4"/>
        <v>8.0912325504034155E-2</v>
      </c>
      <c r="F13">
        <f t="shared" si="3"/>
        <v>2.0228081376008539E-2</v>
      </c>
    </row>
    <row r="14" spans="1:6">
      <c r="A14">
        <v>6</v>
      </c>
      <c r="B14">
        <f t="shared" si="0"/>
        <v>900</v>
      </c>
      <c r="C14">
        <f t="shared" si="1"/>
        <v>750</v>
      </c>
      <c r="D14">
        <f t="shared" si="2"/>
        <v>900</v>
      </c>
      <c r="E14">
        <f t="shared" si="4"/>
        <v>1.2426135346235712E-2</v>
      </c>
      <c r="F14">
        <f t="shared" si="3"/>
        <v>3.1065338365589279E-3</v>
      </c>
    </row>
    <row r="15" spans="1:6">
      <c r="A15">
        <v>7</v>
      </c>
      <c r="B15">
        <f t="shared" si="0"/>
        <v>1050</v>
      </c>
      <c r="C15">
        <f t="shared" si="1"/>
        <v>900</v>
      </c>
      <c r="D15">
        <f t="shared" si="2"/>
        <v>1050</v>
      </c>
      <c r="E15">
        <f t="shared" si="4"/>
        <v>9.3379585533763451E-3</v>
      </c>
      <c r="F15">
        <f t="shared" si="3"/>
        <v>2.3344896383440863E-3</v>
      </c>
    </row>
    <row r="16" spans="1:6">
      <c r="A16">
        <v>8</v>
      </c>
      <c r="B16">
        <f t="shared" si="0"/>
        <v>1200</v>
      </c>
      <c r="C16">
        <f t="shared" si="1"/>
        <v>1050</v>
      </c>
      <c r="D16">
        <f t="shared" si="2"/>
        <v>1200</v>
      </c>
      <c r="E16">
        <f t="shared" si="4"/>
        <v>7.0172638165404699E-3</v>
      </c>
      <c r="F16">
        <f t="shared" si="3"/>
        <v>1.7543159541351175E-3</v>
      </c>
    </row>
    <row r="17" spans="1:6">
      <c r="A17">
        <v>9</v>
      </c>
      <c r="B17">
        <f t="shared" si="0"/>
        <v>1350</v>
      </c>
      <c r="C17">
        <f t="shared" si="1"/>
        <v>1200</v>
      </c>
      <c r="D17">
        <f t="shared" si="2"/>
        <v>1350</v>
      </c>
      <c r="E17">
        <f t="shared" si="4"/>
        <v>5.2733144176489825E-3</v>
      </c>
      <c r="F17">
        <f t="shared" si="3"/>
        <v>1.3183286044122456E-3</v>
      </c>
    </row>
    <row r="18" spans="1:6">
      <c r="A18">
        <v>10</v>
      </c>
      <c r="B18">
        <f t="shared" si="0"/>
        <v>1500</v>
      </c>
      <c r="C18">
        <f t="shared" si="1"/>
        <v>1350</v>
      </c>
      <c r="D18">
        <f t="shared" si="2"/>
        <v>1500</v>
      </c>
      <c r="E18">
        <f t="shared" si="4"/>
        <v>3.9627760441097344E-3</v>
      </c>
      <c r="F18">
        <f t="shared" si="3"/>
        <v>9.906940110274336E-4</v>
      </c>
    </row>
    <row r="19" spans="1:6">
      <c r="A19">
        <v>11</v>
      </c>
      <c r="B19">
        <f t="shared" si="0"/>
        <v>1650</v>
      </c>
      <c r="C19">
        <f t="shared" si="1"/>
        <v>1500</v>
      </c>
      <c r="D19">
        <f t="shared" si="2"/>
        <v>1650</v>
      </c>
      <c r="E19">
        <f t="shared" si="4"/>
        <v>2.9779362146911733E-3</v>
      </c>
      <c r="F19">
        <f t="shared" si="3"/>
        <v>7.4448405367279332E-4</v>
      </c>
    </row>
    <row r="20" spans="1:6">
      <c r="A20">
        <v>12</v>
      </c>
      <c r="B20">
        <f t="shared" si="0"/>
        <v>1800</v>
      </c>
      <c r="C20">
        <f t="shared" si="1"/>
        <v>1650</v>
      </c>
      <c r="D20">
        <f t="shared" si="2"/>
        <v>1800</v>
      </c>
      <c r="E20">
        <f t="shared" si="4"/>
        <v>2.237851445566986E-3</v>
      </c>
      <c r="F20">
        <f t="shared" si="3"/>
        <v>5.594628613917465E-4</v>
      </c>
    </row>
    <row r="21" spans="1:6">
      <c r="A21">
        <v>13</v>
      </c>
      <c r="B21">
        <f t="shared" si="0"/>
        <v>1950</v>
      </c>
      <c r="C21">
        <f t="shared" si="1"/>
        <v>1800</v>
      </c>
      <c r="D21">
        <f t="shared" si="2"/>
        <v>1950</v>
      </c>
      <c r="E21">
        <f t="shared" si="4"/>
        <v>1.681694546619295E-3</v>
      </c>
      <c r="F21">
        <f t="shared" si="3"/>
        <v>4.2042363665482376E-4</v>
      </c>
    </row>
    <row r="22" spans="1:6">
      <c r="A22">
        <v>14</v>
      </c>
      <c r="B22">
        <f t="shared" si="0"/>
        <v>2100</v>
      </c>
      <c r="C22">
        <f t="shared" si="1"/>
        <v>1950</v>
      </c>
      <c r="D22">
        <f t="shared" si="2"/>
        <v>2100</v>
      </c>
      <c r="E22">
        <f t="shared" si="4"/>
        <v>1.2637552656729395E-3</v>
      </c>
      <c r="F22">
        <f t="shared" si="3"/>
        <v>3.1593881641823487E-4</v>
      </c>
    </row>
    <row r="23" spans="1:6">
      <c r="A23">
        <v>15</v>
      </c>
      <c r="B23">
        <f t="shared" si="0"/>
        <v>2250</v>
      </c>
      <c r="C23">
        <f t="shared" si="1"/>
        <v>2100</v>
      </c>
      <c r="D23">
        <f t="shared" si="2"/>
        <v>2250</v>
      </c>
      <c r="E23">
        <f t="shared" si="4"/>
        <v>9.4968338615753715E-4</v>
      </c>
      <c r="F23">
        <f t="shared" si="3"/>
        <v>2.3742084653938429E-4</v>
      </c>
    </row>
    <row r="24" spans="1:6">
      <c r="A24">
        <v>16</v>
      </c>
      <c r="B24">
        <f t="shared" si="0"/>
        <v>2400</v>
      </c>
      <c r="C24">
        <f t="shared" si="1"/>
        <v>2250</v>
      </c>
      <c r="D24">
        <f t="shared" si="2"/>
        <v>2400</v>
      </c>
      <c r="E24">
        <f t="shared" si="4"/>
        <v>7.1366550030823803E-4</v>
      </c>
      <c r="F24">
        <f t="shared" si="3"/>
        <v>1.7841637507705951E-4</v>
      </c>
    </row>
    <row r="25" spans="1:6">
      <c r="A25">
        <v>17</v>
      </c>
      <c r="B25">
        <f t="shared" si="0"/>
        <v>2550</v>
      </c>
      <c r="C25">
        <f t="shared" si="1"/>
        <v>2400</v>
      </c>
      <c r="D25">
        <f t="shared" si="2"/>
        <v>2550</v>
      </c>
      <c r="E25">
        <f t="shared" si="4"/>
        <v>5.3630341833285416E-4</v>
      </c>
      <c r="F25">
        <f t="shared" si="3"/>
        <v>1.3407585458321354E-4</v>
      </c>
    </row>
    <row r="26" spans="1:6">
      <c r="A26">
        <v>18</v>
      </c>
      <c r="B26">
        <f t="shared" si="0"/>
        <v>2700</v>
      </c>
      <c r="C26">
        <f t="shared" si="1"/>
        <v>2550</v>
      </c>
      <c r="D26">
        <f t="shared" si="2"/>
        <v>2700</v>
      </c>
      <c r="E26">
        <f t="shared" si="4"/>
        <v>4.0301984107579659E-4</v>
      </c>
      <c r="F26">
        <f t="shared" si="3"/>
        <v>1.0075496026894915E-4</v>
      </c>
    </row>
    <row r="27" spans="1:6">
      <c r="A27">
        <v>19</v>
      </c>
      <c r="B27">
        <f t="shared" si="0"/>
        <v>2850</v>
      </c>
      <c r="C27">
        <f t="shared" si="1"/>
        <v>2700</v>
      </c>
      <c r="D27">
        <f t="shared" si="2"/>
        <v>2850</v>
      </c>
      <c r="E27">
        <f t="shared" si="4"/>
        <v>3.0286025922727133E-4</v>
      </c>
      <c r="F27">
        <f t="shared" si="3"/>
        <v>7.5715064806817833E-5</v>
      </c>
    </row>
    <row r="28" spans="1:6">
      <c r="A28">
        <v>20</v>
      </c>
      <c r="B28">
        <f t="shared" si="0"/>
        <v>3000</v>
      </c>
      <c r="C28">
        <f t="shared" si="1"/>
        <v>2850</v>
      </c>
      <c r="D28">
        <f t="shared" si="2"/>
        <v>3000</v>
      </c>
      <c r="E28">
        <f t="shared" si="4"/>
        <v>2.2759260778418906E-4</v>
      </c>
      <c r="F28">
        <f t="shared" si="3"/>
        <v>5.6898151946047266E-5</v>
      </c>
    </row>
    <row r="29" spans="1:6">
      <c r="A29">
        <v>21</v>
      </c>
      <c r="B29">
        <f t="shared" si="0"/>
        <v>3150</v>
      </c>
      <c r="C29">
        <f t="shared" si="1"/>
        <v>3000</v>
      </c>
      <c r="D29">
        <f t="shared" si="2"/>
        <v>3150</v>
      </c>
      <c r="E29">
        <f t="shared" si="4"/>
        <v>1.7103067682160773E-4</v>
      </c>
      <c r="F29">
        <f t="shared" si="3"/>
        <v>4.2757669205401933E-5</v>
      </c>
    </row>
    <row r="30" spans="1:6">
      <c r="A30">
        <v>22</v>
      </c>
      <c r="B30">
        <f t="shared" si="0"/>
        <v>3300</v>
      </c>
      <c r="C30">
        <f t="shared" si="1"/>
        <v>3150</v>
      </c>
      <c r="D30">
        <f t="shared" si="2"/>
        <v>3300</v>
      </c>
      <c r="E30">
        <f t="shared" si="4"/>
        <v>1.2852567005073581E-4</v>
      </c>
      <c r="F30">
        <f t="shared" si="3"/>
        <v>3.2131417512683952E-5</v>
      </c>
    </row>
    <row r="31" spans="1:6">
      <c r="A31">
        <v>23</v>
      </c>
      <c r="B31">
        <f t="shared" si="0"/>
        <v>3450</v>
      </c>
      <c r="C31">
        <f t="shared" si="1"/>
        <v>3300</v>
      </c>
      <c r="D31">
        <f t="shared" si="2"/>
        <v>3450</v>
      </c>
      <c r="E31">
        <f t="shared" si="4"/>
        <v>9.6584122620414618E-5</v>
      </c>
      <c r="F31">
        <f t="shared" si="3"/>
        <v>2.4146030655103654E-5</v>
      </c>
    </row>
    <row r="32" spans="1:6">
      <c r="A32">
        <v>24</v>
      </c>
      <c r="B32">
        <f t="shared" si="0"/>
        <v>3600</v>
      </c>
      <c r="C32">
        <f t="shared" si="1"/>
        <v>3450</v>
      </c>
      <c r="D32">
        <f t="shared" si="2"/>
        <v>3600</v>
      </c>
      <c r="E32">
        <f t="shared" si="4"/>
        <v>7.2580775020840378E-5</v>
      </c>
      <c r="F32">
        <f t="shared" si="3"/>
        <v>1.8145193755210094E-5</v>
      </c>
    </row>
    <row r="33" spans="1:6">
      <c r="A33">
        <v>25</v>
      </c>
      <c r="B33">
        <f t="shared" si="0"/>
        <v>3750</v>
      </c>
      <c r="C33">
        <f t="shared" si="1"/>
        <v>3600</v>
      </c>
      <c r="D33">
        <f t="shared" si="2"/>
        <v>3750</v>
      </c>
      <c r="E33">
        <f t="shared" si="4"/>
        <v>5.4542804341967469E-5</v>
      </c>
      <c r="F33">
        <f t="shared" si="3"/>
        <v>1.3635701085491867E-5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AD20"/>
  <sheetViews>
    <sheetView workbookViewId="0">
      <selection activeCell="AA15" sqref="AA15"/>
    </sheetView>
  </sheetViews>
  <sheetFormatPr defaultRowHeight="14.4"/>
  <cols>
    <col min="6" max="7" width="0" hidden="1" customWidth="1"/>
    <col min="10" max="10" width="9.109375" style="7"/>
    <col min="12" max="12" width="9.109375" style="7"/>
    <col min="15" max="15" width="9.109375" style="7"/>
    <col min="19" max="19" width="12.6640625" bestFit="1" customWidth="1"/>
    <col min="26" max="26" width="6.88671875" customWidth="1"/>
    <col min="27" max="27" width="11.6640625" customWidth="1"/>
  </cols>
  <sheetData>
    <row r="1" spans="1:30">
      <c r="A1" t="s">
        <v>17</v>
      </c>
      <c r="B1" t="s">
        <v>18</v>
      </c>
      <c r="C1" t="s">
        <v>19</v>
      </c>
      <c r="D1" t="s">
        <v>16</v>
      </c>
      <c r="E1" t="s">
        <v>14</v>
      </c>
      <c r="F1" t="s">
        <v>26</v>
      </c>
      <c r="G1" t="s">
        <v>27</v>
      </c>
      <c r="H1" t="s">
        <v>28</v>
      </c>
      <c r="I1" t="s">
        <v>9</v>
      </c>
      <c r="J1" s="7" t="s">
        <v>158</v>
      </c>
      <c r="K1" t="s">
        <v>4</v>
      </c>
      <c r="L1" s="7" t="s">
        <v>34</v>
      </c>
      <c r="M1" s="4" t="s">
        <v>31</v>
      </c>
      <c r="N1" t="s">
        <v>52</v>
      </c>
      <c r="O1" s="7" t="s">
        <v>61</v>
      </c>
      <c r="P1" t="s">
        <v>59</v>
      </c>
      <c r="Q1" s="7" t="s">
        <v>60</v>
      </c>
      <c r="R1" t="s">
        <v>15</v>
      </c>
      <c r="S1" t="s">
        <v>12</v>
      </c>
      <c r="T1" t="s">
        <v>62</v>
      </c>
      <c r="U1" s="7" t="s">
        <v>63</v>
      </c>
      <c r="V1" t="s">
        <v>23</v>
      </c>
      <c r="W1" t="s">
        <v>22</v>
      </c>
      <c r="X1" t="s">
        <v>33</v>
      </c>
      <c r="Y1" t="s">
        <v>25</v>
      </c>
      <c r="AA1" s="10" t="s">
        <v>1</v>
      </c>
      <c r="AB1" s="10">
        <v>4.5</v>
      </c>
    </row>
    <row r="2" spans="1:30">
      <c r="A2">
        <v>-15</v>
      </c>
      <c r="B2">
        <v>5</v>
      </c>
      <c r="C2">
        <f>(A2+B2)/2</f>
        <v>-5</v>
      </c>
      <c r="D2">
        <f>(C2+B2)/2</f>
        <v>0</v>
      </c>
      <c r="E2">
        <f t="shared" ref="E2:E13" si="0">(C2+ AB$2)/2</f>
        <v>12.5</v>
      </c>
      <c r="F2">
        <f>0.61078 * EXP(17.26939 * D2 / (D2 + 237.3))</f>
        <v>0.61077999999999999</v>
      </c>
      <c r="G2">
        <f>0.61078 * EXP(17.26939 * A2 / (A2 + 237.3))</f>
        <v>0.19046355243449331</v>
      </c>
      <c r="H2">
        <f>F2-G2</f>
        <v>0.42031644756550668</v>
      </c>
      <c r="I2">
        <f t="shared" ref="I2:I13" si="1">MAX(0, 1 - AB$8 * H2^ AB$9)</f>
        <v>0.99116670419529562</v>
      </c>
      <c r="J2" s="7">
        <f>MAX(0,(($AB$2+($AB$2-$AB$1)) - D2) * (D2 - $AB$1) / (((($AB$2+($AB$2-$AB$1)) - $AB$1) / 2)*(($AB$2+($AB$2-$AB$1)) - $AB$1) / 2))</f>
        <v>0</v>
      </c>
      <c r="K2">
        <f>MAX(0,IF(D2&lt;$AB$2,((($AB$19-D2)*(D2-$AB$1))/(($AB$19-$AB$1)/2)^2),($AB$3-D2)*(D2-($AB$2+($AB$2-$AB$3)))/((($AB$3-($AB$2+($AB$2-$AB$3)))/2)^2)))</f>
        <v>0</v>
      </c>
      <c r="L2" s="7">
        <f>IF(D2&gt;AB$2,1,MAX(0,((($AB$2+($AB$2-$AB$1))-D2)*(D2-AB$1))/(((($AB$2+($AB$2-$AB$1))-AB$1)/2)^2)))</f>
        <v>0</v>
      </c>
      <c r="M2">
        <f t="shared" ref="M2:M13" si="2">AB$10*(AB$7*I2*AB$11*12)/1000000000</f>
        <v>2.1725371888189602</v>
      </c>
      <c r="N2">
        <f>L2*M2</f>
        <v>0</v>
      </c>
      <c r="O2" s="7">
        <f>K2*M2</f>
        <v>0</v>
      </c>
      <c r="P2" s="7">
        <f xml:space="preserve"> AB$12*AB$13* N2 * AB$14</f>
        <v>0</v>
      </c>
      <c r="Q2" s="7">
        <f xml:space="preserve"> AB$12*AB$13* O2 * AB$14</f>
        <v>0</v>
      </c>
      <c r="R2">
        <f t="shared" ref="R2:R13" si="3">AB$18^((D2-AB$2)/10)</f>
        <v>0.125</v>
      </c>
      <c r="S2">
        <f t="shared" ref="S2:S13" si="4">AB$17*R2</f>
        <v>1.2500000000000001E-2</v>
      </c>
      <c r="T2">
        <f>P2+W2</f>
        <v>0.54797472000000014</v>
      </c>
      <c r="U2" s="7">
        <f>Q2+W2</f>
        <v>0.54797472000000014</v>
      </c>
      <c r="V2">
        <f>AB$17*R2*AB$10*86400*12/1000000000*AB$7</f>
        <v>5.4797472000000014E-2</v>
      </c>
      <c r="W2">
        <f>AB$12*V2*AB$14</f>
        <v>0.54797472000000014</v>
      </c>
      <c r="X2">
        <f t="shared" ref="X2:X13" si="5">AB$16/H2</f>
        <v>25.932841941192954</v>
      </c>
      <c r="Y2">
        <f t="shared" ref="Y2:Y13" si="6">U2*(44/12)/X2</f>
        <v>7.7478613587985787E-2</v>
      </c>
      <c r="AA2" s="10" t="s">
        <v>2</v>
      </c>
      <c r="AB2" s="10">
        <v>30</v>
      </c>
    </row>
    <row r="3" spans="1:30">
      <c r="A3">
        <v>-10</v>
      </c>
      <c r="B3">
        <v>10</v>
      </c>
      <c r="C3">
        <f t="shared" ref="C3:C10" si="7">(A3+B3)/2</f>
        <v>0</v>
      </c>
      <c r="D3">
        <f t="shared" ref="D3:D13" si="8">(C3+B3)/2</f>
        <v>5</v>
      </c>
      <c r="E3">
        <f t="shared" si="0"/>
        <v>15</v>
      </c>
      <c r="F3">
        <f t="shared" ref="F3:F13" si="9">0.61078 * EXP(17.26939 * D3 / (D3 + 237.3))</f>
        <v>0.87227141748882542</v>
      </c>
      <c r="G3">
        <f t="shared" ref="G3:G13" si="10">0.61078 * EXP(17.26939 * A3 / (A3 + 237.3))</f>
        <v>0.28570929427727804</v>
      </c>
      <c r="H3">
        <f t="shared" ref="H3:H13" si="11">F3-G3</f>
        <v>0.58656212321154744</v>
      </c>
      <c r="I3">
        <f t="shared" si="1"/>
        <v>0.98279724378067812</v>
      </c>
      <c r="J3" s="7">
        <f t="shared" ref="J3:J13" si="12">MAX(0,(($AB$2+($AB$2-$AB$1)) - D3) * (D3 - $AB$1) / (((($AB$2+($AB$2-$AB$1)) - $AB$1) / 2)*(($AB$2+($AB$2-$AB$1)) - $AB$1) / 2))</f>
        <v>3.8831218762014612E-2</v>
      </c>
      <c r="K3" s="7">
        <f t="shared" ref="K3:K13" si="13">MAX(0,IF(D3&lt;$AB$2,((($AB$19-D3)*(D3-$AB$1))/(($AB$19-$AB$1)/2)^2),($AB$3-D3)*(D3-($AB$2+($AB$2-$AB$3)))/((($AB$3-($AB$2+($AB$2-$AB$3)))/2)^2)))</f>
        <v>3.8831218762014612E-2</v>
      </c>
      <c r="L3" s="7">
        <f t="shared" ref="L3:L13" si="14">IF(D3&gt;AB$2,1,MAX(0,((($AB$2+($AB$2-$AB$1))-D3)*(D3-AB$1))/(((($AB$2+($AB$2-$AB$1))-AB$1)/2)^2)))</f>
        <v>3.8831218762014612E-2</v>
      </c>
      <c r="M3" s="7">
        <f t="shared" si="2"/>
        <v>2.1541921779099553</v>
      </c>
      <c r="N3" s="7">
        <f t="shared" ref="N3:N13" si="15">L3*M3</f>
        <v>8.3649907715842173E-2</v>
      </c>
      <c r="O3" s="7">
        <f t="shared" ref="O3:O13" si="16">K3*M3</f>
        <v>8.3649907715842173E-2</v>
      </c>
      <c r="P3" s="7">
        <f t="shared" ref="P3:P13" si="17" xml:space="preserve"> AB$12*AB$13* N3 * AB$14</f>
        <v>0.83649907715842176</v>
      </c>
      <c r="Q3" s="7">
        <f t="shared" ref="Q3:Q13" si="18" xml:space="preserve"> AB$12*AB$13* O3 * AB$14</f>
        <v>0.83649907715842176</v>
      </c>
      <c r="R3" s="7">
        <f t="shared" si="3"/>
        <v>0.17677669529663687</v>
      </c>
      <c r="S3" s="7">
        <f t="shared" si="4"/>
        <v>1.7677669529663688E-2</v>
      </c>
      <c r="T3" s="7">
        <f t="shared" ref="T3:T13" si="19">P3+W3</f>
        <v>1.6114523580200211</v>
      </c>
      <c r="U3" s="7">
        <f t="shared" ref="U3:U13" si="20">Q3+W3</f>
        <v>1.6114523580200211</v>
      </c>
      <c r="V3" s="7">
        <f t="shared" ref="V3:V13" si="21">AB$17*R3*AB$10*86400*12/1000000000*AB$7</f>
        <v>7.7495328086159929E-2</v>
      </c>
      <c r="W3" s="7">
        <f t="shared" ref="W3:W13" si="22">AB$12*V3*AB$14</f>
        <v>0.77495328086159931</v>
      </c>
      <c r="X3">
        <f t="shared" si="5"/>
        <v>18.582856902386187</v>
      </c>
      <c r="Y3">
        <f t="shared" si="6"/>
        <v>0.31796287713514554</v>
      </c>
      <c r="AA3" s="10" t="s">
        <v>3</v>
      </c>
      <c r="AB3" s="10">
        <v>39</v>
      </c>
      <c r="AC3" t="s">
        <v>159</v>
      </c>
    </row>
    <row r="4" spans="1:30">
      <c r="A4">
        <v>-5</v>
      </c>
      <c r="B4">
        <v>15</v>
      </c>
      <c r="C4">
        <f t="shared" si="7"/>
        <v>5</v>
      </c>
      <c r="D4">
        <f t="shared" si="8"/>
        <v>10</v>
      </c>
      <c r="E4">
        <f t="shared" si="0"/>
        <v>17.5</v>
      </c>
      <c r="F4">
        <f t="shared" si="9"/>
        <v>1.2278921229539039</v>
      </c>
      <c r="G4">
        <f t="shared" si="10"/>
        <v>0.42116823077156701</v>
      </c>
      <c r="H4">
        <f t="shared" si="11"/>
        <v>0.80672389218233698</v>
      </c>
      <c r="I4">
        <f t="shared" si="1"/>
        <v>0.96745982808910902</v>
      </c>
      <c r="J4" s="7">
        <f t="shared" si="12"/>
        <v>0.38485198000768933</v>
      </c>
      <c r="K4" s="7">
        <f t="shared" si="13"/>
        <v>0.38485198000768933</v>
      </c>
      <c r="L4" s="7">
        <f t="shared" si="14"/>
        <v>0.38485198000768933</v>
      </c>
      <c r="M4" s="7">
        <f t="shared" si="2"/>
        <v>2.1205741136335114</v>
      </c>
      <c r="N4" s="7">
        <f t="shared" si="15"/>
        <v>0.81610714638490767</v>
      </c>
      <c r="O4" s="7">
        <f t="shared" si="16"/>
        <v>0.81610714638490767</v>
      </c>
      <c r="P4" s="7">
        <f t="shared" si="17"/>
        <v>8.1610714638490762</v>
      </c>
      <c r="Q4" s="7">
        <f t="shared" si="18"/>
        <v>8.1610714638490762</v>
      </c>
      <c r="R4" s="7">
        <f t="shared" si="3"/>
        <v>0.25</v>
      </c>
      <c r="S4" s="7">
        <f t="shared" si="4"/>
        <v>2.5000000000000001E-2</v>
      </c>
      <c r="T4" s="7">
        <f t="shared" si="19"/>
        <v>9.2570209038490763</v>
      </c>
      <c r="U4" s="7">
        <f t="shared" si="20"/>
        <v>9.2570209038490763</v>
      </c>
      <c r="V4" s="7">
        <f t="shared" si="21"/>
        <v>0.10959494400000003</v>
      </c>
      <c r="W4" s="7">
        <f t="shared" si="22"/>
        <v>1.0959494400000003</v>
      </c>
      <c r="X4">
        <f t="shared" si="5"/>
        <v>13.511438183036192</v>
      </c>
      <c r="Y4">
        <f t="shared" si="6"/>
        <v>2.5121241366737062</v>
      </c>
      <c r="AA4" s="10" t="s">
        <v>6</v>
      </c>
      <c r="AB4" s="10">
        <v>-46</v>
      </c>
    </row>
    <row r="5" spans="1:30">
      <c r="A5">
        <v>0</v>
      </c>
      <c r="B5">
        <v>20</v>
      </c>
      <c r="C5">
        <f t="shared" si="7"/>
        <v>10</v>
      </c>
      <c r="D5">
        <f t="shared" si="8"/>
        <v>15</v>
      </c>
      <c r="E5">
        <f t="shared" si="0"/>
        <v>20</v>
      </c>
      <c r="F5">
        <f t="shared" si="9"/>
        <v>1.7052285488209411</v>
      </c>
      <c r="G5">
        <f t="shared" si="10"/>
        <v>0.61077999999999999</v>
      </c>
      <c r="H5">
        <f t="shared" si="11"/>
        <v>1.094448548820941</v>
      </c>
      <c r="I5">
        <f t="shared" si="1"/>
        <v>0.94010911869918679</v>
      </c>
      <c r="J5" s="7">
        <f t="shared" si="12"/>
        <v>0.65397923875432529</v>
      </c>
      <c r="K5" s="7">
        <f t="shared" si="13"/>
        <v>0.65397923875432529</v>
      </c>
      <c r="L5" s="7">
        <f t="shared" si="14"/>
        <v>0.65397923875432529</v>
      </c>
      <c r="M5" s="7">
        <f t="shared" si="2"/>
        <v>2.0606241243545345</v>
      </c>
      <c r="N5" s="7">
        <f t="shared" si="15"/>
        <v>1.3476053962041765</v>
      </c>
      <c r="O5" s="7">
        <f t="shared" si="16"/>
        <v>1.3476053962041765</v>
      </c>
      <c r="P5" s="7">
        <f t="shared" si="17"/>
        <v>13.476053962041766</v>
      </c>
      <c r="Q5" s="7">
        <f t="shared" si="18"/>
        <v>13.476053962041766</v>
      </c>
      <c r="R5" s="7">
        <f t="shared" si="3"/>
        <v>0.35355339059327379</v>
      </c>
      <c r="S5" s="7">
        <f t="shared" si="4"/>
        <v>3.5355339059327383E-2</v>
      </c>
      <c r="T5" s="7">
        <f t="shared" si="19"/>
        <v>15.025960523764965</v>
      </c>
      <c r="U5" s="7">
        <f t="shared" si="20"/>
        <v>15.025960523764965</v>
      </c>
      <c r="V5" s="7">
        <f t="shared" si="21"/>
        <v>0.15499065617231989</v>
      </c>
      <c r="W5" s="7">
        <f t="shared" si="22"/>
        <v>1.5499065617231989</v>
      </c>
      <c r="X5">
        <f t="shared" si="5"/>
        <v>9.9593535134590532</v>
      </c>
      <c r="Y5">
        <f t="shared" si="6"/>
        <v>5.532004513413713</v>
      </c>
      <c r="AA5" s="10" t="s">
        <v>7</v>
      </c>
      <c r="AB5" s="10">
        <v>71.900000000000006</v>
      </c>
    </row>
    <row r="6" spans="1:30">
      <c r="A6">
        <v>5</v>
      </c>
      <c r="B6">
        <v>25</v>
      </c>
      <c r="C6">
        <f t="shared" si="7"/>
        <v>15</v>
      </c>
      <c r="D6">
        <f t="shared" si="8"/>
        <v>20</v>
      </c>
      <c r="E6">
        <f t="shared" si="0"/>
        <v>22.5</v>
      </c>
      <c r="F6">
        <f t="shared" si="9"/>
        <v>2.3380938419374377</v>
      </c>
      <c r="G6">
        <f t="shared" si="10"/>
        <v>0.87227141748882542</v>
      </c>
      <c r="H6">
        <f t="shared" si="11"/>
        <v>1.4658224244486124</v>
      </c>
      <c r="I6">
        <f t="shared" si="1"/>
        <v>0.89256823099917959</v>
      </c>
      <c r="J6" s="7">
        <f t="shared" si="12"/>
        <v>0.84621299500192237</v>
      </c>
      <c r="K6" s="7">
        <f t="shared" si="13"/>
        <v>0.84621299500192237</v>
      </c>
      <c r="L6" s="7">
        <f t="shared" si="14"/>
        <v>0.84621299500192237</v>
      </c>
      <c r="M6" s="7">
        <f t="shared" si="2"/>
        <v>1.9564193058506831</v>
      </c>
      <c r="N6" s="7">
        <f t="shared" si="15"/>
        <v>1.6555474402834887</v>
      </c>
      <c r="O6" s="7">
        <f t="shared" si="16"/>
        <v>1.6555474402834887</v>
      </c>
      <c r="P6" s="7">
        <f t="shared" si="17"/>
        <v>16.555474402834886</v>
      </c>
      <c r="Q6" s="7">
        <f t="shared" si="18"/>
        <v>16.555474402834886</v>
      </c>
      <c r="R6" s="7">
        <f t="shared" si="3"/>
        <v>0.5</v>
      </c>
      <c r="S6" s="7">
        <f t="shared" si="4"/>
        <v>0.05</v>
      </c>
      <c r="T6" s="7">
        <f t="shared" si="19"/>
        <v>18.747373282834886</v>
      </c>
      <c r="U6" s="7">
        <f t="shared" si="20"/>
        <v>18.747373282834886</v>
      </c>
      <c r="V6" s="7">
        <f t="shared" si="21"/>
        <v>0.21918988800000005</v>
      </c>
      <c r="W6" s="7">
        <f t="shared" si="22"/>
        <v>2.1918988800000005</v>
      </c>
      <c r="X6">
        <f t="shared" si="5"/>
        <v>7.4360985465890748</v>
      </c>
      <c r="Y6">
        <f t="shared" si="6"/>
        <v>9.2441443954853177</v>
      </c>
      <c r="AA6" s="10" t="s">
        <v>8</v>
      </c>
      <c r="AB6" s="10">
        <v>2.6</v>
      </c>
    </row>
    <row r="7" spans="1:30">
      <c r="A7">
        <v>10</v>
      </c>
      <c r="B7">
        <v>30</v>
      </c>
      <c r="C7">
        <f t="shared" si="7"/>
        <v>20</v>
      </c>
      <c r="D7">
        <f t="shared" si="8"/>
        <v>25</v>
      </c>
      <c r="E7">
        <f t="shared" si="0"/>
        <v>25</v>
      </c>
      <c r="F7">
        <f t="shared" si="9"/>
        <v>3.1674898302368564</v>
      </c>
      <c r="G7">
        <f t="shared" si="10"/>
        <v>1.2278921229539039</v>
      </c>
      <c r="H7">
        <f t="shared" si="11"/>
        <v>1.9395977072829524</v>
      </c>
      <c r="I7">
        <f t="shared" si="1"/>
        <v>0.81189803669513572</v>
      </c>
      <c r="J7" s="7">
        <f t="shared" si="12"/>
        <v>0.96155324875048054</v>
      </c>
      <c r="K7" s="7">
        <f t="shared" si="13"/>
        <v>0.96155324875048054</v>
      </c>
      <c r="L7" s="7">
        <f t="shared" si="14"/>
        <v>0.96155324875048054</v>
      </c>
      <c r="M7" s="7">
        <f t="shared" si="2"/>
        <v>1.7795983973062672</v>
      </c>
      <c r="N7" s="7">
        <f t="shared" si="15"/>
        <v>1.7111786204009898</v>
      </c>
      <c r="O7" s="7">
        <f t="shared" si="16"/>
        <v>1.7111786204009898</v>
      </c>
      <c r="P7" s="7">
        <f t="shared" si="17"/>
        <v>17.111786204009899</v>
      </c>
      <c r="Q7" s="7">
        <f t="shared" si="18"/>
        <v>17.111786204009899</v>
      </c>
      <c r="R7" s="7">
        <f t="shared" si="3"/>
        <v>0.70710678118654746</v>
      </c>
      <c r="S7" s="7">
        <f t="shared" si="4"/>
        <v>7.0710678118654752E-2</v>
      </c>
      <c r="T7" s="7">
        <f t="shared" si="19"/>
        <v>20.211599327456298</v>
      </c>
      <c r="U7" s="7">
        <f t="shared" si="20"/>
        <v>20.211599327456298</v>
      </c>
      <c r="V7" s="7">
        <f t="shared" si="21"/>
        <v>0.30998131234463971</v>
      </c>
      <c r="W7" s="7">
        <f t="shared" si="22"/>
        <v>3.0998131234463973</v>
      </c>
      <c r="X7">
        <f t="shared" si="5"/>
        <v>5.6197220480679224</v>
      </c>
      <c r="Y7">
        <f t="shared" si="6"/>
        <v>13.187342167480578</v>
      </c>
      <c r="AA7" s="10" t="s">
        <v>5</v>
      </c>
      <c r="AB7" s="8">
        <f>AB4+AB5*AB6</f>
        <v>140.94000000000003</v>
      </c>
    </row>
    <row r="8" spans="1:30">
      <c r="A8">
        <v>15</v>
      </c>
      <c r="B8">
        <v>35</v>
      </c>
      <c r="C8">
        <f t="shared" si="7"/>
        <v>25</v>
      </c>
      <c r="D8">
        <f t="shared" si="8"/>
        <v>30</v>
      </c>
      <c r="E8">
        <f t="shared" si="0"/>
        <v>27.5</v>
      </c>
      <c r="F8">
        <f t="shared" si="9"/>
        <v>4.2426356531114431</v>
      </c>
      <c r="G8">
        <f t="shared" si="10"/>
        <v>1.7052285488209411</v>
      </c>
      <c r="H8">
        <f t="shared" si="11"/>
        <v>2.537407104290502</v>
      </c>
      <c r="I8">
        <f t="shared" si="1"/>
        <v>0.67807825935480448</v>
      </c>
      <c r="J8" s="7">
        <f t="shared" si="12"/>
        <v>1</v>
      </c>
      <c r="K8" s="7">
        <f t="shared" si="13"/>
        <v>1</v>
      </c>
      <c r="L8" s="7">
        <f t="shared" si="14"/>
        <v>1</v>
      </c>
      <c r="M8" s="7">
        <f t="shared" si="2"/>
        <v>1.4862789772321459</v>
      </c>
      <c r="N8" s="7">
        <f t="shared" si="15"/>
        <v>1.4862789772321459</v>
      </c>
      <c r="O8" s="7">
        <f t="shared" si="16"/>
        <v>1.4862789772321459</v>
      </c>
      <c r="P8" s="7">
        <f t="shared" si="17"/>
        <v>14.862789772321459</v>
      </c>
      <c r="Q8" s="7">
        <f t="shared" si="18"/>
        <v>14.862789772321459</v>
      </c>
      <c r="R8" s="7">
        <f t="shared" si="3"/>
        <v>1</v>
      </c>
      <c r="S8" s="7">
        <f t="shared" si="4"/>
        <v>0.1</v>
      </c>
      <c r="T8" s="7">
        <f t="shared" si="19"/>
        <v>19.24658753232146</v>
      </c>
      <c r="U8" s="7">
        <f t="shared" si="20"/>
        <v>19.24658753232146</v>
      </c>
      <c r="V8" s="7">
        <f t="shared" si="21"/>
        <v>0.43837977600000011</v>
      </c>
      <c r="W8" s="7">
        <f t="shared" si="22"/>
        <v>4.3837977600000011</v>
      </c>
      <c r="X8">
        <f t="shared" si="5"/>
        <v>4.29572376524413</v>
      </c>
      <c r="Y8">
        <f t="shared" si="6"/>
        <v>16.428156187048202</v>
      </c>
      <c r="AA8" s="10" t="s">
        <v>29</v>
      </c>
      <c r="AB8" s="10">
        <v>0.05</v>
      </c>
    </row>
    <row r="9" spans="1:30">
      <c r="A9">
        <v>20</v>
      </c>
      <c r="B9">
        <v>40</v>
      </c>
      <c r="C9">
        <f t="shared" si="7"/>
        <v>30</v>
      </c>
      <c r="D9">
        <f t="shared" si="8"/>
        <v>35</v>
      </c>
      <c r="E9">
        <f t="shared" si="0"/>
        <v>30</v>
      </c>
      <c r="F9">
        <f t="shared" si="9"/>
        <v>5.6220563085635584</v>
      </c>
      <c r="G9">
        <f t="shared" si="10"/>
        <v>2.3380938419374377</v>
      </c>
      <c r="H9">
        <f t="shared" si="11"/>
        <v>3.2839624666261207</v>
      </c>
      <c r="I9">
        <f t="shared" si="1"/>
        <v>0.46077952588954418</v>
      </c>
      <c r="J9" s="7">
        <f t="shared" si="12"/>
        <v>0.96155324875048054</v>
      </c>
      <c r="K9" s="7">
        <f t="shared" si="13"/>
        <v>0.69135802469135799</v>
      </c>
      <c r="L9" s="7">
        <f t="shared" si="14"/>
        <v>1</v>
      </c>
      <c r="M9" s="7">
        <f t="shared" si="2"/>
        <v>1.0099821267242231</v>
      </c>
      <c r="N9" s="7">
        <f t="shared" si="15"/>
        <v>1.0099821267242231</v>
      </c>
      <c r="O9" s="7">
        <f t="shared" si="16"/>
        <v>0.69825924810563567</v>
      </c>
      <c r="P9" s="7">
        <f t="shared" si="17"/>
        <v>10.099821267242231</v>
      </c>
      <c r="Q9" s="7">
        <f t="shared" si="18"/>
        <v>6.9825924810563569</v>
      </c>
      <c r="R9" s="7">
        <f t="shared" si="3"/>
        <v>1.4142135623730951</v>
      </c>
      <c r="S9" s="7">
        <f t="shared" si="4"/>
        <v>0.14142135623730953</v>
      </c>
      <c r="T9" s="7">
        <f t="shared" si="19"/>
        <v>16.299447514135025</v>
      </c>
      <c r="U9" s="7">
        <f t="shared" si="20"/>
        <v>13.182218727949152</v>
      </c>
      <c r="V9" s="7">
        <f t="shared" si="21"/>
        <v>0.61996262468927954</v>
      </c>
      <c r="W9" s="7">
        <f t="shared" si="22"/>
        <v>6.1996262468927954</v>
      </c>
      <c r="X9">
        <f t="shared" si="5"/>
        <v>3.3191609559406592</v>
      </c>
      <c r="Y9">
        <f t="shared" si="6"/>
        <v>14.562355560362397</v>
      </c>
      <c r="AA9" s="10" t="s">
        <v>30</v>
      </c>
      <c r="AB9" s="10">
        <v>2</v>
      </c>
    </row>
    <row r="10" spans="1:30">
      <c r="A10">
        <v>25</v>
      </c>
      <c r="B10">
        <v>45</v>
      </c>
      <c r="C10">
        <f t="shared" si="7"/>
        <v>35</v>
      </c>
      <c r="D10">
        <f t="shared" si="8"/>
        <v>40</v>
      </c>
      <c r="E10">
        <f t="shared" si="0"/>
        <v>32.5</v>
      </c>
      <c r="F10">
        <f t="shared" si="9"/>
        <v>7.3747231460360023</v>
      </c>
      <c r="G10">
        <f t="shared" si="10"/>
        <v>3.1674898302368564</v>
      </c>
      <c r="H10">
        <f t="shared" si="11"/>
        <v>4.2072333157991455</v>
      </c>
      <c r="I10">
        <f t="shared" si="1"/>
        <v>0.11495939132148625</v>
      </c>
      <c r="J10" s="7">
        <f t="shared" si="12"/>
        <v>0.84621299500192237</v>
      </c>
      <c r="K10" s="7">
        <f t="shared" si="13"/>
        <v>0</v>
      </c>
      <c r="L10" s="7">
        <f t="shared" si="14"/>
        <v>1</v>
      </c>
      <c r="M10" s="7">
        <f t="shared" si="2"/>
        <v>0.25197936108304753</v>
      </c>
      <c r="N10" s="7">
        <f t="shared" si="15"/>
        <v>0.25197936108304753</v>
      </c>
      <c r="O10" s="7">
        <f t="shared" si="16"/>
        <v>0</v>
      </c>
      <c r="P10" s="7">
        <f t="shared" si="17"/>
        <v>2.519793610830475</v>
      </c>
      <c r="Q10" s="7">
        <f t="shared" si="18"/>
        <v>0</v>
      </c>
      <c r="R10" s="7">
        <f t="shared" si="3"/>
        <v>2</v>
      </c>
      <c r="S10" s="7">
        <f t="shared" si="4"/>
        <v>0.2</v>
      </c>
      <c r="T10" s="7">
        <f t="shared" si="19"/>
        <v>11.287389130830476</v>
      </c>
      <c r="U10" s="7">
        <f t="shared" si="20"/>
        <v>8.7675955200000022</v>
      </c>
      <c r="V10" s="7">
        <f t="shared" si="21"/>
        <v>0.87675955200000022</v>
      </c>
      <c r="W10" s="7">
        <f t="shared" si="22"/>
        <v>8.7675955200000022</v>
      </c>
      <c r="X10">
        <f t="shared" si="5"/>
        <v>2.5907762136860701</v>
      </c>
      <c r="Y10">
        <f t="shared" si="6"/>
        <v>12.408578583582528</v>
      </c>
      <c r="AA10" s="10" t="s">
        <v>10</v>
      </c>
      <c r="AB10" s="10">
        <v>30</v>
      </c>
      <c r="AD10" t="s">
        <v>64</v>
      </c>
    </row>
    <row r="11" spans="1:30">
      <c r="A11">
        <v>30</v>
      </c>
      <c r="B11">
        <v>50</v>
      </c>
      <c r="C11">
        <f>(A11+B11)/2</f>
        <v>40</v>
      </c>
      <c r="D11">
        <f t="shared" si="8"/>
        <v>45</v>
      </c>
      <c r="E11">
        <f t="shared" si="0"/>
        <v>35</v>
      </c>
      <c r="F11">
        <f t="shared" si="9"/>
        <v>9.5812372781996284</v>
      </c>
      <c r="G11">
        <f t="shared" si="10"/>
        <v>4.2426356531114431</v>
      </c>
      <c r="H11">
        <f t="shared" si="11"/>
        <v>5.3386016250881854</v>
      </c>
      <c r="I11">
        <f t="shared" si="1"/>
        <v>0</v>
      </c>
      <c r="J11" s="7">
        <f t="shared" si="12"/>
        <v>0.65397923875432529</v>
      </c>
      <c r="K11" s="7">
        <f t="shared" si="13"/>
        <v>0</v>
      </c>
      <c r="L11" s="7">
        <f t="shared" si="14"/>
        <v>1</v>
      </c>
      <c r="M11" s="7">
        <f t="shared" si="2"/>
        <v>0</v>
      </c>
      <c r="N11" s="7">
        <f t="shared" si="15"/>
        <v>0</v>
      </c>
      <c r="O11" s="7">
        <f t="shared" si="16"/>
        <v>0</v>
      </c>
      <c r="P11" s="7">
        <f t="shared" si="17"/>
        <v>0</v>
      </c>
      <c r="Q11" s="7">
        <f t="shared" si="18"/>
        <v>0</v>
      </c>
      <c r="R11" s="7">
        <f t="shared" si="3"/>
        <v>2.8284271247461898</v>
      </c>
      <c r="S11" s="7">
        <f t="shared" si="4"/>
        <v>0.28284271247461901</v>
      </c>
      <c r="T11" s="7">
        <f t="shared" si="19"/>
        <v>12.399252493785589</v>
      </c>
      <c r="U11" s="7">
        <f t="shared" si="20"/>
        <v>12.399252493785589</v>
      </c>
      <c r="V11" s="7">
        <f t="shared" si="21"/>
        <v>1.2399252493785589</v>
      </c>
      <c r="W11" s="7">
        <f t="shared" si="22"/>
        <v>12.399252493785589</v>
      </c>
      <c r="X11">
        <f t="shared" si="5"/>
        <v>2.0417331663738723</v>
      </c>
      <c r="Y11">
        <f t="shared" si="6"/>
        <v>22.26732001973172</v>
      </c>
      <c r="AA11" s="10" t="s">
        <v>11</v>
      </c>
      <c r="AB11" s="8">
        <f>AC11*60*60</f>
        <v>43200</v>
      </c>
      <c r="AC11">
        <v>12</v>
      </c>
      <c r="AD11" t="s">
        <v>57</v>
      </c>
    </row>
    <row r="12" spans="1:30">
      <c r="A12">
        <v>35</v>
      </c>
      <c r="B12">
        <v>55</v>
      </c>
      <c r="C12">
        <f>(A12+B12)/2</f>
        <v>45</v>
      </c>
      <c r="D12">
        <f t="shared" si="8"/>
        <v>50</v>
      </c>
      <c r="E12">
        <f t="shared" si="0"/>
        <v>37.5</v>
      </c>
      <c r="F12">
        <f t="shared" si="9"/>
        <v>12.335046017492973</v>
      </c>
      <c r="G12">
        <f t="shared" si="10"/>
        <v>5.6220563085635584</v>
      </c>
      <c r="H12">
        <f t="shared" si="11"/>
        <v>6.7129897089294142</v>
      </c>
      <c r="I12">
        <f t="shared" si="1"/>
        <v>0</v>
      </c>
      <c r="J12" s="7">
        <f t="shared" si="12"/>
        <v>0.38485198000768933</v>
      </c>
      <c r="K12" s="7">
        <f t="shared" si="13"/>
        <v>0</v>
      </c>
      <c r="L12" s="7">
        <f t="shared" si="14"/>
        <v>1</v>
      </c>
      <c r="M12" s="7">
        <f t="shared" si="2"/>
        <v>0</v>
      </c>
      <c r="N12" s="7">
        <f t="shared" si="15"/>
        <v>0</v>
      </c>
      <c r="O12" s="7">
        <f t="shared" si="16"/>
        <v>0</v>
      </c>
      <c r="P12" s="7">
        <f t="shared" si="17"/>
        <v>0</v>
      </c>
      <c r="Q12" s="7">
        <f t="shared" si="18"/>
        <v>0</v>
      </c>
      <c r="R12" s="7">
        <f t="shared" si="3"/>
        <v>4</v>
      </c>
      <c r="S12" s="7">
        <f t="shared" si="4"/>
        <v>0.4</v>
      </c>
      <c r="T12" s="7">
        <f t="shared" si="19"/>
        <v>17.535191040000004</v>
      </c>
      <c r="U12" s="7">
        <f t="shared" si="20"/>
        <v>17.535191040000004</v>
      </c>
      <c r="V12" s="7">
        <f t="shared" si="21"/>
        <v>1.7535191040000004</v>
      </c>
      <c r="W12" s="7">
        <f t="shared" si="22"/>
        <v>17.535191040000004</v>
      </c>
      <c r="X12">
        <f t="shared" si="5"/>
        <v>1.6237176686717028</v>
      </c>
      <c r="Y12">
        <f t="shared" si="6"/>
        <v>39.597832628499816</v>
      </c>
      <c r="AA12" s="10" t="s">
        <v>20</v>
      </c>
      <c r="AB12" s="10">
        <v>1</v>
      </c>
    </row>
    <row r="13" spans="1:30">
      <c r="A13">
        <v>40</v>
      </c>
      <c r="B13">
        <v>60</v>
      </c>
      <c r="C13">
        <f>(A13+B13)/2</f>
        <v>50</v>
      </c>
      <c r="D13">
        <f t="shared" si="8"/>
        <v>55</v>
      </c>
      <c r="E13">
        <f t="shared" si="0"/>
        <v>40</v>
      </c>
      <c r="F13">
        <f t="shared" si="9"/>
        <v>15.743681776119971</v>
      </c>
      <c r="G13">
        <f t="shared" si="10"/>
        <v>7.3747231460360023</v>
      </c>
      <c r="H13">
        <f t="shared" si="11"/>
        <v>8.3689586300839682</v>
      </c>
      <c r="I13">
        <f t="shared" si="1"/>
        <v>0</v>
      </c>
      <c r="J13" s="7">
        <f t="shared" si="12"/>
        <v>3.8831218762014612E-2</v>
      </c>
      <c r="K13" s="7">
        <f t="shared" si="13"/>
        <v>0</v>
      </c>
      <c r="L13" s="7">
        <f t="shared" si="14"/>
        <v>1</v>
      </c>
      <c r="M13" s="7">
        <f t="shared" si="2"/>
        <v>0</v>
      </c>
      <c r="N13" s="7">
        <f t="shared" si="15"/>
        <v>0</v>
      </c>
      <c r="O13" s="7">
        <f t="shared" si="16"/>
        <v>0</v>
      </c>
      <c r="P13" s="7">
        <f t="shared" si="17"/>
        <v>0</v>
      </c>
      <c r="Q13" s="7">
        <f t="shared" si="18"/>
        <v>0</v>
      </c>
      <c r="R13" s="7">
        <f t="shared" si="3"/>
        <v>5.6568542494923806</v>
      </c>
      <c r="S13" s="7">
        <f t="shared" si="4"/>
        <v>0.56568542494923812</v>
      </c>
      <c r="T13" s="7">
        <f t="shared" si="19"/>
        <v>24.798504987571182</v>
      </c>
      <c r="U13" s="7">
        <f t="shared" si="20"/>
        <v>24.798504987571182</v>
      </c>
      <c r="V13" s="7">
        <f t="shared" si="21"/>
        <v>2.4798504987571182</v>
      </c>
      <c r="W13" s="7">
        <f t="shared" si="22"/>
        <v>24.798504987571182</v>
      </c>
      <c r="X13">
        <f t="shared" si="5"/>
        <v>1.3024320565784224</v>
      </c>
      <c r="Y13">
        <f t="shared" si="6"/>
        <v>69.813892526546056</v>
      </c>
      <c r="AA13" s="10" t="s">
        <v>21</v>
      </c>
      <c r="AB13" s="10">
        <v>1</v>
      </c>
    </row>
    <row r="14" spans="1:30">
      <c r="AA14" s="10" t="s">
        <v>204</v>
      </c>
      <c r="AB14" s="10">
        <v>10</v>
      </c>
    </row>
    <row r="15" spans="1:30">
      <c r="A15" s="7"/>
      <c r="B15" s="7"/>
      <c r="C15" s="7"/>
      <c r="D15" s="7"/>
      <c r="E15" s="7"/>
      <c r="F15" s="7"/>
      <c r="G15" s="7"/>
      <c r="H15" s="7"/>
      <c r="I15" s="7"/>
      <c r="K15" s="7"/>
      <c r="AA15" s="10" t="s">
        <v>24</v>
      </c>
      <c r="AB15" s="10">
        <v>5</v>
      </c>
    </row>
    <row r="16" spans="1:30">
      <c r="A16" s="7"/>
      <c r="B16" s="7"/>
      <c r="C16" s="7"/>
      <c r="D16" s="7"/>
      <c r="E16" s="7"/>
      <c r="F16" s="7"/>
      <c r="G16" s="7"/>
      <c r="H16" s="7"/>
      <c r="I16" s="7"/>
      <c r="K16" s="7"/>
      <c r="AA16" s="10" t="s">
        <v>32</v>
      </c>
      <c r="AB16" s="10">
        <v>10.9</v>
      </c>
      <c r="AC16" t="s">
        <v>202</v>
      </c>
    </row>
    <row r="17" spans="1:28">
      <c r="A17" s="2" t="s">
        <v>137</v>
      </c>
      <c r="B17" s="2"/>
      <c r="C17" s="2"/>
      <c r="D17" s="2"/>
      <c r="E17" s="2"/>
      <c r="F17" s="2"/>
      <c r="G17" s="2"/>
      <c r="H17" s="2"/>
      <c r="I17" s="2"/>
      <c r="J17" s="2"/>
      <c r="K17" s="2"/>
      <c r="AA17" s="10" t="s">
        <v>13</v>
      </c>
      <c r="AB17" s="10">
        <v>0.1</v>
      </c>
    </row>
    <row r="18" spans="1:28">
      <c r="A18" s="2" t="s">
        <v>188</v>
      </c>
      <c r="B18" s="2"/>
      <c r="C18" s="2"/>
      <c r="D18" s="2"/>
      <c r="E18" s="2"/>
      <c r="F18" s="2"/>
      <c r="G18" s="2"/>
      <c r="H18" s="2"/>
      <c r="I18" s="2"/>
      <c r="J18" s="2"/>
      <c r="K18" s="2"/>
      <c r="T18" s="2" t="s">
        <v>84</v>
      </c>
      <c r="U18" s="2"/>
      <c r="AA18" s="10" t="s">
        <v>58</v>
      </c>
      <c r="AB18" s="10">
        <v>2</v>
      </c>
    </row>
    <row r="19" spans="1:28">
      <c r="AA19" s="7" t="s">
        <v>135</v>
      </c>
      <c r="AB19">
        <f>$AB$2+($AB$2-$AB$1)</f>
        <v>55.5</v>
      </c>
    </row>
    <row r="20" spans="1:28">
      <c r="AA20" s="7" t="s">
        <v>136</v>
      </c>
      <c r="AB20">
        <f>$AB$2+($AB$2-$AB$3)</f>
        <v>21</v>
      </c>
    </row>
  </sheetData>
  <phoneticPr fontId="6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AA32"/>
  <sheetViews>
    <sheetView workbookViewId="0">
      <selection activeCell="P1" sqref="P1:P16"/>
    </sheetView>
  </sheetViews>
  <sheetFormatPr defaultRowHeight="14.4"/>
  <cols>
    <col min="8" max="8" width="9.109375" style="7"/>
    <col min="9" max="9" width="9.109375" style="4"/>
    <col min="10" max="10" width="8.88671875" style="4"/>
    <col min="11" max="15" width="9.109375" style="4"/>
    <col min="16" max="16" width="8.88671875" style="4"/>
    <col min="17" max="19" width="9.109375" style="4"/>
    <col min="20" max="20" width="12.5546875" customWidth="1"/>
    <col min="24" max="24" width="9.109375" style="4"/>
    <col min="27" max="27" width="10.44140625" style="4" customWidth="1"/>
    <col min="29" max="29" width="8.109375" customWidth="1"/>
  </cols>
  <sheetData>
    <row r="1" spans="1:27">
      <c r="A1" t="s">
        <v>283</v>
      </c>
      <c r="B1" s="4" t="s">
        <v>36</v>
      </c>
      <c r="C1" s="4" t="s">
        <v>49</v>
      </c>
      <c r="D1" s="4" t="s">
        <v>282</v>
      </c>
      <c r="E1" s="4" t="s">
        <v>40</v>
      </c>
      <c r="F1" s="4" t="s">
        <v>37</v>
      </c>
      <c r="G1" s="4" t="s">
        <v>38</v>
      </c>
      <c r="H1" s="13" t="s">
        <v>89</v>
      </c>
      <c r="I1" s="4" t="s">
        <v>39</v>
      </c>
      <c r="J1" s="13" t="s">
        <v>286</v>
      </c>
      <c r="K1" s="4" t="s">
        <v>41</v>
      </c>
      <c r="L1" s="4" t="s">
        <v>5</v>
      </c>
      <c r="M1" s="13" t="s">
        <v>90</v>
      </c>
      <c r="N1" s="4" t="s">
        <v>9</v>
      </c>
      <c r="O1" s="4" t="s">
        <v>43</v>
      </c>
      <c r="P1" s="13" t="s">
        <v>287</v>
      </c>
      <c r="Q1" s="4" t="s">
        <v>25</v>
      </c>
      <c r="R1" s="13" t="s">
        <v>285</v>
      </c>
      <c r="T1" s="11" t="s">
        <v>65</v>
      </c>
      <c r="U1" s="10"/>
      <c r="V1" s="10"/>
      <c r="W1" s="10"/>
      <c r="X1" s="2" t="s">
        <v>99</v>
      </c>
      <c r="Y1" s="2"/>
      <c r="Z1" s="2"/>
      <c r="AA1" s="2"/>
    </row>
    <row r="2" spans="1:27">
      <c r="A2">
        <v>300</v>
      </c>
      <c r="B2" s="5">
        <f t="shared" ref="B2:B16" si="0" xml:space="preserve"> (-0.075 * $U$3) + 0.875</f>
        <v>0.65749999999999997</v>
      </c>
      <c r="C2" s="5">
        <f xml:space="preserve"> 350 * B2</f>
        <v>230.125</v>
      </c>
      <c r="D2" s="5">
        <f xml:space="preserve"> A2 * B2</f>
        <v>197.25</v>
      </c>
      <c r="E2" s="5">
        <f>1.22*((C2-68)/(C2+136))</f>
        <v>0.54023216114714923</v>
      </c>
      <c r="F2" s="5">
        <f>1.22*((D2-68)/(D2+136))</f>
        <v>0.4731732933233308</v>
      </c>
      <c r="G2" s="5">
        <f xml:space="preserve"> 1 + (F2 - E2)/E2</f>
        <v>0.8758702782866109</v>
      </c>
      <c r="H2" s="14">
        <f>(A2-40)/(A2+2*40)*(350+2*40)/(350-40)</f>
        <v>0.9490662139219016</v>
      </c>
      <c r="I2" s="5">
        <f xml:space="preserve"> G2 / ((A2 - A2*B2) / (350 - C2))</f>
        <v>1.0218486580010462</v>
      </c>
      <c r="J2" s="14">
        <f xml:space="preserve"> H2 / ((A2 - A2*B2) / (350 - C2))</f>
        <v>1.1072439162422185</v>
      </c>
      <c r="K2" s="5">
        <f t="shared" ref="K2:K16" si="1">($U$7/$U$6)*(1+1-I2)</f>
        <v>5.6114998040992621</v>
      </c>
      <c r="L2" s="5">
        <f t="shared" ref="L2:L16" si="2" xml:space="preserve"> G2*($U$4 +$U$5 * $U$3)</f>
        <v>142.33767892435716</v>
      </c>
      <c r="M2" s="14">
        <f>H2*($U$4 +$U$5*$U$3)</f>
        <v>154.23275042444826</v>
      </c>
      <c r="N2" s="4">
        <f t="shared" ref="N2:N16" si="3">MAX(0,1-$U$8*($U$6^$U$9))</f>
        <v>0.81950000000000001</v>
      </c>
      <c r="O2" s="4">
        <f t="shared" ref="O2:O16" si="4">$U$10*(L2*N2*$U$11*$U$15/1000000000)</f>
        <v>1.9652472232971483</v>
      </c>
      <c r="P2" s="13">
        <f>$U$10*(M2*N2*$U$11*$U$15/1000000000)</f>
        <v>2.1294817142143301</v>
      </c>
      <c r="Q2" s="4">
        <f t="shared" ref="Q2:Q16" si="5">O2/K2/G2*$U$16</f>
        <v>17.593454673155264</v>
      </c>
      <c r="R2" s="13">
        <f>O2/K2/H2*$U$16</f>
        <v>16.236574239558198</v>
      </c>
      <c r="T2" s="10"/>
      <c r="U2" s="10"/>
      <c r="V2" s="10"/>
      <c r="W2" s="10"/>
      <c r="X2" s="2" t="s">
        <v>100</v>
      </c>
      <c r="Y2" s="2"/>
      <c r="Z2" s="2"/>
      <c r="AA2" s="2"/>
    </row>
    <row r="3" spans="1:27">
      <c r="A3">
        <v>350</v>
      </c>
      <c r="B3" s="5">
        <f t="shared" si="0"/>
        <v>0.65749999999999997</v>
      </c>
      <c r="C3" s="5">
        <f t="shared" ref="C3:C16" si="6" xml:space="preserve"> 350 * B3</f>
        <v>230.125</v>
      </c>
      <c r="D3" s="5">
        <f t="shared" ref="D3:D16" si="7" xml:space="preserve"> A3 * B3</f>
        <v>230.125</v>
      </c>
      <c r="E3" s="5">
        <f t="shared" ref="E3:E16" si="8">1.22*((C3-68)/(C3+136))</f>
        <v>0.54023216114714923</v>
      </c>
      <c r="F3" s="5">
        <f t="shared" ref="F3:F16" si="9">1.22*((D3-68)/(D3+136))</f>
        <v>0.54023216114714923</v>
      </c>
      <c r="G3" s="5">
        <f t="shared" ref="G3:G16" si="10" xml:space="preserve"> 1 + (F3 - E3)/E3</f>
        <v>1</v>
      </c>
      <c r="H3" s="14">
        <f t="shared" ref="H3:H16" si="11">(A3-40)/(A3+2*40)*(350+2*40)/(350-40)</f>
        <v>1</v>
      </c>
      <c r="I3" s="5">
        <f t="shared" ref="I3:I16" si="12" xml:space="preserve"> G3 / ((A3 - A3*B3) / (350 - C3))</f>
        <v>1</v>
      </c>
      <c r="J3" s="14">
        <f t="shared" ref="J3:J16" si="13" xml:space="preserve"> H3 / ((A3 - A3*B3) / (350 - C3))</f>
        <v>1</v>
      </c>
      <c r="K3" s="5">
        <f t="shared" si="1"/>
        <v>5.7368421052631584</v>
      </c>
      <c r="L3" s="5">
        <f t="shared" si="2"/>
        <v>162.51000000000002</v>
      </c>
      <c r="M3" s="14">
        <f t="shared" ref="M3:M16" si="14">H3*($U$4 +$U$5*$U$3)</f>
        <v>162.51000000000002</v>
      </c>
      <c r="N3" s="4">
        <f t="shared" si="3"/>
        <v>0.81950000000000001</v>
      </c>
      <c r="O3" s="4">
        <f t="shared" si="4"/>
        <v>2.2437651693600005</v>
      </c>
      <c r="P3" s="13">
        <f t="shared" ref="P3:P16" si="15">$U$10*(M3*N3*$U$11*$U$15/1000000000)</f>
        <v>2.2437651693600005</v>
      </c>
      <c r="Q3" s="4">
        <f t="shared" si="5"/>
        <v>17.20906129894459</v>
      </c>
      <c r="R3" s="13">
        <f t="shared" ref="R3:R16" si="16">O3/K3/H3*$U$16</f>
        <v>17.20906129894459</v>
      </c>
      <c r="T3" s="10" t="s">
        <v>8</v>
      </c>
      <c r="U3" s="10">
        <v>2.9</v>
      </c>
      <c r="V3" s="10" t="s">
        <v>48</v>
      </c>
      <c r="W3" s="10"/>
      <c r="X3" s="2" t="s">
        <v>185</v>
      </c>
      <c r="Y3" s="2"/>
      <c r="Z3" s="2"/>
      <c r="AA3" s="2"/>
    </row>
    <row r="4" spans="1:27">
      <c r="A4">
        <v>400</v>
      </c>
      <c r="B4" s="5">
        <f t="shared" si="0"/>
        <v>0.65749999999999997</v>
      </c>
      <c r="C4" s="5">
        <f t="shared" si="6"/>
        <v>230.125</v>
      </c>
      <c r="D4" s="5">
        <f t="shared" si="7"/>
        <v>263</v>
      </c>
      <c r="E4" s="5">
        <f t="shared" si="8"/>
        <v>0.54023216114714923</v>
      </c>
      <c r="F4" s="5">
        <f t="shared" si="9"/>
        <v>0.59624060150375935</v>
      </c>
      <c r="G4" s="5">
        <f t="shared" si="10"/>
        <v>1.1036747613057314</v>
      </c>
      <c r="H4" s="14">
        <f t="shared" si="11"/>
        <v>1.0403225806451613</v>
      </c>
      <c r="I4" s="5">
        <f t="shared" si="12"/>
        <v>0.96571541614251499</v>
      </c>
      <c r="J4" s="14">
        <f t="shared" si="13"/>
        <v>0.91028225806451613</v>
      </c>
      <c r="K4" s="5">
        <f t="shared" si="1"/>
        <v>5.9335273494982044</v>
      </c>
      <c r="L4" s="5">
        <f t="shared" si="2"/>
        <v>179.35818545979444</v>
      </c>
      <c r="M4" s="14">
        <f t="shared" si="14"/>
        <v>169.06282258064519</v>
      </c>
      <c r="N4" s="4">
        <f t="shared" si="3"/>
        <v>0.81950000000000001</v>
      </c>
      <c r="O4" s="4">
        <f t="shared" si="4"/>
        <v>2.4763869877195122</v>
      </c>
      <c r="P4" s="13">
        <f t="shared" si="15"/>
        <v>2.3342395713503232</v>
      </c>
      <c r="Q4" s="4">
        <f t="shared" si="5"/>
        <v>16.638613363801074</v>
      </c>
      <c r="R4" s="13">
        <f t="shared" si="16"/>
        <v>17.651849507451061</v>
      </c>
      <c r="T4" s="10" t="s">
        <v>6</v>
      </c>
      <c r="U4" s="10">
        <v>-46</v>
      </c>
      <c r="V4" s="10"/>
      <c r="W4" s="10"/>
      <c r="X4" s="8" t="s">
        <v>53</v>
      </c>
      <c r="Y4" s="8"/>
      <c r="Z4" s="8"/>
    </row>
    <row r="5" spans="1:27">
      <c r="A5">
        <v>450</v>
      </c>
      <c r="B5" s="5">
        <f t="shared" si="0"/>
        <v>0.65749999999999997</v>
      </c>
      <c r="C5" s="5">
        <f t="shared" si="6"/>
        <v>230.125</v>
      </c>
      <c r="D5" s="5">
        <f t="shared" si="7"/>
        <v>295.875</v>
      </c>
      <c r="E5" s="5">
        <f t="shared" si="8"/>
        <v>0.54023216114714923</v>
      </c>
      <c r="F5" s="5">
        <f t="shared" si="9"/>
        <v>0.64372214182344423</v>
      </c>
      <c r="G5" s="5">
        <f t="shared" si="10"/>
        <v>1.1915657528728769</v>
      </c>
      <c r="H5" s="14">
        <f t="shared" si="11"/>
        <v>1.0730371272063299</v>
      </c>
      <c r="I5" s="5">
        <f t="shared" si="12"/>
        <v>0.92677336334557081</v>
      </c>
      <c r="J5" s="14">
        <f t="shared" si="13"/>
        <v>0.83458443227158985</v>
      </c>
      <c r="K5" s="5">
        <f t="shared" si="1"/>
        <v>6.1569317576490947</v>
      </c>
      <c r="L5" s="5">
        <f t="shared" si="2"/>
        <v>193.64135049937124</v>
      </c>
      <c r="M5" s="14">
        <f t="shared" si="14"/>
        <v>174.37926354230069</v>
      </c>
      <c r="N5" s="4">
        <f t="shared" si="3"/>
        <v>0.81950000000000001</v>
      </c>
      <c r="O5" s="4">
        <f t="shared" si="4"/>
        <v>2.6735937332983868</v>
      </c>
      <c r="P5" s="13">
        <f t="shared" si="15"/>
        <v>2.4076433314556791</v>
      </c>
      <c r="Q5" s="4">
        <f t="shared" si="5"/>
        <v>16.034880901382039</v>
      </c>
      <c r="R5" s="13">
        <f t="shared" si="16"/>
        <v>17.806107961265603</v>
      </c>
      <c r="T5" s="10" t="s">
        <v>7</v>
      </c>
      <c r="U5" s="10">
        <v>71.900000000000006</v>
      </c>
      <c r="V5" s="10"/>
      <c r="W5" s="10"/>
      <c r="X5" s="10" t="s">
        <v>201</v>
      </c>
      <c r="Y5" s="10"/>
      <c r="Z5" s="10"/>
    </row>
    <row r="6" spans="1:27">
      <c r="A6">
        <v>500</v>
      </c>
      <c r="B6" s="5">
        <f t="shared" si="0"/>
        <v>0.65749999999999997</v>
      </c>
      <c r="C6" s="5">
        <f t="shared" si="6"/>
        <v>230.125</v>
      </c>
      <c r="D6" s="5">
        <f t="shared" si="7"/>
        <v>328.75</v>
      </c>
      <c r="E6" s="5">
        <f t="shared" si="8"/>
        <v>0.54023216114714923</v>
      </c>
      <c r="F6" s="5">
        <f t="shared" si="9"/>
        <v>0.68448628294782143</v>
      </c>
      <c r="G6" s="5">
        <f t="shared" si="10"/>
        <v>1.2670224621473065</v>
      </c>
      <c r="H6" s="14">
        <f t="shared" si="11"/>
        <v>1.100111234705228</v>
      </c>
      <c r="I6" s="5">
        <f t="shared" si="12"/>
        <v>0.88691572350311454</v>
      </c>
      <c r="J6" s="14">
        <f t="shared" si="13"/>
        <v>0.77007786429365954</v>
      </c>
      <c r="K6" s="5">
        <f t="shared" si="1"/>
        <v>6.3855887441137122</v>
      </c>
      <c r="L6" s="5">
        <f t="shared" si="2"/>
        <v>205.90382032355882</v>
      </c>
      <c r="M6" s="14">
        <f t="shared" si="14"/>
        <v>178.77907675194663</v>
      </c>
      <c r="N6" s="4">
        <f t="shared" si="3"/>
        <v>0.81950000000000001</v>
      </c>
      <c r="O6" s="4">
        <f t="shared" si="4"/>
        <v>2.8429008693628761</v>
      </c>
      <c r="P6" s="13">
        <f t="shared" si="15"/>
        <v>2.468391270853215</v>
      </c>
      <c r="Q6" s="4">
        <f t="shared" si="5"/>
        <v>15.460699304014238</v>
      </c>
      <c r="R6" s="13">
        <f t="shared" si="16"/>
        <v>17.806429641580841</v>
      </c>
      <c r="T6" s="10" t="s">
        <v>28</v>
      </c>
      <c r="U6" s="10">
        <v>1.9</v>
      </c>
      <c r="V6" s="10"/>
      <c r="W6" s="10"/>
    </row>
    <row r="7" spans="1:27">
      <c r="A7">
        <v>550</v>
      </c>
      <c r="B7" s="5">
        <f t="shared" si="0"/>
        <v>0.65749999999999997</v>
      </c>
      <c r="C7" s="5">
        <f t="shared" si="6"/>
        <v>230.125</v>
      </c>
      <c r="D7" s="5">
        <f t="shared" si="7"/>
        <v>361.625</v>
      </c>
      <c r="E7" s="5">
        <f t="shared" si="8"/>
        <v>0.54023216114714923</v>
      </c>
      <c r="F7" s="5">
        <f t="shared" si="9"/>
        <v>0.71986435568952523</v>
      </c>
      <c r="G7" s="5">
        <f t="shared" si="10"/>
        <v>1.332509257058925</v>
      </c>
      <c r="H7" s="14">
        <f t="shared" si="11"/>
        <v>1.1228878648233487</v>
      </c>
      <c r="I7" s="5">
        <f t="shared" si="12"/>
        <v>0.847960436310225</v>
      </c>
      <c r="J7" s="14">
        <f t="shared" si="13"/>
        <v>0.71456500488758556</v>
      </c>
      <c r="K7" s="5">
        <f t="shared" si="1"/>
        <v>6.6090690759045003</v>
      </c>
      <c r="L7" s="5">
        <f t="shared" si="2"/>
        <v>216.54607936464592</v>
      </c>
      <c r="M7" s="14">
        <f t="shared" si="14"/>
        <v>182.48050691244242</v>
      </c>
      <c r="N7" s="4">
        <f t="shared" si="3"/>
        <v>0.81950000000000001</v>
      </c>
      <c r="O7" s="4">
        <f t="shared" si="4"/>
        <v>2.989837858838587</v>
      </c>
      <c r="P7" s="13">
        <f t="shared" si="15"/>
        <v>2.5194966801876504</v>
      </c>
      <c r="Q7" s="4">
        <f t="shared" si="5"/>
        <v>14.937908246681273</v>
      </c>
      <c r="R7" s="13">
        <f t="shared" si="16"/>
        <v>17.726526079192304</v>
      </c>
      <c r="T7" s="10" t="s">
        <v>42</v>
      </c>
      <c r="U7" s="10">
        <v>10.9</v>
      </c>
      <c r="V7" s="10" t="s">
        <v>284</v>
      </c>
      <c r="W7" s="10"/>
    </row>
    <row r="8" spans="1:27">
      <c r="A8">
        <v>600</v>
      </c>
      <c r="B8" s="5">
        <f t="shared" si="0"/>
        <v>0.65749999999999997</v>
      </c>
      <c r="C8" s="5">
        <f t="shared" si="6"/>
        <v>230.125</v>
      </c>
      <c r="D8" s="5">
        <f t="shared" si="7"/>
        <v>394.5</v>
      </c>
      <c r="E8" s="5">
        <f t="shared" si="8"/>
        <v>0.54023216114714923</v>
      </c>
      <c r="F8" s="5">
        <f t="shared" si="9"/>
        <v>0.75085768143261078</v>
      </c>
      <c r="G8" s="5">
        <f t="shared" si="10"/>
        <v>1.3898796395945985</v>
      </c>
      <c r="H8" s="14">
        <f t="shared" si="11"/>
        <v>1.142314990512334</v>
      </c>
      <c r="I8" s="5">
        <f t="shared" si="12"/>
        <v>0.81076312309684917</v>
      </c>
      <c r="J8" s="14">
        <f t="shared" si="13"/>
        <v>0.66635041113219484</v>
      </c>
      <c r="K8" s="5">
        <f t="shared" si="1"/>
        <v>6.8224641885496551</v>
      </c>
      <c r="L8" s="5">
        <f t="shared" si="2"/>
        <v>225.86934023051822</v>
      </c>
      <c r="M8" s="14">
        <f t="shared" si="14"/>
        <v>185.63760910815941</v>
      </c>
      <c r="N8" s="4">
        <f t="shared" si="3"/>
        <v>0.81950000000000001</v>
      </c>
      <c r="O8" s="4">
        <f t="shared" si="4"/>
        <v>3.1185635249249901</v>
      </c>
      <c r="P8" s="13">
        <f t="shared" si="15"/>
        <v>2.5630865881493743</v>
      </c>
      <c r="Q8" s="4">
        <f t="shared" si="5"/>
        <v>14.470675803258041</v>
      </c>
      <c r="R8" s="13">
        <f t="shared" si="16"/>
        <v>17.606787827499318</v>
      </c>
      <c r="T8" s="10" t="s">
        <v>29</v>
      </c>
      <c r="U8" s="10">
        <v>0.05</v>
      </c>
      <c r="V8" s="10"/>
      <c r="W8" s="10"/>
    </row>
    <row r="9" spans="1:27">
      <c r="A9">
        <v>650</v>
      </c>
      <c r="B9" s="5">
        <f t="shared" si="0"/>
        <v>0.65749999999999997</v>
      </c>
      <c r="C9" s="5">
        <f t="shared" si="6"/>
        <v>230.125</v>
      </c>
      <c r="D9" s="5">
        <f t="shared" si="7"/>
        <v>427.375</v>
      </c>
      <c r="E9" s="5">
        <f t="shared" si="8"/>
        <v>0.54023216114714923</v>
      </c>
      <c r="F9" s="5">
        <f t="shared" si="9"/>
        <v>0.77823385844242288</v>
      </c>
      <c r="G9" s="5">
        <f t="shared" si="10"/>
        <v>1.4405544771527337</v>
      </c>
      <c r="H9" s="14">
        <f t="shared" si="11"/>
        <v>1.1590808661069378</v>
      </c>
      <c r="I9" s="5">
        <f t="shared" si="12"/>
        <v>0.77568318000531811</v>
      </c>
      <c r="J9" s="14">
        <f t="shared" si="13"/>
        <v>0.62412046636527418</v>
      </c>
      <c r="K9" s="5">
        <f t="shared" si="1"/>
        <v>7.0237122831273862</v>
      </c>
      <c r="L9" s="5">
        <f t="shared" si="2"/>
        <v>234.10450808209077</v>
      </c>
      <c r="M9" s="14">
        <f t="shared" si="14"/>
        <v>188.36223155103849</v>
      </c>
      <c r="N9" s="4">
        <f t="shared" si="3"/>
        <v>0.81950000000000001</v>
      </c>
      <c r="O9" s="4">
        <f t="shared" si="4"/>
        <v>3.2322659604009103</v>
      </c>
      <c r="P9" s="13">
        <f t="shared" si="15"/>
        <v>2.600705275842369</v>
      </c>
      <c r="Q9" s="4">
        <f t="shared" si="5"/>
        <v>14.056052337024449</v>
      </c>
      <c r="R9" s="13">
        <f t="shared" si="16"/>
        <v>17.469453355056562</v>
      </c>
      <c r="T9" s="10" t="s">
        <v>30</v>
      </c>
      <c r="U9" s="10">
        <v>2</v>
      </c>
      <c r="V9" s="10"/>
      <c r="W9" s="10"/>
    </row>
    <row r="10" spans="1:27">
      <c r="A10">
        <v>700</v>
      </c>
      <c r="B10" s="5">
        <f t="shared" si="0"/>
        <v>0.65749999999999997</v>
      </c>
      <c r="C10" s="5">
        <f t="shared" si="6"/>
        <v>230.125</v>
      </c>
      <c r="D10" s="5">
        <f t="shared" si="7"/>
        <v>460.25</v>
      </c>
      <c r="E10" s="5">
        <f t="shared" si="8"/>
        <v>0.54023216114714923</v>
      </c>
      <c r="F10" s="5">
        <f t="shared" si="9"/>
        <v>0.80259119496855336</v>
      </c>
      <c r="G10" s="5">
        <f t="shared" si="10"/>
        <v>1.4856412718270995</v>
      </c>
      <c r="H10" s="14">
        <f t="shared" si="11"/>
        <v>1.1736972704714641</v>
      </c>
      <c r="I10" s="5">
        <f t="shared" si="12"/>
        <v>0.74282063591354974</v>
      </c>
      <c r="J10" s="14">
        <f t="shared" si="13"/>
        <v>0.58684863523573205</v>
      </c>
      <c r="K10" s="5">
        <f t="shared" si="1"/>
        <v>7.212239509759109</v>
      </c>
      <c r="L10" s="5">
        <f t="shared" si="2"/>
        <v>241.43156308462196</v>
      </c>
      <c r="M10" s="14">
        <f t="shared" si="14"/>
        <v>190.73754342431766</v>
      </c>
      <c r="N10" s="4">
        <f t="shared" si="3"/>
        <v>0.81950000000000001</v>
      </c>
      <c r="O10" s="4">
        <f t="shared" si="4"/>
        <v>3.3334301398893378</v>
      </c>
      <c r="P10" s="13">
        <f t="shared" si="15"/>
        <v>2.633501054856775</v>
      </c>
      <c r="Q10" s="4">
        <f t="shared" si="5"/>
        <v>13.688628520759909</v>
      </c>
      <c r="R10" s="13">
        <f t="shared" si="16"/>
        <v>17.326777523288868</v>
      </c>
      <c r="T10" s="10" t="s">
        <v>44</v>
      </c>
      <c r="U10" s="10">
        <v>30</v>
      </c>
      <c r="V10" s="10" t="s">
        <v>46</v>
      </c>
      <c r="W10" s="10"/>
    </row>
    <row r="11" spans="1:27">
      <c r="A11">
        <v>750</v>
      </c>
      <c r="B11" s="5">
        <f t="shared" si="0"/>
        <v>0.65749999999999997</v>
      </c>
      <c r="C11" s="5">
        <f t="shared" si="6"/>
        <v>230.125</v>
      </c>
      <c r="D11" s="5">
        <f t="shared" si="7"/>
        <v>493.125</v>
      </c>
      <c r="E11" s="5">
        <f t="shared" si="8"/>
        <v>0.54023216114714923</v>
      </c>
      <c r="F11" s="5">
        <f t="shared" si="9"/>
        <v>0.82440294059209218</v>
      </c>
      <c r="G11" s="5">
        <f t="shared" si="10"/>
        <v>1.5260160351089134</v>
      </c>
      <c r="H11" s="14">
        <f t="shared" si="11"/>
        <v>1.1865526622619509</v>
      </c>
      <c r="I11" s="5">
        <f t="shared" si="12"/>
        <v>0.7121408163841596</v>
      </c>
      <c r="J11" s="14">
        <f t="shared" si="13"/>
        <v>0.55372457572224376</v>
      </c>
      <c r="K11" s="5">
        <f t="shared" si="1"/>
        <v>7.3882447902171906</v>
      </c>
      <c r="L11" s="5">
        <f t="shared" si="2"/>
        <v>247.99286586554953</v>
      </c>
      <c r="M11" s="14">
        <f t="shared" si="14"/>
        <v>192.82667314418967</v>
      </c>
      <c r="N11" s="4">
        <f t="shared" si="3"/>
        <v>0.81950000000000001</v>
      </c>
      <c r="O11" s="4">
        <f t="shared" si="4"/>
        <v>3.4240216274622273</v>
      </c>
      <c r="P11" s="13">
        <f t="shared" si="15"/>
        <v>2.6623455351947456</v>
      </c>
      <c r="Q11" s="4">
        <f t="shared" si="5"/>
        <v>13.362533356036487</v>
      </c>
      <c r="R11" s="13">
        <f t="shared" si="16"/>
        <v>17.18544892235694</v>
      </c>
      <c r="T11" s="10" t="s">
        <v>83</v>
      </c>
      <c r="U11" s="8">
        <f>V11*60*60</f>
        <v>46800</v>
      </c>
      <c r="V11" s="10">
        <v>13</v>
      </c>
      <c r="W11" s="10" t="s">
        <v>57</v>
      </c>
    </row>
    <row r="12" spans="1:27">
      <c r="A12">
        <v>800</v>
      </c>
      <c r="B12" s="5">
        <f t="shared" si="0"/>
        <v>0.65749999999999997</v>
      </c>
      <c r="C12" s="5">
        <f t="shared" si="6"/>
        <v>230.125</v>
      </c>
      <c r="D12" s="5">
        <f t="shared" si="7"/>
        <v>526</v>
      </c>
      <c r="E12" s="5">
        <f t="shared" si="8"/>
        <v>0.54023216114714923</v>
      </c>
      <c r="F12" s="5">
        <f t="shared" si="9"/>
        <v>0.84404833836858006</v>
      </c>
      <c r="G12" s="5">
        <f t="shared" si="10"/>
        <v>1.5623807671433263</v>
      </c>
      <c r="H12" s="14">
        <f t="shared" si="11"/>
        <v>1.1979472140762464</v>
      </c>
      <c r="I12" s="5">
        <f t="shared" si="12"/>
        <v>0.68354158562520528</v>
      </c>
      <c r="J12" s="14">
        <f t="shared" si="13"/>
        <v>0.52410190615835783</v>
      </c>
      <c r="K12" s="5">
        <f t="shared" si="1"/>
        <v>7.5523140614132975</v>
      </c>
      <c r="L12" s="5">
        <f t="shared" si="2"/>
        <v>253.902498468462</v>
      </c>
      <c r="M12" s="14">
        <f t="shared" si="14"/>
        <v>194.67840175953083</v>
      </c>
      <c r="N12" s="4">
        <f t="shared" si="3"/>
        <v>0.81950000000000001</v>
      </c>
      <c r="O12" s="4">
        <f t="shared" si="4"/>
        <v>3.5056155465941528</v>
      </c>
      <c r="P12" s="13">
        <f t="shared" si="15"/>
        <v>2.6879122336761299</v>
      </c>
      <c r="Q12" s="4">
        <f t="shared" si="5"/>
        <v>13.072240726356267</v>
      </c>
      <c r="R12" s="13">
        <f t="shared" si="16"/>
        <v>17.049012890001023</v>
      </c>
      <c r="T12" s="10"/>
      <c r="U12" s="10"/>
      <c r="V12" s="10"/>
      <c r="W12" s="10"/>
    </row>
    <row r="13" spans="1:27">
      <c r="A13">
        <v>850</v>
      </c>
      <c r="B13" s="5">
        <f t="shared" si="0"/>
        <v>0.65749999999999997</v>
      </c>
      <c r="C13" s="5">
        <f t="shared" si="6"/>
        <v>230.125</v>
      </c>
      <c r="D13" s="5">
        <f t="shared" si="7"/>
        <v>558.875</v>
      </c>
      <c r="E13" s="5">
        <f t="shared" si="8"/>
        <v>0.54023216114714923</v>
      </c>
      <c r="F13" s="5">
        <f t="shared" si="9"/>
        <v>0.86183486238532103</v>
      </c>
      <c r="G13" s="5">
        <f t="shared" si="10"/>
        <v>1.5953046196940006</v>
      </c>
      <c r="H13" s="14">
        <f t="shared" si="11"/>
        <v>1.2081165452653486</v>
      </c>
      <c r="I13" s="5">
        <f t="shared" si="12"/>
        <v>0.65689013752105918</v>
      </c>
      <c r="J13" s="14">
        <f t="shared" si="13"/>
        <v>0.49745975393279063</v>
      </c>
      <c r="K13" s="5">
        <f t="shared" si="1"/>
        <v>7.7052092110633978</v>
      </c>
      <c r="L13" s="5">
        <f t="shared" si="2"/>
        <v>259.25295374647209</v>
      </c>
      <c r="M13" s="14">
        <f t="shared" si="14"/>
        <v>196.33101977107182</v>
      </c>
      <c r="N13" s="4">
        <f t="shared" si="3"/>
        <v>0.81950000000000001</v>
      </c>
      <c r="O13" s="4">
        <f t="shared" si="4"/>
        <v>3.5794889401884999</v>
      </c>
      <c r="P13" s="13">
        <f t="shared" si="15"/>
        <v>2.7107298247939231</v>
      </c>
      <c r="Q13" s="4">
        <f t="shared" si="5"/>
        <v>12.812847094415863</v>
      </c>
      <c r="R13" s="13">
        <f t="shared" si="16"/>
        <v>16.919223763022785</v>
      </c>
      <c r="T13" s="10"/>
      <c r="U13" s="10"/>
      <c r="V13" s="10"/>
      <c r="W13" s="10"/>
    </row>
    <row r="14" spans="1:27">
      <c r="A14">
        <v>900</v>
      </c>
      <c r="B14" s="5">
        <f t="shared" si="0"/>
        <v>0.65749999999999997</v>
      </c>
      <c r="C14" s="5">
        <f t="shared" si="6"/>
        <v>230.125</v>
      </c>
      <c r="D14" s="5">
        <f t="shared" si="7"/>
        <v>591.75</v>
      </c>
      <c r="E14" s="5">
        <f t="shared" si="8"/>
        <v>0.54023216114714923</v>
      </c>
      <c r="F14" s="5">
        <f t="shared" si="9"/>
        <v>0.87801442803160423</v>
      </c>
      <c r="G14" s="5">
        <f t="shared" si="10"/>
        <v>1.6252539022615675</v>
      </c>
      <c r="H14" s="14">
        <f t="shared" si="11"/>
        <v>1.21724818959842</v>
      </c>
      <c r="I14" s="5">
        <f t="shared" si="12"/>
        <v>0.63204318421283179</v>
      </c>
      <c r="J14" s="14">
        <f t="shared" si="13"/>
        <v>0.47337429595494107</v>
      </c>
      <c r="K14" s="5">
        <f t="shared" si="1"/>
        <v>7.8477522589895443</v>
      </c>
      <c r="L14" s="5">
        <f t="shared" si="2"/>
        <v>264.12001165652737</v>
      </c>
      <c r="M14" s="14">
        <f t="shared" si="14"/>
        <v>197.81500329163924</v>
      </c>
      <c r="N14" s="4">
        <f t="shared" si="3"/>
        <v>0.81950000000000001</v>
      </c>
      <c r="O14" s="4">
        <f t="shared" si="4"/>
        <v>3.646688097260927</v>
      </c>
      <c r="P14" s="13">
        <f t="shared" si="15"/>
        <v>2.7312190902874529</v>
      </c>
      <c r="Q14" s="4">
        <f t="shared" si="5"/>
        <v>12.580120293521047</v>
      </c>
      <c r="R14" s="13">
        <f t="shared" si="16"/>
        <v>16.796812492865801</v>
      </c>
      <c r="T14" s="11" t="s">
        <v>35</v>
      </c>
      <c r="U14" s="10"/>
      <c r="V14" s="10"/>
      <c r="W14" s="10"/>
    </row>
    <row r="15" spans="1:27">
      <c r="A15">
        <v>950</v>
      </c>
      <c r="B15" s="5">
        <f t="shared" si="0"/>
        <v>0.65749999999999997</v>
      </c>
      <c r="C15" s="5">
        <f t="shared" si="6"/>
        <v>230.125</v>
      </c>
      <c r="D15" s="5">
        <f t="shared" si="7"/>
        <v>624.625</v>
      </c>
      <c r="E15" s="5">
        <f t="shared" si="8"/>
        <v>0.54023216114714923</v>
      </c>
      <c r="F15" s="5">
        <f t="shared" si="9"/>
        <v>0.89279539852095324</v>
      </c>
      <c r="G15" s="5">
        <f t="shared" si="10"/>
        <v>1.6526143068290455</v>
      </c>
      <c r="H15" s="14">
        <f t="shared" si="11"/>
        <v>1.2254932665205136</v>
      </c>
      <c r="I15" s="5">
        <f t="shared" si="12"/>
        <v>0.60885790251596417</v>
      </c>
      <c r="J15" s="14">
        <f t="shared" si="13"/>
        <v>0.45149751924439974</v>
      </c>
      <c r="K15" s="5">
        <f t="shared" si="1"/>
        <v>7.9807625592505218</v>
      </c>
      <c r="L15" s="5">
        <f t="shared" si="2"/>
        <v>268.56635100278822</v>
      </c>
      <c r="M15" s="14">
        <f t="shared" si="14"/>
        <v>199.15491074224869</v>
      </c>
      <c r="N15" s="4">
        <f t="shared" si="3"/>
        <v>0.81950000000000001</v>
      </c>
      <c r="O15" s="4">
        <f t="shared" si="4"/>
        <v>3.7080784200490329</v>
      </c>
      <c r="P15" s="13">
        <f t="shared" si="15"/>
        <v>2.7497191067039402</v>
      </c>
      <c r="Q15" s="4">
        <f t="shared" si="5"/>
        <v>12.370455419376791</v>
      </c>
      <c r="R15" s="13">
        <f t="shared" si="16"/>
        <v>16.681928955919545</v>
      </c>
      <c r="T15" s="10" t="s">
        <v>45</v>
      </c>
      <c r="U15" s="8">
        <v>12</v>
      </c>
      <c r="V15" s="10" t="s">
        <v>47</v>
      </c>
      <c r="W15" s="10"/>
    </row>
    <row r="16" spans="1:27">
      <c r="A16">
        <v>1000</v>
      </c>
      <c r="B16" s="5">
        <f t="shared" si="0"/>
        <v>0.65749999999999997</v>
      </c>
      <c r="C16" s="5">
        <f t="shared" si="6"/>
        <v>230.125</v>
      </c>
      <c r="D16" s="5">
        <f t="shared" si="7"/>
        <v>657.5</v>
      </c>
      <c r="E16" s="5">
        <f t="shared" si="8"/>
        <v>0.54023216114714923</v>
      </c>
      <c r="F16" s="5">
        <f t="shared" si="9"/>
        <v>0.90635160680529292</v>
      </c>
      <c r="G16" s="5">
        <f t="shared" si="10"/>
        <v>1.6777076079304718</v>
      </c>
      <c r="H16" s="14">
        <f t="shared" si="11"/>
        <v>1.2329749103942653</v>
      </c>
      <c r="I16" s="5">
        <f t="shared" si="12"/>
        <v>0.5871976627756651</v>
      </c>
      <c r="J16" s="14">
        <f t="shared" si="13"/>
        <v>0.43154121863799283</v>
      </c>
      <c r="K16" s="5">
        <f t="shared" si="1"/>
        <v>8.1050239346027642</v>
      </c>
      <c r="L16" s="5">
        <f t="shared" si="2"/>
        <v>272.64426336478101</v>
      </c>
      <c r="M16" s="14">
        <f t="shared" si="14"/>
        <v>200.37075268817208</v>
      </c>
      <c r="N16" s="4">
        <f t="shared" si="3"/>
        <v>0.81950000000000001</v>
      </c>
      <c r="O16" s="4">
        <f t="shared" si="4"/>
        <v>3.7643818950446759</v>
      </c>
      <c r="P16" s="13">
        <f t="shared" si="15"/>
        <v>2.7665061586374198</v>
      </c>
      <c r="Q16" s="4">
        <f t="shared" si="5"/>
        <v>12.180799001758736</v>
      </c>
      <c r="R16" s="13">
        <f t="shared" si="16"/>
        <v>16.574399838669724</v>
      </c>
      <c r="T16" s="10" t="s">
        <v>50</v>
      </c>
      <c r="U16" s="8">
        <v>44</v>
      </c>
      <c r="V16" s="10" t="s">
        <v>51</v>
      </c>
      <c r="W16" s="10"/>
    </row>
    <row r="17" spans="2:8">
      <c r="B17" s="4"/>
      <c r="C17" s="4"/>
      <c r="D17" s="4"/>
      <c r="E17" s="4"/>
      <c r="F17" s="4"/>
      <c r="G17" s="4"/>
      <c r="H17" s="4"/>
    </row>
    <row r="18" spans="2:8">
      <c r="B18" s="4"/>
      <c r="C18" s="4"/>
      <c r="D18" s="4"/>
      <c r="E18" s="4"/>
      <c r="F18" s="4"/>
      <c r="G18" s="4"/>
      <c r="H18" s="4"/>
    </row>
    <row r="19" spans="2:8">
      <c r="B19" s="4"/>
      <c r="C19" s="4"/>
      <c r="D19" s="4"/>
      <c r="E19" s="4"/>
      <c r="F19" s="4"/>
      <c r="G19" s="4"/>
      <c r="H19" s="4"/>
    </row>
    <row r="20" spans="2:8">
      <c r="B20" s="4"/>
      <c r="C20" s="4"/>
      <c r="D20" s="4"/>
      <c r="E20" s="4"/>
      <c r="F20" s="4"/>
      <c r="G20" s="4"/>
      <c r="H20" s="4"/>
    </row>
    <row r="21" spans="2:8">
      <c r="B21" s="4"/>
      <c r="C21" s="4"/>
      <c r="D21" s="4"/>
      <c r="E21" s="4"/>
      <c r="F21" s="4"/>
      <c r="G21" s="4"/>
      <c r="H21" s="4"/>
    </row>
    <row r="22" spans="2:8">
      <c r="B22" s="4"/>
      <c r="C22" s="4"/>
      <c r="D22" s="4"/>
      <c r="E22" s="4"/>
      <c r="F22" s="4"/>
      <c r="G22" s="4"/>
      <c r="H22" s="4"/>
    </row>
    <row r="23" spans="2:8">
      <c r="B23" s="4"/>
      <c r="C23" s="4"/>
      <c r="D23" s="4"/>
      <c r="E23" s="4"/>
      <c r="F23" s="4"/>
      <c r="G23" s="4"/>
      <c r="H23" s="4"/>
    </row>
    <row r="24" spans="2:8">
      <c r="B24" s="4"/>
      <c r="C24" s="4"/>
      <c r="D24" s="4"/>
      <c r="E24" s="4"/>
      <c r="F24" s="4"/>
      <c r="G24" s="4"/>
      <c r="H24" s="4"/>
    </row>
    <row r="25" spans="2:8">
      <c r="B25" s="4"/>
      <c r="C25" s="4"/>
      <c r="D25" s="4"/>
      <c r="E25" s="4"/>
      <c r="F25" s="4"/>
      <c r="G25" s="4"/>
      <c r="H25" s="4"/>
    </row>
    <row r="26" spans="2:8">
      <c r="B26" s="4"/>
      <c r="C26" s="4"/>
      <c r="D26" s="4"/>
      <c r="E26" s="4"/>
      <c r="F26" s="4"/>
      <c r="G26" s="4"/>
      <c r="H26" s="4"/>
    </row>
    <row r="27" spans="2:8">
      <c r="B27" s="4"/>
      <c r="C27" s="4"/>
      <c r="D27" s="4"/>
      <c r="E27" s="4"/>
      <c r="F27" s="4"/>
      <c r="G27" s="4"/>
      <c r="H27" s="4"/>
    </row>
    <row r="28" spans="2:8">
      <c r="B28" s="4"/>
      <c r="C28" s="4"/>
      <c r="D28" s="4"/>
      <c r="E28" s="4"/>
      <c r="F28" s="4"/>
      <c r="G28" s="4"/>
      <c r="H28" s="4"/>
    </row>
    <row r="29" spans="2:8">
      <c r="B29" s="4"/>
      <c r="C29" s="4"/>
      <c r="D29" s="4"/>
      <c r="E29" s="4"/>
      <c r="F29" s="4"/>
      <c r="G29" s="4"/>
      <c r="H29" s="4"/>
    </row>
    <row r="30" spans="2:8">
      <c r="B30" s="4"/>
      <c r="C30" s="4"/>
      <c r="D30" s="4"/>
      <c r="E30" s="4"/>
      <c r="F30" s="4"/>
      <c r="G30" s="4"/>
      <c r="H30" s="4"/>
    </row>
    <row r="31" spans="2:8">
      <c r="B31" s="4"/>
      <c r="C31" s="4"/>
      <c r="D31" s="4"/>
      <c r="E31" s="4"/>
      <c r="F31" s="4"/>
      <c r="G31" s="4"/>
      <c r="H31" s="4"/>
    </row>
    <row r="32" spans="2:8">
      <c r="B32" s="4"/>
      <c r="C32" s="4"/>
      <c r="D32" s="4"/>
      <c r="E32" s="4"/>
      <c r="F32" s="4"/>
      <c r="G32" s="4"/>
      <c r="H32" s="4"/>
    </row>
  </sheetData>
  <phoneticPr fontId="6" type="noConversion"/>
  <hyperlinks>
    <hyperlink ref="E1" r:id="rId1" display="A@ref" xr:uid="{00000000-0004-0000-0300-000000000000}"/>
  </hyperlinks>
  <pageMargins left="0.7" right="0.7" top="0.75" bottom="0.75" header="0.3" footer="0.3"/>
  <pageSetup orientation="portrait" r:id="rId2"/>
  <drawing r:id="rId3"/>
  <legacy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0"/>
  <dimension ref="A1:M19"/>
  <sheetViews>
    <sheetView topLeftCell="A7" workbookViewId="0">
      <selection activeCell="K10" sqref="K10"/>
    </sheetView>
  </sheetViews>
  <sheetFormatPr defaultColWidth="9.109375" defaultRowHeight="14.4"/>
  <cols>
    <col min="1" max="1" width="12.44140625" style="7" customWidth="1"/>
    <col min="2" max="2" width="9.109375" style="7"/>
    <col min="3" max="3" width="10.33203125" style="7" customWidth="1"/>
    <col min="4" max="4" width="11" style="7" customWidth="1"/>
    <col min="5" max="5" width="11.5546875" style="7" customWidth="1"/>
    <col min="6" max="6" width="12.44140625" style="7" customWidth="1"/>
    <col min="7" max="7" width="13.33203125" style="7" customWidth="1"/>
    <col min="8" max="8" width="9.109375" style="7"/>
    <col min="9" max="9" width="10.109375" style="7" customWidth="1"/>
    <col min="10" max="16384" width="9.109375" style="7"/>
  </cols>
  <sheetData>
    <row r="1" spans="1:13">
      <c r="A1" s="11" t="s">
        <v>78</v>
      </c>
      <c r="B1" s="10"/>
      <c r="C1" s="7" t="s">
        <v>132</v>
      </c>
    </row>
    <row r="2" spans="1:13">
      <c r="A2" s="10" t="s">
        <v>8</v>
      </c>
      <c r="B2" s="10">
        <v>2.5</v>
      </c>
      <c r="C2" s="8" t="s">
        <v>53</v>
      </c>
      <c r="D2" s="8"/>
      <c r="E2" s="8"/>
    </row>
    <row r="3" spans="1:13">
      <c r="A3" s="10" t="s">
        <v>2</v>
      </c>
      <c r="B3" s="10">
        <v>25</v>
      </c>
      <c r="C3" s="10" t="s">
        <v>201</v>
      </c>
      <c r="D3" s="10"/>
      <c r="E3" s="10"/>
    </row>
    <row r="4" spans="1:13">
      <c r="A4" s="10" t="s">
        <v>69</v>
      </c>
      <c r="B4" s="10">
        <v>0.1</v>
      </c>
    </row>
    <row r="5" spans="1:13">
      <c r="A5" s="10" t="s">
        <v>6</v>
      </c>
      <c r="B5" s="10">
        <v>-46</v>
      </c>
    </row>
    <row r="6" spans="1:13">
      <c r="A6" s="10" t="s">
        <v>7</v>
      </c>
      <c r="B6" s="10">
        <v>72</v>
      </c>
    </row>
    <row r="7" spans="1:13">
      <c r="A7" s="10" t="s">
        <v>5</v>
      </c>
      <c r="B7" s="8">
        <f>B5+B6*B2</f>
        <v>134</v>
      </c>
      <c r="C7" s="7" t="s">
        <v>184</v>
      </c>
    </row>
    <row r="9" spans="1:13">
      <c r="A9" s="7" t="s">
        <v>70</v>
      </c>
      <c r="B9" s="7" t="s">
        <v>19</v>
      </c>
      <c r="C9" s="7" t="s">
        <v>71</v>
      </c>
      <c r="D9" s="7" t="s">
        <v>79</v>
      </c>
      <c r="E9" s="7" t="s">
        <v>80</v>
      </c>
      <c r="F9" s="7" t="s">
        <v>72</v>
      </c>
      <c r="G9" s="7" t="s">
        <v>73</v>
      </c>
      <c r="H9" s="7" t="s">
        <v>74</v>
      </c>
      <c r="I9" s="7" t="s">
        <v>75</v>
      </c>
      <c r="J9" s="7" t="s">
        <v>76</v>
      </c>
      <c r="K9" s="7" t="s">
        <v>77</v>
      </c>
      <c r="L9" s="7" t="s">
        <v>81</v>
      </c>
      <c r="M9" s="7" t="s">
        <v>82</v>
      </c>
    </row>
    <row r="10" spans="1:13">
      <c r="A10" s="7">
        <f>$B$3</f>
        <v>25</v>
      </c>
      <c r="B10" s="7">
        <v>0</v>
      </c>
      <c r="C10" s="7">
        <f>(B10+A10)/2</f>
        <v>12.5</v>
      </c>
      <c r="D10" s="7">
        <f>$B$4</f>
        <v>0.1</v>
      </c>
      <c r="E10" s="7">
        <f>0.14-0.002*B10</f>
        <v>0.14000000000000001</v>
      </c>
      <c r="F10" s="7">
        <f>$B$7*D10</f>
        <v>13.4</v>
      </c>
      <c r="G10" s="7">
        <f t="shared" ref="G10:G19" si="0">$B$7*(0.14-0.002*B10)</f>
        <v>18.760000000000002</v>
      </c>
      <c r="H10" s="7">
        <f>2^((B10-A10)/10)</f>
        <v>0.17677669529663687</v>
      </c>
      <c r="I10" s="7">
        <f>(3.22-0.046*C10)^((B10-A10)/10)</f>
        <v>8.7889260244402412E-2</v>
      </c>
      <c r="J10" s="7">
        <f>F10*H10</f>
        <v>2.368807716974934</v>
      </c>
      <c r="K10" s="7">
        <f>G10*I10</f>
        <v>1.6488025221849893</v>
      </c>
      <c r="L10" s="7">
        <f>3.22-0.046*C10</f>
        <v>2.6450000000000005</v>
      </c>
      <c r="M10" s="7">
        <v>2</v>
      </c>
    </row>
    <row r="11" spans="1:13">
      <c r="A11" s="7">
        <f t="shared" ref="A11:A19" si="1">$B$3</f>
        <v>25</v>
      </c>
      <c r="B11" s="7">
        <v>5</v>
      </c>
      <c r="C11" s="7">
        <f t="shared" ref="C11:C19" si="2">(B11+A11)/2</f>
        <v>15</v>
      </c>
      <c r="D11" s="7">
        <f t="shared" ref="D11:D19" si="3">$B$4</f>
        <v>0.1</v>
      </c>
      <c r="E11" s="7">
        <f t="shared" ref="E11:E19" si="4">0.14-0.002*B11</f>
        <v>0.13</v>
      </c>
      <c r="F11" s="7">
        <f t="shared" ref="F11:F19" si="5">$B$7*D11</f>
        <v>13.4</v>
      </c>
      <c r="G11" s="7">
        <f t="shared" si="0"/>
        <v>17.420000000000002</v>
      </c>
      <c r="H11" s="7">
        <f t="shared" ref="H11:H19" si="6">2^((B11-A11)/10)</f>
        <v>0.25</v>
      </c>
      <c r="I11" s="7">
        <f t="shared" ref="I11:I19" si="7">(3.22-0.046*C11)^((B11-A11)/10)</f>
        <v>0.15622803043322031</v>
      </c>
      <c r="J11" s="7">
        <f t="shared" ref="J11:K19" si="8">F11*H11</f>
        <v>3.35</v>
      </c>
      <c r="K11" s="7">
        <f t="shared" si="8"/>
        <v>2.7214922901466982</v>
      </c>
      <c r="L11" s="7">
        <f t="shared" ref="L11:L19" si="9">3.22-0.046*C11</f>
        <v>2.5300000000000002</v>
      </c>
      <c r="M11" s="7">
        <v>2</v>
      </c>
    </row>
    <row r="12" spans="1:13">
      <c r="A12" s="7">
        <f t="shared" si="1"/>
        <v>25</v>
      </c>
      <c r="B12" s="7">
        <v>10</v>
      </c>
      <c r="C12" s="7">
        <f t="shared" si="2"/>
        <v>17.5</v>
      </c>
      <c r="D12" s="7">
        <f t="shared" si="3"/>
        <v>0.1</v>
      </c>
      <c r="E12" s="7">
        <f t="shared" si="4"/>
        <v>0.12000000000000001</v>
      </c>
      <c r="F12" s="7">
        <f t="shared" si="5"/>
        <v>13.4</v>
      </c>
      <c r="G12" s="7">
        <f t="shared" si="0"/>
        <v>16.080000000000002</v>
      </c>
      <c r="H12" s="7">
        <f t="shared" si="6"/>
        <v>0.35355339059327379</v>
      </c>
      <c r="I12" s="7">
        <f t="shared" si="7"/>
        <v>0.26645525966367983</v>
      </c>
      <c r="J12" s="7">
        <f t="shared" si="8"/>
        <v>4.7376154339498688</v>
      </c>
      <c r="K12" s="7">
        <f t="shared" si="8"/>
        <v>4.2846005753919725</v>
      </c>
      <c r="L12" s="7">
        <f t="shared" si="9"/>
        <v>2.415</v>
      </c>
      <c r="M12" s="7">
        <v>2</v>
      </c>
    </row>
    <row r="13" spans="1:13">
      <c r="A13" s="7">
        <f t="shared" si="1"/>
        <v>25</v>
      </c>
      <c r="B13" s="7">
        <v>15</v>
      </c>
      <c r="C13" s="7">
        <f t="shared" si="2"/>
        <v>20</v>
      </c>
      <c r="D13" s="7">
        <f t="shared" si="3"/>
        <v>0.1</v>
      </c>
      <c r="E13" s="7">
        <f t="shared" si="4"/>
        <v>0.11000000000000001</v>
      </c>
      <c r="F13" s="7">
        <f t="shared" si="5"/>
        <v>13.4</v>
      </c>
      <c r="G13" s="7">
        <f t="shared" si="0"/>
        <v>14.740000000000002</v>
      </c>
      <c r="H13" s="7">
        <f t="shared" si="6"/>
        <v>0.5</v>
      </c>
      <c r="I13" s="7">
        <f t="shared" si="7"/>
        <v>0.43478260869565211</v>
      </c>
      <c r="J13" s="7">
        <f t="shared" si="8"/>
        <v>6.7</v>
      </c>
      <c r="K13" s="7">
        <f t="shared" si="8"/>
        <v>6.4086956521739129</v>
      </c>
      <c r="L13" s="7">
        <f t="shared" si="9"/>
        <v>2.3000000000000003</v>
      </c>
      <c r="M13" s="7">
        <v>2</v>
      </c>
    </row>
    <row r="14" spans="1:13">
      <c r="A14" s="7">
        <f t="shared" si="1"/>
        <v>25</v>
      </c>
      <c r="B14" s="7">
        <v>20</v>
      </c>
      <c r="C14" s="7">
        <f t="shared" si="2"/>
        <v>22.5</v>
      </c>
      <c r="D14" s="7">
        <f t="shared" si="3"/>
        <v>0.1</v>
      </c>
      <c r="E14" s="7">
        <f t="shared" si="4"/>
        <v>0.1</v>
      </c>
      <c r="F14" s="7">
        <f t="shared" si="5"/>
        <v>13.4</v>
      </c>
      <c r="G14" s="7">
        <f t="shared" si="0"/>
        <v>13.4</v>
      </c>
      <c r="H14" s="7">
        <f t="shared" si="6"/>
        <v>0.70710678118654746</v>
      </c>
      <c r="I14" s="7">
        <f t="shared" si="7"/>
        <v>0.67651009149173824</v>
      </c>
      <c r="J14" s="7">
        <f t="shared" si="8"/>
        <v>9.4752308678997359</v>
      </c>
      <c r="K14" s="7">
        <f t="shared" si="8"/>
        <v>9.0652352259892925</v>
      </c>
      <c r="L14" s="7">
        <f t="shared" si="9"/>
        <v>2.1850000000000005</v>
      </c>
      <c r="M14" s="7">
        <v>2</v>
      </c>
    </row>
    <row r="15" spans="1:13">
      <c r="A15" s="7">
        <f t="shared" si="1"/>
        <v>25</v>
      </c>
      <c r="B15" s="7">
        <v>25</v>
      </c>
      <c r="C15" s="7">
        <f t="shared" si="2"/>
        <v>25</v>
      </c>
      <c r="D15" s="7">
        <f t="shared" si="3"/>
        <v>0.1</v>
      </c>
      <c r="E15" s="7">
        <f t="shared" si="4"/>
        <v>9.0000000000000011E-2</v>
      </c>
      <c r="F15" s="7">
        <f t="shared" si="5"/>
        <v>13.4</v>
      </c>
      <c r="G15" s="7">
        <f t="shared" si="0"/>
        <v>12.060000000000002</v>
      </c>
      <c r="H15" s="7">
        <f t="shared" si="6"/>
        <v>1</v>
      </c>
      <c r="I15" s="7">
        <f t="shared" si="7"/>
        <v>1</v>
      </c>
      <c r="J15" s="7">
        <f t="shared" si="8"/>
        <v>13.4</v>
      </c>
      <c r="K15" s="7">
        <f t="shared" si="8"/>
        <v>12.060000000000002</v>
      </c>
      <c r="L15" s="7">
        <f t="shared" si="9"/>
        <v>2.0700000000000003</v>
      </c>
      <c r="M15" s="7">
        <v>2</v>
      </c>
    </row>
    <row r="16" spans="1:13">
      <c r="A16" s="7">
        <f t="shared" si="1"/>
        <v>25</v>
      </c>
      <c r="B16" s="7">
        <v>30</v>
      </c>
      <c r="C16" s="7">
        <f t="shared" si="2"/>
        <v>27.5</v>
      </c>
      <c r="D16" s="7">
        <f t="shared" si="3"/>
        <v>0.1</v>
      </c>
      <c r="E16" s="7">
        <f t="shared" si="4"/>
        <v>8.0000000000000016E-2</v>
      </c>
      <c r="F16" s="7">
        <f t="shared" si="5"/>
        <v>13.4</v>
      </c>
      <c r="G16" s="7">
        <f t="shared" si="0"/>
        <v>10.720000000000002</v>
      </c>
      <c r="H16" s="7">
        <f t="shared" si="6"/>
        <v>1.4142135623730951</v>
      </c>
      <c r="I16" s="7">
        <f t="shared" si="7"/>
        <v>1.3982131454109563</v>
      </c>
      <c r="J16" s="7">
        <f t="shared" si="8"/>
        <v>18.950461735799475</v>
      </c>
      <c r="K16" s="7">
        <f t="shared" si="8"/>
        <v>14.988844918805455</v>
      </c>
      <c r="L16" s="7">
        <f t="shared" si="9"/>
        <v>1.9550000000000003</v>
      </c>
      <c r="M16" s="7">
        <v>2</v>
      </c>
    </row>
    <row r="17" spans="1:13">
      <c r="A17" s="7">
        <f t="shared" si="1"/>
        <v>25</v>
      </c>
      <c r="B17" s="7">
        <v>35</v>
      </c>
      <c r="C17" s="7">
        <f t="shared" si="2"/>
        <v>30</v>
      </c>
      <c r="D17" s="7">
        <f t="shared" si="3"/>
        <v>0.1</v>
      </c>
      <c r="E17" s="7">
        <f t="shared" si="4"/>
        <v>7.0000000000000007E-2</v>
      </c>
      <c r="F17" s="7">
        <f t="shared" si="5"/>
        <v>13.4</v>
      </c>
      <c r="G17" s="7">
        <f t="shared" si="0"/>
        <v>9.3800000000000008</v>
      </c>
      <c r="H17" s="7">
        <f t="shared" si="6"/>
        <v>2</v>
      </c>
      <c r="I17" s="7">
        <f t="shared" si="7"/>
        <v>1.8400000000000003</v>
      </c>
      <c r="J17" s="7">
        <f t="shared" si="8"/>
        <v>26.8</v>
      </c>
      <c r="K17" s="7">
        <f t="shared" si="8"/>
        <v>17.259200000000003</v>
      </c>
      <c r="L17" s="7">
        <f t="shared" si="9"/>
        <v>1.8400000000000003</v>
      </c>
      <c r="M17" s="7">
        <v>2</v>
      </c>
    </row>
    <row r="18" spans="1:13">
      <c r="A18" s="7">
        <f t="shared" si="1"/>
        <v>25</v>
      </c>
      <c r="B18" s="7">
        <v>40</v>
      </c>
      <c r="C18" s="7">
        <f t="shared" si="2"/>
        <v>32.5</v>
      </c>
      <c r="D18" s="7">
        <f t="shared" si="3"/>
        <v>0.1</v>
      </c>
      <c r="E18" s="7">
        <f t="shared" si="4"/>
        <v>6.0000000000000012E-2</v>
      </c>
      <c r="F18" s="7">
        <f t="shared" si="5"/>
        <v>13.4</v>
      </c>
      <c r="G18" s="7">
        <f t="shared" si="0"/>
        <v>8.0400000000000009</v>
      </c>
      <c r="H18" s="7">
        <f t="shared" si="6"/>
        <v>2.8284271247461898</v>
      </c>
      <c r="I18" s="7">
        <f t="shared" si="7"/>
        <v>2.2656021550572381</v>
      </c>
      <c r="J18" s="7">
        <f t="shared" si="8"/>
        <v>37.900923471598944</v>
      </c>
      <c r="K18" s="7">
        <f t="shared" si="8"/>
        <v>18.215441326660198</v>
      </c>
      <c r="L18" s="7">
        <f t="shared" si="9"/>
        <v>1.7250000000000003</v>
      </c>
      <c r="M18" s="7">
        <v>2</v>
      </c>
    </row>
    <row r="19" spans="1:13">
      <c r="A19" s="7">
        <f t="shared" si="1"/>
        <v>25</v>
      </c>
      <c r="B19" s="7">
        <v>45</v>
      </c>
      <c r="C19" s="7">
        <f t="shared" si="2"/>
        <v>35</v>
      </c>
      <c r="D19" s="7">
        <f t="shared" si="3"/>
        <v>0.1</v>
      </c>
      <c r="E19" s="7">
        <f t="shared" si="4"/>
        <v>5.0000000000000017E-2</v>
      </c>
      <c r="F19" s="7">
        <f t="shared" si="5"/>
        <v>13.4</v>
      </c>
      <c r="G19" s="7">
        <f t="shared" si="0"/>
        <v>6.700000000000002</v>
      </c>
      <c r="H19" s="7">
        <f t="shared" si="6"/>
        <v>4</v>
      </c>
      <c r="I19" s="7">
        <f t="shared" si="7"/>
        <v>2.5921000000000012</v>
      </c>
      <c r="J19" s="7">
        <f t="shared" si="8"/>
        <v>53.6</v>
      </c>
      <c r="K19" s="7">
        <f t="shared" si="8"/>
        <v>17.367070000000012</v>
      </c>
      <c r="L19" s="7">
        <f t="shared" si="9"/>
        <v>1.6100000000000003</v>
      </c>
      <c r="M19" s="7">
        <v>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N15"/>
  <sheetViews>
    <sheetView workbookViewId="0">
      <selection activeCell="G9" sqref="G9"/>
    </sheetView>
  </sheetViews>
  <sheetFormatPr defaultRowHeight="14.4"/>
  <cols>
    <col min="1" max="1" width="20.6640625" style="7" customWidth="1"/>
    <col min="3" max="3" width="11.44140625" customWidth="1"/>
    <col min="4" max="4" width="18" customWidth="1"/>
    <col min="5" max="5" width="13.5546875" customWidth="1"/>
    <col min="6" max="6" width="14" customWidth="1"/>
  </cols>
  <sheetData>
    <row r="1" spans="1:14" s="7" customFormat="1">
      <c r="A1" s="2" t="s">
        <v>163</v>
      </c>
      <c r="B1" s="2"/>
      <c r="C1" s="2"/>
      <c r="D1" s="2"/>
      <c r="E1" s="10" t="s">
        <v>179</v>
      </c>
      <c r="F1" s="10"/>
      <c r="I1" s="8" t="s">
        <v>53</v>
      </c>
      <c r="J1" s="8"/>
      <c r="K1" s="8"/>
    </row>
    <row r="2" spans="1:14">
      <c r="A2" s="7" t="s">
        <v>147</v>
      </c>
      <c r="B2" t="s">
        <v>93</v>
      </c>
      <c r="C2" t="s">
        <v>267</v>
      </c>
      <c r="E2" s="10" t="s">
        <v>142</v>
      </c>
      <c r="F2" s="10" t="s">
        <v>143</v>
      </c>
      <c r="G2" s="8" t="s">
        <v>141</v>
      </c>
      <c r="I2" s="10" t="s">
        <v>201</v>
      </c>
      <c r="J2" s="10"/>
      <c r="K2" s="10"/>
    </row>
    <row r="3" spans="1:14">
      <c r="A3" s="7">
        <v>1</v>
      </c>
      <c r="B3" s="8">
        <f>$F$3-((A3-1)*$G$3/(5-1))</f>
        <v>250</v>
      </c>
      <c r="C3">
        <v>280</v>
      </c>
      <c r="D3" s="20" t="s">
        <v>148</v>
      </c>
      <c r="E3" s="10">
        <v>95</v>
      </c>
      <c r="F3" s="10">
        <v>250</v>
      </c>
      <c r="G3" s="8">
        <f>F3-E3</f>
        <v>155</v>
      </c>
      <c r="H3" t="s">
        <v>149</v>
      </c>
      <c r="J3" s="2" t="s">
        <v>164</v>
      </c>
      <c r="K3" s="2"/>
      <c r="L3" s="2"/>
      <c r="M3" s="2"/>
    </row>
    <row r="4" spans="1:14">
      <c r="A4" s="7">
        <v>2</v>
      </c>
      <c r="B4" s="8">
        <f>$F$3-((A4-1)*$G$3/(5-1))</f>
        <v>211.25</v>
      </c>
      <c r="C4">
        <v>200</v>
      </c>
      <c r="D4" s="20" t="s">
        <v>151</v>
      </c>
      <c r="E4">
        <v>85</v>
      </c>
      <c r="F4">
        <v>333</v>
      </c>
    </row>
    <row r="5" spans="1:14">
      <c r="A5" s="7">
        <v>3</v>
      </c>
      <c r="B5" s="8">
        <f>$F$3-((A5-1)*$G$3/(5-1))</f>
        <v>172.5</v>
      </c>
      <c r="C5">
        <v>155</v>
      </c>
    </row>
    <row r="6" spans="1:14">
      <c r="A6" s="7">
        <v>4</v>
      </c>
      <c r="B6" s="8">
        <f>$F$3-((A6-1)*$G$3/(5-1))</f>
        <v>133.75</v>
      </c>
      <c r="C6">
        <v>120</v>
      </c>
      <c r="E6" s="10" t="s">
        <v>144</v>
      </c>
      <c r="F6" s="10"/>
      <c r="G6" s="10"/>
      <c r="L6" s="28" t="s">
        <v>277</v>
      </c>
      <c r="M6" s="28"/>
      <c r="N6" s="28"/>
    </row>
    <row r="7" spans="1:14">
      <c r="A7" s="7">
        <v>5</v>
      </c>
      <c r="B7" s="8">
        <f>$F$3-((A7-1)*$G$3/(5-1))</f>
        <v>95</v>
      </c>
      <c r="C7">
        <v>95</v>
      </c>
      <c r="E7" t="s">
        <v>145</v>
      </c>
      <c r="G7" s="10">
        <v>4.83</v>
      </c>
      <c r="H7" s="7" t="s">
        <v>150</v>
      </c>
    </row>
    <row r="8" spans="1:14">
      <c r="B8" s="7" t="s">
        <v>180</v>
      </c>
      <c r="E8" t="s">
        <v>146</v>
      </c>
      <c r="G8" s="8">
        <f>$F$3-((G7-1)*$G$3/(5-1))</f>
        <v>101.58750000000001</v>
      </c>
      <c r="H8" s="7" t="s">
        <v>149</v>
      </c>
    </row>
    <row r="9" spans="1:14">
      <c r="A9" s="10" t="s">
        <v>250</v>
      </c>
      <c r="B9" s="10">
        <v>900</v>
      </c>
    </row>
    <row r="10" spans="1:14">
      <c r="B10" s="7" t="s">
        <v>249</v>
      </c>
      <c r="C10" t="s">
        <v>251</v>
      </c>
      <c r="D10" t="s">
        <v>252</v>
      </c>
    </row>
    <row r="11" spans="1:14">
      <c r="A11" s="7">
        <v>5</v>
      </c>
      <c r="B11" s="7">
        <f>38.75*A11+56.25</f>
        <v>250</v>
      </c>
      <c r="C11">
        <f>$B$9/($B$9+B11)</f>
        <v>0.78260869565217395</v>
      </c>
      <c r="D11">
        <f>B$9/(B$9+B3)</f>
        <v>0.78260869565217395</v>
      </c>
    </row>
    <row r="12" spans="1:14">
      <c r="A12" s="7">
        <v>4</v>
      </c>
      <c r="B12" s="7">
        <f>38.75*A12+56.25</f>
        <v>211.25</v>
      </c>
      <c r="C12" s="7">
        <f>$B$9/($B$9+B12)</f>
        <v>0.8098987626546682</v>
      </c>
      <c r="D12" s="7">
        <f>B$9/(B$9+B4)</f>
        <v>0.8098987626546682</v>
      </c>
    </row>
    <row r="13" spans="1:14">
      <c r="A13" s="7">
        <v>3</v>
      </c>
      <c r="B13" s="7">
        <f>38.75*A13+56.25</f>
        <v>172.5</v>
      </c>
      <c r="C13" s="7">
        <f>$B$9/($B$9+B13)</f>
        <v>0.83916083916083917</v>
      </c>
      <c r="D13" s="7">
        <f>B$9/(B$9+B5)</f>
        <v>0.83916083916083917</v>
      </c>
    </row>
    <row r="14" spans="1:14">
      <c r="A14" s="7">
        <v>2</v>
      </c>
      <c r="B14" s="7">
        <f>38.75*A14+56.25</f>
        <v>133.75</v>
      </c>
      <c r="C14" s="7">
        <f>$B$9/($B$9+B14)</f>
        <v>0.87061668681983073</v>
      </c>
      <c r="D14" s="7">
        <f>B$9/(B$9+B6)</f>
        <v>0.87061668681983073</v>
      </c>
    </row>
    <row r="15" spans="1:14">
      <c r="A15" s="7">
        <v>1</v>
      </c>
      <c r="B15" s="7">
        <f>38.75*A15+56.25</f>
        <v>95</v>
      </c>
      <c r="C15" s="7">
        <f>$B$9/($B$9+B15)</f>
        <v>0.90452261306532666</v>
      </c>
      <c r="D15" s="7">
        <f>B$9/(B$9+B7)</f>
        <v>0.90452261306532666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9C412-E7E7-4D8D-85AF-D900E1992698}">
  <dimension ref="A1:J8"/>
  <sheetViews>
    <sheetView workbookViewId="0">
      <selection activeCell="B2" sqref="B2"/>
    </sheetView>
  </sheetViews>
  <sheetFormatPr defaultRowHeight="14.4"/>
  <sheetData>
    <row r="1" spans="1:10">
      <c r="A1" t="s">
        <v>288</v>
      </c>
      <c r="B1" t="s">
        <v>54</v>
      </c>
      <c r="D1" s="8" t="s">
        <v>53</v>
      </c>
      <c r="E1" s="8"/>
      <c r="F1" s="8"/>
      <c r="I1" s="10" t="s">
        <v>289</v>
      </c>
      <c r="J1" s="10">
        <v>200</v>
      </c>
    </row>
    <row r="2" spans="1:10" s="7" customFormat="1">
      <c r="A2" s="7">
        <v>1200</v>
      </c>
      <c r="B2" s="8">
        <f>1-(EXP(-A2*(LOG10(2)/$J$1)))</f>
        <v>0.83571950454557586</v>
      </c>
      <c r="D2" s="10" t="s">
        <v>201</v>
      </c>
      <c r="E2" s="10"/>
      <c r="F2" s="10"/>
      <c r="I2" s="10"/>
      <c r="J2" s="10"/>
    </row>
    <row r="3" spans="1:10">
      <c r="A3">
        <v>1000</v>
      </c>
      <c r="B3" s="8">
        <f>1-(EXP(-A3*(LOG10(2)/$J$1)))</f>
        <v>0.77801600145192173</v>
      </c>
    </row>
    <row r="4" spans="1:10">
      <c r="A4">
        <f>A3-200</f>
        <v>800</v>
      </c>
      <c r="B4" s="8">
        <f t="shared" ref="B4:B8" si="0">1-(EXP(-A4*(LOG10(2)/$J$1)))</f>
        <v>0.70004415024993694</v>
      </c>
    </row>
    <row r="5" spans="1:10">
      <c r="A5" s="7">
        <f t="shared" ref="A5:A8" si="1">A4-200</f>
        <v>600</v>
      </c>
      <c r="B5" s="8">
        <f t="shared" si="0"/>
        <v>0.59468469624942089</v>
      </c>
    </row>
    <row r="6" spans="1:10">
      <c r="A6" s="7">
        <f t="shared" si="1"/>
        <v>400</v>
      </c>
      <c r="B6" s="8">
        <f t="shared" si="0"/>
        <v>0.45231774745746678</v>
      </c>
    </row>
    <row r="7" spans="1:10">
      <c r="A7" s="7">
        <f t="shared" si="1"/>
        <v>200</v>
      </c>
      <c r="B7" s="8">
        <f t="shared" si="0"/>
        <v>0.25994442604454826</v>
      </c>
    </row>
    <row r="8" spans="1:10">
      <c r="A8" s="7">
        <f t="shared" si="1"/>
        <v>0</v>
      </c>
      <c r="B8" s="8">
        <f t="shared" si="0"/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2"/>
  <dimension ref="A1:Z34"/>
  <sheetViews>
    <sheetView topLeftCell="G1" zoomScaleNormal="100" workbookViewId="0">
      <selection activeCell="Z3" sqref="Z3"/>
    </sheetView>
  </sheetViews>
  <sheetFormatPr defaultRowHeight="14.4"/>
  <cols>
    <col min="1" max="1" width="13" customWidth="1"/>
    <col min="12" max="12" width="13.5546875" customWidth="1"/>
    <col min="22" max="22" width="15" customWidth="1"/>
  </cols>
  <sheetData>
    <row r="1" spans="1:26">
      <c r="A1" t="s">
        <v>121</v>
      </c>
      <c r="B1" s="7" t="s">
        <v>55</v>
      </c>
      <c r="D1" s="7" t="s">
        <v>122</v>
      </c>
      <c r="E1" s="7" t="s">
        <v>123</v>
      </c>
      <c r="F1" s="7" t="s">
        <v>124</v>
      </c>
      <c r="G1" s="7" t="s">
        <v>125</v>
      </c>
      <c r="L1" t="s">
        <v>265</v>
      </c>
      <c r="N1" s="8" t="s">
        <v>53</v>
      </c>
      <c r="O1" s="8"/>
      <c r="P1" s="8"/>
      <c r="W1" s="10" t="s">
        <v>175</v>
      </c>
      <c r="X1" s="10"/>
      <c r="Y1" s="22" t="s">
        <v>176</v>
      </c>
    </row>
    <row r="2" spans="1:26">
      <c r="D2" s="10">
        <v>-4</v>
      </c>
      <c r="E2" s="10">
        <v>4</v>
      </c>
      <c r="F2" s="10">
        <v>118</v>
      </c>
      <c r="G2" s="10">
        <v>160</v>
      </c>
      <c r="H2" t="s">
        <v>181</v>
      </c>
      <c r="L2" s="7" t="s">
        <v>121</v>
      </c>
      <c r="M2" s="7" t="s">
        <v>55</v>
      </c>
      <c r="N2" s="10" t="s">
        <v>201</v>
      </c>
      <c r="O2" s="10"/>
      <c r="P2" s="10"/>
      <c r="V2" s="2" t="s">
        <v>162</v>
      </c>
      <c r="W2" s="10" t="s">
        <v>174</v>
      </c>
      <c r="X2" s="10"/>
      <c r="Y2" s="22" t="s">
        <v>177</v>
      </c>
      <c r="Z2" t="s">
        <v>266</v>
      </c>
    </row>
    <row r="3" spans="1:26">
      <c r="V3" t="s">
        <v>140</v>
      </c>
      <c r="W3" t="s">
        <v>122</v>
      </c>
      <c r="X3" t="s">
        <v>123</v>
      </c>
      <c r="Y3" s="19" t="s">
        <v>152</v>
      </c>
    </row>
    <row r="4" spans="1:26">
      <c r="A4">
        <v>-100</v>
      </c>
      <c r="B4" s="7">
        <f>IF(A4&lt;=$D$2,0,IF(A4&lt;=$E$2,(1-($E$2-A4)/($E$2-$D$2)),IF(A4&gt;=$G$2,0,IF(A4&gt;=$F$2,(1-(A4-$F$2)/($G$2-$F$2)),1))))</f>
        <v>0</v>
      </c>
      <c r="L4" s="8">
        <v>-10</v>
      </c>
      <c r="M4" s="8">
        <f>IF(L4&lt;=$D$2,0,IF(L4&lt;=$E$2,(1-($E$2-L4)/($E$2-$D$2)),IF(L4&gt;=$G$2,0,IF(L4&gt;=$F$2,H22=(1-(L4-$F$2)/($G$2-$F$2)),1))))</f>
        <v>0</v>
      </c>
      <c r="V4" t="s">
        <v>138</v>
      </c>
      <c r="W4">
        <v>0</v>
      </c>
      <c r="X4">
        <v>4</v>
      </c>
      <c r="Y4">
        <v>0</v>
      </c>
    </row>
    <row r="5" spans="1:26">
      <c r="A5">
        <f>A4+10</f>
        <v>-90</v>
      </c>
      <c r="B5" s="7">
        <f t="shared" ref="B5:B34" si="0">IF(A5&lt;=$D$2,0,IF(A5&lt;=$E$2,(1-($E$2-A5)/($E$2-$D$2)),IF(A5&gt;=$G$2,0,IF(A5&gt;=$F$2,(1-(A5-$F$2)/($G$2-$F$2)),1))))</f>
        <v>0</v>
      </c>
      <c r="L5" s="8">
        <f>L4+1</f>
        <v>-9</v>
      </c>
      <c r="M5" s="8">
        <f t="shared" ref="M5:M24" si="1">IF(L5&lt;=$D$2,0,IF(L5&lt;=$E$2,(1-($E$2-L5)/($E$2-$D$2)),IF(L5&gt;=$G$2,0,IF(L5&gt;=$F$2,(1-(L5-$F$2)/($G$2-$F$2)),1))))</f>
        <v>0</v>
      </c>
      <c r="V5" t="s">
        <v>153</v>
      </c>
      <c r="W5" s="7">
        <v>-0.7</v>
      </c>
      <c r="X5" s="7">
        <v>3.5</v>
      </c>
      <c r="Y5">
        <v>0.16667000000000001</v>
      </c>
    </row>
    <row r="6" spans="1:26">
      <c r="A6" s="7">
        <f t="shared" ref="A6:A34" si="2">A5+10</f>
        <v>-80</v>
      </c>
      <c r="B6" s="7">
        <f t="shared" si="0"/>
        <v>0</v>
      </c>
      <c r="L6" s="8">
        <f t="shared" ref="L6:L24" si="3">L5+1</f>
        <v>-8</v>
      </c>
      <c r="M6" s="8">
        <f t="shared" si="1"/>
        <v>0</v>
      </c>
      <c r="V6" t="s">
        <v>154</v>
      </c>
      <c r="W6">
        <v>-1.25</v>
      </c>
      <c r="X6">
        <v>2.85</v>
      </c>
      <c r="Y6">
        <v>0.30487999999999998</v>
      </c>
    </row>
    <row r="7" spans="1:26">
      <c r="A7" s="7">
        <f t="shared" si="2"/>
        <v>-70</v>
      </c>
      <c r="B7" s="7">
        <f t="shared" si="0"/>
        <v>0</v>
      </c>
      <c r="L7" s="8">
        <f t="shared" si="3"/>
        <v>-7</v>
      </c>
      <c r="M7" s="8">
        <f t="shared" si="1"/>
        <v>0</v>
      </c>
      <c r="V7" t="s">
        <v>139</v>
      </c>
      <c r="W7" s="7">
        <v>-2.25</v>
      </c>
      <c r="X7" s="7">
        <v>2.5</v>
      </c>
      <c r="Y7">
        <v>0.47367999999999999</v>
      </c>
    </row>
    <row r="8" spans="1:26">
      <c r="A8" s="7">
        <f t="shared" si="2"/>
        <v>-60</v>
      </c>
      <c r="B8" s="7">
        <f t="shared" si="0"/>
        <v>0</v>
      </c>
      <c r="L8" s="8">
        <f t="shared" si="3"/>
        <v>-6</v>
      </c>
      <c r="M8" s="8">
        <f t="shared" si="1"/>
        <v>0</v>
      </c>
      <c r="V8" t="s">
        <v>117</v>
      </c>
      <c r="W8">
        <v>-3.3</v>
      </c>
      <c r="X8">
        <v>2</v>
      </c>
      <c r="Y8">
        <v>0.62264200000000003</v>
      </c>
    </row>
    <row r="9" spans="1:26">
      <c r="A9" s="7">
        <f t="shared" si="2"/>
        <v>-50</v>
      </c>
      <c r="B9" s="7">
        <f t="shared" si="0"/>
        <v>0</v>
      </c>
      <c r="L9" s="8">
        <f t="shared" si="3"/>
        <v>-5</v>
      </c>
      <c r="M9" s="8">
        <f t="shared" si="1"/>
        <v>0</v>
      </c>
      <c r="V9" t="s">
        <v>155</v>
      </c>
      <c r="W9">
        <v>-5</v>
      </c>
      <c r="X9">
        <v>1</v>
      </c>
      <c r="Y9">
        <v>0.83333000000000002</v>
      </c>
    </row>
    <row r="10" spans="1:26">
      <c r="A10" s="7">
        <f t="shared" si="2"/>
        <v>-40</v>
      </c>
      <c r="B10" s="7">
        <f t="shared" si="0"/>
        <v>0</v>
      </c>
      <c r="L10" s="8">
        <f t="shared" si="3"/>
        <v>-4</v>
      </c>
      <c r="M10" s="8">
        <f t="shared" si="1"/>
        <v>0</v>
      </c>
      <c r="Y10" t="s">
        <v>178</v>
      </c>
    </row>
    <row r="11" spans="1:26">
      <c r="A11" s="7">
        <f t="shared" si="2"/>
        <v>-30</v>
      </c>
      <c r="B11" s="7">
        <f t="shared" si="0"/>
        <v>0</v>
      </c>
      <c r="L11" s="8">
        <f t="shared" si="3"/>
        <v>-3</v>
      </c>
      <c r="M11" s="8">
        <f t="shared" si="1"/>
        <v>0.125</v>
      </c>
    </row>
    <row r="12" spans="1:26">
      <c r="A12" s="7">
        <f t="shared" si="2"/>
        <v>-20</v>
      </c>
      <c r="B12" s="7">
        <f t="shared" si="0"/>
        <v>0</v>
      </c>
      <c r="L12" s="8">
        <f t="shared" si="3"/>
        <v>-2</v>
      </c>
      <c r="M12" s="8">
        <f t="shared" si="1"/>
        <v>0.25</v>
      </c>
    </row>
    <row r="13" spans="1:26">
      <c r="A13" s="7">
        <f t="shared" si="2"/>
        <v>-10</v>
      </c>
      <c r="B13" s="7">
        <f t="shared" si="0"/>
        <v>0</v>
      </c>
      <c r="L13" s="8">
        <f t="shared" si="3"/>
        <v>-1</v>
      </c>
      <c r="M13" s="8">
        <f t="shared" si="1"/>
        <v>0.375</v>
      </c>
    </row>
    <row r="14" spans="1:26">
      <c r="A14" s="7">
        <f t="shared" si="2"/>
        <v>0</v>
      </c>
      <c r="B14" s="7">
        <f t="shared" si="0"/>
        <v>0.5</v>
      </c>
      <c r="L14" s="22">
        <f t="shared" si="3"/>
        <v>0</v>
      </c>
      <c r="M14" s="22">
        <f>IF(L14&lt;=$D$2,0,IF(L14&lt;=$E$2,(1-($E$2-L14)/($E$2-$D$2)),IF(L14&gt;=$G$2,0,IF(L14&gt;=$F$2,(1-(L14-$F$2)/($G$2-$F$2)),1))))</f>
        <v>0.5</v>
      </c>
    </row>
    <row r="15" spans="1:26">
      <c r="A15" s="7">
        <f t="shared" si="2"/>
        <v>10</v>
      </c>
      <c r="B15" s="7">
        <f t="shared" si="0"/>
        <v>1</v>
      </c>
      <c r="L15" s="8">
        <f t="shared" si="3"/>
        <v>1</v>
      </c>
      <c r="M15" s="8">
        <f t="shared" si="1"/>
        <v>0.625</v>
      </c>
    </row>
    <row r="16" spans="1:26">
      <c r="A16" s="7">
        <f t="shared" si="2"/>
        <v>20</v>
      </c>
      <c r="B16" s="7">
        <f t="shared" si="0"/>
        <v>1</v>
      </c>
      <c r="L16" s="8">
        <f t="shared" si="3"/>
        <v>2</v>
      </c>
      <c r="M16" s="8">
        <f t="shared" si="1"/>
        <v>0.75</v>
      </c>
    </row>
    <row r="17" spans="1:13">
      <c r="A17" s="7">
        <f t="shared" si="2"/>
        <v>30</v>
      </c>
      <c r="B17" s="7">
        <f t="shared" si="0"/>
        <v>1</v>
      </c>
      <c r="L17" s="8">
        <f t="shared" si="3"/>
        <v>3</v>
      </c>
      <c r="M17" s="8">
        <f t="shared" si="1"/>
        <v>0.875</v>
      </c>
    </row>
    <row r="18" spans="1:13">
      <c r="A18" s="7">
        <f t="shared" si="2"/>
        <v>40</v>
      </c>
      <c r="B18" s="7">
        <f t="shared" si="0"/>
        <v>1</v>
      </c>
      <c r="L18" s="8">
        <f t="shared" si="3"/>
        <v>4</v>
      </c>
      <c r="M18" s="8">
        <f t="shared" si="1"/>
        <v>1</v>
      </c>
    </row>
    <row r="19" spans="1:13">
      <c r="A19" s="7">
        <f t="shared" si="2"/>
        <v>50</v>
      </c>
      <c r="B19" s="7">
        <f t="shared" si="0"/>
        <v>1</v>
      </c>
      <c r="L19" s="8">
        <f t="shared" si="3"/>
        <v>5</v>
      </c>
      <c r="M19" s="8">
        <f t="shared" si="1"/>
        <v>1</v>
      </c>
    </row>
    <row r="20" spans="1:13">
      <c r="A20" s="7">
        <f t="shared" si="2"/>
        <v>60</v>
      </c>
      <c r="B20" s="7">
        <f t="shared" si="0"/>
        <v>1</v>
      </c>
      <c r="G20" s="10" t="s">
        <v>206</v>
      </c>
      <c r="H20" s="10"/>
      <c r="L20" s="8">
        <f t="shared" si="3"/>
        <v>6</v>
      </c>
      <c r="M20" s="8">
        <f t="shared" si="1"/>
        <v>1</v>
      </c>
    </row>
    <row r="21" spans="1:13">
      <c r="A21" s="7">
        <f t="shared" si="2"/>
        <v>70</v>
      </c>
      <c r="B21" s="7">
        <f t="shared" si="0"/>
        <v>1</v>
      </c>
      <c r="G21" t="s">
        <v>205</v>
      </c>
      <c r="H21" t="s">
        <v>55</v>
      </c>
      <c r="L21" s="8">
        <f t="shared" si="3"/>
        <v>7</v>
      </c>
      <c r="M21" s="8">
        <f t="shared" si="1"/>
        <v>1</v>
      </c>
    </row>
    <row r="22" spans="1:13">
      <c r="A22" s="7">
        <f t="shared" si="2"/>
        <v>80</v>
      </c>
      <c r="B22" s="7">
        <f t="shared" si="0"/>
        <v>1</v>
      </c>
      <c r="G22">
        <v>2</v>
      </c>
      <c r="H22">
        <f>IF(G22&lt;$E$2,(1-($E$2-G22)/($E$2-D2)),IF(AND(G22&gt;=$E$2, G22&lt;=$F$2),1, IF(G22&lt;$G$2,(1-(G22-$F$2)/($G$2-$F$2)),0)))</f>
        <v>0.75</v>
      </c>
      <c r="L22" s="8">
        <f t="shared" si="3"/>
        <v>8</v>
      </c>
      <c r="M22" s="8">
        <f t="shared" si="1"/>
        <v>1</v>
      </c>
    </row>
    <row r="23" spans="1:13">
      <c r="A23" s="7">
        <f t="shared" si="2"/>
        <v>90</v>
      </c>
      <c r="B23" s="7">
        <f t="shared" si="0"/>
        <v>1</v>
      </c>
      <c r="L23" s="8">
        <f t="shared" si="3"/>
        <v>9</v>
      </c>
      <c r="M23" s="8">
        <f t="shared" si="1"/>
        <v>1</v>
      </c>
    </row>
    <row r="24" spans="1:13">
      <c r="A24" s="7">
        <f t="shared" si="2"/>
        <v>100</v>
      </c>
      <c r="B24" s="7">
        <f t="shared" si="0"/>
        <v>1</v>
      </c>
      <c r="L24" s="8">
        <f t="shared" si="3"/>
        <v>10</v>
      </c>
      <c r="M24" s="8">
        <f t="shared" si="1"/>
        <v>1</v>
      </c>
    </row>
    <row r="25" spans="1:13">
      <c r="A25" s="7">
        <f t="shared" si="2"/>
        <v>110</v>
      </c>
      <c r="B25" s="7">
        <f t="shared" si="0"/>
        <v>1</v>
      </c>
    </row>
    <row r="26" spans="1:13">
      <c r="A26" s="7">
        <f t="shared" si="2"/>
        <v>120</v>
      </c>
      <c r="B26" s="7">
        <f t="shared" si="0"/>
        <v>0.95238095238095233</v>
      </c>
    </row>
    <row r="27" spans="1:13">
      <c r="A27" s="7">
        <f t="shared" si="2"/>
        <v>130</v>
      </c>
      <c r="B27" s="7">
        <f t="shared" si="0"/>
        <v>0.7142857142857143</v>
      </c>
    </row>
    <row r="28" spans="1:13">
      <c r="A28" s="7">
        <f t="shared" si="2"/>
        <v>140</v>
      </c>
      <c r="B28" s="7">
        <f t="shared" si="0"/>
        <v>0.47619047619047616</v>
      </c>
    </row>
    <row r="29" spans="1:13">
      <c r="A29" s="7">
        <f t="shared" si="2"/>
        <v>150</v>
      </c>
      <c r="B29" s="7">
        <f t="shared" si="0"/>
        <v>0.23809523809523814</v>
      </c>
    </row>
    <row r="30" spans="1:13">
      <c r="A30" s="7">
        <f t="shared" si="2"/>
        <v>160</v>
      </c>
      <c r="B30" s="7">
        <f t="shared" si="0"/>
        <v>0</v>
      </c>
    </row>
    <row r="31" spans="1:13">
      <c r="A31" s="7">
        <f t="shared" si="2"/>
        <v>170</v>
      </c>
      <c r="B31" s="7">
        <f t="shared" si="0"/>
        <v>0</v>
      </c>
    </row>
    <row r="32" spans="1:13">
      <c r="A32" s="7">
        <f t="shared" si="2"/>
        <v>180</v>
      </c>
      <c r="B32" s="7">
        <f t="shared" si="0"/>
        <v>0</v>
      </c>
    </row>
    <row r="33" spans="1:2">
      <c r="A33" s="7">
        <f t="shared" si="2"/>
        <v>190</v>
      </c>
      <c r="B33" s="7">
        <f t="shared" si="0"/>
        <v>0</v>
      </c>
    </row>
    <row r="34" spans="1:2">
      <c r="A34" s="7">
        <f t="shared" si="2"/>
        <v>200</v>
      </c>
      <c r="B34" s="7">
        <f t="shared" si="0"/>
        <v>0</v>
      </c>
    </row>
  </sheetData>
  <hyperlinks>
    <hyperlink ref="Y3" r:id="rId1" xr:uid="{00000000-0004-0000-0600-000000000000}"/>
  </hyperlinks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1"/>
  <dimension ref="A1:J32"/>
  <sheetViews>
    <sheetView workbookViewId="0">
      <selection activeCell="F3" sqref="F3"/>
    </sheetView>
  </sheetViews>
  <sheetFormatPr defaultColWidth="9.109375" defaultRowHeight="14.4"/>
  <cols>
    <col min="1" max="1" width="9.109375" style="7"/>
    <col min="2" max="2" width="12.44140625" style="7" customWidth="1"/>
    <col min="3" max="3" width="11.5546875" style="7" customWidth="1"/>
    <col min="4" max="4" width="9.109375" style="7"/>
    <col min="5" max="5" width="14.33203125" style="7" customWidth="1"/>
    <col min="6" max="16384" width="9.109375" style="7"/>
  </cols>
  <sheetData>
    <row r="1" spans="1:10">
      <c r="A1" s="7" t="s">
        <v>87</v>
      </c>
      <c r="B1" s="7" t="s">
        <v>56</v>
      </c>
      <c r="H1" s="8" t="s">
        <v>53</v>
      </c>
      <c r="I1" s="8"/>
      <c r="J1" s="8"/>
    </row>
    <row r="2" spans="1:10">
      <c r="A2" s="7">
        <v>0</v>
      </c>
      <c r="B2" s="7">
        <f>MAX(0,1-(A2/$F$2)^$F$3)</f>
        <v>1</v>
      </c>
      <c r="E2" s="10" t="s">
        <v>88</v>
      </c>
      <c r="F2" s="10">
        <v>250</v>
      </c>
      <c r="G2" s="7" t="s">
        <v>182</v>
      </c>
      <c r="H2" s="10" t="s">
        <v>201</v>
      </c>
      <c r="I2" s="10"/>
      <c r="J2" s="10"/>
    </row>
    <row r="3" spans="1:10">
      <c r="A3" s="7">
        <v>10</v>
      </c>
      <c r="B3" s="7">
        <f>MAX(0,1-(A3/$F$2)^$F$3)</f>
        <v>0.99999989759999997</v>
      </c>
      <c r="E3" s="10" t="s">
        <v>0</v>
      </c>
      <c r="F3" s="10">
        <v>5</v>
      </c>
      <c r="G3" s="7" t="s">
        <v>182</v>
      </c>
    </row>
    <row r="4" spans="1:10" ht="15.6">
      <c r="A4" s="7">
        <v>20</v>
      </c>
      <c r="B4" s="7">
        <f t="shared" ref="B4:B32" si="0">MAX(0,1-(A4/$F$2)^$F$3)</f>
        <v>0.99999672319999999</v>
      </c>
      <c r="E4" s="1"/>
    </row>
    <row r="5" spans="1:10">
      <c r="A5" s="7">
        <v>30</v>
      </c>
      <c r="B5" s="7">
        <f t="shared" si="0"/>
        <v>0.99997511679999995</v>
      </c>
    </row>
    <row r="6" spans="1:10">
      <c r="A6" s="7">
        <v>40</v>
      </c>
      <c r="B6" s="7">
        <f t="shared" si="0"/>
        <v>0.99989514239999999</v>
      </c>
    </row>
    <row r="7" spans="1:10">
      <c r="A7" s="7">
        <v>50</v>
      </c>
      <c r="B7" s="7">
        <f t="shared" si="0"/>
        <v>0.99968000000000001</v>
      </c>
    </row>
    <row r="8" spans="1:10">
      <c r="A8" s="7">
        <v>60</v>
      </c>
      <c r="B8" s="7">
        <f t="shared" si="0"/>
        <v>0.99920373760000003</v>
      </c>
    </row>
    <row r="9" spans="1:10">
      <c r="A9" s="7">
        <v>70</v>
      </c>
      <c r="B9" s="7">
        <f t="shared" si="0"/>
        <v>0.99827896319999998</v>
      </c>
    </row>
    <row r="10" spans="1:10">
      <c r="A10" s="7">
        <v>80</v>
      </c>
      <c r="B10" s="7">
        <f t="shared" si="0"/>
        <v>0.99664455679999997</v>
      </c>
    </row>
    <row r="11" spans="1:10">
      <c r="A11" s="7">
        <v>90</v>
      </c>
      <c r="B11" s="7">
        <f t="shared" si="0"/>
        <v>0.99395338239999997</v>
      </c>
    </row>
    <row r="12" spans="1:10">
      <c r="A12" s="7">
        <v>100</v>
      </c>
      <c r="B12" s="7">
        <f t="shared" si="0"/>
        <v>0.98975999999999997</v>
      </c>
    </row>
    <row r="13" spans="1:10">
      <c r="A13" s="7">
        <f>A12+10</f>
        <v>110</v>
      </c>
      <c r="B13" s="7">
        <f t="shared" si="0"/>
        <v>0.98350837759999998</v>
      </c>
    </row>
    <row r="14" spans="1:10">
      <c r="A14" s="7">
        <f t="shared" ref="A14:A32" si="1">A13+10</f>
        <v>120</v>
      </c>
      <c r="B14" s="7">
        <f t="shared" si="0"/>
        <v>0.97451960319999997</v>
      </c>
    </row>
    <row r="15" spans="1:10">
      <c r="A15" s="7">
        <f t="shared" si="1"/>
        <v>130</v>
      </c>
      <c r="B15" s="7">
        <f t="shared" si="0"/>
        <v>0.9619795968</v>
      </c>
    </row>
    <row r="16" spans="1:10">
      <c r="A16" s="7">
        <f t="shared" si="1"/>
        <v>140</v>
      </c>
      <c r="B16" s="7">
        <f t="shared" si="0"/>
        <v>0.94492682240000003</v>
      </c>
    </row>
    <row r="17" spans="1:2">
      <c r="A17" s="7">
        <f t="shared" si="1"/>
        <v>150</v>
      </c>
      <c r="B17" s="7">
        <f t="shared" si="0"/>
        <v>0.92223999999999995</v>
      </c>
    </row>
    <row r="18" spans="1:2">
      <c r="A18" s="7">
        <f t="shared" si="1"/>
        <v>160</v>
      </c>
      <c r="B18" s="7">
        <f t="shared" si="0"/>
        <v>0.89262581760000004</v>
      </c>
    </row>
    <row r="19" spans="1:2">
      <c r="A19" s="7">
        <f t="shared" si="1"/>
        <v>170</v>
      </c>
      <c r="B19" s="7">
        <f t="shared" si="0"/>
        <v>0.8546066431999999</v>
      </c>
    </row>
    <row r="20" spans="1:2">
      <c r="A20" s="7">
        <f t="shared" si="1"/>
        <v>180</v>
      </c>
      <c r="B20" s="7">
        <f t="shared" si="0"/>
        <v>0.80650823680000006</v>
      </c>
    </row>
    <row r="21" spans="1:2">
      <c r="A21" s="7">
        <f t="shared" si="1"/>
        <v>190</v>
      </c>
      <c r="B21" s="7">
        <f t="shared" si="0"/>
        <v>0.74644746239999993</v>
      </c>
    </row>
    <row r="22" spans="1:2">
      <c r="A22" s="7">
        <f t="shared" si="1"/>
        <v>200</v>
      </c>
      <c r="B22" s="7">
        <f t="shared" si="0"/>
        <v>0.67231999999999981</v>
      </c>
    </row>
    <row r="23" spans="1:2">
      <c r="A23" s="7">
        <f t="shared" si="1"/>
        <v>210</v>
      </c>
      <c r="B23" s="7">
        <f t="shared" si="0"/>
        <v>0.58178805760000007</v>
      </c>
    </row>
    <row r="24" spans="1:2">
      <c r="A24" s="7">
        <f t="shared" si="1"/>
        <v>220</v>
      </c>
      <c r="B24" s="7">
        <f t="shared" si="0"/>
        <v>0.47226808320000002</v>
      </c>
    </row>
    <row r="25" spans="1:2">
      <c r="A25" s="7">
        <f t="shared" si="1"/>
        <v>230</v>
      </c>
      <c r="B25" s="7">
        <f t="shared" si="0"/>
        <v>0.34091847679999987</v>
      </c>
    </row>
    <row r="26" spans="1:2">
      <c r="A26" s="7">
        <f t="shared" si="1"/>
        <v>240</v>
      </c>
      <c r="B26" s="7">
        <f t="shared" si="0"/>
        <v>0.18462730240000003</v>
      </c>
    </row>
    <row r="27" spans="1:2">
      <c r="A27" s="7">
        <f t="shared" si="1"/>
        <v>250</v>
      </c>
      <c r="B27" s="7">
        <f t="shared" si="0"/>
        <v>0</v>
      </c>
    </row>
    <row r="28" spans="1:2">
      <c r="A28" s="7">
        <f t="shared" si="1"/>
        <v>260</v>
      </c>
      <c r="B28" s="7">
        <f t="shared" si="0"/>
        <v>0</v>
      </c>
    </row>
    <row r="29" spans="1:2">
      <c r="A29" s="7">
        <f t="shared" si="1"/>
        <v>270</v>
      </c>
      <c r="B29" s="7">
        <f t="shared" si="0"/>
        <v>0</v>
      </c>
    </row>
    <row r="30" spans="1:2">
      <c r="A30" s="7">
        <f t="shared" si="1"/>
        <v>280</v>
      </c>
      <c r="B30" s="7">
        <f t="shared" si="0"/>
        <v>0</v>
      </c>
    </row>
    <row r="31" spans="1:2">
      <c r="A31" s="7">
        <f t="shared" si="1"/>
        <v>290</v>
      </c>
      <c r="B31" s="7">
        <f t="shared" si="0"/>
        <v>0</v>
      </c>
    </row>
    <row r="32" spans="1:2">
      <c r="A32" s="7">
        <f t="shared" si="1"/>
        <v>300</v>
      </c>
      <c r="B32" s="7">
        <f t="shared" si="0"/>
        <v>0</v>
      </c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Q43"/>
  <sheetViews>
    <sheetView workbookViewId="0">
      <selection activeCell="B1" sqref="B1"/>
    </sheetView>
  </sheetViews>
  <sheetFormatPr defaultRowHeight="14.4"/>
  <cols>
    <col min="1" max="1" width="12.88671875" customWidth="1"/>
    <col min="4" max="4" width="13.5546875" customWidth="1"/>
    <col min="13" max="13" width="8.88671875" style="7"/>
  </cols>
  <sheetData>
    <row r="1" spans="1:17">
      <c r="A1" t="s">
        <v>98</v>
      </c>
      <c r="B1" t="s">
        <v>101</v>
      </c>
      <c r="D1" t="s">
        <v>237</v>
      </c>
      <c r="E1" s="10" t="s">
        <v>97</v>
      </c>
      <c r="G1" s="8" t="s">
        <v>53</v>
      </c>
      <c r="H1" s="8"/>
      <c r="I1" s="8"/>
      <c r="N1" s="8" t="s">
        <v>97</v>
      </c>
      <c r="O1" s="8" t="s">
        <v>224</v>
      </c>
      <c r="P1" s="8" t="s">
        <v>223</v>
      </c>
      <c r="Q1" s="8" t="s">
        <v>229</v>
      </c>
    </row>
    <row r="2" spans="1:17">
      <c r="A2">
        <v>100</v>
      </c>
      <c r="B2">
        <f>EXP(-$E$2*A2)</f>
        <v>0.99600798934399148</v>
      </c>
      <c r="D2">
        <f>A2*B2</f>
        <v>99.600798934399151</v>
      </c>
      <c r="E2" s="10">
        <v>4.0000000000000003E-5</v>
      </c>
      <c r="F2" t="s">
        <v>182</v>
      </c>
      <c r="G2" s="10" t="s">
        <v>201</v>
      </c>
      <c r="H2" s="10"/>
      <c r="I2" s="10"/>
      <c r="N2" s="8">
        <v>2.0000000000000002E-5</v>
      </c>
      <c r="O2" s="8">
        <v>50500</v>
      </c>
      <c r="P2" s="8">
        <v>18393.058468361927</v>
      </c>
      <c r="Q2" s="8">
        <f t="shared" ref="Q2:Q7" si="0">1.5234*(N2^-0.959)</f>
        <v>48879.435921237702</v>
      </c>
    </row>
    <row r="3" spans="1:17">
      <c r="A3">
        <f>A2+1400</f>
        <v>1500</v>
      </c>
      <c r="B3" s="7">
        <f>EXP(-$E$2*A3)</f>
        <v>0.94176453358424872</v>
      </c>
      <c r="D3" s="7">
        <f t="shared" ref="D3:D29" si="1">A3*B3</f>
        <v>1412.646800376373</v>
      </c>
      <c r="N3" s="8">
        <v>4.0000000000000003E-5</v>
      </c>
      <c r="O3" s="8">
        <v>25300</v>
      </c>
      <c r="P3" s="8">
        <v>9196.3291199934065</v>
      </c>
      <c r="Q3" s="8">
        <f t="shared" si="0"/>
        <v>25144.234571270994</v>
      </c>
    </row>
    <row r="4" spans="1:17">
      <c r="A4" s="7">
        <f t="shared" ref="A4:A29" si="2">A3+1400</f>
        <v>2900</v>
      </c>
      <c r="B4" s="7">
        <f t="shared" ref="B4:B29" si="3">EXP(-$E$2*A4)</f>
        <v>0.89047522329747264</v>
      </c>
      <c r="D4" s="7">
        <f t="shared" si="1"/>
        <v>2582.3781475626706</v>
      </c>
      <c r="N4" s="8">
        <v>6.0000000000000002E-5</v>
      </c>
      <c r="O4" s="8">
        <v>16900</v>
      </c>
      <c r="P4" s="8">
        <v>6130.72872855481</v>
      </c>
      <c r="Q4" s="8">
        <f t="shared" si="0"/>
        <v>17043.818554862344</v>
      </c>
    </row>
    <row r="5" spans="1:17" ht="15.6">
      <c r="A5" s="7">
        <f t="shared" si="2"/>
        <v>4300</v>
      </c>
      <c r="B5" s="7">
        <f t="shared" si="3"/>
        <v>0.84197917316849991</v>
      </c>
      <c r="D5" s="7">
        <f t="shared" si="1"/>
        <v>3620.5104446245496</v>
      </c>
      <c r="I5" s="16"/>
      <c r="N5" s="8">
        <v>8.0000000000000007E-5</v>
      </c>
      <c r="O5" s="8">
        <v>12700</v>
      </c>
      <c r="P5" s="8">
        <v>4597.9106485022903</v>
      </c>
      <c r="Q5" s="8">
        <f t="shared" si="0"/>
        <v>12934.530038232288</v>
      </c>
    </row>
    <row r="6" spans="1:17">
      <c r="A6" s="7">
        <f t="shared" si="2"/>
        <v>5700</v>
      </c>
      <c r="B6" s="7">
        <f t="shared" si="3"/>
        <v>0.79612425983545376</v>
      </c>
      <c r="D6" s="7">
        <f t="shared" si="1"/>
        <v>4537.9082810620866</v>
      </c>
      <c r="N6" s="8">
        <v>1E-4</v>
      </c>
      <c r="O6" s="8">
        <v>9900</v>
      </c>
      <c r="P6" s="8">
        <v>3678.6092411182522</v>
      </c>
      <c r="Q6" s="8">
        <f t="shared" si="0"/>
        <v>10442.72764177984</v>
      </c>
    </row>
    <row r="7" spans="1:17">
      <c r="A7" s="7">
        <f t="shared" si="2"/>
        <v>7100</v>
      </c>
      <c r="B7" s="7">
        <f t="shared" si="3"/>
        <v>0.75276664470619625</v>
      </c>
      <c r="D7" s="7">
        <f t="shared" si="1"/>
        <v>5344.6431774139937</v>
      </c>
      <c r="N7" s="8">
        <v>2.0000000000000001E-4</v>
      </c>
      <c r="O7" s="8">
        <v>5700</v>
      </c>
      <c r="P7" s="8">
        <v>1822.9684243529318</v>
      </c>
      <c r="Q7" s="8">
        <f t="shared" si="0"/>
        <v>5371.8785505608012</v>
      </c>
    </row>
    <row r="8" spans="1:17">
      <c r="A8" s="7">
        <f t="shared" si="2"/>
        <v>8500</v>
      </c>
      <c r="B8" s="7">
        <f t="shared" si="3"/>
        <v>0.71177032276260965</v>
      </c>
      <c r="D8" s="7">
        <f t="shared" si="1"/>
        <v>6050.0477434821823</v>
      </c>
    </row>
    <row r="9" spans="1:17">
      <c r="A9" s="7">
        <f t="shared" si="2"/>
        <v>9900</v>
      </c>
      <c r="B9" s="7">
        <f t="shared" si="3"/>
        <v>0.67300669593738638</v>
      </c>
      <c r="D9" s="7">
        <f t="shared" si="1"/>
        <v>6662.7662897801256</v>
      </c>
    </row>
    <row r="10" spans="1:17">
      <c r="A10" s="7">
        <f t="shared" si="2"/>
        <v>11300</v>
      </c>
      <c r="B10" s="7">
        <f t="shared" si="3"/>
        <v>0.63635416972508707</v>
      </c>
      <c r="D10" s="7">
        <f t="shared" si="1"/>
        <v>7190.8021178934841</v>
      </c>
    </row>
    <row r="11" spans="1:17">
      <c r="A11" s="7">
        <f t="shared" si="2"/>
        <v>12700</v>
      </c>
      <c r="B11" s="7">
        <f t="shared" si="3"/>
        <v>0.60169777176210937</v>
      </c>
      <c r="D11" s="7">
        <f t="shared" si="1"/>
        <v>7641.5617013787887</v>
      </c>
    </row>
    <row r="12" spans="1:17">
      <c r="A12" s="7">
        <f t="shared" si="2"/>
        <v>14100</v>
      </c>
      <c r="B12" s="7">
        <f t="shared" si="3"/>
        <v>0.56892879117912176</v>
      </c>
      <c r="D12" s="7">
        <f t="shared" si="1"/>
        <v>8021.8959556256168</v>
      </c>
    </row>
    <row r="13" spans="1:17">
      <c r="A13" s="7">
        <f t="shared" si="2"/>
        <v>15500</v>
      </c>
      <c r="B13" s="7">
        <f t="shared" si="3"/>
        <v>0.53794443759467447</v>
      </c>
      <c r="D13" s="7">
        <f t="shared" si="1"/>
        <v>8338.1387827174549</v>
      </c>
    </row>
    <row r="14" spans="1:17">
      <c r="A14" s="7">
        <f t="shared" si="2"/>
        <v>16900</v>
      </c>
      <c r="B14" s="7">
        <f t="shared" si="3"/>
        <v>0.50864751868031366</v>
      </c>
      <c r="D14" s="7">
        <f t="shared" si="1"/>
        <v>8596.1430656973007</v>
      </c>
    </row>
    <row r="15" spans="1:17">
      <c r="A15" s="7">
        <f t="shared" si="2"/>
        <v>18300</v>
      </c>
      <c r="B15" s="7">
        <f t="shared" si="3"/>
        <v>0.48094613528577795</v>
      </c>
      <c r="D15" s="7">
        <f t="shared" si="1"/>
        <v>8801.3142757297373</v>
      </c>
    </row>
    <row r="16" spans="1:17">
      <c r="A16" s="7">
        <f t="shared" si="2"/>
        <v>19700</v>
      </c>
      <c r="B16" s="7">
        <f t="shared" si="3"/>
        <v>0.45475339316794017</v>
      </c>
      <c r="D16" s="7">
        <f t="shared" si="1"/>
        <v>8958.6418454084214</v>
      </c>
    </row>
    <row r="17" spans="1:4">
      <c r="A17" s="7">
        <f t="shared" si="2"/>
        <v>21100</v>
      </c>
      <c r="B17" s="7">
        <f t="shared" si="3"/>
        <v>0.42998713041923975</v>
      </c>
      <c r="D17" s="7">
        <f t="shared" si="1"/>
        <v>9072.7284518459583</v>
      </c>
    </row>
    <row r="18" spans="1:4">
      <c r="A18" s="7">
        <f t="shared" si="2"/>
        <v>22500</v>
      </c>
      <c r="B18" s="7">
        <f t="shared" si="3"/>
        <v>0.40656965974059911</v>
      </c>
      <c r="D18" s="7">
        <f t="shared" si="1"/>
        <v>9147.8173441634808</v>
      </c>
    </row>
    <row r="19" spans="1:4">
      <c r="A19" s="7">
        <f t="shared" si="2"/>
        <v>23900</v>
      </c>
      <c r="B19" s="7">
        <f t="shared" si="3"/>
        <v>0.3844275247503785</v>
      </c>
      <c r="D19" s="7">
        <f t="shared" si="1"/>
        <v>9187.8178415340462</v>
      </c>
    </row>
    <row r="20" spans="1:4">
      <c r="A20" s="7">
        <f t="shared" si="2"/>
        <v>25300</v>
      </c>
      <c r="B20" s="7">
        <f t="shared" si="3"/>
        <v>0.36349126956495681</v>
      </c>
      <c r="D20" s="7">
        <f t="shared" si="1"/>
        <v>9196.3291199934065</v>
      </c>
    </row>
    <row r="21" spans="1:4">
      <c r="A21" s="7">
        <f t="shared" si="2"/>
        <v>26700</v>
      </c>
      <c r="B21" s="7">
        <f t="shared" si="3"/>
        <v>0.34369522092815236</v>
      </c>
      <c r="D21" s="7">
        <f t="shared" si="1"/>
        <v>9176.6623987816674</v>
      </c>
    </row>
    <row r="22" spans="1:4">
      <c r="A22" s="7">
        <f t="shared" si="2"/>
        <v>28100</v>
      </c>
      <c r="B22" s="7">
        <f t="shared" si="3"/>
        <v>0.32497728220606398</v>
      </c>
      <c r="D22" s="7">
        <f t="shared" si="1"/>
        <v>9131.861629990397</v>
      </c>
    </row>
    <row r="23" spans="1:4">
      <c r="A23" s="7">
        <f t="shared" si="2"/>
        <v>29500</v>
      </c>
      <c r="B23" s="7">
        <f t="shared" si="3"/>
        <v>0.3072787386011312</v>
      </c>
      <c r="D23" s="7">
        <f t="shared" si="1"/>
        <v>9064.7227887333702</v>
      </c>
    </row>
    <row r="24" spans="1:4">
      <c r="A24" s="7">
        <f t="shared" si="2"/>
        <v>30900</v>
      </c>
      <c r="B24" s="7">
        <f t="shared" si="3"/>
        <v>0.29054407297440454</v>
      </c>
      <c r="D24" s="7">
        <f t="shared" si="1"/>
        <v>8977.8118549090996</v>
      </c>
    </row>
    <row r="25" spans="1:4">
      <c r="A25" s="7">
        <f t="shared" si="2"/>
        <v>32300</v>
      </c>
      <c r="B25" s="7">
        <f t="shared" si="3"/>
        <v>0.27472079169829472</v>
      </c>
      <c r="D25" s="7">
        <f t="shared" si="1"/>
        <v>8873.4815718549198</v>
      </c>
    </row>
    <row r="26" spans="1:4">
      <c r="A26" s="7">
        <f t="shared" si="2"/>
        <v>33700</v>
      </c>
      <c r="B26" s="7">
        <f t="shared" si="3"/>
        <v>0.25975925999353111</v>
      </c>
      <c r="D26" s="7">
        <f t="shared" si="1"/>
        <v>8753.8870617819975</v>
      </c>
    </row>
    <row r="27" spans="1:4">
      <c r="A27" s="7">
        <f t="shared" si="2"/>
        <v>35100</v>
      </c>
      <c r="B27" s="7">
        <f t="shared" si="3"/>
        <v>0.24561254623381221</v>
      </c>
      <c r="D27" s="7">
        <f t="shared" si="1"/>
        <v>8621.0003728068077</v>
      </c>
    </row>
    <row r="28" spans="1:4">
      <c r="A28" s="7">
        <f t="shared" si="2"/>
        <v>36500</v>
      </c>
      <c r="B28" s="7">
        <f t="shared" si="3"/>
        <v>0.23223627472975877</v>
      </c>
      <c r="D28" s="7">
        <f t="shared" si="1"/>
        <v>8476.624027636195</v>
      </c>
    </row>
    <row r="29" spans="1:4">
      <c r="A29" s="7">
        <f t="shared" si="2"/>
        <v>37900</v>
      </c>
      <c r="B29" s="7">
        <f t="shared" si="3"/>
        <v>0.21958848653038082</v>
      </c>
      <c r="D29" s="7">
        <f t="shared" si="1"/>
        <v>8322.4036395014336</v>
      </c>
    </row>
    <row r="30" spans="1:4">
      <c r="A30" s="7"/>
      <c r="B30" s="7"/>
      <c r="C30" s="7"/>
      <c r="D30" s="7"/>
    </row>
    <row r="31" spans="1:4">
      <c r="A31" s="7"/>
      <c r="B31" s="7"/>
      <c r="C31" s="7"/>
      <c r="D31" s="7"/>
    </row>
    <row r="32" spans="1:4">
      <c r="A32" s="7"/>
      <c r="B32" s="7"/>
      <c r="C32" s="7"/>
      <c r="D32" s="7"/>
    </row>
    <row r="33" spans="1:4">
      <c r="A33" s="7"/>
      <c r="B33" s="7"/>
      <c r="C33" s="7"/>
      <c r="D33" s="7"/>
    </row>
    <row r="34" spans="1:4">
      <c r="A34" s="7"/>
      <c r="B34" s="7"/>
      <c r="C34" s="7"/>
      <c r="D34" s="7"/>
    </row>
    <row r="35" spans="1:4">
      <c r="A35" s="7"/>
      <c r="B35" s="7"/>
      <c r="C35" s="7"/>
      <c r="D35" s="7"/>
    </row>
    <row r="36" spans="1:4">
      <c r="A36" s="7"/>
      <c r="B36" s="7"/>
      <c r="C36" s="7"/>
      <c r="D36" s="7"/>
    </row>
    <row r="37" spans="1:4">
      <c r="A37" s="7"/>
      <c r="B37" s="7"/>
      <c r="C37" s="7"/>
      <c r="D37" s="7"/>
    </row>
    <row r="38" spans="1:4">
      <c r="A38" s="7"/>
      <c r="B38" s="7"/>
      <c r="C38" s="7"/>
      <c r="D38" s="7"/>
    </row>
    <row r="39" spans="1:4">
      <c r="A39" s="7"/>
      <c r="B39" s="7"/>
      <c r="C39" s="7"/>
      <c r="D39" s="7"/>
    </row>
    <row r="40" spans="1:4">
      <c r="A40" s="7"/>
      <c r="B40" s="7"/>
      <c r="C40" s="7"/>
      <c r="D40" s="7"/>
    </row>
    <row r="41" spans="1:4">
      <c r="A41" s="7"/>
      <c r="B41" s="7"/>
      <c r="C41" s="7"/>
      <c r="D41" s="7"/>
    </row>
    <row r="42" spans="1:4">
      <c r="A42" s="7"/>
      <c r="B42" s="7"/>
      <c r="C42" s="7"/>
      <c r="D42" s="7"/>
    </row>
    <row r="43" spans="1:4">
      <c r="A43" s="7"/>
      <c r="B43" s="7"/>
      <c r="C43" s="7"/>
      <c r="D43" s="7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Amax A&amp;B worksheet</vt:lpstr>
      <vt:lpstr>DTemp</vt:lpstr>
      <vt:lpstr>CO2 effects</vt:lpstr>
      <vt:lpstr>Wythers</vt:lpstr>
      <vt:lpstr>HalfSat</vt:lpstr>
      <vt:lpstr>fRad</vt:lpstr>
      <vt:lpstr>fWater</vt:lpstr>
      <vt:lpstr>fAge</vt:lpstr>
      <vt:lpstr>FrActWd</vt:lpstr>
      <vt:lpstr>EstMod-MaxPest</vt:lpstr>
      <vt:lpstr>LayerThreshRatio</vt:lpstr>
      <vt:lpstr>AdjFolN</vt:lpstr>
      <vt:lpstr>AdjFracFol</vt:lpstr>
      <vt:lpstr>CO2HalfSatEff</vt:lpstr>
      <vt:lpstr>MaxLAI</vt:lpstr>
      <vt:lpstr>MossScalar</vt:lpstr>
      <vt:lpstr>EffDispDist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Arjan de Bruijn</dc:creator>
  <cp:lastModifiedBy>Gustafson, Eric -FS</cp:lastModifiedBy>
  <cp:lastPrinted>2016-05-12T20:31:54Z</cp:lastPrinted>
  <dcterms:created xsi:type="dcterms:W3CDTF">2016-03-04T15:50:18Z</dcterms:created>
  <dcterms:modified xsi:type="dcterms:W3CDTF">2022-09-23T15:54:29Z</dcterms:modified>
</cp:coreProperties>
</file>