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<sst xmlns="http://schemas.openxmlformats.org/spreadsheetml/2006/main" count="331">
  <si>
    <t>附录二表2</t>
  </si>
  <si>
    <t>中国水利水电第五工程局有限公司</t>
  </si>
  <si>
    <t>自营成本分析</t>
  </si>
  <si>
    <t>砼其它费用</t>
  </si>
  <si>
    <t>灌浆工程管理费（不含税金）</t>
  </si>
  <si>
    <t>砼、支护、洞挖项目管理费（不含税金）</t>
  </si>
  <si>
    <t>序号</t>
  </si>
  <si>
    <t>工程项目名称</t>
  </si>
  <si>
    <t>工程量</t>
  </si>
  <si>
    <t>单位</t>
  </si>
  <si>
    <t>砼含量</t>
  </si>
  <si>
    <t>自营项目价格（元）</t>
  </si>
  <si>
    <t>合计</t>
  </si>
  <si>
    <t>主材价格及参考消耗量</t>
  </si>
  <si>
    <t>人工</t>
  </si>
  <si>
    <t>机械</t>
  </si>
  <si>
    <t>挖、装、运综合管理费（不含税金）</t>
  </si>
  <si>
    <t>柴油  （元/kg）</t>
  </si>
  <si>
    <t>炸药  （元/kg）</t>
  </si>
  <si>
    <t>非电雷管（元/发）</t>
  </si>
  <si>
    <t>铜片止水（元/kg)</t>
  </si>
  <si>
    <r>
      <rPr>
        <sz val="10"/>
        <rFont val="宋体"/>
        <charset val="134"/>
      </rPr>
      <t>高抗水泥（元/</t>
    </r>
    <r>
      <rPr>
        <sz val="10"/>
        <rFont val="宋体"/>
        <charset val="134"/>
      </rPr>
      <t>t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</si>
  <si>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水泥4</t>
    </r>
    <r>
      <rPr>
        <sz val="10"/>
        <rFont val="宋体"/>
        <charset val="134"/>
      </rPr>
      <t>2.5</t>
    </r>
    <r>
      <rPr>
        <sz val="10"/>
        <rFont val="宋体"/>
        <charset val="134"/>
      </rPr>
      <t>（元/</t>
    </r>
    <r>
      <rPr>
        <sz val="10"/>
        <rFont val="宋体"/>
        <charset val="134"/>
      </rPr>
      <t>t</t>
    </r>
    <r>
      <rPr>
        <sz val="10"/>
        <rFont val="宋体"/>
        <charset val="134"/>
      </rPr>
      <t>）</t>
    </r>
  </si>
  <si>
    <t>粉煤灰（元/kg）</t>
  </si>
  <si>
    <t>砂    （元/m3）</t>
  </si>
  <si>
    <t>石    （元/m3）</t>
  </si>
  <si>
    <r>
      <rPr>
        <sz val="10"/>
        <rFont val="宋体"/>
        <charset val="134"/>
      </rPr>
      <t>水    （元/m</t>
    </r>
    <r>
      <rPr>
        <sz val="10"/>
        <rFont val="宋体"/>
        <charset val="134"/>
      </rPr>
      <t>3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</si>
  <si>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外加剂    （元/T</t>
    </r>
    <r>
      <rPr>
        <sz val="10"/>
        <rFont val="宋体"/>
        <charset val="134"/>
      </rPr>
      <t>）</t>
    </r>
  </si>
  <si>
    <t>沥青（元/kg)</t>
  </si>
  <si>
    <t>钢筋   （元/kg）</t>
  </si>
  <si>
    <t>单价（元/工时）</t>
  </si>
  <si>
    <t>液压履带钻Φ64～127</t>
  </si>
  <si>
    <t>自卸汽车20t</t>
  </si>
  <si>
    <t>挖掘机 液压2m³（</t>
  </si>
  <si>
    <t>备注</t>
  </si>
  <si>
    <t>主材</t>
  </si>
  <si>
    <t>其他</t>
  </si>
  <si>
    <t>起步价(元/t)（石方）</t>
  </si>
  <si>
    <t>砂砾石自然容重（t/m3)</t>
  </si>
  <si>
    <t>耗量(kg)</t>
  </si>
  <si>
    <t>耗量(发)</t>
  </si>
  <si>
    <r>
      <rPr>
        <sz val="10"/>
        <rFont val="宋体"/>
        <charset val="134"/>
      </rPr>
      <t>耗量(m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)</t>
    </r>
  </si>
  <si>
    <t>数量（工时）</t>
  </si>
  <si>
    <t>台时</t>
  </si>
  <si>
    <t>起步价(元/t)（砂砾石）</t>
  </si>
  <si>
    <t>压实后容重(t/m3)</t>
  </si>
  <si>
    <t>总计</t>
  </si>
  <si>
    <t>增运价石方（元/t)</t>
  </si>
  <si>
    <t>爆破料堆积容重(t/m3)</t>
  </si>
  <si>
    <t>大坝危险体及左右坝肩钻爆</t>
  </si>
  <si>
    <t>增运价土方（元/t)</t>
  </si>
  <si>
    <t>爆破料压实容重(t/m3)</t>
  </si>
  <si>
    <t xml:space="preserve">6.7.1 </t>
  </si>
  <si>
    <t xml:space="preserve">石方开挖 </t>
  </si>
  <si>
    <t>m³</t>
  </si>
  <si>
    <t xml:space="preserve">7.7.1 </t>
  </si>
  <si>
    <t xml:space="preserve">危岩体开挖 </t>
  </si>
  <si>
    <t>架设脚手架</t>
  </si>
  <si>
    <r>
      <rPr>
        <sz val="10"/>
        <rFont val="宋体"/>
        <charset val="134"/>
      </rPr>
      <t>m</t>
    </r>
    <r>
      <rPr>
        <vertAlign val="superscript"/>
        <sz val="10"/>
        <rFont val="宋体"/>
        <charset val="134"/>
      </rPr>
      <t>2</t>
    </r>
  </si>
  <si>
    <t xml:space="preserve">7.7.2 </t>
  </si>
  <si>
    <t xml:space="preserve">f9核部岩石开挖 </t>
  </si>
  <si>
    <r>
      <rPr>
        <sz val="10"/>
        <rFont val="宋体"/>
        <charset val="134"/>
      </rPr>
      <t>12.6.1</t>
    </r>
    <r>
      <rPr>
        <sz val="10"/>
        <rFont val="宋体"/>
        <charset val="134"/>
      </rPr>
      <t xml:space="preserve"> </t>
    </r>
  </si>
  <si>
    <t xml:space="preserve">土方开挖 </t>
  </si>
  <si>
    <r>
      <rPr>
        <sz val="10"/>
        <rFont val="宋体"/>
        <charset val="134"/>
      </rPr>
      <t>12.7.1</t>
    </r>
    <r>
      <rPr>
        <sz val="10"/>
        <rFont val="宋体"/>
        <charset val="134"/>
      </rPr>
      <t xml:space="preserve"> </t>
    </r>
  </si>
  <si>
    <t xml:space="preserve">路基石方明挖 </t>
  </si>
  <si>
    <t>大坝摊铺碾压</t>
  </si>
  <si>
    <t xml:space="preserve">6.11.3.3 </t>
  </si>
  <si>
    <t xml:space="preserve">砂砾料填筑 </t>
  </si>
  <si>
    <t>万m³</t>
  </si>
  <si>
    <t xml:space="preserve">6.11.1 </t>
  </si>
  <si>
    <t xml:space="preserve">垫层料填筑 </t>
  </si>
  <si>
    <t xml:space="preserve">6.11.2 </t>
  </si>
  <si>
    <t xml:space="preserve">过渡料填筑 </t>
  </si>
  <si>
    <t xml:space="preserve">6.11.3 </t>
  </si>
  <si>
    <t xml:space="preserve">6.11.3.1 </t>
  </si>
  <si>
    <t xml:space="preserve">直接利用 </t>
  </si>
  <si>
    <t xml:space="preserve">6.11.3.2 </t>
  </si>
  <si>
    <t xml:space="preserve">二次倒运 </t>
  </si>
  <si>
    <t xml:space="preserve">6.11.6 </t>
  </si>
  <si>
    <t xml:space="preserve">爆破料填筑 </t>
  </si>
  <si>
    <t xml:space="preserve">6.11.6.1 </t>
  </si>
  <si>
    <t xml:space="preserve">6.11.7 </t>
  </si>
  <si>
    <t xml:space="preserve">上游土料填筑 </t>
  </si>
  <si>
    <t xml:space="preserve">6.11.8 </t>
  </si>
  <si>
    <t xml:space="preserve">上游任意料填筑 </t>
  </si>
  <si>
    <t xml:space="preserve">6.11.9 </t>
  </si>
  <si>
    <t xml:space="preserve">路面级配砾石基层 </t>
  </si>
  <si>
    <t xml:space="preserve">6.11.10 </t>
  </si>
  <si>
    <t xml:space="preserve">基础面碾压 </t>
  </si>
  <si>
    <t>㎡</t>
  </si>
  <si>
    <t xml:space="preserve">6.11.4 </t>
  </si>
  <si>
    <t xml:space="preserve">排水料填筑 </t>
  </si>
  <si>
    <t xml:space="preserve">6.11.6.2 </t>
  </si>
  <si>
    <t xml:space="preserve">料场开采 </t>
  </si>
  <si>
    <t xml:space="preserve">6.12.14 </t>
  </si>
  <si>
    <t xml:space="preserve">趾板下变模区 </t>
  </si>
  <si>
    <t xml:space="preserve">6.11.5 </t>
  </si>
  <si>
    <t xml:space="preserve">垫层小区料填筑 </t>
  </si>
  <si>
    <t>砼拌制，运输</t>
  </si>
  <si>
    <t xml:space="preserve">6.12.8 </t>
  </si>
  <si>
    <t xml:space="preserve">下游护坡混凝土网格梁 </t>
  </si>
  <si>
    <t xml:space="preserve">6.12.9 </t>
  </si>
  <si>
    <t xml:space="preserve">坝后岸坡排水沟混凝土 </t>
  </si>
  <si>
    <t xml:space="preserve">6.12.10 </t>
  </si>
  <si>
    <t xml:space="preserve">踏步混凝土 </t>
  </si>
  <si>
    <t xml:space="preserve">6.12.17.5 </t>
  </si>
  <si>
    <t xml:space="preserve">混凝土网格梁钢筋 </t>
  </si>
  <si>
    <t>t</t>
  </si>
  <si>
    <t xml:space="preserve">6.12.17.6 </t>
  </si>
  <si>
    <t xml:space="preserve">踏步钢筋 </t>
  </si>
  <si>
    <t xml:space="preserve">6.13.1 </t>
  </si>
  <si>
    <t xml:space="preserve">浆砌石 </t>
  </si>
  <si>
    <t xml:space="preserve">6.12.1 </t>
  </si>
  <si>
    <t xml:space="preserve">趾板混凝土 </t>
  </si>
  <si>
    <t xml:space="preserve">6.12.17.1 </t>
  </si>
  <si>
    <t xml:space="preserve">趾板钢筋 </t>
  </si>
  <si>
    <t xml:space="preserve">6.12.18 </t>
  </si>
  <si>
    <t xml:space="preserve">趾板锚筋 </t>
  </si>
  <si>
    <t>根</t>
  </si>
  <si>
    <t xml:space="preserve">6.12.2 </t>
  </si>
  <si>
    <t xml:space="preserve">面板混凝土 </t>
  </si>
  <si>
    <t xml:space="preserve">6.12.3 </t>
  </si>
  <si>
    <t xml:space="preserve">防浪墙混凝土 </t>
  </si>
  <si>
    <t xml:space="preserve">6.12.4 </t>
  </si>
  <si>
    <t xml:space="preserve">路面混凝土 </t>
  </si>
  <si>
    <t xml:space="preserve">6.12.5 </t>
  </si>
  <si>
    <t xml:space="preserve">电缆沟混凝土 </t>
  </si>
  <si>
    <t xml:space="preserve">6.12.6 </t>
  </si>
  <si>
    <t xml:space="preserve">电缆沟盖板混凝土 </t>
  </si>
  <si>
    <t xml:space="preserve">6.12.7 </t>
  </si>
  <si>
    <t xml:space="preserve">坝顶路沿石混凝土 </t>
  </si>
  <si>
    <t xml:space="preserve">6.12.15 </t>
  </si>
  <si>
    <t xml:space="preserve">路沿石PVC排水管 </t>
  </si>
  <si>
    <t>m</t>
  </si>
  <si>
    <t xml:space="preserve">6.12.16 </t>
  </si>
  <si>
    <t xml:space="preserve">C20现浇砼 </t>
  </si>
  <si>
    <t xml:space="preserve">6.12.17.2 </t>
  </si>
  <si>
    <t xml:space="preserve">面板钢筋 </t>
  </si>
  <si>
    <t xml:space="preserve">6.12.17.3 </t>
  </si>
  <si>
    <t xml:space="preserve">防浪墙钢筋 </t>
  </si>
  <si>
    <t xml:space="preserve">6.12.17.4 </t>
  </si>
  <si>
    <t xml:space="preserve">电缆沟盖板钢筋 </t>
  </si>
  <si>
    <t xml:space="preserve">6.12.19.1(1) </t>
  </si>
  <si>
    <r>
      <rPr>
        <sz val="10"/>
        <rFont val="宋体"/>
        <charset val="134"/>
      </rPr>
      <t>止水铜片（展开宽</t>
    </r>
    <r>
      <rPr>
        <sz val="10"/>
        <rFont val="宋体"/>
        <charset val="134"/>
      </rPr>
      <t xml:space="preserve"> 670mm，厚1mm） </t>
    </r>
  </si>
  <si>
    <t>6.12.19.1(2)</t>
  </si>
  <si>
    <r>
      <rPr>
        <sz val="10"/>
        <rFont val="宋体"/>
        <charset val="134"/>
      </rPr>
      <t>止水铜片（展开宽</t>
    </r>
    <r>
      <rPr>
        <sz val="10"/>
        <rFont val="宋体"/>
        <charset val="134"/>
      </rPr>
      <t xml:space="preserve"> 840mm，厚1mm） </t>
    </r>
  </si>
  <si>
    <t>6.12.19.2</t>
  </si>
  <si>
    <t xml:space="preserve">橡胶止水带（平板型） </t>
  </si>
  <si>
    <t>6.12.19.3</t>
  </si>
  <si>
    <t xml:space="preserve">GB复合三元乙丙盖板 </t>
  </si>
  <si>
    <t>6.12.19.4</t>
  </si>
  <si>
    <t xml:space="preserve">波形止水带 </t>
  </si>
  <si>
    <t>6.12.19.5</t>
  </si>
  <si>
    <t xml:space="preserve">柔性填料（GB） </t>
  </si>
  <si>
    <t>6.12.19.6(1)</t>
  </si>
  <si>
    <t xml:space="preserve">Φ80mmPVC棒 </t>
  </si>
  <si>
    <t>6.12.19.6(2)</t>
  </si>
  <si>
    <t xml:space="preserve">Φ60mmPVC棒 </t>
  </si>
  <si>
    <t>6.12.19.6(3)</t>
  </si>
  <si>
    <t xml:space="preserve">Φ20mmPVC棒 </t>
  </si>
  <si>
    <t>6.12.19.7</t>
  </si>
  <si>
    <t xml:space="preserve">PVC垫片 </t>
  </si>
  <si>
    <t>6.12.19.8</t>
  </si>
  <si>
    <t xml:space="preserve">不锈钢扁钢 </t>
  </si>
  <si>
    <t>6.12.19.9</t>
  </si>
  <si>
    <t xml:space="preserve">膨胀螺栓 </t>
  </si>
  <si>
    <t>套</t>
  </si>
  <si>
    <t>6.12.19.10</t>
  </si>
  <si>
    <t xml:space="preserve">沥青砂垫层 </t>
  </si>
  <si>
    <t>6.12.19.11</t>
  </si>
  <si>
    <t xml:space="preserve">沥青松木板 </t>
  </si>
  <si>
    <t xml:space="preserve">6.12.20 </t>
  </si>
  <si>
    <t xml:space="preserve">土工膜 </t>
  </si>
  <si>
    <t>　㎡</t>
  </si>
  <si>
    <t xml:space="preserve">6.9.6 </t>
  </si>
  <si>
    <r>
      <rPr>
        <sz val="10"/>
        <rFont val="宋体"/>
        <charset val="134"/>
      </rPr>
      <t xml:space="preserve">挤压边墙坡面乳化沥青 </t>
    </r>
    <r>
      <rPr>
        <sz val="10"/>
        <rFont val="宋体"/>
        <charset val="134"/>
      </rPr>
      <t xml:space="preserve">喷涂 </t>
    </r>
  </si>
  <si>
    <t xml:space="preserve">6.12.11 </t>
  </si>
  <si>
    <t xml:space="preserve">探硐泵送混凝土 </t>
  </si>
  <si>
    <t xml:space="preserve">6.12.13 </t>
  </si>
  <si>
    <t xml:space="preserve">挤压边墙一级配混凝土 </t>
  </si>
  <si>
    <t>拌制</t>
  </si>
  <si>
    <t>运输</t>
  </si>
  <si>
    <t>垂直运输</t>
  </si>
  <si>
    <t>垫层料及过渡料的开采加工</t>
  </si>
  <si>
    <t>垫层料</t>
  </si>
  <si>
    <t>砂砾石开采运输</t>
  </si>
  <si>
    <t>砂砾石运输（弃料）</t>
  </si>
  <si>
    <t>筛分</t>
  </si>
  <si>
    <t xml:space="preserve">过渡料 </t>
  </si>
  <si>
    <t>一般规定</t>
  </si>
  <si>
    <t>人员进退场</t>
  </si>
  <si>
    <t>人</t>
  </si>
  <si>
    <t>设备进退场</t>
  </si>
  <si>
    <t>趟</t>
  </si>
  <si>
    <t>碾压试验费用</t>
  </si>
  <si>
    <t>项</t>
  </si>
  <si>
    <t>施工临时设施</t>
  </si>
  <si>
    <t>施工交通设施</t>
  </si>
  <si>
    <t>6.1.1</t>
  </si>
  <si>
    <t xml:space="preserve">土石开挖 </t>
  </si>
  <si>
    <t>6.1.2</t>
  </si>
  <si>
    <t>土石填筑</t>
  </si>
  <si>
    <t>6.1.3</t>
  </si>
  <si>
    <t>M7.5浆砌石(边沟)</t>
  </si>
  <si>
    <t>6.1.4</t>
  </si>
  <si>
    <t>M7.5浆砌石(挡墙)</t>
  </si>
  <si>
    <t>6.1.5</t>
  </si>
  <si>
    <t>砾石路面(20cm厚)</t>
  </si>
  <si>
    <t>6.1.6</t>
  </si>
  <si>
    <t>3×30m钢桥</t>
  </si>
  <si>
    <t>6.1.7</t>
  </si>
  <si>
    <t>道路维护</t>
  </si>
  <si>
    <t>施工及生活供水</t>
  </si>
  <si>
    <t>供水钢管 DN300铺设</t>
  </si>
  <si>
    <t>km</t>
  </si>
  <si>
    <t>供水钢管 DN250铺设</t>
  </si>
  <si>
    <t>供水钢管 DN150铺设</t>
  </si>
  <si>
    <t>供水钢管 DN100铺设</t>
  </si>
  <si>
    <t>供水钢管 DN80铺设</t>
  </si>
  <si>
    <t>供水钢管 DN50铺设</t>
  </si>
  <si>
    <t>值班室</t>
  </si>
  <si>
    <t>m²</t>
  </si>
  <si>
    <t>钢制蓄水箱20m³</t>
  </si>
  <si>
    <t>座</t>
  </si>
  <si>
    <t>水罐车10t送水</t>
  </si>
  <si>
    <t>泵房</t>
  </si>
  <si>
    <t>土石方开挖</t>
  </si>
  <si>
    <t>土石方回填</t>
  </si>
  <si>
    <t>水井</t>
  </si>
  <si>
    <t>混凝土</t>
  </si>
  <si>
    <t>施工供风</t>
  </si>
  <si>
    <t>供风钢管DN80mm</t>
  </si>
  <si>
    <t>供风钢管DN50mm</t>
  </si>
  <si>
    <t>移动空压机防雨棚</t>
  </si>
  <si>
    <t>施工照明</t>
  </si>
  <si>
    <t>照明线路架设</t>
  </si>
  <si>
    <t>砂石料生产系统安装</t>
  </si>
  <si>
    <t>混凝土生产系统安装</t>
  </si>
  <si>
    <t>临时生产管理和生活设施</t>
  </si>
  <si>
    <r>
      <rPr>
        <sz val="10"/>
        <rFont val="宋体"/>
        <charset val="134"/>
      </rPr>
      <t>6.9.</t>
    </r>
    <r>
      <rPr>
        <sz val="10"/>
        <rFont val="宋体"/>
        <charset val="134"/>
      </rPr>
      <t>1</t>
    </r>
  </si>
  <si>
    <t>临时炸药库</t>
  </si>
  <si>
    <r>
      <rPr>
        <sz val="10"/>
        <rFont val="宋体"/>
        <charset val="134"/>
      </rPr>
      <t>6.9.</t>
    </r>
    <r>
      <rPr>
        <sz val="10"/>
        <rFont val="宋体"/>
        <charset val="134"/>
      </rPr>
      <t>2</t>
    </r>
  </si>
  <si>
    <t>生产营地活动板房</t>
  </si>
  <si>
    <t>m3</t>
  </si>
  <si>
    <r>
      <rPr>
        <sz val="10"/>
        <rFont val="宋体"/>
        <charset val="134"/>
      </rPr>
      <t>6.9.</t>
    </r>
    <r>
      <rPr>
        <sz val="10"/>
        <rFont val="宋体"/>
        <charset val="134"/>
      </rPr>
      <t>3</t>
    </r>
  </si>
  <si>
    <t>地磅房建设</t>
  </si>
  <si>
    <r>
      <rPr>
        <sz val="10"/>
        <rFont val="宋体"/>
        <charset val="134"/>
      </rPr>
      <t>6.9.</t>
    </r>
    <r>
      <rPr>
        <sz val="10"/>
        <rFont val="宋体"/>
        <charset val="134"/>
      </rPr>
      <t>4</t>
    </r>
  </si>
  <si>
    <t>前方生产营地回填</t>
  </si>
  <si>
    <r>
      <rPr>
        <sz val="10"/>
        <rFont val="宋体"/>
        <charset val="134"/>
      </rPr>
      <t>6.9.</t>
    </r>
    <r>
      <rPr>
        <sz val="10"/>
        <rFont val="宋体"/>
        <charset val="134"/>
      </rPr>
      <t>5</t>
    </r>
  </si>
  <si>
    <t>人行便道施工</t>
  </si>
  <si>
    <t>环保、水保项目</t>
  </si>
  <si>
    <t xml:space="preserve">河床土石开挖 </t>
  </si>
  <si>
    <t>施工导流</t>
  </si>
  <si>
    <t>5.5.1</t>
  </si>
  <si>
    <t xml:space="preserve">工程截流 </t>
  </si>
  <si>
    <t>5.5.1.1</t>
  </si>
  <si>
    <t>块石串</t>
  </si>
  <si>
    <t>5.5.1.2</t>
  </si>
  <si>
    <t>砂砾石料抛投</t>
  </si>
  <si>
    <t>5.5.1.3</t>
  </si>
  <si>
    <t>中石抛投</t>
  </si>
  <si>
    <t>5.5.1.4</t>
  </si>
  <si>
    <t>大石抛投</t>
  </si>
  <si>
    <t>5.5.1.5</t>
  </si>
  <si>
    <t>戗堤填筑</t>
  </si>
  <si>
    <t>5.5.1.6</t>
  </si>
  <si>
    <t>粘土填筑</t>
  </si>
  <si>
    <t xml:space="preserve">基坑排水 </t>
  </si>
  <si>
    <t>5.5.2.1</t>
  </si>
  <si>
    <t>初期排水</t>
  </si>
  <si>
    <t>φ250管道铺设</t>
  </si>
  <si>
    <t>φ300管道铺设</t>
  </si>
  <si>
    <r>
      <rPr>
        <sz val="11"/>
        <rFont val="宋体"/>
        <charset val="134"/>
      </rPr>
      <t>5</t>
    </r>
    <r>
      <rPr>
        <sz val="11"/>
        <rFont val="宋体"/>
        <charset val="134"/>
      </rPr>
      <t>.5.2.2</t>
    </r>
  </si>
  <si>
    <t>经常性排水</t>
  </si>
  <si>
    <t>（1）</t>
  </si>
  <si>
    <t>基坑开挖</t>
  </si>
  <si>
    <t>天</t>
  </si>
  <si>
    <t>（2）</t>
  </si>
  <si>
    <t>河床趾板开挖</t>
  </si>
  <si>
    <t>（3）</t>
  </si>
  <si>
    <t>填筑施工</t>
  </si>
  <si>
    <t>（4）</t>
  </si>
  <si>
    <t>一期面板</t>
  </si>
  <si>
    <t>（5）</t>
  </si>
  <si>
    <t>上游铺盖</t>
  </si>
  <si>
    <t>φ350管道铺设</t>
  </si>
  <si>
    <t xml:space="preserve">施工期防洪度汛 </t>
  </si>
  <si>
    <t>5.5.4.1</t>
  </si>
  <si>
    <t>5.5.4.2</t>
  </si>
  <si>
    <t>5.5.4.3</t>
  </si>
  <si>
    <t>围堰填筑 （摊铺、碾压）</t>
  </si>
  <si>
    <t>5.5.4.4</t>
  </si>
  <si>
    <t>5.5.4.5</t>
  </si>
  <si>
    <t xml:space="preserve">石渣护坡 </t>
  </si>
  <si>
    <t>5.5.4.6</t>
  </si>
  <si>
    <t>5.5.5.1</t>
  </si>
  <si>
    <t xml:space="preserve">围堰填筑 </t>
  </si>
  <si>
    <t>5.5.5.2</t>
  </si>
  <si>
    <t xml:space="preserve">粘土填筑 </t>
  </si>
  <si>
    <t>5.5.5.3</t>
  </si>
  <si>
    <t>5.5.5.4</t>
  </si>
  <si>
    <t xml:space="preserve">砂砾石保护层 </t>
  </si>
  <si>
    <t>5.5.5.5</t>
  </si>
  <si>
    <t xml:space="preserve">围堰拆除 </t>
  </si>
  <si>
    <t>上坝料的装、运输</t>
  </si>
  <si>
    <t>直接利用料15万m3</t>
  </si>
  <si>
    <t>挖、装、运,且该工程量是按填筑工程量计算</t>
  </si>
  <si>
    <t>直接利用装载机装车</t>
  </si>
  <si>
    <t>二次倒运砂砾备料60万m3</t>
  </si>
  <si>
    <t>爆破料二次倒运185万m3</t>
  </si>
  <si>
    <t>挖机装车</t>
  </si>
  <si>
    <t>石方</t>
  </si>
  <si>
    <t>爆破料50%运输</t>
  </si>
  <si>
    <t>加工后的过渡料36万m3</t>
  </si>
  <si>
    <t>垫层料59万m3</t>
  </si>
  <si>
    <t>上游压重体挖装运</t>
  </si>
  <si>
    <t>上游土料挖装、运输</t>
  </si>
  <si>
    <t>上游任意料挖装、运输</t>
  </si>
  <si>
    <t>坝基土石方挖装运</t>
  </si>
  <si>
    <t>大坝危岩体</t>
  </si>
  <si>
    <r>
      <rPr>
        <sz val="10"/>
        <rFont val="宋体"/>
        <charset val="134"/>
      </rPr>
      <t>考虑2</t>
    </r>
    <r>
      <rPr>
        <sz val="10"/>
        <rFont val="宋体"/>
        <charset val="134"/>
      </rPr>
      <t>0%翻渣</t>
    </r>
  </si>
  <si>
    <t>坝肩石方挖装运</t>
  </si>
  <si>
    <t>考虑20%翻渣</t>
  </si>
  <si>
    <t>坝肩土方挖装运</t>
  </si>
  <si>
    <t>考虑20%二次翻渣</t>
  </si>
  <si>
    <t>冲积物挖装运</t>
  </si>
  <si>
    <t>考虑10%二次翻渣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</si>
  <si>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4</t>
    </r>
  </si>
  <si>
    <t>围堰挖装运输</t>
  </si>
  <si>
    <t>施工期间人、材、机及管理费及利润</t>
  </si>
  <si>
    <t>砂石骨料运输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</si>
</sst>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仿宋_GB2312"/>
      <charset val="134"/>
    </font>
    <font>
      <b/>
      <sz val="16"/>
      <name val="仿宋_GB2312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color indexed="10"/>
      <name val="宋体"/>
      <charset val="134"/>
    </font>
    <font>
      <b/>
      <sz val="12"/>
      <name val="仿宋_GB2312"/>
      <charset val="134"/>
    </font>
    <font>
      <sz val="11"/>
      <color indexed="6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vertAlign val="superscript"/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0"/>
    <xf numFmtId="0" fontId="1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/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2" fillId="0" borderId="0"/>
    <xf numFmtId="0" fontId="14" fillId="1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8" fillId="34" borderId="15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0" borderId="0"/>
  </cellStyleXfs>
  <cellXfs count="77">
    <xf numFmtId="0" fontId="0" fillId="0" borderId="0" xfId="0">
      <alignment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49" fontId="1" fillId="4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0" borderId="1" xfId="52" applyNumberFormat="1" applyFont="1" applyFill="1" applyBorder="1" applyAlignment="1">
      <alignment horizontal="center" vertical="center" shrinkToFit="1"/>
    </xf>
    <xf numFmtId="49" fontId="1" fillId="0" borderId="1" xfId="52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1" fillId="2" borderId="1" xfId="52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shrinkToFi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 shrinkToFit="1"/>
    </xf>
    <xf numFmtId="49" fontId="1" fillId="4" borderId="1" xfId="0" applyNumberFormat="1" applyFont="1" applyFill="1" applyBorder="1" applyAlignment="1">
      <alignment horizontal="center" vertical="center" wrapText="1" shrinkToFit="1"/>
    </xf>
    <xf numFmtId="49" fontId="0" fillId="2" borderId="1" xfId="0" applyNumberForma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 shrinkToFit="1"/>
    </xf>
    <xf numFmtId="49" fontId="1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8" fillId="3" borderId="0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 shrinkToFit="1"/>
    </xf>
    <xf numFmtId="49" fontId="1" fillId="2" borderId="2" xfId="0" applyNumberFormat="1" applyFont="1" applyFill="1" applyBorder="1" applyAlignment="1">
      <alignment horizontal="center" vertical="center" wrapText="1" shrinkToFit="1"/>
    </xf>
    <xf numFmtId="49" fontId="6" fillId="0" borderId="1" xfId="6" applyNumberFormat="1" applyFont="1" applyFill="1" applyBorder="1" applyAlignment="1">
      <alignment horizontal="center" vertical="center" shrinkToFit="1"/>
    </xf>
    <xf numFmtId="49" fontId="1" fillId="2" borderId="3" xfId="0" applyNumberFormat="1" applyFont="1" applyFill="1" applyBorder="1" applyAlignment="1">
      <alignment horizontal="center" vertical="center" wrapText="1" shrinkToFit="1"/>
    </xf>
    <xf numFmtId="49" fontId="1" fillId="0" borderId="1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 vertical="center" wrapText="1" shrinkToFit="1"/>
    </xf>
    <xf numFmtId="49" fontId="1" fillId="4" borderId="0" xfId="0" applyNumberFormat="1" applyFont="1" applyFill="1" applyBorder="1" applyAlignment="1">
      <alignment horizontal="center" vertical="center" wrapText="1" shrinkToFit="1"/>
    </xf>
    <xf numFmtId="49" fontId="1" fillId="0" borderId="0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 shrinkToFit="1"/>
    </xf>
    <xf numFmtId="49" fontId="1" fillId="4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 wrapText="1" shrinkToFit="1"/>
    </xf>
    <xf numFmtId="49" fontId="1" fillId="2" borderId="0" xfId="0" applyNumberFormat="1" applyFont="1" applyFill="1" applyBorder="1" applyAlignment="1">
      <alignment horizontal="center" vertical="center" wrapText="1" shrinkToFit="1"/>
    </xf>
    <xf numFmtId="49" fontId="1" fillId="2" borderId="1" xfId="0" applyNumberFormat="1" applyFont="1" applyFill="1" applyBorder="1" applyAlignment="1">
      <alignment vertical="center"/>
    </xf>
    <xf numFmtId="49" fontId="1" fillId="4" borderId="0" xfId="0" applyNumberFormat="1" applyFont="1" applyFill="1" applyBorder="1" applyAlignment="1">
      <alignment vertical="center"/>
    </xf>
    <xf numFmtId="49" fontId="1" fillId="4" borderId="1" xfId="52" applyNumberFormat="1" applyFont="1" applyFill="1" applyBorder="1" applyAlignment="1">
      <alignment horizontal="center" vertical="center" shrinkToFit="1"/>
    </xf>
    <xf numFmtId="49" fontId="1" fillId="4" borderId="1" xfId="52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49" fontId="1" fillId="0" borderId="1" xfId="52" applyNumberFormat="1" applyFont="1" applyFill="1" applyBorder="1" applyAlignment="1">
      <alignment horizontal="left" vertical="center" shrinkToFit="1"/>
    </xf>
    <xf numFmtId="49" fontId="1" fillId="0" borderId="1" xfId="0" applyNumberFormat="1" applyFont="1" applyFill="1" applyBorder="1" applyAlignment="1" applyProtection="1">
      <alignment horizontal="left" vertical="center" shrinkToFit="1"/>
      <protection locked="0"/>
    </xf>
    <xf numFmtId="49" fontId="0" fillId="0" borderId="1" xfId="0" applyNumberForma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49" fontId="6" fillId="4" borderId="1" xfId="0" applyNumberFormat="1" applyFont="1" applyFill="1" applyBorder="1" applyAlignment="1">
      <alignment vertical="center" shrinkToFit="1"/>
    </xf>
    <xf numFmtId="49" fontId="6" fillId="4" borderId="1" xfId="0" applyNumberFormat="1" applyFont="1" applyFill="1" applyBorder="1" applyAlignment="1">
      <alignment horizontal="center" vertical="center" shrinkToFit="1"/>
    </xf>
    <xf numFmtId="49" fontId="1" fillId="3" borderId="0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left" vertical="center"/>
    </xf>
    <xf numFmtId="49" fontId="6" fillId="0" borderId="1" xfId="12" applyNumberFormat="1" applyFont="1" applyFill="1" applyBorder="1" applyAlignment="1">
      <alignment horizontal="left" vertical="center" shrinkToFit="1"/>
    </xf>
    <xf numFmtId="49" fontId="6" fillId="0" borderId="1" xfId="12" applyNumberFormat="1" applyFont="1" applyFill="1" applyBorder="1" applyAlignment="1">
      <alignment horizontal="center" vertical="center" shrinkToFit="1"/>
    </xf>
    <xf numFmtId="49" fontId="6" fillId="4" borderId="1" xfId="12" applyNumberFormat="1" applyFont="1" applyFill="1" applyBorder="1" applyAlignment="1">
      <alignment horizontal="left" vertical="center" shrinkToFit="1"/>
    </xf>
    <xf numFmtId="49" fontId="6" fillId="0" borderId="7" xfId="23" applyNumberFormat="1" applyFont="1" applyFill="1" applyBorder="1" applyAlignment="1">
      <alignment horizontal="left" vertical="center"/>
    </xf>
    <xf numFmtId="49" fontId="6" fillId="4" borderId="1" xfId="12" applyNumberFormat="1" applyFont="1" applyFill="1" applyBorder="1" applyAlignment="1">
      <alignment horizontal="center" vertical="center" shrinkToFit="1"/>
    </xf>
    <xf numFmtId="49" fontId="9" fillId="0" borderId="1" xfId="12" applyNumberFormat="1" applyFont="1" applyFill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1" fillId="2" borderId="1" xfId="52" applyNumberFormat="1" applyFont="1" applyFill="1" applyBorder="1" applyAlignment="1">
      <alignment horizontal="center" vertical="center" shrinkToFi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shrinkToFit="1"/>
    </xf>
    <xf numFmtId="49" fontId="6" fillId="2" borderId="1" xfId="6" applyNumberFormat="1" applyFont="1" applyFill="1" applyBorder="1" applyAlignment="1">
      <alignment horizontal="center" vertical="center" shrinkToFi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_昌都金河电站_引水隧洞及调压井交通洞_锦屏二级水电站施工排水洞(主文件)_福建仙游抽水蓄能电站地下厂房及部分尾水系统土建工程(原价)_双江口坝肩开挖及支护(原价)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常规_昌都金河电站_引水隧洞及调压井交通洞_锦屏二级水电站施工排水洞(主文件)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常规_昌都金河电站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qmf\Documents\Tencent%20Files\651857512\FileRecv\&#26032;&#30086;&#38463;&#23572;&#22612;&#20160;&#22823;&#22365;(&#26631;&#21518;5.23)(&#23435;&#22823;&#19996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提量"/>
      <sheetName val="费用划分"/>
      <sheetName val="Sheet7"/>
      <sheetName val="料场"/>
      <sheetName val="排水料"/>
      <sheetName val="爆破料填筑"/>
      <sheetName val="总价表"/>
      <sheetName val="汇总"/>
      <sheetName val="清单0"/>
      <sheetName val="清单"/>
      <sheetName val="分解"/>
      <sheetName val="计日工"/>
      <sheetName val="单价汇总"/>
      <sheetName val="取费表"/>
      <sheetName val="风水电表"/>
      <sheetName val="风水电价格"/>
      <sheetName val="配合比"/>
      <sheetName val="主材价格汇总"/>
      <sheetName val="主材价"/>
      <sheetName val="机械费"/>
      <sheetName val="单价1"/>
      <sheetName val="单价2"/>
      <sheetName val="人工费"/>
      <sheetName val="人工预算表"/>
      <sheetName val="招标代理费"/>
      <sheetName val="材料询价"/>
      <sheetName val="台时"/>
      <sheetName val="子单价 (2)"/>
      <sheetName val="垫层 (2)"/>
      <sheetName val="材料"/>
      <sheetName val="Used_LMM"/>
      <sheetName val="参数"/>
      <sheetName val="砼材料"/>
      <sheetName val="费率"/>
      <sheetName val="排水"/>
      <sheetName val="Sheet3"/>
      <sheetName val="临建清单"/>
      <sheetName val="单价围堰"/>
      <sheetName val="单价临建"/>
      <sheetName val="风水电"/>
      <sheetName val="砼拌制"/>
      <sheetName val="垫层"/>
      <sheetName val="子单价"/>
      <sheetName val="单价填筑"/>
      <sheetName val="单价洞挖"/>
      <sheetName val="人工单价"/>
      <sheetName val="单价石方"/>
      <sheetName val="单价土方"/>
      <sheetName val="骨料"/>
      <sheetName val="单价砼"/>
      <sheetName val="单价钢筋"/>
      <sheetName val="单价锚索"/>
      <sheetName val="单价喷砼"/>
      <sheetName val="单价锚杆"/>
      <sheetName val="单价钢筋网"/>
      <sheetName val="单价其它"/>
      <sheetName val="单价砌体"/>
      <sheetName val="单价基础"/>
      <sheetName val="单价安装"/>
      <sheetName val="Sheet2"/>
      <sheetName val="Sheet1"/>
      <sheetName val="单价填筑00"/>
      <sheetName val="单价石方00"/>
      <sheetName val="单价土方00"/>
      <sheetName val="骨料单价"/>
      <sheetName val="补充砼材料"/>
      <sheetName val="砂石单价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21"/>
  <sheetViews>
    <sheetView tabSelected="1" topLeftCell="A214" workbookViewId="0">
      <selection activeCell="L230" sqref="L230"/>
    </sheetView>
  </sheetViews>
  <sheetFormatPr defaultColWidth="8.89166666666667" defaultRowHeight="12"/>
  <cols>
    <col min="1" max="1" width="10.3833333333333" style="1" customWidth="1"/>
    <col min="2" max="2" width="22.6333333333333" style="2" customWidth="1"/>
    <col min="3" max="3" width="13.8833333333333" style="2" customWidth="1"/>
    <col min="4" max="4" width="7.75" style="1" customWidth="1"/>
    <col min="5" max="5" width="7.75" style="1" hidden="1" customWidth="1"/>
    <col min="6" max="6" width="7.38333333333333" style="1" customWidth="1"/>
    <col min="7" max="7" width="10.3833333333333" style="1" customWidth="1"/>
    <col min="8" max="8" width="9.63333333333333" style="1" customWidth="1"/>
    <col min="9" max="9" width="7.75" style="1" customWidth="1"/>
    <col min="10" max="10" width="11.1333333333333" style="1" customWidth="1"/>
    <col min="11" max="11" width="11" style="1" customWidth="1"/>
    <col min="12" max="23" width="8.25" style="1" customWidth="1"/>
    <col min="24" max="24" width="10.1333333333333" style="1" customWidth="1"/>
    <col min="25" max="25" width="10.6333333333333" style="1" customWidth="1"/>
    <col min="26" max="26" width="13" style="1" customWidth="1"/>
    <col min="27" max="27" width="11.25" style="1" customWidth="1"/>
    <col min="28" max="28" width="12.6333333333333" style="1" customWidth="1"/>
    <col min="29" max="29" width="9" style="1" customWidth="1"/>
    <col min="30" max="30" width="9" style="1" hidden="1" customWidth="1"/>
    <col min="31" max="31" width="28.5" style="1" hidden="1" customWidth="1"/>
    <col min="32" max="32" width="13.8833333333333" style="3" hidden="1" customWidth="1"/>
    <col min="33" max="33" width="23.25" style="1" hidden="1" customWidth="1"/>
    <col min="34" max="35" width="11.25" style="1" hidden="1" customWidth="1"/>
    <col min="36" max="36" width="11.25" style="3" hidden="1" customWidth="1"/>
    <col min="37" max="37" width="8.13333333333333" style="1" hidden="1" customWidth="1"/>
    <col min="38" max="43" width="9" style="1" hidden="1" customWidth="1"/>
    <col min="44" max="255" width="9" style="1"/>
    <col min="256" max="16384" width="8.89166666666667" style="1"/>
  </cols>
  <sheetData>
    <row r="1" ht="14.25" spans="1:37">
      <c r="A1" s="4" t="s">
        <v>0</v>
      </c>
      <c r="B1" s="4"/>
      <c r="C1" s="4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>
        <f>60*1.1</f>
        <v>66</v>
      </c>
      <c r="U1" s="5">
        <f>45*1.1</f>
        <v>49.5</v>
      </c>
      <c r="V1" s="5"/>
      <c r="W1" s="5"/>
      <c r="X1" s="5"/>
      <c r="Y1" s="5"/>
      <c r="AF1" s="1">
        <v>1.1</v>
      </c>
      <c r="AG1" s="3"/>
      <c r="AJ1" s="1"/>
      <c r="AK1" s="3"/>
    </row>
    <row r="2" ht="14.25" spans="1:37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F2" s="1"/>
      <c r="AG2" s="3"/>
      <c r="AJ2" s="1"/>
      <c r="AK2" s="3"/>
    </row>
    <row r="3" ht="20.25" spans="1:37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1"/>
      <c r="AG3" s="3"/>
      <c r="AJ3" s="1"/>
      <c r="AK3" s="3"/>
    </row>
    <row r="4" ht="20.25" spans="1:37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4"/>
      <c r="AA4" s="8">
        <v>2.4</v>
      </c>
      <c r="AB4" s="8">
        <v>1.3</v>
      </c>
      <c r="AC4" s="8">
        <v>2.7</v>
      </c>
      <c r="AF4" s="1" t="s">
        <v>3</v>
      </c>
      <c r="AG4" s="19">
        <v>0.08</v>
      </c>
      <c r="AJ4" s="1"/>
      <c r="AK4" s="3"/>
    </row>
    <row r="5" ht="24" spans="1:37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34"/>
      <c r="AA5" s="8">
        <v>6.1</v>
      </c>
      <c r="AB5" s="8">
        <v>16.2</v>
      </c>
      <c r="AC5" s="8">
        <v>20.2</v>
      </c>
      <c r="AF5" s="8" t="s">
        <v>4</v>
      </c>
      <c r="AG5" s="19">
        <v>0.06</v>
      </c>
      <c r="AJ5" s="1"/>
      <c r="AK5" s="3"/>
    </row>
    <row r="6" ht="36" spans="1:37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5"/>
      <c r="Z6" s="8">
        <f>5500/30/10</f>
        <v>18.3333333333333</v>
      </c>
      <c r="AA6" s="8">
        <f>168.33+2.4*Z9+6.1*M9</f>
        <v>262.08</v>
      </c>
      <c r="AB6" s="8">
        <f>1.3*Z9+(83.37+M9*16.2)</f>
        <v>230.87</v>
      </c>
      <c r="AC6" s="8">
        <f>147.3+2.7*Z9+20.2*M9</f>
        <v>352.8</v>
      </c>
      <c r="AF6" s="28" t="s">
        <v>5</v>
      </c>
      <c r="AG6" s="46">
        <v>0.1</v>
      </c>
      <c r="AJ6" s="1"/>
      <c r="AK6" s="3"/>
    </row>
    <row r="7" ht="24" spans="1:42">
      <c r="A7" s="8" t="s">
        <v>6</v>
      </c>
      <c r="B7" s="8" t="s">
        <v>7</v>
      </c>
      <c r="C7" s="9" t="s">
        <v>8</v>
      </c>
      <c r="D7" s="8" t="s">
        <v>9</v>
      </c>
      <c r="E7" s="9" t="s">
        <v>10</v>
      </c>
      <c r="F7" s="8" t="s">
        <v>11</v>
      </c>
      <c r="G7" s="8"/>
      <c r="H7" s="8"/>
      <c r="I7" s="8"/>
      <c r="J7" s="8"/>
      <c r="K7" s="9" t="s">
        <v>12</v>
      </c>
      <c r="L7" s="9"/>
      <c r="M7" s="28" t="s">
        <v>13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28" t="s">
        <v>14</v>
      </c>
      <c r="AA7" s="28" t="s">
        <v>15</v>
      </c>
      <c r="AB7" s="28"/>
      <c r="AC7" s="28"/>
      <c r="AD7" s="28"/>
      <c r="AE7" s="36"/>
      <c r="AF7" s="28" t="s">
        <v>16</v>
      </c>
      <c r="AG7" s="46">
        <v>0.06</v>
      </c>
      <c r="AJ7" s="47"/>
      <c r="AK7" s="42"/>
      <c r="AL7" s="36"/>
      <c r="AM7" s="36"/>
      <c r="AN7" s="36"/>
      <c r="AO7" s="36"/>
      <c r="AP7" s="36"/>
    </row>
    <row r="8" ht="24" spans="1:42">
      <c r="A8" s="10"/>
      <c r="B8" s="10"/>
      <c r="C8" s="11"/>
      <c r="D8" s="10"/>
      <c r="E8" s="11"/>
      <c r="F8" s="8"/>
      <c r="G8" s="8"/>
      <c r="H8" s="8"/>
      <c r="I8" s="8"/>
      <c r="J8" s="8"/>
      <c r="K8" s="11"/>
      <c r="L8" s="11"/>
      <c r="M8" s="8" t="s">
        <v>17</v>
      </c>
      <c r="N8" s="8" t="s">
        <v>18</v>
      </c>
      <c r="O8" s="8" t="s">
        <v>19</v>
      </c>
      <c r="P8" s="8" t="s">
        <v>20</v>
      </c>
      <c r="Q8" s="8" t="s">
        <v>21</v>
      </c>
      <c r="R8" s="8" t="s">
        <v>22</v>
      </c>
      <c r="S8" s="8" t="s">
        <v>23</v>
      </c>
      <c r="T8" s="8" t="s">
        <v>24</v>
      </c>
      <c r="U8" s="8" t="s">
        <v>25</v>
      </c>
      <c r="V8" s="8" t="s">
        <v>26</v>
      </c>
      <c r="W8" s="8" t="s">
        <v>27</v>
      </c>
      <c r="X8" s="8" t="s">
        <v>28</v>
      </c>
      <c r="Y8" s="8" t="s">
        <v>29</v>
      </c>
      <c r="Z8" s="28" t="s">
        <v>30</v>
      </c>
      <c r="AA8" s="28" t="s">
        <v>31</v>
      </c>
      <c r="AB8" s="28" t="s">
        <v>32</v>
      </c>
      <c r="AC8" s="28" t="s">
        <v>33</v>
      </c>
      <c r="AD8" s="37" t="s">
        <v>34</v>
      </c>
      <c r="AE8" s="36"/>
      <c r="AF8" s="28"/>
      <c r="AG8" s="28"/>
      <c r="AJ8" s="47"/>
      <c r="AK8" s="42"/>
      <c r="AL8" s="36">
        <f>10*74+10*100</f>
        <v>1740</v>
      </c>
      <c r="AM8" s="36">
        <f>AL8*2</f>
        <v>3480</v>
      </c>
      <c r="AN8" s="36">
        <f>62*8500*1.548*60</f>
        <v>48947760</v>
      </c>
      <c r="AO8" s="36"/>
      <c r="AP8" s="36"/>
    </row>
    <row r="9" ht="24" spans="1:42">
      <c r="A9" s="10"/>
      <c r="B9" s="10"/>
      <c r="C9" s="11"/>
      <c r="D9" s="10"/>
      <c r="E9" s="11"/>
      <c r="F9" s="8" t="s">
        <v>35</v>
      </c>
      <c r="G9" s="9" t="s">
        <v>14</v>
      </c>
      <c r="H9" s="9" t="s">
        <v>15</v>
      </c>
      <c r="I9" s="8" t="s">
        <v>36</v>
      </c>
      <c r="J9" s="8" t="s">
        <v>12</v>
      </c>
      <c r="K9" s="11"/>
      <c r="L9" s="11"/>
      <c r="M9" s="8">
        <v>7.5</v>
      </c>
      <c r="N9" s="8">
        <v>18.415</v>
      </c>
      <c r="O9" s="8">
        <v>10</v>
      </c>
      <c r="P9" s="8">
        <v>65</v>
      </c>
      <c r="Q9" s="8">
        <v>850</v>
      </c>
      <c r="R9" s="8">
        <v>560</v>
      </c>
      <c r="S9" s="8">
        <v>0.48</v>
      </c>
      <c r="T9" s="8">
        <v>66</v>
      </c>
      <c r="U9" s="8">
        <v>50</v>
      </c>
      <c r="V9" s="8">
        <v>1.2</v>
      </c>
      <c r="W9" s="8">
        <v>6500</v>
      </c>
      <c r="X9" s="8">
        <v>5.8</v>
      </c>
      <c r="Y9" s="8">
        <v>2.85</v>
      </c>
      <c r="Z9" s="28">
        <v>20</v>
      </c>
      <c r="AA9" s="38">
        <v>250</v>
      </c>
      <c r="AB9" s="28">
        <v>120</v>
      </c>
      <c r="AC9" s="28">
        <v>220</v>
      </c>
      <c r="AD9" s="39"/>
      <c r="AE9" s="36"/>
      <c r="AF9" s="40" t="s">
        <v>37</v>
      </c>
      <c r="AG9" s="48">
        <v>1.9</v>
      </c>
      <c r="AH9" s="28" t="s">
        <v>38</v>
      </c>
      <c r="AI9" s="28">
        <v>1.8</v>
      </c>
      <c r="AJ9" s="47"/>
      <c r="AK9" s="42"/>
      <c r="AL9" s="36"/>
      <c r="AM9" s="36"/>
      <c r="AN9" s="36">
        <f>AN8/10000</f>
        <v>4894.776</v>
      </c>
      <c r="AO9" s="36">
        <f>AM8+AN9</f>
        <v>8374.776</v>
      </c>
      <c r="AP9" s="36">
        <f>AO9/2500</f>
        <v>3.3499104</v>
      </c>
    </row>
    <row r="10" ht="24" spans="1:42">
      <c r="A10" s="10"/>
      <c r="B10" s="10"/>
      <c r="C10" s="12"/>
      <c r="D10" s="10"/>
      <c r="E10" s="12"/>
      <c r="F10" s="8"/>
      <c r="G10" s="12"/>
      <c r="H10" s="12"/>
      <c r="I10" s="8"/>
      <c r="J10" s="8"/>
      <c r="K10" s="12"/>
      <c r="L10" s="12"/>
      <c r="M10" s="28" t="s">
        <v>39</v>
      </c>
      <c r="N10" s="28" t="s">
        <v>39</v>
      </c>
      <c r="O10" s="28" t="s">
        <v>40</v>
      </c>
      <c r="P10" s="28" t="s">
        <v>39</v>
      </c>
      <c r="Q10" s="28" t="s">
        <v>39</v>
      </c>
      <c r="R10" s="28" t="s">
        <v>39</v>
      </c>
      <c r="S10" s="28" t="s">
        <v>39</v>
      </c>
      <c r="T10" s="28" t="s">
        <v>41</v>
      </c>
      <c r="U10" s="28" t="s">
        <v>41</v>
      </c>
      <c r="V10" s="28" t="s">
        <v>41</v>
      </c>
      <c r="W10" s="28" t="s">
        <v>41</v>
      </c>
      <c r="X10" s="28" t="s">
        <v>41</v>
      </c>
      <c r="Y10" s="28" t="s">
        <v>39</v>
      </c>
      <c r="Z10" s="28" t="s">
        <v>42</v>
      </c>
      <c r="AA10" s="28" t="s">
        <v>43</v>
      </c>
      <c r="AB10" s="28" t="s">
        <v>43</v>
      </c>
      <c r="AC10" s="28" t="s">
        <v>43</v>
      </c>
      <c r="AD10" s="41"/>
      <c r="AE10" s="36"/>
      <c r="AF10" s="40" t="s">
        <v>44</v>
      </c>
      <c r="AG10" s="48">
        <v>1.8</v>
      </c>
      <c r="AH10" s="28" t="s">
        <v>45</v>
      </c>
      <c r="AI10" s="28">
        <v>2.307</v>
      </c>
      <c r="AJ10" s="47"/>
      <c r="AK10" s="42"/>
      <c r="AL10" s="36"/>
      <c r="AM10" s="36"/>
      <c r="AN10" s="36">
        <f>2500*0.5</f>
        <v>1250</v>
      </c>
      <c r="AO10" s="36"/>
      <c r="AP10" s="36">
        <f>AN10/2500</f>
        <v>0.5</v>
      </c>
    </row>
    <row r="11" ht="24" spans="1:42">
      <c r="A11" s="13" t="s">
        <v>46</v>
      </c>
      <c r="B11" s="14"/>
      <c r="C11" s="12"/>
      <c r="D11" s="10"/>
      <c r="E11" s="10"/>
      <c r="F11" s="8"/>
      <c r="G11" s="12"/>
      <c r="H11" s="12"/>
      <c r="I11" s="8"/>
      <c r="J11" s="8"/>
      <c r="K11" s="12"/>
      <c r="L11" s="12"/>
      <c r="M11" s="29">
        <f>6*1.05</f>
        <v>6.3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41"/>
      <c r="AE11" s="36"/>
      <c r="AF11" s="40" t="s">
        <v>47</v>
      </c>
      <c r="AG11" s="48">
        <v>0.26</v>
      </c>
      <c r="AH11" s="28" t="s">
        <v>48</v>
      </c>
      <c r="AI11" s="28">
        <v>1.75</v>
      </c>
      <c r="AJ11" s="47"/>
      <c r="AK11" s="42"/>
      <c r="AL11" s="36"/>
      <c r="AM11" s="36"/>
      <c r="AN11" s="36"/>
      <c r="AO11" s="36"/>
      <c r="AP11" s="36"/>
    </row>
    <row r="12" ht="24" spans="1:42">
      <c r="A12" s="15">
        <v>1</v>
      </c>
      <c r="B12" s="16" t="s">
        <v>49</v>
      </c>
      <c r="C12" s="17"/>
      <c r="D12" s="18"/>
      <c r="E12" s="18"/>
      <c r="F12" s="19"/>
      <c r="G12" s="17"/>
      <c r="H12" s="17"/>
      <c r="I12" s="8"/>
      <c r="J12" s="19"/>
      <c r="K12" s="17">
        <f>SUM(K13:K18)</f>
        <v>22565451</v>
      </c>
      <c r="L12" s="17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42"/>
      <c r="AF12" s="40" t="s">
        <v>50</v>
      </c>
      <c r="AG12" s="48">
        <v>0.25</v>
      </c>
      <c r="AH12" s="28" t="s">
        <v>51</v>
      </c>
      <c r="AI12" s="28">
        <v>2.295</v>
      </c>
      <c r="AJ12" s="42">
        <v>2.8</v>
      </c>
      <c r="AK12" s="42">
        <v>2.1</v>
      </c>
      <c r="AL12" s="42"/>
      <c r="AM12" s="42"/>
      <c r="AN12" s="42"/>
      <c r="AO12" s="42"/>
      <c r="AP12" s="42"/>
    </row>
    <row r="13" ht="13.5" spans="1:42">
      <c r="A13" s="20" t="s">
        <v>52</v>
      </c>
      <c r="B13" s="20" t="s">
        <v>53</v>
      </c>
      <c r="C13" s="21">
        <v>370000</v>
      </c>
      <c r="D13" s="21" t="s">
        <v>54</v>
      </c>
      <c r="E13" s="21"/>
      <c r="F13" s="8">
        <f t="shared" ref="F13:F18" si="0">ROUND(SUMPRODUCT($M$9:$Y$9,M13:Y13),2)</f>
        <v>7.1</v>
      </c>
      <c r="G13" s="22">
        <f t="shared" ref="G13:G17" si="1">SUMPRODUCT($Z$9,Z13)</f>
        <v>8.06</v>
      </c>
      <c r="H13" s="8">
        <f>ROUND(SUMPRODUCT($AA$9:$AC$9,AA13:AC13)*0.9+9.98*0.1,2)</f>
        <v>3.25</v>
      </c>
      <c r="I13" s="30">
        <f t="shared" ref="I13:I18" si="2">ROUND(SUM(F13:H13)*0.1,2)</f>
        <v>1.84</v>
      </c>
      <c r="J13" s="8">
        <f t="shared" ref="J13:J18" si="3">SUM(F13:I13)</f>
        <v>20.25</v>
      </c>
      <c r="K13" s="8">
        <f t="shared" ref="K13:K18" si="4">ROUND(C13*J13,)</f>
        <v>7492500</v>
      </c>
      <c r="L13" s="8"/>
      <c r="M13" s="8">
        <v>0.02</v>
      </c>
      <c r="N13" s="8">
        <v>0.35</v>
      </c>
      <c r="O13" s="8">
        <v>0.05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>
        <v>0.403</v>
      </c>
      <c r="AA13" s="8">
        <v>0.01</v>
      </c>
      <c r="AB13" s="29"/>
      <c r="AC13" s="29"/>
      <c r="AD13" s="29"/>
      <c r="AE13" s="42"/>
      <c r="AF13" s="43"/>
      <c r="AG13" s="49"/>
      <c r="AH13" s="42"/>
      <c r="AI13" s="42"/>
      <c r="AJ13" s="42"/>
      <c r="AK13" s="42"/>
      <c r="AL13" s="42"/>
      <c r="AM13" s="42"/>
      <c r="AN13" s="42"/>
      <c r="AO13" s="42"/>
      <c r="AP13" s="42"/>
    </row>
    <row r="14" ht="13.5" spans="1:37">
      <c r="A14" s="20" t="s">
        <v>55</v>
      </c>
      <c r="B14" s="20" t="s">
        <v>56</v>
      </c>
      <c r="C14" s="20">
        <f>23.615*10000</f>
        <v>236150</v>
      </c>
      <c r="D14" s="21" t="s">
        <v>54</v>
      </c>
      <c r="E14" s="21"/>
      <c r="F14" s="8">
        <f t="shared" si="0"/>
        <v>0.3</v>
      </c>
      <c r="G14" s="22"/>
      <c r="H14" s="8">
        <f>ROUND((SUMPRODUCT($AA$9:$AC$9,AA14:AC14)/2+9.98/2)*2,2)</f>
        <v>12.48</v>
      </c>
      <c r="I14" s="30">
        <f>ROUND(SUM(F14:H14)*0.3,2)</f>
        <v>3.83</v>
      </c>
      <c r="J14" s="8">
        <f t="shared" si="3"/>
        <v>16.61</v>
      </c>
      <c r="K14" s="8">
        <f t="shared" si="4"/>
        <v>3922452</v>
      </c>
      <c r="L14" s="8"/>
      <c r="M14" s="8">
        <v>0.04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>
        <v>3.25</v>
      </c>
      <c r="AA14" s="8">
        <v>0.01</v>
      </c>
      <c r="AB14" s="8"/>
      <c r="AC14" s="8"/>
      <c r="AD14" s="8"/>
      <c r="AF14" s="1"/>
      <c r="AG14" s="3"/>
      <c r="AJ14" s="1"/>
      <c r="AK14" s="3"/>
    </row>
    <row r="15" ht="13.5" spans="1:37">
      <c r="A15" s="20"/>
      <c r="B15" s="20" t="s">
        <v>57</v>
      </c>
      <c r="C15" s="20">
        <f>91217*1.3</f>
        <v>118582.1</v>
      </c>
      <c r="D15" s="21" t="s">
        <v>58</v>
      </c>
      <c r="E15" s="21"/>
      <c r="F15" s="23">
        <v>16.9</v>
      </c>
      <c r="G15" s="24">
        <f t="shared" si="1"/>
        <v>33.8</v>
      </c>
      <c r="H15" s="8"/>
      <c r="I15" s="30">
        <f>ROUND(SUM(G15:H15)*0.1,2)</f>
        <v>3.38</v>
      </c>
      <c r="J15" s="8">
        <f>ROUND(SUM(F15:I15)*$AB$4,2)</f>
        <v>70.3</v>
      </c>
      <c r="K15" s="8">
        <f t="shared" si="4"/>
        <v>8336322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1.69</v>
      </c>
      <c r="AA15" s="8"/>
      <c r="AB15" s="8"/>
      <c r="AC15" s="8"/>
      <c r="AD15" s="8"/>
      <c r="AF15" s="1">
        <v>0.4</v>
      </c>
      <c r="AG15" s="3"/>
      <c r="AJ15" s="1"/>
      <c r="AK15" s="3"/>
    </row>
    <row r="16" ht="13.5" spans="1:39">
      <c r="A16" s="20" t="s">
        <v>59</v>
      </c>
      <c r="B16" s="20" t="s">
        <v>60</v>
      </c>
      <c r="C16" s="20">
        <v>2079</v>
      </c>
      <c r="D16" s="21" t="s">
        <v>54</v>
      </c>
      <c r="E16" s="21"/>
      <c r="F16" s="8">
        <f t="shared" si="0"/>
        <v>23.13</v>
      </c>
      <c r="G16" s="22">
        <f t="shared" si="1"/>
        <v>88.4</v>
      </c>
      <c r="H16" s="8">
        <f t="shared" ref="H16:H18" si="5">ROUND(SUMPRODUCT($AA$9:$AC$9,AA16:AC16)+9.98/2,2)</f>
        <v>11.27</v>
      </c>
      <c r="I16" s="30">
        <f t="shared" si="2"/>
        <v>12.28</v>
      </c>
      <c r="J16" s="8">
        <f t="shared" si="3"/>
        <v>135.08</v>
      </c>
      <c r="K16" s="8">
        <f t="shared" si="4"/>
        <v>280831</v>
      </c>
      <c r="L16" s="8"/>
      <c r="M16" s="31">
        <f>ROUND(SUMPRODUCT($AA$5:$AC$5,AA16:AC16),2)</f>
        <v>0.75</v>
      </c>
      <c r="N16" s="8">
        <v>0.92</v>
      </c>
      <c r="O16" s="8">
        <v>0.056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44">
        <v>4.42</v>
      </c>
      <c r="AA16" s="8"/>
      <c r="AB16" s="8">
        <f t="shared" ref="AB16:AB18" si="6">ROUND(AK16,3)</f>
        <v>0.034</v>
      </c>
      <c r="AC16" s="8">
        <f t="shared" ref="AC16:AC18" si="7">ROUND(AG16,3)</f>
        <v>0.01</v>
      </c>
      <c r="AD16" s="8"/>
      <c r="AE16" s="1">
        <f t="shared" ref="AE16:AE18" si="8">$AF$15+AM16</f>
        <v>5.4</v>
      </c>
      <c r="AF16" s="8">
        <v>3.5</v>
      </c>
      <c r="AG16" s="19">
        <f t="shared" ref="AG16:AG18" si="9">AF16/$AC$6</f>
        <v>0.00992063492063492</v>
      </c>
      <c r="AH16" s="8">
        <f>$AG$9/$AI$11*$AI$12</f>
        <v>2.49171428571429</v>
      </c>
      <c r="AI16" s="8">
        <f>$AG$11*(AE16-1)*$AI$12*2</f>
        <v>5.25096</v>
      </c>
      <c r="AJ16" s="8">
        <f t="shared" ref="AJ16:AJ18" si="10">AH16+AI16</f>
        <v>7.74267428571429</v>
      </c>
      <c r="AK16" s="19">
        <f t="shared" ref="AK16:AK18" si="11">AJ16/$AB$6</f>
        <v>0.0335369441058357</v>
      </c>
      <c r="AM16" s="1">
        <v>5</v>
      </c>
    </row>
    <row r="17" ht="13.5" spans="1:39">
      <c r="A17" s="20" t="s">
        <v>61</v>
      </c>
      <c r="B17" s="20" t="s">
        <v>62</v>
      </c>
      <c r="C17" s="20">
        <v>16405</v>
      </c>
      <c r="D17" s="21" t="s">
        <v>54</v>
      </c>
      <c r="E17" s="21"/>
      <c r="F17" s="8">
        <f t="shared" si="0"/>
        <v>3.3</v>
      </c>
      <c r="G17" s="22">
        <f t="shared" si="1"/>
        <v>11.44</v>
      </c>
      <c r="H17" s="8">
        <f t="shared" si="5"/>
        <v>8.89</v>
      </c>
      <c r="I17" s="30">
        <f t="shared" si="2"/>
        <v>2.36</v>
      </c>
      <c r="J17" s="8">
        <f t="shared" si="3"/>
        <v>25.99</v>
      </c>
      <c r="K17" s="8">
        <f t="shared" si="4"/>
        <v>426366</v>
      </c>
      <c r="L17" s="8"/>
      <c r="M17" s="31">
        <f>ROUND(SUMPRODUCT($AA$5:$AC$5,AA17:AC17),2)</f>
        <v>0.44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44">
        <v>0.572</v>
      </c>
      <c r="AA17" s="8"/>
      <c r="AB17" s="8">
        <f t="shared" si="6"/>
        <v>0.016</v>
      </c>
      <c r="AC17" s="8">
        <f t="shared" si="7"/>
        <v>0.009</v>
      </c>
      <c r="AD17" s="8"/>
      <c r="AE17" s="1">
        <f t="shared" si="8"/>
        <v>2.4</v>
      </c>
      <c r="AF17" s="8">
        <v>3</v>
      </c>
      <c r="AG17" s="19">
        <f t="shared" si="9"/>
        <v>0.00850340136054422</v>
      </c>
      <c r="AH17" s="8">
        <f>$AG$10/$AI$9*$AI$11</f>
        <v>1.75</v>
      </c>
      <c r="AI17" s="8">
        <f>$AG$12*(AE17-1)*$AJ$12*2</f>
        <v>1.96</v>
      </c>
      <c r="AJ17" s="8">
        <f t="shared" si="10"/>
        <v>3.71</v>
      </c>
      <c r="AK17" s="19">
        <f t="shared" si="11"/>
        <v>0.0160696495863473</v>
      </c>
      <c r="AM17" s="1">
        <v>2</v>
      </c>
    </row>
    <row r="18" ht="13.5" spans="1:39">
      <c r="A18" s="20" t="s">
        <v>63</v>
      </c>
      <c r="B18" s="20" t="s">
        <v>64</v>
      </c>
      <c r="C18" s="20">
        <v>17000</v>
      </c>
      <c r="D18" s="21" t="s">
        <v>54</v>
      </c>
      <c r="E18" s="21"/>
      <c r="F18" s="8">
        <f t="shared" si="0"/>
        <v>11.9</v>
      </c>
      <c r="G18" s="22">
        <f>SUMPRODUCT($Z$9*4,Z18)</f>
        <v>88.4</v>
      </c>
      <c r="H18" s="8">
        <f t="shared" si="5"/>
        <v>12.37</v>
      </c>
      <c r="I18" s="30">
        <f t="shared" si="2"/>
        <v>11.27</v>
      </c>
      <c r="J18" s="8">
        <f t="shared" si="3"/>
        <v>123.94</v>
      </c>
      <c r="K18" s="8">
        <f t="shared" si="4"/>
        <v>2106980</v>
      </c>
      <c r="L18" s="8"/>
      <c r="M18" s="31">
        <f>ROUND(SUMPRODUCT($AA$5:$AC$5,AA18:AC18),2)</f>
        <v>0.85</v>
      </c>
      <c r="N18" s="8">
        <v>0.3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44">
        <v>1.105</v>
      </c>
      <c r="AA18" s="8"/>
      <c r="AB18" s="8">
        <f t="shared" si="6"/>
        <v>0.034</v>
      </c>
      <c r="AC18" s="8">
        <f t="shared" si="7"/>
        <v>0.015</v>
      </c>
      <c r="AD18" s="8"/>
      <c r="AE18" s="1">
        <f t="shared" si="8"/>
        <v>5.4</v>
      </c>
      <c r="AF18" s="8">
        <f>3.5*1.5</f>
        <v>5.25</v>
      </c>
      <c r="AG18" s="19">
        <f t="shared" si="9"/>
        <v>0.0148809523809524</v>
      </c>
      <c r="AH18" s="8">
        <f>$AG$9/$AI$11*$AI$12</f>
        <v>2.49171428571429</v>
      </c>
      <c r="AI18" s="8">
        <f>$AG$11*(AE18-1)*$AI$12*2</f>
        <v>5.25096</v>
      </c>
      <c r="AJ18" s="8">
        <f t="shared" si="10"/>
        <v>7.74267428571429</v>
      </c>
      <c r="AK18" s="19">
        <f t="shared" si="11"/>
        <v>0.0335369441058357</v>
      </c>
      <c r="AM18" s="1">
        <v>5</v>
      </c>
    </row>
    <row r="19" ht="24" spans="1:42">
      <c r="A19" s="15">
        <v>2</v>
      </c>
      <c r="B19" s="16" t="s">
        <v>65</v>
      </c>
      <c r="C19" s="17"/>
      <c r="D19" s="18"/>
      <c r="E19" s="18"/>
      <c r="F19" s="19"/>
      <c r="G19" s="17"/>
      <c r="H19" s="17"/>
      <c r="I19" s="8"/>
      <c r="J19" s="19"/>
      <c r="K19" s="17">
        <f>SUM(K20:K34)</f>
        <v>87335451</v>
      </c>
      <c r="L19" s="17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>
        <v>0</v>
      </c>
      <c r="AA19" s="29"/>
      <c r="AB19" s="29"/>
      <c r="AC19" s="29"/>
      <c r="AD19" s="29"/>
      <c r="AE19" s="42"/>
      <c r="AF19" s="40" t="s">
        <v>50</v>
      </c>
      <c r="AG19" s="45">
        <f>0.34/1.2</f>
        <v>0.283333333333333</v>
      </c>
      <c r="AH19" s="29" t="s">
        <v>51</v>
      </c>
      <c r="AI19" s="29">
        <v>2.295</v>
      </c>
      <c r="AJ19" s="42">
        <v>2.8</v>
      </c>
      <c r="AK19" s="42"/>
      <c r="AL19" s="42"/>
      <c r="AM19" s="42"/>
      <c r="AN19" s="42"/>
      <c r="AO19" s="42"/>
      <c r="AP19" s="42"/>
    </row>
    <row r="20" ht="13.5" spans="1:37">
      <c r="A20" s="20" t="s">
        <v>66</v>
      </c>
      <c r="B20" s="20" t="s">
        <v>67</v>
      </c>
      <c r="C20" s="21">
        <f>1152</f>
        <v>1152</v>
      </c>
      <c r="D20" s="21" t="s">
        <v>68</v>
      </c>
      <c r="E20" s="21"/>
      <c r="F20" s="8"/>
      <c r="G20" s="22"/>
      <c r="H20" s="8"/>
      <c r="I20" s="30"/>
      <c r="J20" s="8">
        <v>33000</v>
      </c>
      <c r="K20" s="8">
        <f t="shared" ref="K20:K22" si="12">ROUND(C20*J20,)</f>
        <v>38016000</v>
      </c>
      <c r="L20" s="8"/>
      <c r="M20" s="31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44">
        <v>0</v>
      </c>
      <c r="AA20" s="8"/>
      <c r="AB20" s="8"/>
      <c r="AC20" s="8"/>
      <c r="AD20" s="8"/>
      <c r="AF20" s="8"/>
      <c r="AG20" s="19"/>
      <c r="AH20" s="8"/>
      <c r="AI20" s="8"/>
      <c r="AJ20" s="8"/>
      <c r="AK20" s="19"/>
    </row>
    <row r="21" ht="13.5" spans="1:37">
      <c r="A21" s="25" t="s">
        <v>69</v>
      </c>
      <c r="B21" s="25" t="s">
        <v>70</v>
      </c>
      <c r="C21" s="26">
        <v>36</v>
      </c>
      <c r="D21" s="26" t="s">
        <v>68</v>
      </c>
      <c r="E21" s="26"/>
      <c r="F21" s="8"/>
      <c r="G21" s="22"/>
      <c r="H21" s="8"/>
      <c r="I21" s="30"/>
      <c r="J21" s="8">
        <v>33000</v>
      </c>
      <c r="K21" s="8">
        <f t="shared" si="12"/>
        <v>1188000</v>
      </c>
      <c r="L21" s="8"/>
      <c r="M21" s="31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44">
        <v>0</v>
      </c>
      <c r="AA21" s="8"/>
      <c r="AB21" s="8"/>
      <c r="AC21" s="8"/>
      <c r="AD21" s="8"/>
      <c r="AF21" s="8"/>
      <c r="AG21" s="19"/>
      <c r="AH21" s="8"/>
      <c r="AI21" s="8"/>
      <c r="AJ21" s="8"/>
      <c r="AK21" s="19"/>
    </row>
    <row r="22" ht="13.5" spans="1:37">
      <c r="A22" s="25" t="s">
        <v>71</v>
      </c>
      <c r="B22" s="25" t="s">
        <v>72</v>
      </c>
      <c r="C22" s="26">
        <v>59</v>
      </c>
      <c r="D22" s="26" t="s">
        <v>68</v>
      </c>
      <c r="E22" s="26"/>
      <c r="F22" s="8"/>
      <c r="G22" s="22"/>
      <c r="H22" s="8"/>
      <c r="I22" s="30"/>
      <c r="J22" s="8">
        <v>33000</v>
      </c>
      <c r="K22" s="8">
        <f t="shared" si="12"/>
        <v>1947000</v>
      </c>
      <c r="L22" s="8"/>
      <c r="M22" s="31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44">
        <v>0</v>
      </c>
      <c r="AA22" s="8"/>
      <c r="AB22" s="8"/>
      <c r="AC22" s="8"/>
      <c r="AD22" s="8"/>
      <c r="AF22" s="8"/>
      <c r="AG22" s="19"/>
      <c r="AH22" s="8"/>
      <c r="AI22" s="8"/>
      <c r="AJ22" s="8"/>
      <c r="AK22" s="19"/>
    </row>
    <row r="23" ht="13.5" spans="1:37">
      <c r="A23" s="20" t="s">
        <v>73</v>
      </c>
      <c r="B23" s="20" t="s">
        <v>67</v>
      </c>
      <c r="C23" s="21"/>
      <c r="D23" s="21"/>
      <c r="E23" s="21"/>
      <c r="F23" s="8"/>
      <c r="G23" s="22"/>
      <c r="H23" s="8"/>
      <c r="I23" s="30"/>
      <c r="J23" s="8"/>
      <c r="K23" s="8"/>
      <c r="L23" s="8"/>
      <c r="M23" s="31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44">
        <v>0</v>
      </c>
      <c r="AA23" s="8"/>
      <c r="AB23" s="8"/>
      <c r="AC23" s="8"/>
      <c r="AD23" s="8"/>
      <c r="AF23" s="8"/>
      <c r="AG23" s="19"/>
      <c r="AH23" s="8"/>
      <c r="AI23" s="8"/>
      <c r="AJ23" s="8"/>
      <c r="AK23" s="19"/>
    </row>
    <row r="24" ht="13.5" spans="1:37">
      <c r="A24" s="20" t="s">
        <v>74</v>
      </c>
      <c r="B24" s="20" t="s">
        <v>75</v>
      </c>
      <c r="C24" s="21">
        <v>15</v>
      </c>
      <c r="D24" s="21" t="s">
        <v>68</v>
      </c>
      <c r="E24" s="21"/>
      <c r="F24" s="8"/>
      <c r="G24" s="22"/>
      <c r="H24" s="8"/>
      <c r="I24" s="30"/>
      <c r="J24" s="8">
        <v>35000</v>
      </c>
      <c r="K24" s="8">
        <f t="shared" ref="K24:K32" si="13">ROUND(C24*J24,)</f>
        <v>525000</v>
      </c>
      <c r="L24" s="8"/>
      <c r="M24" s="31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44">
        <v>0</v>
      </c>
      <c r="AA24" s="8"/>
      <c r="AB24" s="8"/>
      <c r="AC24" s="8"/>
      <c r="AD24" s="8"/>
      <c r="AF24" s="8"/>
      <c r="AG24" s="19"/>
      <c r="AH24" s="8"/>
      <c r="AI24" s="8"/>
      <c r="AJ24" s="8"/>
      <c r="AK24" s="19"/>
    </row>
    <row r="25" ht="13.5" spans="1:37">
      <c r="A25" s="20" t="s">
        <v>76</v>
      </c>
      <c r="B25" s="20" t="s">
        <v>77</v>
      </c>
      <c r="C25" s="21">
        <v>60</v>
      </c>
      <c r="D25" s="21" t="s">
        <v>68</v>
      </c>
      <c r="E25" s="21"/>
      <c r="F25" s="8"/>
      <c r="G25" s="22"/>
      <c r="H25" s="8"/>
      <c r="I25" s="30"/>
      <c r="J25" s="8">
        <v>35000</v>
      </c>
      <c r="K25" s="8">
        <f t="shared" si="13"/>
        <v>2100000</v>
      </c>
      <c r="L25" s="8"/>
      <c r="M25" s="31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44">
        <v>0</v>
      </c>
      <c r="AA25" s="8"/>
      <c r="AB25" s="8"/>
      <c r="AC25" s="8"/>
      <c r="AD25" s="8"/>
      <c r="AF25" s="8"/>
      <c r="AG25" s="19"/>
      <c r="AH25" s="8"/>
      <c r="AI25" s="8"/>
      <c r="AJ25" s="8"/>
      <c r="AK25" s="19"/>
    </row>
    <row r="26" ht="13.5" spans="1:37">
      <c r="A26" s="20" t="s">
        <v>78</v>
      </c>
      <c r="B26" s="20" t="s">
        <v>79</v>
      </c>
      <c r="C26" s="21"/>
      <c r="D26" s="21"/>
      <c r="E26" s="21"/>
      <c r="F26" s="8"/>
      <c r="G26" s="22"/>
      <c r="H26" s="8"/>
      <c r="I26" s="30"/>
      <c r="J26" s="8"/>
      <c r="K26" s="8"/>
      <c r="L26" s="8"/>
      <c r="M26" s="31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44">
        <v>0</v>
      </c>
      <c r="AA26" s="8"/>
      <c r="AB26" s="8"/>
      <c r="AC26" s="8"/>
      <c r="AD26" s="8"/>
      <c r="AF26" s="8"/>
      <c r="AG26" s="19"/>
      <c r="AH26" s="8"/>
      <c r="AI26" s="8"/>
      <c r="AJ26" s="8"/>
      <c r="AK26" s="19"/>
    </row>
    <row r="27" ht="13.5" spans="1:37">
      <c r="A27" s="20" t="s">
        <v>80</v>
      </c>
      <c r="B27" s="20" t="s">
        <v>77</v>
      </c>
      <c r="C27" s="21">
        <v>185</v>
      </c>
      <c r="D27" s="21" t="s">
        <v>68</v>
      </c>
      <c r="E27" s="21"/>
      <c r="F27" s="8"/>
      <c r="G27" s="22"/>
      <c r="H27" s="8"/>
      <c r="I27" s="30"/>
      <c r="J27" s="8">
        <v>35000</v>
      </c>
      <c r="K27" s="8">
        <f t="shared" si="13"/>
        <v>6475000</v>
      </c>
      <c r="L27" s="8"/>
      <c r="M27" s="31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44">
        <v>0</v>
      </c>
      <c r="AA27" s="8"/>
      <c r="AB27" s="8"/>
      <c r="AC27" s="8"/>
      <c r="AD27" s="8"/>
      <c r="AF27" s="8"/>
      <c r="AG27" s="19"/>
      <c r="AH27" s="8"/>
      <c r="AI27" s="8"/>
      <c r="AJ27" s="8"/>
      <c r="AK27" s="19"/>
    </row>
    <row r="28" ht="13.5" spans="1:37">
      <c r="A28" s="20" t="s">
        <v>81</v>
      </c>
      <c r="B28" s="20" t="s">
        <v>82</v>
      </c>
      <c r="C28" s="21">
        <v>22.7</v>
      </c>
      <c r="D28" s="21" t="s">
        <v>68</v>
      </c>
      <c r="E28" s="21"/>
      <c r="F28" s="8"/>
      <c r="G28" s="22"/>
      <c r="H28" s="8"/>
      <c r="I28" s="30"/>
      <c r="J28" s="8">
        <v>35000</v>
      </c>
      <c r="K28" s="8">
        <f t="shared" si="13"/>
        <v>794500</v>
      </c>
      <c r="L28" s="8"/>
      <c r="M28" s="31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44">
        <v>0</v>
      </c>
      <c r="AA28" s="8"/>
      <c r="AB28" s="8"/>
      <c r="AC28" s="8"/>
      <c r="AD28" s="8"/>
      <c r="AF28" s="8"/>
      <c r="AG28" s="19"/>
      <c r="AH28" s="8"/>
      <c r="AI28" s="8"/>
      <c r="AJ28" s="8"/>
      <c r="AK28" s="19"/>
    </row>
    <row r="29" ht="13.5" spans="1:37">
      <c r="A29" s="20" t="s">
        <v>83</v>
      </c>
      <c r="B29" s="20" t="s">
        <v>84</v>
      </c>
      <c r="C29" s="21">
        <v>35</v>
      </c>
      <c r="D29" s="21" t="s">
        <v>68</v>
      </c>
      <c r="E29" s="21"/>
      <c r="F29" s="8"/>
      <c r="G29" s="22"/>
      <c r="H29" s="8"/>
      <c r="I29" s="30"/>
      <c r="J29" s="8">
        <v>35000</v>
      </c>
      <c r="K29" s="8">
        <f t="shared" si="13"/>
        <v>1225000</v>
      </c>
      <c r="L29" s="8"/>
      <c r="M29" s="31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44">
        <v>0</v>
      </c>
      <c r="AA29" s="8"/>
      <c r="AB29" s="8"/>
      <c r="AC29" s="8"/>
      <c r="AD29" s="8"/>
      <c r="AF29" s="8"/>
      <c r="AG29" s="19"/>
      <c r="AH29" s="8"/>
      <c r="AI29" s="8"/>
      <c r="AJ29" s="8"/>
      <c r="AK29" s="19"/>
    </row>
    <row r="30" ht="13.5" spans="1:37">
      <c r="A30" s="20" t="s">
        <v>85</v>
      </c>
      <c r="B30" s="20" t="s">
        <v>86</v>
      </c>
      <c r="C30" s="21">
        <v>7997</v>
      </c>
      <c r="D30" s="21" t="s">
        <v>54</v>
      </c>
      <c r="E30" s="21"/>
      <c r="F30" s="8"/>
      <c r="G30" s="22"/>
      <c r="H30" s="8"/>
      <c r="I30" s="30"/>
      <c r="J30" s="8">
        <v>3.5</v>
      </c>
      <c r="K30" s="8">
        <f t="shared" si="13"/>
        <v>27990</v>
      </c>
      <c r="L30" s="8"/>
      <c r="M30" s="3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44">
        <v>0</v>
      </c>
      <c r="AA30" s="8"/>
      <c r="AB30" s="8"/>
      <c r="AC30" s="8"/>
      <c r="AD30" s="8"/>
      <c r="AF30" s="8"/>
      <c r="AG30" s="19"/>
      <c r="AH30" s="8"/>
      <c r="AI30" s="8"/>
      <c r="AJ30" s="8"/>
      <c r="AK30" s="19"/>
    </row>
    <row r="31" ht="13.5" spans="1:37">
      <c r="A31" s="20" t="s">
        <v>87</v>
      </c>
      <c r="B31" s="20" t="s">
        <v>88</v>
      </c>
      <c r="C31" s="21">
        <v>3703</v>
      </c>
      <c r="D31" s="21" t="s">
        <v>89</v>
      </c>
      <c r="E31" s="21"/>
      <c r="F31" s="8"/>
      <c r="G31" s="22"/>
      <c r="H31" s="8"/>
      <c r="I31" s="30"/>
      <c r="J31" s="8">
        <v>3.5</v>
      </c>
      <c r="K31" s="8">
        <f t="shared" si="13"/>
        <v>12961</v>
      </c>
      <c r="L31" s="8"/>
      <c r="M31" s="31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44">
        <v>0</v>
      </c>
      <c r="AA31" s="8"/>
      <c r="AB31" s="8"/>
      <c r="AC31" s="8"/>
      <c r="AD31" s="8"/>
      <c r="AF31" s="8"/>
      <c r="AG31" s="19"/>
      <c r="AH31" s="8"/>
      <c r="AI31" s="8"/>
      <c r="AJ31" s="8"/>
      <c r="AK31" s="19"/>
    </row>
    <row r="32" ht="13.5" spans="1:37">
      <c r="A32" s="20" t="s">
        <v>90</v>
      </c>
      <c r="B32" s="20" t="s">
        <v>91</v>
      </c>
      <c r="C32" s="21">
        <v>80</v>
      </c>
      <c r="D32" s="21" t="s">
        <v>68</v>
      </c>
      <c r="E32" s="21"/>
      <c r="F32" s="8"/>
      <c r="G32" s="22"/>
      <c r="H32" s="8"/>
      <c r="I32" s="30"/>
      <c r="J32" s="8">
        <v>35000</v>
      </c>
      <c r="K32" s="8">
        <f t="shared" si="13"/>
        <v>2800000</v>
      </c>
      <c r="L32" s="8"/>
      <c r="M32" s="31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44">
        <v>0</v>
      </c>
      <c r="AA32" s="8"/>
      <c r="AB32" s="8"/>
      <c r="AC32" s="8"/>
      <c r="AD32" s="8"/>
      <c r="AF32" s="8"/>
      <c r="AG32" s="19"/>
      <c r="AH32" s="8"/>
      <c r="AI32" s="8"/>
      <c r="AJ32" s="8"/>
      <c r="AK32" s="19"/>
    </row>
    <row r="33" ht="13.5" spans="1:37">
      <c r="A33" s="20" t="s">
        <v>78</v>
      </c>
      <c r="B33" s="20" t="s">
        <v>79</v>
      </c>
      <c r="C33" s="21"/>
      <c r="D33" s="21"/>
      <c r="E33" s="21"/>
      <c r="F33" s="8"/>
      <c r="G33" s="22"/>
      <c r="H33" s="8"/>
      <c r="I33" s="30"/>
      <c r="J33" s="8"/>
      <c r="K33" s="8"/>
      <c r="L33" s="8"/>
      <c r="M33" s="31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44">
        <v>0</v>
      </c>
      <c r="AA33" s="8"/>
      <c r="AB33" s="8"/>
      <c r="AC33" s="8"/>
      <c r="AD33" s="8"/>
      <c r="AF33" s="8"/>
      <c r="AG33" s="19"/>
      <c r="AH33" s="8"/>
      <c r="AI33" s="8"/>
      <c r="AJ33" s="8"/>
      <c r="AK33" s="19"/>
    </row>
    <row r="34" ht="13.5" spans="1:37">
      <c r="A34" s="20" t="s">
        <v>92</v>
      </c>
      <c r="B34" s="20" t="s">
        <v>93</v>
      </c>
      <c r="C34" s="21">
        <v>848</v>
      </c>
      <c r="D34" s="21" t="s">
        <v>68</v>
      </c>
      <c r="E34" s="21"/>
      <c r="F34" s="8"/>
      <c r="G34" s="22"/>
      <c r="H34" s="8"/>
      <c r="I34" s="30"/>
      <c r="J34" s="8">
        <v>38000</v>
      </c>
      <c r="K34" s="8">
        <f t="shared" ref="K34:K36" si="14">ROUND(C34*J34,)</f>
        <v>32224000</v>
      </c>
      <c r="L34" s="8"/>
      <c r="M34" s="3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44">
        <v>0</v>
      </c>
      <c r="AA34" s="8"/>
      <c r="AB34" s="8"/>
      <c r="AC34" s="8"/>
      <c r="AD34" s="8"/>
      <c r="AF34" s="8"/>
      <c r="AG34" s="19"/>
      <c r="AH34" s="8"/>
      <c r="AI34" s="8"/>
      <c r="AJ34" s="8"/>
      <c r="AK34" s="19"/>
    </row>
    <row r="35" ht="13.5" spans="1:37">
      <c r="A35" s="20" t="s">
        <v>94</v>
      </c>
      <c r="B35" s="20" t="s">
        <v>95</v>
      </c>
      <c r="C35" s="21">
        <v>3.52</v>
      </c>
      <c r="D35" s="21" t="s">
        <v>68</v>
      </c>
      <c r="E35" s="21"/>
      <c r="F35" s="8"/>
      <c r="G35" s="22"/>
      <c r="H35" s="8"/>
      <c r="I35" s="30"/>
      <c r="J35" s="8">
        <v>22000</v>
      </c>
      <c r="K35" s="8">
        <f t="shared" si="14"/>
        <v>77440</v>
      </c>
      <c r="L35" s="8"/>
      <c r="M35" s="3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44">
        <v>0</v>
      </c>
      <c r="AA35" s="8"/>
      <c r="AB35" s="8"/>
      <c r="AC35" s="8"/>
      <c r="AD35" s="8"/>
      <c r="AF35" s="8"/>
      <c r="AG35" s="19"/>
      <c r="AH35" s="8"/>
      <c r="AI35" s="8"/>
      <c r="AJ35" s="8"/>
      <c r="AK35" s="19"/>
    </row>
    <row r="36" ht="13.5" spans="1:37">
      <c r="A36" s="20" t="s">
        <v>96</v>
      </c>
      <c r="B36" s="20" t="s">
        <v>97</v>
      </c>
      <c r="C36" s="21">
        <v>6331</v>
      </c>
      <c r="D36" s="21" t="s">
        <v>54</v>
      </c>
      <c r="E36" s="21"/>
      <c r="F36" s="8"/>
      <c r="G36" s="22"/>
      <c r="H36" s="8"/>
      <c r="I36" s="30"/>
      <c r="J36" s="8">
        <v>3.8</v>
      </c>
      <c r="K36" s="8">
        <f t="shared" si="14"/>
        <v>24058</v>
      </c>
      <c r="L36" s="8"/>
      <c r="M36" s="3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44">
        <v>0</v>
      </c>
      <c r="AA36" s="8"/>
      <c r="AB36" s="8"/>
      <c r="AC36" s="8"/>
      <c r="AD36" s="8"/>
      <c r="AF36" s="8"/>
      <c r="AG36" s="19"/>
      <c r="AH36" s="8"/>
      <c r="AI36" s="8"/>
      <c r="AJ36" s="8"/>
      <c r="AK36" s="19"/>
    </row>
    <row r="37" ht="24" spans="1:42">
      <c r="A37" s="15">
        <v>3</v>
      </c>
      <c r="B37" s="27" t="s">
        <v>98</v>
      </c>
      <c r="C37" s="17"/>
      <c r="D37" s="18"/>
      <c r="E37" s="18"/>
      <c r="F37" s="19"/>
      <c r="G37" s="17"/>
      <c r="H37" s="17"/>
      <c r="I37" s="19"/>
      <c r="J37" s="19"/>
      <c r="K37" s="17">
        <f>SUM(K38:K80)</f>
        <v>158448156</v>
      </c>
      <c r="L37" s="17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>
        <v>0</v>
      </c>
      <c r="AA37" s="29"/>
      <c r="AB37" s="29"/>
      <c r="AC37" s="29"/>
      <c r="AD37" s="29"/>
      <c r="AE37" s="42"/>
      <c r="AF37" s="45" t="s">
        <v>50</v>
      </c>
      <c r="AG37" s="45">
        <f>0.34/1.2</f>
        <v>0.283333333333333</v>
      </c>
      <c r="AH37" s="29" t="s">
        <v>51</v>
      </c>
      <c r="AI37" s="29">
        <v>2.295</v>
      </c>
      <c r="AJ37" s="42">
        <v>2.8</v>
      </c>
      <c r="AK37" s="42"/>
      <c r="AL37" s="42"/>
      <c r="AM37" s="42"/>
      <c r="AN37" s="42"/>
      <c r="AO37" s="42"/>
      <c r="AP37" s="42"/>
    </row>
    <row r="38" ht="13.5" spans="1:37">
      <c r="A38" s="20" t="s">
        <v>99</v>
      </c>
      <c r="B38" s="20" t="s">
        <v>100</v>
      </c>
      <c r="C38" s="21">
        <v>12948</v>
      </c>
      <c r="D38" s="21" t="s">
        <v>54</v>
      </c>
      <c r="E38" s="21">
        <v>1.05</v>
      </c>
      <c r="F38" s="8">
        <f t="shared" ref="F38:F52" si="15">ROUND(SUMPRODUCT($M$9:$Y$9,M38:Y38)*E38,2)</f>
        <v>277.28</v>
      </c>
      <c r="G38" s="22"/>
      <c r="H38" s="8"/>
      <c r="I38" s="30">
        <f>ROUND(SUM(F38:H38)*$AG$4,2)</f>
        <v>22.18</v>
      </c>
      <c r="J38" s="8">
        <f t="shared" ref="J38:J80" si="16">SUM(F38:I38)</f>
        <v>299.46</v>
      </c>
      <c r="K38" s="8">
        <f t="shared" ref="K38:K80" si="17">ROUND(C38*J38,)</f>
        <v>3877408</v>
      </c>
      <c r="L38" s="8"/>
      <c r="M38" s="31"/>
      <c r="N38" s="8"/>
      <c r="O38" s="8"/>
      <c r="P38" s="8"/>
      <c r="Q38" s="8"/>
      <c r="R38" s="8">
        <v>0.247</v>
      </c>
      <c r="S38" s="8">
        <v>7.21</v>
      </c>
      <c r="T38" s="8">
        <v>0.54</v>
      </c>
      <c r="U38" s="8">
        <v>0.82</v>
      </c>
      <c r="V38" s="32">
        <v>0.13</v>
      </c>
      <c r="W38" s="8">
        <f t="shared" ref="W38:W40" si="18">ROUND(R38*0.03,3)</f>
        <v>0.007</v>
      </c>
      <c r="X38" s="8"/>
      <c r="Y38" s="8"/>
      <c r="Z38" s="44">
        <v>0</v>
      </c>
      <c r="AA38" s="8"/>
      <c r="AB38" s="8"/>
      <c r="AC38" s="8"/>
      <c r="AD38" s="8"/>
      <c r="AF38" s="8"/>
      <c r="AG38" s="19"/>
      <c r="AH38" s="8"/>
      <c r="AI38" s="8"/>
      <c r="AJ38" s="8"/>
      <c r="AK38" s="19"/>
    </row>
    <row r="39" ht="13.5" spans="1:37">
      <c r="A39" s="20" t="s">
        <v>101</v>
      </c>
      <c r="B39" s="20" t="s">
        <v>102</v>
      </c>
      <c r="C39" s="21">
        <v>367</v>
      </c>
      <c r="D39" s="21" t="s">
        <v>54</v>
      </c>
      <c r="E39" s="21">
        <v>1.05</v>
      </c>
      <c r="F39" s="8">
        <f t="shared" si="15"/>
        <v>277.28</v>
      </c>
      <c r="G39" s="22"/>
      <c r="H39" s="8"/>
      <c r="I39" s="30">
        <f>ROUND(SUM(F39:H39)*$AG$4,2)</f>
        <v>22.18</v>
      </c>
      <c r="J39" s="8">
        <f t="shared" si="16"/>
        <v>299.46</v>
      </c>
      <c r="K39" s="8">
        <f t="shared" si="17"/>
        <v>109902</v>
      </c>
      <c r="L39" s="8"/>
      <c r="M39" s="31"/>
      <c r="N39" s="8"/>
      <c r="O39" s="8"/>
      <c r="P39" s="8"/>
      <c r="Q39" s="8"/>
      <c r="R39" s="8">
        <v>0.247</v>
      </c>
      <c r="S39" s="8">
        <v>7.21</v>
      </c>
      <c r="T39" s="8">
        <v>0.54</v>
      </c>
      <c r="U39" s="8">
        <v>0.82</v>
      </c>
      <c r="V39" s="32">
        <v>0.13</v>
      </c>
      <c r="W39" s="8">
        <f t="shared" si="18"/>
        <v>0.007</v>
      </c>
      <c r="X39" s="8"/>
      <c r="Y39" s="8"/>
      <c r="Z39" s="44">
        <v>0</v>
      </c>
      <c r="AA39" s="8"/>
      <c r="AB39" s="8"/>
      <c r="AC39" s="8"/>
      <c r="AD39" s="8"/>
      <c r="AF39" s="8"/>
      <c r="AG39" s="19"/>
      <c r="AH39" s="8"/>
      <c r="AI39" s="8"/>
      <c r="AJ39" s="8"/>
      <c r="AK39" s="19"/>
    </row>
    <row r="40" ht="13.5" spans="1:37">
      <c r="A40" s="20" t="s">
        <v>103</v>
      </c>
      <c r="B40" s="20" t="s">
        <v>104</v>
      </c>
      <c r="C40" s="21">
        <v>591</v>
      </c>
      <c r="D40" s="21" t="s">
        <v>54</v>
      </c>
      <c r="E40" s="21">
        <v>1.05</v>
      </c>
      <c r="F40" s="8">
        <f t="shared" si="15"/>
        <v>272.16</v>
      </c>
      <c r="G40" s="22"/>
      <c r="H40" s="8"/>
      <c r="I40" s="30">
        <f>ROUND(SUM(F40:H40)*$AG$4,2)</f>
        <v>21.77</v>
      </c>
      <c r="J40" s="8">
        <f t="shared" si="16"/>
        <v>293.93</v>
      </c>
      <c r="K40" s="8">
        <f t="shared" si="17"/>
        <v>173713</v>
      </c>
      <c r="L40" s="8"/>
      <c r="M40" s="31"/>
      <c r="N40" s="8"/>
      <c r="O40" s="8"/>
      <c r="P40" s="8"/>
      <c r="Q40" s="8"/>
      <c r="R40" s="33">
        <v>0.249</v>
      </c>
      <c r="S40" s="33">
        <v>0.07</v>
      </c>
      <c r="T40" s="32">
        <v>0.52</v>
      </c>
      <c r="U40" s="32">
        <v>0.79</v>
      </c>
      <c r="V40" s="32">
        <v>0.335</v>
      </c>
      <c r="W40" s="8">
        <f t="shared" si="18"/>
        <v>0.007</v>
      </c>
      <c r="X40" s="8"/>
      <c r="Y40" s="8"/>
      <c r="Z40" s="44">
        <v>0</v>
      </c>
      <c r="AA40" s="8"/>
      <c r="AB40" s="8"/>
      <c r="AC40" s="8"/>
      <c r="AD40" s="8"/>
      <c r="AF40" s="8"/>
      <c r="AG40" s="19"/>
      <c r="AH40" s="8"/>
      <c r="AI40" s="8"/>
      <c r="AJ40" s="8"/>
      <c r="AK40" s="19"/>
    </row>
    <row r="41" ht="13.5" spans="1:37">
      <c r="A41" s="20" t="s">
        <v>105</v>
      </c>
      <c r="B41" s="20" t="s">
        <v>106</v>
      </c>
      <c r="C41" s="21">
        <v>517.9</v>
      </c>
      <c r="D41" s="21" t="s">
        <v>107</v>
      </c>
      <c r="E41" s="21">
        <v>1.05</v>
      </c>
      <c r="F41" s="8">
        <f t="shared" si="15"/>
        <v>2992.5</v>
      </c>
      <c r="G41" s="22"/>
      <c r="H41" s="8"/>
      <c r="I41" s="30"/>
      <c r="J41" s="8">
        <f t="shared" si="16"/>
        <v>2992.5</v>
      </c>
      <c r="K41" s="8">
        <f t="shared" si="17"/>
        <v>1549816</v>
      </c>
      <c r="L41" s="8"/>
      <c r="M41" s="3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>
        <v>1000</v>
      </c>
      <c r="Z41" s="44">
        <v>0</v>
      </c>
      <c r="AA41" s="8"/>
      <c r="AB41" s="8"/>
      <c r="AC41" s="8"/>
      <c r="AD41" s="8"/>
      <c r="AF41" s="8"/>
      <c r="AG41" s="19"/>
      <c r="AH41" s="8"/>
      <c r="AI41" s="8"/>
      <c r="AJ41" s="8"/>
      <c r="AK41" s="19"/>
    </row>
    <row r="42" ht="13.5" spans="1:37">
      <c r="A42" s="20" t="s">
        <v>108</v>
      </c>
      <c r="B42" s="20" t="s">
        <v>109</v>
      </c>
      <c r="C42" s="21">
        <v>30</v>
      </c>
      <c r="D42" s="21" t="s">
        <v>107</v>
      </c>
      <c r="E42" s="21">
        <v>1.05</v>
      </c>
      <c r="F42" s="8">
        <f t="shared" si="15"/>
        <v>2992.5</v>
      </c>
      <c r="G42" s="22"/>
      <c r="H42" s="8"/>
      <c r="I42" s="30"/>
      <c r="J42" s="8">
        <f t="shared" si="16"/>
        <v>2992.5</v>
      </c>
      <c r="K42" s="8">
        <f t="shared" si="17"/>
        <v>89775</v>
      </c>
      <c r="L42" s="8"/>
      <c r="M42" s="3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>
        <v>1000</v>
      </c>
      <c r="Z42" s="44">
        <v>0</v>
      </c>
      <c r="AA42" s="8"/>
      <c r="AB42" s="8"/>
      <c r="AC42" s="8"/>
      <c r="AD42" s="8"/>
      <c r="AF42" s="8"/>
      <c r="AG42" s="19"/>
      <c r="AH42" s="8"/>
      <c r="AI42" s="8"/>
      <c r="AJ42" s="8"/>
      <c r="AK42" s="19"/>
    </row>
    <row r="43" ht="13.5" spans="1:37">
      <c r="A43" s="20" t="s">
        <v>110</v>
      </c>
      <c r="B43" s="20" t="s">
        <v>111</v>
      </c>
      <c r="C43" s="21">
        <v>20862</v>
      </c>
      <c r="D43" s="21" t="s">
        <v>54</v>
      </c>
      <c r="E43" s="21">
        <v>0.55</v>
      </c>
      <c r="F43" s="8">
        <f t="shared" si="15"/>
        <v>99.95</v>
      </c>
      <c r="G43" s="22"/>
      <c r="H43" s="8"/>
      <c r="I43" s="30">
        <f>ROUND(SUM(F43:H43)*$AG$4,2)</f>
        <v>8</v>
      </c>
      <c r="J43" s="8">
        <f t="shared" si="16"/>
        <v>107.95</v>
      </c>
      <c r="K43" s="8">
        <f t="shared" si="17"/>
        <v>2252053</v>
      </c>
      <c r="L43" s="8"/>
      <c r="M43" s="31"/>
      <c r="N43" s="8"/>
      <c r="O43" s="8"/>
      <c r="P43" s="8"/>
      <c r="Q43" s="8"/>
      <c r="R43" s="8">
        <v>0.188</v>
      </c>
      <c r="S43" s="32"/>
      <c r="T43" s="32">
        <v>0.55</v>
      </c>
      <c r="U43" s="32">
        <v>0.8</v>
      </c>
      <c r="V43" s="8">
        <v>0.13</v>
      </c>
      <c r="W43" s="8"/>
      <c r="X43" s="8"/>
      <c r="Y43" s="8"/>
      <c r="Z43" s="44">
        <v>0</v>
      </c>
      <c r="AA43" s="8"/>
      <c r="AB43" s="8"/>
      <c r="AC43" s="8"/>
      <c r="AD43" s="8"/>
      <c r="AF43" s="8"/>
      <c r="AG43" s="19"/>
      <c r="AH43" s="8"/>
      <c r="AI43" s="8"/>
      <c r="AJ43" s="8"/>
      <c r="AK43" s="19"/>
    </row>
    <row r="44" ht="13.5" spans="1:37">
      <c r="A44" s="20" t="s">
        <v>112</v>
      </c>
      <c r="B44" s="20" t="s">
        <v>113</v>
      </c>
      <c r="C44" s="21">
        <v>12144</v>
      </c>
      <c r="D44" s="21" t="s">
        <v>54</v>
      </c>
      <c r="E44" s="21">
        <v>1.05</v>
      </c>
      <c r="F44" s="8">
        <f t="shared" si="15"/>
        <v>241.76</v>
      </c>
      <c r="G44" s="22"/>
      <c r="H44" s="8"/>
      <c r="I44" s="30">
        <f>ROUND(SUM(F44:H44)*$AG$4,2)</f>
        <v>19.34</v>
      </c>
      <c r="J44" s="8">
        <f t="shared" si="16"/>
        <v>261.1</v>
      </c>
      <c r="K44" s="8">
        <f t="shared" si="17"/>
        <v>3170798</v>
      </c>
      <c r="L44" s="8"/>
      <c r="M44" s="31"/>
      <c r="N44" s="8"/>
      <c r="O44" s="8"/>
      <c r="P44" s="8"/>
      <c r="Q44" s="8"/>
      <c r="R44" s="33">
        <v>0.279</v>
      </c>
      <c r="S44" s="33">
        <v>0.07</v>
      </c>
      <c r="T44" s="32">
        <v>0.52</v>
      </c>
      <c r="U44" s="32">
        <v>0.79</v>
      </c>
      <c r="V44" s="32">
        <v>0.129</v>
      </c>
      <c r="W44" s="8"/>
      <c r="X44" s="8"/>
      <c r="Y44" s="8"/>
      <c r="Z44" s="44">
        <v>0</v>
      </c>
      <c r="AA44" s="8"/>
      <c r="AB44" s="8"/>
      <c r="AC44" s="8"/>
      <c r="AD44" s="8"/>
      <c r="AF44" s="8"/>
      <c r="AG44" s="19"/>
      <c r="AH44" s="8"/>
      <c r="AI44" s="8"/>
      <c r="AJ44" s="8"/>
      <c r="AK44" s="19"/>
    </row>
    <row r="45" ht="13.5" spans="1:37">
      <c r="A45" s="20" t="s">
        <v>114</v>
      </c>
      <c r="B45" s="20" t="s">
        <v>115</v>
      </c>
      <c r="C45" s="21">
        <v>742</v>
      </c>
      <c r="D45" s="21" t="s">
        <v>107</v>
      </c>
      <c r="E45" s="21">
        <v>1.05</v>
      </c>
      <c r="F45" s="8">
        <f t="shared" si="15"/>
        <v>2992.5</v>
      </c>
      <c r="G45" s="22"/>
      <c r="H45" s="8"/>
      <c r="I45" s="30"/>
      <c r="J45" s="8">
        <f t="shared" si="16"/>
        <v>2992.5</v>
      </c>
      <c r="K45" s="8">
        <f t="shared" si="17"/>
        <v>2220435</v>
      </c>
      <c r="L45" s="8"/>
      <c r="M45" s="3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>
        <v>1000</v>
      </c>
      <c r="Z45" s="44">
        <v>0</v>
      </c>
      <c r="AA45" s="8"/>
      <c r="AB45" s="8"/>
      <c r="AC45" s="8"/>
      <c r="AD45" s="8"/>
      <c r="AF45" s="8"/>
      <c r="AG45" s="19"/>
      <c r="AH45" s="8"/>
      <c r="AI45" s="8"/>
      <c r="AJ45" s="8"/>
      <c r="AK45" s="19"/>
    </row>
    <row r="46" ht="13.5" spans="1:37">
      <c r="A46" s="20" t="s">
        <v>116</v>
      </c>
      <c r="B46" s="20" t="s">
        <v>117</v>
      </c>
      <c r="C46" s="21">
        <v>5148</v>
      </c>
      <c r="D46" s="21" t="s">
        <v>118</v>
      </c>
      <c r="E46" s="21">
        <v>1</v>
      </c>
      <c r="F46" s="8">
        <f t="shared" si="15"/>
        <v>66.46</v>
      </c>
      <c r="G46" s="22"/>
      <c r="H46" s="8"/>
      <c r="I46" s="30"/>
      <c r="J46" s="8">
        <f t="shared" si="16"/>
        <v>66.46</v>
      </c>
      <c r="K46" s="8">
        <f t="shared" si="17"/>
        <v>342136</v>
      </c>
      <c r="L46" s="8"/>
      <c r="M46" s="3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>
        <v>23.32</v>
      </c>
      <c r="Z46" s="44">
        <v>0</v>
      </c>
      <c r="AA46" s="8"/>
      <c r="AB46" s="8"/>
      <c r="AC46" s="8"/>
      <c r="AD46" s="8"/>
      <c r="AF46" s="8"/>
      <c r="AG46" s="19"/>
      <c r="AH46" s="8"/>
      <c r="AI46" s="8"/>
      <c r="AJ46" s="8"/>
      <c r="AK46" s="19"/>
    </row>
    <row r="47" ht="13.5" spans="1:37">
      <c r="A47" s="20" t="s">
        <v>119</v>
      </c>
      <c r="B47" s="20" t="s">
        <v>120</v>
      </c>
      <c r="C47" s="21">
        <v>121349</v>
      </c>
      <c r="D47" s="21" t="s">
        <v>54</v>
      </c>
      <c r="E47" s="21">
        <v>1.05</v>
      </c>
      <c r="F47" s="8">
        <f t="shared" si="15"/>
        <v>296.36</v>
      </c>
      <c r="G47" s="22"/>
      <c r="H47" s="8"/>
      <c r="I47" s="30">
        <f>ROUND(SUM(F47:H47)*$AG$4,2)</f>
        <v>23.71</v>
      </c>
      <c r="J47" s="8">
        <f t="shared" si="16"/>
        <v>320.07</v>
      </c>
      <c r="K47" s="8">
        <f t="shared" si="17"/>
        <v>38840174</v>
      </c>
      <c r="L47" s="8"/>
      <c r="M47" s="31"/>
      <c r="N47" s="8"/>
      <c r="O47" s="8"/>
      <c r="P47" s="8"/>
      <c r="Q47" s="8"/>
      <c r="R47" s="8">
        <v>0.279</v>
      </c>
      <c r="S47" s="8">
        <v>0.07</v>
      </c>
      <c r="T47" s="8">
        <v>0.52</v>
      </c>
      <c r="U47" s="8">
        <v>0.79</v>
      </c>
      <c r="V47" s="8">
        <v>0.129</v>
      </c>
      <c r="W47" s="8">
        <f t="shared" ref="W47:W49" si="19">ROUND(R47*0.03,3)</f>
        <v>0.008</v>
      </c>
      <c r="X47" s="8"/>
      <c r="Y47" s="8"/>
      <c r="Z47" s="44">
        <v>0</v>
      </c>
      <c r="AA47" s="8"/>
      <c r="AB47" s="8"/>
      <c r="AC47" s="8"/>
      <c r="AD47" s="8"/>
      <c r="AF47" s="8"/>
      <c r="AG47" s="19"/>
      <c r="AH47" s="8"/>
      <c r="AI47" s="8"/>
      <c r="AJ47" s="8"/>
      <c r="AK47" s="19"/>
    </row>
    <row r="48" ht="13.5" spans="1:37">
      <c r="A48" s="20" t="s">
        <v>121</v>
      </c>
      <c r="B48" s="20" t="s">
        <v>122</v>
      </c>
      <c r="C48" s="21">
        <v>4174</v>
      </c>
      <c r="D48" s="21" t="s">
        <v>54</v>
      </c>
      <c r="E48" s="21">
        <v>1.05</v>
      </c>
      <c r="F48" s="8">
        <f t="shared" si="15"/>
        <v>296.36</v>
      </c>
      <c r="G48" s="22"/>
      <c r="H48" s="8"/>
      <c r="I48" s="30">
        <f>ROUND(SUM(F48:H48)*$AG$4,2)</f>
        <v>23.71</v>
      </c>
      <c r="J48" s="8">
        <f t="shared" si="16"/>
        <v>320.07</v>
      </c>
      <c r="K48" s="8">
        <f t="shared" si="17"/>
        <v>1335972</v>
      </c>
      <c r="L48" s="8"/>
      <c r="M48" s="31"/>
      <c r="N48" s="8"/>
      <c r="O48" s="8"/>
      <c r="P48" s="8"/>
      <c r="Q48" s="8"/>
      <c r="R48" s="33">
        <v>0.279</v>
      </c>
      <c r="S48" s="33">
        <v>0.07</v>
      </c>
      <c r="T48" s="32">
        <v>0.52</v>
      </c>
      <c r="U48" s="32">
        <v>0.79</v>
      </c>
      <c r="V48" s="32">
        <v>0.129</v>
      </c>
      <c r="W48" s="8">
        <f t="shared" si="19"/>
        <v>0.008</v>
      </c>
      <c r="X48" s="8"/>
      <c r="Y48" s="8"/>
      <c r="Z48" s="44">
        <v>0</v>
      </c>
      <c r="AA48" s="8"/>
      <c r="AB48" s="8"/>
      <c r="AC48" s="8"/>
      <c r="AD48" s="8"/>
      <c r="AF48" s="8"/>
      <c r="AG48" s="19"/>
      <c r="AH48" s="8"/>
      <c r="AI48" s="8"/>
      <c r="AJ48" s="8"/>
      <c r="AK48" s="19"/>
    </row>
    <row r="49" ht="13.5" spans="1:37">
      <c r="A49" s="20" t="s">
        <v>123</v>
      </c>
      <c r="B49" s="20" t="s">
        <v>124</v>
      </c>
      <c r="C49" s="21">
        <v>8074</v>
      </c>
      <c r="D49" s="21" t="s">
        <v>89</v>
      </c>
      <c r="E49" s="21">
        <v>0.21</v>
      </c>
      <c r="F49" s="8">
        <f t="shared" si="15"/>
        <v>57.04</v>
      </c>
      <c r="G49" s="22"/>
      <c r="H49" s="8"/>
      <c r="I49" s="30">
        <f>ROUND(SUM(F49:H49)*$AG$4,2)</f>
        <v>4.56</v>
      </c>
      <c r="J49" s="8">
        <f t="shared" si="16"/>
        <v>61.6</v>
      </c>
      <c r="K49" s="8">
        <f t="shared" si="17"/>
        <v>497358</v>
      </c>
      <c r="L49" s="8"/>
      <c r="M49" s="31"/>
      <c r="N49" s="8"/>
      <c r="O49" s="8"/>
      <c r="P49" s="8"/>
      <c r="Q49" s="8"/>
      <c r="R49" s="8">
        <v>0.26</v>
      </c>
      <c r="S49" s="8">
        <v>0.07</v>
      </c>
      <c r="T49" s="8">
        <v>0.52</v>
      </c>
      <c r="U49" s="8">
        <v>0.79</v>
      </c>
      <c r="V49" s="8">
        <v>0.128</v>
      </c>
      <c r="W49" s="8">
        <f t="shared" si="19"/>
        <v>0.008</v>
      </c>
      <c r="X49" s="8"/>
      <c r="Y49" s="8"/>
      <c r="Z49" s="44">
        <v>0</v>
      </c>
      <c r="AA49" s="8"/>
      <c r="AB49" s="8"/>
      <c r="AC49" s="8"/>
      <c r="AD49" s="8"/>
      <c r="AF49" s="8"/>
      <c r="AG49" s="19"/>
      <c r="AH49" s="8"/>
      <c r="AI49" s="8"/>
      <c r="AJ49" s="8"/>
      <c r="AK49" s="19"/>
    </row>
    <row r="50" ht="13.5" spans="1:37">
      <c r="A50" s="20" t="s">
        <v>125</v>
      </c>
      <c r="B50" s="20" t="s">
        <v>126</v>
      </c>
      <c r="C50" s="21">
        <v>1203</v>
      </c>
      <c r="D50" s="21" t="s">
        <v>54</v>
      </c>
      <c r="E50" s="21">
        <v>1.05</v>
      </c>
      <c r="F50" s="8">
        <f t="shared" si="15"/>
        <v>218.24</v>
      </c>
      <c r="G50" s="22"/>
      <c r="H50" s="8"/>
      <c r="I50" s="30">
        <f>ROUND(SUM(F50:H50)*$AG$4,2)</f>
        <v>17.46</v>
      </c>
      <c r="J50" s="8">
        <f t="shared" si="16"/>
        <v>235.7</v>
      </c>
      <c r="K50" s="8">
        <f t="shared" si="17"/>
        <v>283547</v>
      </c>
      <c r="L50" s="8"/>
      <c r="M50" s="31"/>
      <c r="N50" s="8"/>
      <c r="O50" s="8"/>
      <c r="P50" s="8"/>
      <c r="Q50" s="8"/>
      <c r="R50" s="8">
        <v>0.239</v>
      </c>
      <c r="S50" s="8">
        <v>0.07</v>
      </c>
      <c r="T50" s="8">
        <v>0.52</v>
      </c>
      <c r="U50" s="8">
        <v>0.79</v>
      </c>
      <c r="V50" s="8">
        <v>0.13</v>
      </c>
      <c r="W50" s="8"/>
      <c r="X50" s="8"/>
      <c r="Y50" s="8"/>
      <c r="Z50" s="44">
        <v>0</v>
      </c>
      <c r="AA50" s="8"/>
      <c r="AB50" s="8"/>
      <c r="AC50" s="8"/>
      <c r="AD50" s="8"/>
      <c r="AF50" s="8"/>
      <c r="AG50" s="19"/>
      <c r="AH50" s="8"/>
      <c r="AI50" s="8"/>
      <c r="AJ50" s="8"/>
      <c r="AK50" s="19"/>
    </row>
    <row r="51" ht="13.5" spans="1:37">
      <c r="A51" s="20" t="s">
        <v>127</v>
      </c>
      <c r="B51" s="20" t="s">
        <v>128</v>
      </c>
      <c r="C51" s="21">
        <v>168</v>
      </c>
      <c r="D51" s="21" t="s">
        <v>54</v>
      </c>
      <c r="E51" s="21">
        <v>1.04</v>
      </c>
      <c r="F51" s="8">
        <f t="shared" si="15"/>
        <v>221.99</v>
      </c>
      <c r="G51" s="22"/>
      <c r="H51" s="8"/>
      <c r="I51" s="30">
        <f>ROUND(SUM(F51:H51)*$AG$4,2)</f>
        <v>17.76</v>
      </c>
      <c r="J51" s="8">
        <f t="shared" si="16"/>
        <v>239.75</v>
      </c>
      <c r="K51" s="8">
        <f t="shared" si="17"/>
        <v>40278</v>
      </c>
      <c r="L51" s="8"/>
      <c r="M51" s="31"/>
      <c r="N51" s="8"/>
      <c r="O51" s="8"/>
      <c r="P51" s="8"/>
      <c r="Q51" s="8"/>
      <c r="R51" s="8">
        <v>0.249</v>
      </c>
      <c r="S51" s="8">
        <v>0.07</v>
      </c>
      <c r="T51" s="8">
        <v>0.52</v>
      </c>
      <c r="U51" s="8">
        <v>0.79</v>
      </c>
      <c r="V51" s="8">
        <v>0.135</v>
      </c>
      <c r="W51" s="8"/>
      <c r="X51" s="8"/>
      <c r="Y51" s="8"/>
      <c r="Z51" s="44">
        <v>0</v>
      </c>
      <c r="AA51" s="8"/>
      <c r="AB51" s="8"/>
      <c r="AC51" s="8"/>
      <c r="AD51" s="8"/>
      <c r="AF51" s="8"/>
      <c r="AG51" s="19"/>
      <c r="AH51" s="8"/>
      <c r="AI51" s="8"/>
      <c r="AJ51" s="8"/>
      <c r="AK51" s="19"/>
    </row>
    <row r="52" ht="13.5" spans="1:37">
      <c r="A52" s="20" t="s">
        <v>129</v>
      </c>
      <c r="B52" s="20" t="s">
        <v>130</v>
      </c>
      <c r="C52" s="21">
        <v>127.2</v>
      </c>
      <c r="D52" s="21" t="s">
        <v>54</v>
      </c>
      <c r="E52" s="21">
        <v>1.04</v>
      </c>
      <c r="F52" s="8">
        <f t="shared" si="15"/>
        <v>216.16</v>
      </c>
      <c r="G52" s="22"/>
      <c r="H52" s="8"/>
      <c r="I52" s="30">
        <f>ROUND(SUM(F52:H52)*$AG$4,2)</f>
        <v>17.29</v>
      </c>
      <c r="J52" s="8">
        <f t="shared" si="16"/>
        <v>233.45</v>
      </c>
      <c r="K52" s="8">
        <f t="shared" si="17"/>
        <v>29695</v>
      </c>
      <c r="L52" s="8"/>
      <c r="M52" s="31"/>
      <c r="N52" s="8"/>
      <c r="O52" s="8"/>
      <c r="P52" s="8"/>
      <c r="Q52" s="8"/>
      <c r="R52" s="8">
        <v>0.239</v>
      </c>
      <c r="S52" s="8">
        <v>0.07</v>
      </c>
      <c r="T52" s="8">
        <v>0.52</v>
      </c>
      <c r="U52" s="8">
        <v>0.79</v>
      </c>
      <c r="V52" s="8">
        <v>0.13</v>
      </c>
      <c r="W52" s="8"/>
      <c r="X52" s="8"/>
      <c r="Y52" s="8"/>
      <c r="Z52" s="44">
        <v>0</v>
      </c>
      <c r="AA52" s="8"/>
      <c r="AB52" s="8"/>
      <c r="AC52" s="8"/>
      <c r="AD52" s="8"/>
      <c r="AF52" s="8"/>
      <c r="AG52" s="19"/>
      <c r="AH52" s="8"/>
      <c r="AI52" s="8"/>
      <c r="AJ52" s="8"/>
      <c r="AK52" s="19"/>
    </row>
    <row r="53" ht="13.5" spans="1:37">
      <c r="A53" s="20" t="s">
        <v>131</v>
      </c>
      <c r="B53" s="20" t="s">
        <v>132</v>
      </c>
      <c r="C53" s="21">
        <v>20</v>
      </c>
      <c r="D53" s="21" t="s">
        <v>133</v>
      </c>
      <c r="E53" s="21">
        <v>1.03</v>
      </c>
      <c r="F53" s="8">
        <v>15</v>
      </c>
      <c r="G53" s="22"/>
      <c r="H53" s="8"/>
      <c r="I53" s="30">
        <f>ROUND(SUM(F53:H53)*$AG$4,2)</f>
        <v>1.2</v>
      </c>
      <c r="J53" s="8">
        <f t="shared" si="16"/>
        <v>16.2</v>
      </c>
      <c r="K53" s="8">
        <f t="shared" si="17"/>
        <v>324</v>
      </c>
      <c r="L53" s="8"/>
      <c r="M53" s="3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44">
        <v>0</v>
      </c>
      <c r="AA53" s="8"/>
      <c r="AB53" s="8"/>
      <c r="AC53" s="8"/>
      <c r="AD53" s="8"/>
      <c r="AF53" s="8"/>
      <c r="AG53" s="19"/>
      <c r="AH53" s="8"/>
      <c r="AI53" s="8"/>
      <c r="AJ53" s="8"/>
      <c r="AK53" s="19"/>
    </row>
    <row r="54" ht="13.5" spans="1:37">
      <c r="A54" s="20" t="s">
        <v>134</v>
      </c>
      <c r="B54" s="20" t="s">
        <v>135</v>
      </c>
      <c r="C54" s="21">
        <v>100</v>
      </c>
      <c r="D54" s="21" t="s">
        <v>54</v>
      </c>
      <c r="E54" s="21">
        <v>1.04</v>
      </c>
      <c r="F54" s="8">
        <f t="shared" ref="F54:F59" si="20">ROUND(SUMPRODUCT($M$9:$Y$9,M54:Y54)*E54,2)</f>
        <v>205.33</v>
      </c>
      <c r="G54" s="22"/>
      <c r="H54" s="8"/>
      <c r="I54" s="30">
        <f>ROUND(SUM(F54:H54)*$AG$4,2)</f>
        <v>16.43</v>
      </c>
      <c r="J54" s="8">
        <f t="shared" si="16"/>
        <v>221.76</v>
      </c>
      <c r="K54" s="8">
        <f t="shared" si="17"/>
        <v>22176</v>
      </c>
      <c r="L54" s="8"/>
      <c r="M54" s="31"/>
      <c r="N54" s="8"/>
      <c r="O54" s="8"/>
      <c r="P54" s="8"/>
      <c r="Q54" s="8"/>
      <c r="R54" s="8">
        <v>0.218</v>
      </c>
      <c r="S54" s="8">
        <v>0</v>
      </c>
      <c r="T54" s="8">
        <v>0.42</v>
      </c>
      <c r="U54" s="8">
        <v>0.95</v>
      </c>
      <c r="V54" s="8">
        <v>0.11</v>
      </c>
      <c r="W54" s="8"/>
      <c r="X54" s="8"/>
      <c r="Y54" s="8"/>
      <c r="Z54" s="44">
        <v>0</v>
      </c>
      <c r="AA54" s="8"/>
      <c r="AB54" s="8"/>
      <c r="AC54" s="8"/>
      <c r="AD54" s="8"/>
      <c r="AF54" s="8"/>
      <c r="AG54" s="19"/>
      <c r="AH54" s="8"/>
      <c r="AI54" s="8"/>
      <c r="AJ54" s="8"/>
      <c r="AK54" s="19"/>
    </row>
    <row r="55" ht="13.5" spans="1:37">
      <c r="A55" s="20" t="s">
        <v>136</v>
      </c>
      <c r="B55" s="20" t="s">
        <v>137</v>
      </c>
      <c r="C55" s="21">
        <v>10921</v>
      </c>
      <c r="D55" s="21" t="s">
        <v>107</v>
      </c>
      <c r="E55" s="21">
        <v>1.05</v>
      </c>
      <c r="F55" s="8">
        <f t="shared" si="20"/>
        <v>2992.5</v>
      </c>
      <c r="G55" s="22"/>
      <c r="H55" s="8"/>
      <c r="I55" s="30"/>
      <c r="J55" s="8">
        <f t="shared" si="16"/>
        <v>2992.5</v>
      </c>
      <c r="K55" s="8">
        <f t="shared" si="17"/>
        <v>32681093</v>
      </c>
      <c r="L55" s="8"/>
      <c r="M55" s="3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>
        <v>1000</v>
      </c>
      <c r="Z55" s="44">
        <v>0</v>
      </c>
      <c r="AA55" s="8"/>
      <c r="AB55" s="8"/>
      <c r="AC55" s="8"/>
      <c r="AD55" s="8"/>
      <c r="AF55" s="8"/>
      <c r="AG55" s="19"/>
      <c r="AH55" s="8"/>
      <c r="AI55" s="8"/>
      <c r="AJ55" s="8"/>
      <c r="AK55" s="19"/>
    </row>
    <row r="56" ht="13.5" spans="1:37">
      <c r="A56" s="20" t="s">
        <v>138</v>
      </c>
      <c r="B56" s="20" t="s">
        <v>139</v>
      </c>
      <c r="C56" s="21">
        <v>259</v>
      </c>
      <c r="D56" s="21" t="s">
        <v>107</v>
      </c>
      <c r="E56" s="21">
        <v>1.05</v>
      </c>
      <c r="F56" s="8">
        <f t="shared" si="20"/>
        <v>2992.5</v>
      </c>
      <c r="G56" s="22"/>
      <c r="H56" s="8"/>
      <c r="I56" s="30"/>
      <c r="J56" s="8">
        <f t="shared" si="16"/>
        <v>2992.5</v>
      </c>
      <c r="K56" s="8">
        <f t="shared" si="17"/>
        <v>775058</v>
      </c>
      <c r="L56" s="8"/>
      <c r="M56" s="3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>
        <v>1000</v>
      </c>
      <c r="Z56" s="44">
        <v>0</v>
      </c>
      <c r="AA56" s="8"/>
      <c r="AB56" s="8"/>
      <c r="AC56" s="8"/>
      <c r="AD56" s="8"/>
      <c r="AF56" s="8"/>
      <c r="AG56" s="19"/>
      <c r="AH56" s="8"/>
      <c r="AI56" s="8"/>
      <c r="AJ56" s="8"/>
      <c r="AK56" s="19"/>
    </row>
    <row r="57" ht="13.5" spans="1:37">
      <c r="A57" s="20" t="s">
        <v>140</v>
      </c>
      <c r="B57" s="20" t="s">
        <v>141</v>
      </c>
      <c r="C57" s="21">
        <v>5.6</v>
      </c>
      <c r="D57" s="21" t="s">
        <v>107</v>
      </c>
      <c r="E57" s="21">
        <v>1.04</v>
      </c>
      <c r="F57" s="8">
        <f t="shared" si="20"/>
        <v>2964</v>
      </c>
      <c r="G57" s="22"/>
      <c r="H57" s="8"/>
      <c r="I57" s="30"/>
      <c r="J57" s="8">
        <f t="shared" si="16"/>
        <v>2964</v>
      </c>
      <c r="K57" s="8">
        <f t="shared" si="17"/>
        <v>16598</v>
      </c>
      <c r="L57" s="8"/>
      <c r="M57" s="3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>
        <v>1000</v>
      </c>
      <c r="Z57" s="44">
        <v>0</v>
      </c>
      <c r="AA57" s="8"/>
      <c r="AB57" s="8"/>
      <c r="AC57" s="8"/>
      <c r="AD57" s="8"/>
      <c r="AF57" s="8"/>
      <c r="AG57" s="19"/>
      <c r="AH57" s="8"/>
      <c r="AI57" s="8"/>
      <c r="AJ57" s="8"/>
      <c r="AK57" s="19"/>
    </row>
    <row r="58" ht="13.5" spans="1:37">
      <c r="A58" s="20" t="s">
        <v>142</v>
      </c>
      <c r="B58" s="20" t="s">
        <v>143</v>
      </c>
      <c r="C58" s="21">
        <v>17598</v>
      </c>
      <c r="D58" s="21" t="s">
        <v>133</v>
      </c>
      <c r="E58" s="21">
        <v>1.01</v>
      </c>
      <c r="F58" s="8">
        <f t="shared" si="20"/>
        <v>410.97</v>
      </c>
      <c r="G58" s="22"/>
      <c r="H58" s="8"/>
      <c r="I58" s="30">
        <f>ROUND(SUM(F58:H58)*$AG$4,2)</f>
        <v>32.88</v>
      </c>
      <c r="J58" s="8">
        <f t="shared" si="16"/>
        <v>443.85</v>
      </c>
      <c r="K58" s="8">
        <f t="shared" si="17"/>
        <v>7810872</v>
      </c>
      <c r="L58" s="8"/>
      <c r="M58" s="31"/>
      <c r="N58" s="8"/>
      <c r="O58" s="8"/>
      <c r="P58" s="8">
        <v>6.26</v>
      </c>
      <c r="Q58" s="8"/>
      <c r="R58" s="8"/>
      <c r="S58" s="8"/>
      <c r="T58" s="8"/>
      <c r="U58" s="8"/>
      <c r="V58" s="8"/>
      <c r="W58" s="8"/>
      <c r="X58" s="8"/>
      <c r="Y58" s="8"/>
      <c r="Z58" s="44">
        <v>0</v>
      </c>
      <c r="AA58" s="8"/>
      <c r="AB58" s="8"/>
      <c r="AC58" s="8"/>
      <c r="AD58" s="8"/>
      <c r="AF58" s="8"/>
      <c r="AG58" s="19"/>
      <c r="AH58" s="8"/>
      <c r="AI58" s="8"/>
      <c r="AJ58" s="8"/>
      <c r="AK58" s="19"/>
    </row>
    <row r="59" ht="13.5" spans="1:37">
      <c r="A59" s="20" t="s">
        <v>144</v>
      </c>
      <c r="B59" s="20" t="s">
        <v>145</v>
      </c>
      <c r="C59" s="21">
        <v>2097</v>
      </c>
      <c r="D59" s="21" t="s">
        <v>133</v>
      </c>
      <c r="E59" s="21">
        <v>2.01</v>
      </c>
      <c r="F59" s="8">
        <f t="shared" si="20"/>
        <v>1025.6</v>
      </c>
      <c r="G59" s="22"/>
      <c r="H59" s="8"/>
      <c r="I59" s="30">
        <f>ROUND(SUM(F59:H59)*$AG$4,2)</f>
        <v>82.05</v>
      </c>
      <c r="J59" s="8">
        <f t="shared" si="16"/>
        <v>1107.65</v>
      </c>
      <c r="K59" s="8">
        <f t="shared" si="17"/>
        <v>2322742</v>
      </c>
      <c r="L59" s="8"/>
      <c r="M59" s="31"/>
      <c r="N59" s="8"/>
      <c r="O59" s="8"/>
      <c r="P59" s="8">
        <v>7.85</v>
      </c>
      <c r="Q59" s="8"/>
      <c r="R59" s="8"/>
      <c r="S59" s="8"/>
      <c r="T59" s="8"/>
      <c r="U59" s="8"/>
      <c r="V59" s="8"/>
      <c r="W59" s="8"/>
      <c r="X59" s="8"/>
      <c r="Y59" s="8"/>
      <c r="Z59" s="44">
        <v>0</v>
      </c>
      <c r="AA59" s="8"/>
      <c r="AB59" s="8"/>
      <c r="AC59" s="8"/>
      <c r="AD59" s="8"/>
      <c r="AF59" s="8"/>
      <c r="AG59" s="19"/>
      <c r="AH59" s="8"/>
      <c r="AI59" s="8"/>
      <c r="AJ59" s="8"/>
      <c r="AK59" s="19"/>
    </row>
    <row r="60" ht="13.5" spans="1:37">
      <c r="A60" s="20" t="s">
        <v>146</v>
      </c>
      <c r="B60" s="20" t="s">
        <v>147</v>
      </c>
      <c r="C60" s="21">
        <v>300</v>
      </c>
      <c r="D60" s="21" t="s">
        <v>133</v>
      </c>
      <c r="E60" s="21">
        <v>1.05</v>
      </c>
      <c r="F60" s="8">
        <v>75</v>
      </c>
      <c r="G60" s="22"/>
      <c r="H60" s="8"/>
      <c r="I60" s="30">
        <f>ROUND(SUM(F60:H60)*$AG$4,2)</f>
        <v>6</v>
      </c>
      <c r="J60" s="8">
        <f t="shared" si="16"/>
        <v>81</v>
      </c>
      <c r="K60" s="8">
        <f t="shared" si="17"/>
        <v>24300</v>
      </c>
      <c r="L60" s="8"/>
      <c r="M60" s="3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44">
        <v>0</v>
      </c>
      <c r="AA60" s="8"/>
      <c r="AB60" s="8"/>
      <c r="AC60" s="8"/>
      <c r="AD60" s="8"/>
      <c r="AF60" s="8"/>
      <c r="AG60" s="19"/>
      <c r="AH60" s="8"/>
      <c r="AI60" s="8"/>
      <c r="AJ60" s="8"/>
      <c r="AK60" s="19"/>
    </row>
    <row r="61" ht="13.5" spans="1:37">
      <c r="A61" s="20" t="s">
        <v>148</v>
      </c>
      <c r="B61" s="20" t="s">
        <v>149</v>
      </c>
      <c r="C61" s="21">
        <v>19695</v>
      </c>
      <c r="D61" s="21" t="s">
        <v>133</v>
      </c>
      <c r="E61" s="21">
        <v>1.05</v>
      </c>
      <c r="F61" s="8">
        <v>36</v>
      </c>
      <c r="G61" s="22"/>
      <c r="H61" s="8"/>
      <c r="I61" s="30">
        <f>ROUND(SUM(F61:H61)*$AG$4,2)</f>
        <v>2.88</v>
      </c>
      <c r="J61" s="8">
        <f t="shared" si="16"/>
        <v>38.88</v>
      </c>
      <c r="K61" s="8">
        <f t="shared" si="17"/>
        <v>765742</v>
      </c>
      <c r="L61" s="8"/>
      <c r="M61" s="3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44">
        <v>0</v>
      </c>
      <c r="AA61" s="8"/>
      <c r="AB61" s="8"/>
      <c r="AC61" s="8"/>
      <c r="AD61" s="8"/>
      <c r="AF61" s="8"/>
      <c r="AG61" s="19"/>
      <c r="AH61" s="8"/>
      <c r="AI61" s="8"/>
      <c r="AJ61" s="8"/>
      <c r="AK61" s="19"/>
    </row>
    <row r="62" ht="13.5" spans="1:37">
      <c r="A62" s="20" t="s">
        <v>150</v>
      </c>
      <c r="B62" s="20" t="s">
        <v>151</v>
      </c>
      <c r="C62" s="21">
        <v>2097</v>
      </c>
      <c r="D62" s="21" t="s">
        <v>133</v>
      </c>
      <c r="E62" s="21">
        <v>1.05</v>
      </c>
      <c r="F62" s="8">
        <v>75</v>
      </c>
      <c r="G62" s="22"/>
      <c r="H62" s="8"/>
      <c r="I62" s="30">
        <f>ROUND(SUM(F62:H62)*$AG$4,2)</f>
        <v>6</v>
      </c>
      <c r="J62" s="8">
        <f t="shared" si="16"/>
        <v>81</v>
      </c>
      <c r="K62" s="8">
        <f t="shared" si="17"/>
        <v>169857</v>
      </c>
      <c r="L62" s="8"/>
      <c r="M62" s="3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44">
        <v>0</v>
      </c>
      <c r="AA62" s="8"/>
      <c r="AB62" s="8"/>
      <c r="AC62" s="8"/>
      <c r="AD62" s="8"/>
      <c r="AF62" s="8"/>
      <c r="AG62" s="19"/>
      <c r="AH62" s="8"/>
      <c r="AI62" s="8"/>
      <c r="AJ62" s="8"/>
      <c r="AK62" s="19"/>
    </row>
    <row r="63" ht="13.5" spans="1:37">
      <c r="A63" s="20" t="s">
        <v>152</v>
      </c>
      <c r="B63" s="20" t="s">
        <v>153</v>
      </c>
      <c r="C63" s="21">
        <v>960</v>
      </c>
      <c r="D63" s="21" t="s">
        <v>54</v>
      </c>
      <c r="E63" s="21">
        <v>1.05</v>
      </c>
      <c r="F63" s="8">
        <v>18900</v>
      </c>
      <c r="G63" s="22"/>
      <c r="H63" s="8"/>
      <c r="I63" s="30">
        <f>ROUND(SUM(F63:H63)*$AG$4,2)</f>
        <v>1512</v>
      </c>
      <c r="J63" s="8">
        <f t="shared" si="16"/>
        <v>20412</v>
      </c>
      <c r="K63" s="8">
        <f t="shared" si="17"/>
        <v>19595520</v>
      </c>
      <c r="L63" s="8"/>
      <c r="M63" s="3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44">
        <v>0</v>
      </c>
      <c r="AA63" s="8"/>
      <c r="AB63" s="8"/>
      <c r="AC63" s="8"/>
      <c r="AD63" s="8"/>
      <c r="AF63" s="8"/>
      <c r="AG63" s="19"/>
      <c r="AH63" s="8"/>
      <c r="AI63" s="8"/>
      <c r="AJ63" s="8"/>
      <c r="AK63" s="19"/>
    </row>
    <row r="64" ht="13.5" spans="1:37">
      <c r="A64" s="20" t="s">
        <v>154</v>
      </c>
      <c r="B64" s="20" t="s">
        <v>155</v>
      </c>
      <c r="C64" s="21">
        <v>2097</v>
      </c>
      <c r="D64" s="21" t="s">
        <v>133</v>
      </c>
      <c r="E64" s="21">
        <v>1.01</v>
      </c>
      <c r="F64" s="8">
        <v>256</v>
      </c>
      <c r="G64" s="22"/>
      <c r="H64" s="8"/>
      <c r="I64" s="30">
        <f>ROUND(SUM(F64:H64)*$AG$4,2)</f>
        <v>20.48</v>
      </c>
      <c r="J64" s="8">
        <f t="shared" si="16"/>
        <v>276.48</v>
      </c>
      <c r="K64" s="8">
        <f t="shared" si="17"/>
        <v>579779</v>
      </c>
      <c r="L64" s="8"/>
      <c r="M64" s="3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44">
        <v>0</v>
      </c>
      <c r="AA64" s="8"/>
      <c r="AB64" s="8"/>
      <c r="AC64" s="8"/>
      <c r="AD64" s="8"/>
      <c r="AF64" s="8"/>
      <c r="AG64" s="19"/>
      <c r="AH64" s="8"/>
      <c r="AI64" s="8"/>
      <c r="AJ64" s="8"/>
      <c r="AK64" s="19"/>
    </row>
    <row r="65" ht="13.5" spans="1:37">
      <c r="A65" s="20" t="s">
        <v>156</v>
      </c>
      <c r="B65" s="20" t="s">
        <v>157</v>
      </c>
      <c r="C65" s="21">
        <v>795</v>
      </c>
      <c r="D65" s="21" t="s">
        <v>133</v>
      </c>
      <c r="E65" s="21">
        <v>1.01</v>
      </c>
      <c r="F65" s="8">
        <v>152</v>
      </c>
      <c r="G65" s="22"/>
      <c r="H65" s="8"/>
      <c r="I65" s="30">
        <f>ROUND(SUM(F65:H65)*$AG$4,2)</f>
        <v>12.16</v>
      </c>
      <c r="J65" s="8">
        <f t="shared" si="16"/>
        <v>164.16</v>
      </c>
      <c r="K65" s="8">
        <f t="shared" si="17"/>
        <v>130507</v>
      </c>
      <c r="L65" s="8"/>
      <c r="M65" s="3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44">
        <v>0</v>
      </c>
      <c r="AA65" s="8"/>
      <c r="AB65" s="8"/>
      <c r="AC65" s="8"/>
      <c r="AD65" s="8"/>
      <c r="AF65" s="8"/>
      <c r="AG65" s="19"/>
      <c r="AH65" s="8"/>
      <c r="AI65" s="8"/>
      <c r="AJ65" s="8"/>
      <c r="AK65" s="19"/>
    </row>
    <row r="66" ht="13.5" spans="1:37">
      <c r="A66" s="20" t="s">
        <v>158</v>
      </c>
      <c r="B66" s="20" t="s">
        <v>159</v>
      </c>
      <c r="C66" s="21">
        <v>19995</v>
      </c>
      <c r="D66" s="21" t="s">
        <v>133</v>
      </c>
      <c r="E66" s="21">
        <v>1.01</v>
      </c>
      <c r="F66" s="8">
        <v>18</v>
      </c>
      <c r="G66" s="22"/>
      <c r="H66" s="8"/>
      <c r="I66" s="30">
        <f>ROUND(SUM(F66:H66)*$AG$4,2)</f>
        <v>1.44</v>
      </c>
      <c r="J66" s="8">
        <f t="shared" si="16"/>
        <v>19.44</v>
      </c>
      <c r="K66" s="8">
        <f t="shared" si="17"/>
        <v>388703</v>
      </c>
      <c r="L66" s="8"/>
      <c r="M66" s="3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44">
        <v>0</v>
      </c>
      <c r="AA66" s="8"/>
      <c r="AB66" s="8"/>
      <c r="AC66" s="8"/>
      <c r="AD66" s="8"/>
      <c r="AF66" s="8"/>
      <c r="AG66" s="19"/>
      <c r="AH66" s="8"/>
      <c r="AI66" s="8"/>
      <c r="AJ66" s="8"/>
      <c r="AK66" s="19"/>
    </row>
    <row r="67" ht="13.5" spans="1:37">
      <c r="A67" s="20" t="s">
        <v>160</v>
      </c>
      <c r="B67" s="20" t="s">
        <v>161</v>
      </c>
      <c r="C67" s="21">
        <v>39390</v>
      </c>
      <c r="D67" s="21" t="s">
        <v>133</v>
      </c>
      <c r="E67" s="21">
        <v>1.01</v>
      </c>
      <c r="F67" s="8">
        <v>6.8</v>
      </c>
      <c r="G67" s="22"/>
      <c r="H67" s="8"/>
      <c r="I67" s="30">
        <f>ROUND(SUM(F67:H67)*$AG$4,2)</f>
        <v>0.54</v>
      </c>
      <c r="J67" s="8">
        <f t="shared" si="16"/>
        <v>7.34</v>
      </c>
      <c r="K67" s="8">
        <f t="shared" si="17"/>
        <v>289123</v>
      </c>
      <c r="L67" s="8"/>
      <c r="M67" s="3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44">
        <v>0</v>
      </c>
      <c r="AA67" s="8"/>
      <c r="AB67" s="8"/>
      <c r="AC67" s="8"/>
      <c r="AD67" s="8"/>
      <c r="AF67" s="8"/>
      <c r="AG67" s="19"/>
      <c r="AH67" s="8"/>
      <c r="AI67" s="8"/>
      <c r="AJ67" s="8"/>
      <c r="AK67" s="19"/>
    </row>
    <row r="68" ht="13.5" spans="1:37">
      <c r="A68" s="20" t="s">
        <v>162</v>
      </c>
      <c r="B68" s="20" t="s">
        <v>163</v>
      </c>
      <c r="C68" s="21">
        <v>39390</v>
      </c>
      <c r="D68" s="21" t="s">
        <v>133</v>
      </c>
      <c r="E68" s="21">
        <v>1.03</v>
      </c>
      <c r="F68" s="8">
        <v>65</v>
      </c>
      <c r="G68" s="22"/>
      <c r="H68" s="8"/>
      <c r="I68" s="30">
        <f>ROUND(SUM(F68:H68)*$AG$4,2)</f>
        <v>5.2</v>
      </c>
      <c r="J68" s="8">
        <f t="shared" si="16"/>
        <v>70.2</v>
      </c>
      <c r="K68" s="8">
        <f t="shared" si="17"/>
        <v>2765178</v>
      </c>
      <c r="L68" s="8"/>
      <c r="M68" s="3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44">
        <v>0</v>
      </c>
      <c r="AA68" s="8"/>
      <c r="AB68" s="8"/>
      <c r="AC68" s="8"/>
      <c r="AD68" s="8"/>
      <c r="AF68" s="8"/>
      <c r="AG68" s="19"/>
      <c r="AH68" s="8"/>
      <c r="AI68" s="8"/>
      <c r="AJ68" s="8"/>
      <c r="AK68" s="19"/>
    </row>
    <row r="69" ht="13.5" spans="1:37">
      <c r="A69" s="20" t="s">
        <v>164</v>
      </c>
      <c r="B69" s="20" t="s">
        <v>165</v>
      </c>
      <c r="C69" s="21">
        <v>174337</v>
      </c>
      <c r="D69" s="21" t="s">
        <v>166</v>
      </c>
      <c r="E69" s="21">
        <v>1.03</v>
      </c>
      <c r="F69" s="8">
        <v>1.5</v>
      </c>
      <c r="G69" s="22"/>
      <c r="H69" s="8"/>
      <c r="I69" s="30">
        <f>ROUND(SUM(F69:H69)*$AG$4,2)</f>
        <v>0.12</v>
      </c>
      <c r="J69" s="8">
        <f t="shared" si="16"/>
        <v>1.62</v>
      </c>
      <c r="K69" s="8">
        <f t="shared" si="17"/>
        <v>282426</v>
      </c>
      <c r="L69" s="8"/>
      <c r="M69" s="3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44">
        <v>0</v>
      </c>
      <c r="AA69" s="8"/>
      <c r="AB69" s="8"/>
      <c r="AC69" s="8"/>
      <c r="AD69" s="8"/>
      <c r="AF69" s="8"/>
      <c r="AG69" s="19"/>
      <c r="AH69" s="8"/>
      <c r="AI69" s="8"/>
      <c r="AJ69" s="8"/>
      <c r="AK69" s="19"/>
    </row>
    <row r="70" ht="13.5" spans="1:37">
      <c r="A70" s="20" t="s">
        <v>167</v>
      </c>
      <c r="B70" s="20" t="s">
        <v>168</v>
      </c>
      <c r="C70" s="21">
        <v>2093</v>
      </c>
      <c r="D70" s="21" t="s">
        <v>54</v>
      </c>
      <c r="E70" s="21">
        <v>1.03</v>
      </c>
      <c r="F70" s="8">
        <f t="shared" ref="F70:F77" si="21">ROUND(SUMPRODUCT($M$9:$Y$9,M70:Y70)*E70,2)</f>
        <v>208.55</v>
      </c>
      <c r="G70" s="22"/>
      <c r="H70" s="8"/>
      <c r="I70" s="30">
        <f>ROUND(SUM(F70:H70)*$AG$4,2)</f>
        <v>16.68</v>
      </c>
      <c r="J70" s="8">
        <f t="shared" si="16"/>
        <v>225.23</v>
      </c>
      <c r="K70" s="8">
        <f t="shared" si="17"/>
        <v>471406</v>
      </c>
      <c r="L70" s="8"/>
      <c r="M70" s="31"/>
      <c r="N70" s="8"/>
      <c r="O70" s="8"/>
      <c r="P70" s="8"/>
      <c r="Q70" s="8"/>
      <c r="R70" s="8"/>
      <c r="S70" s="8"/>
      <c r="T70" s="8">
        <v>1.24</v>
      </c>
      <c r="U70" s="8"/>
      <c r="V70" s="8"/>
      <c r="W70" s="8"/>
      <c r="X70" s="8">
        <v>20.8</v>
      </c>
      <c r="Y70" s="8"/>
      <c r="Z70" s="44">
        <v>0</v>
      </c>
      <c r="AA70" s="8"/>
      <c r="AB70" s="8"/>
      <c r="AC70" s="8"/>
      <c r="AD70" s="8"/>
      <c r="AF70" s="8">
        <v>0.4</v>
      </c>
      <c r="AG70" s="19"/>
      <c r="AH70" s="8"/>
      <c r="AI70" s="8"/>
      <c r="AJ70" s="8"/>
      <c r="AK70" s="19"/>
    </row>
    <row r="71" ht="13.5" spans="1:37">
      <c r="A71" s="20" t="s">
        <v>169</v>
      </c>
      <c r="B71" s="20" t="s">
        <v>170</v>
      </c>
      <c r="C71" s="21">
        <v>216</v>
      </c>
      <c r="D71" s="21" t="s">
        <v>54</v>
      </c>
      <c r="E71" s="21">
        <v>1.03</v>
      </c>
      <c r="F71" s="8">
        <v>5600</v>
      </c>
      <c r="G71" s="22"/>
      <c r="H71" s="8"/>
      <c r="I71" s="30">
        <f>ROUND(SUM(F71:H71)*$AG$4,2)</f>
        <v>448</v>
      </c>
      <c r="J71" s="8">
        <f t="shared" si="16"/>
        <v>6048</v>
      </c>
      <c r="K71" s="8">
        <f t="shared" si="17"/>
        <v>1306368</v>
      </c>
      <c r="L71" s="8"/>
      <c r="M71" s="3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44">
        <v>0</v>
      </c>
      <c r="AA71" s="8"/>
      <c r="AB71" s="8"/>
      <c r="AC71" s="8"/>
      <c r="AD71" s="8"/>
      <c r="AF71" s="8"/>
      <c r="AG71" s="19"/>
      <c r="AH71" s="8"/>
      <c r="AI71" s="8"/>
      <c r="AJ71" s="8"/>
      <c r="AK71" s="19"/>
    </row>
    <row r="72" ht="13.5" spans="1:37">
      <c r="A72" s="20" t="s">
        <v>171</v>
      </c>
      <c r="B72" s="20" t="s">
        <v>172</v>
      </c>
      <c r="C72" s="21">
        <v>4032</v>
      </c>
      <c r="D72" s="21" t="s">
        <v>173</v>
      </c>
      <c r="E72" s="21">
        <v>1.03</v>
      </c>
      <c r="F72" s="8">
        <v>12</v>
      </c>
      <c r="G72" s="22"/>
      <c r="H72" s="8"/>
      <c r="I72" s="30">
        <f>ROUND(SUM(F72:H72)*$AG$4,2)</f>
        <v>0.96</v>
      </c>
      <c r="J72" s="8">
        <f t="shared" si="16"/>
        <v>12.96</v>
      </c>
      <c r="K72" s="8">
        <f t="shared" si="17"/>
        <v>52255</v>
      </c>
      <c r="L72" s="8"/>
      <c r="M72" s="3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44">
        <v>0</v>
      </c>
      <c r="AA72" s="8"/>
      <c r="AB72" s="8"/>
      <c r="AC72" s="8"/>
      <c r="AD72" s="8"/>
      <c r="AF72" s="8"/>
      <c r="AG72" s="19"/>
      <c r="AH72" s="8"/>
      <c r="AI72" s="8"/>
      <c r="AJ72" s="8"/>
      <c r="AK72" s="19"/>
    </row>
    <row r="73" ht="13.5" spans="1:37">
      <c r="A73" s="20" t="s">
        <v>174</v>
      </c>
      <c r="B73" s="20" t="s">
        <v>175</v>
      </c>
      <c r="C73" s="21">
        <v>178088</v>
      </c>
      <c r="D73" s="21" t="s">
        <v>89</v>
      </c>
      <c r="E73" s="21">
        <v>1.03</v>
      </c>
      <c r="F73" s="8">
        <f t="shared" si="21"/>
        <v>26.88</v>
      </c>
      <c r="G73" s="22"/>
      <c r="H73" s="8"/>
      <c r="I73" s="30">
        <f>ROUND(SUM(F73:H73)*$AG$4,2)</f>
        <v>2.15</v>
      </c>
      <c r="J73" s="8">
        <f t="shared" si="16"/>
        <v>29.03</v>
      </c>
      <c r="K73" s="8">
        <f t="shared" si="17"/>
        <v>5169895</v>
      </c>
      <c r="L73" s="8"/>
      <c r="M73" s="31"/>
      <c r="N73" s="8"/>
      <c r="O73" s="8"/>
      <c r="P73" s="8"/>
      <c r="Q73" s="8"/>
      <c r="R73" s="8"/>
      <c r="S73" s="8"/>
      <c r="T73" s="8"/>
      <c r="U73" s="8"/>
      <c r="V73" s="8"/>
      <c r="W73" s="8"/>
      <c r="X73" s="8">
        <v>4.5</v>
      </c>
      <c r="Y73" s="8"/>
      <c r="Z73" s="44">
        <v>0</v>
      </c>
      <c r="AA73" s="8"/>
      <c r="AB73" s="8"/>
      <c r="AC73" s="8"/>
      <c r="AD73" s="8"/>
      <c r="AF73" s="8"/>
      <c r="AG73" s="19"/>
      <c r="AH73" s="8"/>
      <c r="AI73" s="8"/>
      <c r="AJ73" s="8"/>
      <c r="AK73" s="19"/>
    </row>
    <row r="74" ht="13.5" spans="1:37">
      <c r="A74" s="20" t="s">
        <v>176</v>
      </c>
      <c r="B74" s="20" t="s">
        <v>177</v>
      </c>
      <c r="C74" s="21">
        <v>2174</v>
      </c>
      <c r="D74" s="21" t="s">
        <v>54</v>
      </c>
      <c r="E74" s="21">
        <v>1.1</v>
      </c>
      <c r="F74" s="8">
        <f t="shared" si="21"/>
        <v>227.8</v>
      </c>
      <c r="G74" s="22"/>
      <c r="H74" s="8"/>
      <c r="I74" s="30">
        <f>ROUND(SUM(F74:H74)*$AG$4,2)</f>
        <v>18.22</v>
      </c>
      <c r="J74" s="8">
        <f t="shared" si="16"/>
        <v>246.02</v>
      </c>
      <c r="K74" s="8">
        <f t="shared" si="17"/>
        <v>534847</v>
      </c>
      <c r="L74" s="8"/>
      <c r="M74" s="31"/>
      <c r="N74" s="8"/>
      <c r="O74" s="8"/>
      <c r="P74" s="8"/>
      <c r="Q74" s="8"/>
      <c r="R74" s="8">
        <v>0.245</v>
      </c>
      <c r="S74" s="8">
        <v>0.083</v>
      </c>
      <c r="T74" s="8">
        <v>0.48</v>
      </c>
      <c r="U74" s="8">
        <v>0.76</v>
      </c>
      <c r="V74" s="8">
        <v>0.145</v>
      </c>
      <c r="W74" s="8"/>
      <c r="X74" s="8"/>
      <c r="Y74" s="8"/>
      <c r="Z74" s="44">
        <v>0</v>
      </c>
      <c r="AA74" s="8"/>
      <c r="AB74" s="8"/>
      <c r="AC74" s="8"/>
      <c r="AD74" s="8"/>
      <c r="AF74" s="8"/>
      <c r="AG74" s="19"/>
      <c r="AH74" s="8"/>
      <c r="AI74" s="8"/>
      <c r="AJ74" s="8"/>
      <c r="AK74" s="19"/>
    </row>
    <row r="75" ht="13.5" spans="1:37">
      <c r="A75" s="20" t="s">
        <v>178</v>
      </c>
      <c r="B75" s="20" t="s">
        <v>179</v>
      </c>
      <c r="C75" s="21">
        <v>41851</v>
      </c>
      <c r="D75" s="21" t="s">
        <v>54</v>
      </c>
      <c r="E75" s="21">
        <v>1.03</v>
      </c>
      <c r="F75" s="8">
        <f t="shared" si="21"/>
        <v>128.91</v>
      </c>
      <c r="G75" s="22"/>
      <c r="H75" s="8"/>
      <c r="I75" s="30">
        <f>ROUND(SUM(F75:H75)*$AG$4,2)</f>
        <v>10.31</v>
      </c>
      <c r="J75" s="8">
        <f t="shared" si="16"/>
        <v>139.22</v>
      </c>
      <c r="K75" s="8">
        <f t="shared" si="17"/>
        <v>5826496</v>
      </c>
      <c r="L75" s="8"/>
      <c r="M75" s="31"/>
      <c r="N75" s="8"/>
      <c r="O75" s="8"/>
      <c r="P75" s="8"/>
      <c r="Q75" s="8"/>
      <c r="R75" s="8">
        <v>0.086</v>
      </c>
      <c r="S75" s="8">
        <v>0</v>
      </c>
      <c r="T75" s="8">
        <v>0.43</v>
      </c>
      <c r="U75" s="8">
        <v>0.97</v>
      </c>
      <c r="V75" s="8">
        <v>0.1</v>
      </c>
      <c r="W75" s="8"/>
      <c r="X75" s="8"/>
      <c r="Y75" s="8"/>
      <c r="Z75" s="44">
        <v>0</v>
      </c>
      <c r="AA75" s="8"/>
      <c r="AB75" s="8"/>
      <c r="AC75" s="8"/>
      <c r="AD75" s="8"/>
      <c r="AF75" s="8"/>
      <c r="AG75" s="19"/>
      <c r="AH75" s="8"/>
      <c r="AI75" s="8"/>
      <c r="AJ75" s="8"/>
      <c r="AK75" s="19"/>
    </row>
    <row r="76" ht="13.5" spans="1:37">
      <c r="A76" s="20" t="s">
        <v>94</v>
      </c>
      <c r="B76" s="20" t="s">
        <v>95</v>
      </c>
      <c r="C76" s="21">
        <v>35200</v>
      </c>
      <c r="D76" s="21" t="s">
        <v>54</v>
      </c>
      <c r="E76" s="21">
        <v>1.02</v>
      </c>
      <c r="F76" s="8">
        <f t="shared" si="21"/>
        <v>150.25</v>
      </c>
      <c r="G76" s="22"/>
      <c r="H76" s="8"/>
      <c r="I76" s="30">
        <f>ROUND(SUM(F76:H76)*$AG$4,2)</f>
        <v>12.02</v>
      </c>
      <c r="J76" s="8">
        <f t="shared" si="16"/>
        <v>162.27</v>
      </c>
      <c r="K76" s="8">
        <f t="shared" si="17"/>
        <v>5711904</v>
      </c>
      <c r="L76" s="8"/>
      <c r="M76" s="31"/>
      <c r="N76" s="8"/>
      <c r="O76" s="8"/>
      <c r="P76" s="8"/>
      <c r="Q76" s="8"/>
      <c r="R76" s="8">
        <v>0.128</v>
      </c>
      <c r="S76" s="8">
        <v>0</v>
      </c>
      <c r="T76" s="8">
        <v>0</v>
      </c>
      <c r="U76" s="8">
        <v>1.51</v>
      </c>
      <c r="V76" s="8">
        <v>0.1</v>
      </c>
      <c r="W76" s="8"/>
      <c r="X76" s="8"/>
      <c r="Y76" s="8"/>
      <c r="Z76" s="44">
        <v>0</v>
      </c>
      <c r="AA76" s="8"/>
      <c r="AB76" s="8"/>
      <c r="AC76" s="8"/>
      <c r="AD76" s="8"/>
      <c r="AF76" s="8"/>
      <c r="AG76" s="19"/>
      <c r="AH76" s="8"/>
      <c r="AI76" s="8"/>
      <c r="AJ76" s="8"/>
      <c r="AK76" s="19"/>
    </row>
    <row r="77" ht="13.5" spans="1:37">
      <c r="A77" s="20" t="s">
        <v>96</v>
      </c>
      <c r="B77" s="20" t="s">
        <v>97</v>
      </c>
      <c r="C77" s="21">
        <v>6331</v>
      </c>
      <c r="D77" s="21" t="s">
        <v>54</v>
      </c>
      <c r="E77" s="21">
        <v>1.35</v>
      </c>
      <c r="F77" s="8">
        <f t="shared" si="21"/>
        <v>89.99</v>
      </c>
      <c r="G77" s="22"/>
      <c r="H77" s="8"/>
      <c r="I77" s="30">
        <f>ROUND(SUM(F77:H77)*$AG$4,2)</f>
        <v>7.2</v>
      </c>
      <c r="J77" s="8">
        <f t="shared" si="16"/>
        <v>97.19</v>
      </c>
      <c r="K77" s="8">
        <f t="shared" si="17"/>
        <v>615310</v>
      </c>
      <c r="L77" s="8"/>
      <c r="M77" s="31"/>
      <c r="N77" s="8"/>
      <c r="O77" s="8"/>
      <c r="P77" s="8"/>
      <c r="Q77" s="8"/>
      <c r="R77" s="8"/>
      <c r="S77" s="8"/>
      <c r="T77" s="8">
        <v>1.01</v>
      </c>
      <c r="U77" s="8"/>
      <c r="V77" s="8"/>
      <c r="W77" s="8"/>
      <c r="X77" s="8"/>
      <c r="Y77" s="8"/>
      <c r="Z77" s="44">
        <v>0</v>
      </c>
      <c r="AA77" s="8"/>
      <c r="AB77" s="8"/>
      <c r="AC77" s="8"/>
      <c r="AD77" s="8"/>
      <c r="AF77" s="8"/>
      <c r="AG77" s="19"/>
      <c r="AH77" s="8"/>
      <c r="AI77" s="8"/>
      <c r="AJ77" s="8"/>
      <c r="AK77" s="19"/>
    </row>
    <row r="78" ht="13.5" spans="1:37">
      <c r="A78" s="20"/>
      <c r="B78" s="20" t="s">
        <v>180</v>
      </c>
      <c r="C78" s="21">
        <v>255398</v>
      </c>
      <c r="D78" s="21" t="s">
        <v>54</v>
      </c>
      <c r="E78" s="21"/>
      <c r="F78" s="8">
        <v>23</v>
      </c>
      <c r="G78" s="22"/>
      <c r="H78" s="8"/>
      <c r="I78" s="30">
        <f>ROUND(SUM(F78:H78)*$AG$4,2)</f>
        <v>1.84</v>
      </c>
      <c r="J78" s="8">
        <f t="shared" si="16"/>
        <v>24.84</v>
      </c>
      <c r="K78" s="8">
        <f t="shared" si="17"/>
        <v>6344086</v>
      </c>
      <c r="L78" s="8"/>
      <c r="M78" s="3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44">
        <v>0</v>
      </c>
      <c r="AA78" s="8"/>
      <c r="AB78" s="8"/>
      <c r="AC78" s="8"/>
      <c r="AD78" s="8"/>
      <c r="AF78" s="8"/>
      <c r="AG78" s="19"/>
      <c r="AH78" s="8"/>
      <c r="AI78" s="8"/>
      <c r="AJ78" s="8"/>
      <c r="AK78" s="19"/>
    </row>
    <row r="79" ht="13.5" spans="1:37">
      <c r="A79" s="20"/>
      <c r="B79" s="20" t="s">
        <v>181</v>
      </c>
      <c r="C79" s="21">
        <v>255398</v>
      </c>
      <c r="D79" s="21" t="s">
        <v>54</v>
      </c>
      <c r="E79" s="21"/>
      <c r="F79" s="8">
        <v>24.5</v>
      </c>
      <c r="G79" s="22"/>
      <c r="H79" s="8"/>
      <c r="I79" s="30">
        <f>ROUND(SUM(F79:H79)*$AG$4,2)</f>
        <v>1.96</v>
      </c>
      <c r="J79" s="8">
        <f t="shared" si="16"/>
        <v>26.46</v>
      </c>
      <c r="K79" s="8">
        <f t="shared" si="17"/>
        <v>6757831</v>
      </c>
      <c r="L79" s="8"/>
      <c r="M79" s="3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44">
        <v>0</v>
      </c>
      <c r="AA79" s="8"/>
      <c r="AB79" s="8"/>
      <c r="AC79" s="8"/>
      <c r="AD79" s="8"/>
      <c r="AF79" s="8"/>
      <c r="AG79" s="19"/>
      <c r="AH79" s="8"/>
      <c r="AI79" s="8"/>
      <c r="AJ79" s="8"/>
      <c r="AK79" s="19"/>
    </row>
    <row r="80" ht="13.5" spans="1:37">
      <c r="A80" s="20"/>
      <c r="B80" s="20" t="s">
        <v>182</v>
      </c>
      <c r="C80" s="21">
        <f>(255398-77051)*0.7</f>
        <v>124842.9</v>
      </c>
      <c r="D80" s="21" t="s">
        <v>54</v>
      </c>
      <c r="E80" s="21"/>
      <c r="F80" s="8">
        <v>16.5</v>
      </c>
      <c r="G80" s="22"/>
      <c r="H80" s="8"/>
      <c r="I80" s="30">
        <f>ROUND(SUM(F80:H80)*$AG$4,2)</f>
        <v>1.32</v>
      </c>
      <c r="J80" s="8">
        <f t="shared" si="16"/>
        <v>17.82</v>
      </c>
      <c r="K80" s="8">
        <f t="shared" si="17"/>
        <v>2224700</v>
      </c>
      <c r="L80" s="8"/>
      <c r="M80" s="3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44">
        <v>0</v>
      </c>
      <c r="AA80" s="8"/>
      <c r="AB80" s="8"/>
      <c r="AC80" s="8"/>
      <c r="AD80" s="8"/>
      <c r="AF80" s="8"/>
      <c r="AG80" s="19"/>
      <c r="AH80" s="8"/>
      <c r="AI80" s="8"/>
      <c r="AJ80" s="8"/>
      <c r="AK80" s="19"/>
    </row>
    <row r="81" ht="13.5" spans="1:42">
      <c r="A81" s="50">
        <v>4</v>
      </c>
      <c r="B81" s="50" t="s">
        <v>183</v>
      </c>
      <c r="C81" s="51"/>
      <c r="D81" s="51"/>
      <c r="E81" s="51"/>
      <c r="F81" s="19"/>
      <c r="G81" s="52"/>
      <c r="H81" s="19"/>
      <c r="I81" s="59"/>
      <c r="J81" s="8"/>
      <c r="K81" s="8">
        <f>SUM(K83:K89)</f>
        <v>54525091</v>
      </c>
      <c r="L81" s="8"/>
      <c r="M81" s="60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61">
        <v>0</v>
      </c>
      <c r="AA81" s="19"/>
      <c r="AB81" s="19"/>
      <c r="AC81" s="19"/>
      <c r="AD81" s="19"/>
      <c r="AE81" s="3"/>
      <c r="AF81" s="19"/>
      <c r="AG81" s="19"/>
      <c r="AH81" s="19"/>
      <c r="AI81" s="19"/>
      <c r="AJ81" s="19"/>
      <c r="AK81" s="19"/>
      <c r="AL81" s="3"/>
      <c r="AM81" s="3"/>
      <c r="AN81" s="3"/>
      <c r="AO81" s="3"/>
      <c r="AP81" s="3"/>
    </row>
    <row r="82" ht="13.5" spans="1:37">
      <c r="A82" s="25" t="s">
        <v>69</v>
      </c>
      <c r="B82" s="53" t="s">
        <v>184</v>
      </c>
      <c r="C82" s="21"/>
      <c r="D82" s="21"/>
      <c r="E82" s="21"/>
      <c r="F82" s="8"/>
      <c r="G82" s="22"/>
      <c r="H82" s="8"/>
      <c r="I82" s="30"/>
      <c r="J82" s="8"/>
      <c r="K82" s="8"/>
      <c r="L82" s="8"/>
      <c r="M82" s="31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>
        <v>0</v>
      </c>
      <c r="AA82" s="8"/>
      <c r="AB82" s="8"/>
      <c r="AC82" s="8"/>
      <c r="AD82" s="8"/>
      <c r="AE82" s="62"/>
      <c r="AF82" s="8"/>
      <c r="AG82" s="19"/>
      <c r="AH82" s="8"/>
      <c r="AI82" s="8"/>
      <c r="AJ82" s="8"/>
      <c r="AK82" s="19"/>
    </row>
    <row r="83" ht="13.5" spans="1:39">
      <c r="A83" s="25"/>
      <c r="B83" s="54" t="s">
        <v>185</v>
      </c>
      <c r="C83" s="21">
        <f>(36+15)*1.45*1.5</f>
        <v>110.925</v>
      </c>
      <c r="D83" s="21" t="s">
        <v>68</v>
      </c>
      <c r="E83" s="21"/>
      <c r="F83" s="8">
        <f t="shared" ref="F83:F88" si="22">ROUND(SUMPRODUCT($M$9:$Y$9,M83:Y83),2)</f>
        <v>40149.21</v>
      </c>
      <c r="G83" s="55">
        <f t="shared" ref="G83:G85" si="23">SUMPRODUCT($Z$9,Z83)</f>
        <v>15343.9</v>
      </c>
      <c r="H83" s="8">
        <f t="shared" ref="H83:H88" si="24">ROUND(SUMPRODUCT($AA$9:$AC$9,AA83:AC83),2)</f>
        <v>50125.36</v>
      </c>
      <c r="I83" s="30">
        <f t="shared" ref="I83:I85" si="25">ROUND(SUM(F83:H83)*0.01,2)</f>
        <v>1056.18</v>
      </c>
      <c r="J83" s="8">
        <f t="shared" ref="J83:J85" si="26">SUM(F83:I83)</f>
        <v>106674.65</v>
      </c>
      <c r="K83" s="8">
        <f t="shared" ref="K83:K85" si="27">ROUND(C83*J83,)</f>
        <v>11832886</v>
      </c>
      <c r="L83" s="8"/>
      <c r="M83" s="8">
        <f>SUMPRODUCT($AA$5:$AC$5,AA83:AC83)</f>
        <v>5353.2286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>
        <v>767.195</v>
      </c>
      <c r="AA83" s="8"/>
      <c r="AB83" s="8">
        <f t="shared" ref="AB83:AB88" si="28">ROUND(AK83,3)</f>
        <v>144.893</v>
      </c>
      <c r="AC83" s="8">
        <f t="shared" ref="AC83:AC88" si="29">ROUND(AG83,3)</f>
        <v>148.81</v>
      </c>
      <c r="AD83" s="8"/>
      <c r="AE83" s="1">
        <f t="shared" ref="AE83:AE88" si="30">$AF$15+AM83</f>
        <v>1.9</v>
      </c>
      <c r="AF83" s="8">
        <f t="shared" ref="AF83:AF88" si="31">(3.5+3.5*0.5)*10000</f>
        <v>52500</v>
      </c>
      <c r="AG83" s="19">
        <f t="shared" ref="AG83:AG88" si="32">AF83/$AC$6</f>
        <v>148.809523809524</v>
      </c>
      <c r="AH83" s="8">
        <f t="shared" ref="AH83:AH88" si="33">$AG$10/$AI$9*$AI$10*10000</f>
        <v>23070</v>
      </c>
      <c r="AI83" s="8">
        <f t="shared" ref="AI83:AI88" si="34">$AG$12*(AE83-1)*$AI$10*2*10000</f>
        <v>10381.5</v>
      </c>
      <c r="AJ83" s="8">
        <f t="shared" ref="AJ83:AJ88" si="35">AH83+AI83</f>
        <v>33451.5</v>
      </c>
      <c r="AK83" s="19">
        <f t="shared" ref="AK83:AK88" si="36">AJ83/$AB$6</f>
        <v>144.893229956252</v>
      </c>
      <c r="AM83" s="1">
        <v>1.5</v>
      </c>
    </row>
    <row r="84" ht="13.5" spans="1:39">
      <c r="A84" s="20"/>
      <c r="B84" s="54" t="s">
        <v>186</v>
      </c>
      <c r="C84" s="21">
        <f>C83*0.55</f>
        <v>61.00875</v>
      </c>
      <c r="D84" s="21" t="s">
        <v>68</v>
      </c>
      <c r="E84" s="21"/>
      <c r="F84" s="8">
        <f t="shared" si="22"/>
        <v>40149.21</v>
      </c>
      <c r="G84" s="55">
        <f t="shared" si="23"/>
        <v>15343.9</v>
      </c>
      <c r="H84" s="8">
        <f t="shared" si="24"/>
        <v>50125.36</v>
      </c>
      <c r="I84" s="30">
        <f t="shared" si="25"/>
        <v>1056.18</v>
      </c>
      <c r="J84" s="8">
        <f t="shared" si="26"/>
        <v>106674.65</v>
      </c>
      <c r="K84" s="8">
        <f t="shared" si="27"/>
        <v>6508087</v>
      </c>
      <c r="L84" s="8"/>
      <c r="M84" s="8">
        <f>SUMPRODUCT($AA$5:$AC$5,AA84:AC84)</f>
        <v>5353.2286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>
        <v>767.195</v>
      </c>
      <c r="AA84" s="8"/>
      <c r="AB84" s="8">
        <f t="shared" si="28"/>
        <v>144.893</v>
      </c>
      <c r="AC84" s="8">
        <f t="shared" si="29"/>
        <v>148.81</v>
      </c>
      <c r="AD84" s="8"/>
      <c r="AE84" s="1">
        <f t="shared" si="30"/>
        <v>1.9</v>
      </c>
      <c r="AF84" s="8">
        <f t="shared" si="31"/>
        <v>52500</v>
      </c>
      <c r="AG84" s="19">
        <f t="shared" si="32"/>
        <v>148.809523809524</v>
      </c>
      <c r="AH84" s="8">
        <f t="shared" si="33"/>
        <v>23070</v>
      </c>
      <c r="AI84" s="8">
        <f t="shared" si="34"/>
        <v>10381.5</v>
      </c>
      <c r="AJ84" s="8">
        <f t="shared" si="35"/>
        <v>33451.5</v>
      </c>
      <c r="AK84" s="19">
        <f t="shared" si="36"/>
        <v>144.893229956252</v>
      </c>
      <c r="AM84" s="1">
        <v>1.5</v>
      </c>
    </row>
    <row r="85" ht="13.5" spans="1:37">
      <c r="A85" s="20"/>
      <c r="B85" s="54" t="s">
        <v>187</v>
      </c>
      <c r="C85" s="21">
        <f>C83</f>
        <v>110.925</v>
      </c>
      <c r="D85" s="21" t="s">
        <v>68</v>
      </c>
      <c r="E85" s="21"/>
      <c r="F85" s="8"/>
      <c r="G85" s="55">
        <f t="shared" si="23"/>
        <v>67600</v>
      </c>
      <c r="H85" s="8"/>
      <c r="I85" s="30">
        <f t="shared" si="25"/>
        <v>676</v>
      </c>
      <c r="J85" s="8">
        <f t="shared" si="26"/>
        <v>68276</v>
      </c>
      <c r="K85" s="8">
        <f t="shared" si="27"/>
        <v>7573515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44">
        <v>3380</v>
      </c>
      <c r="AA85" s="8"/>
      <c r="AB85" s="8"/>
      <c r="AC85" s="8"/>
      <c r="AD85" s="8"/>
      <c r="AF85" s="8"/>
      <c r="AG85" s="19"/>
      <c r="AH85" s="8"/>
      <c r="AI85" s="8"/>
      <c r="AJ85" s="8"/>
      <c r="AK85" s="19"/>
    </row>
    <row r="86" ht="13.5" spans="1:37">
      <c r="A86" s="25" t="s">
        <v>71</v>
      </c>
      <c r="B86" s="54" t="s">
        <v>188</v>
      </c>
      <c r="C86" s="21"/>
      <c r="D86" s="21">
        <f>C86*21</f>
        <v>0</v>
      </c>
      <c r="E86" s="21"/>
      <c r="F86" s="8"/>
      <c r="G86" s="55"/>
      <c r="H86" s="8"/>
      <c r="I86" s="30"/>
      <c r="J86" s="8"/>
      <c r="K86" s="8"/>
      <c r="L86" s="8"/>
      <c r="M86" s="31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44">
        <v>0</v>
      </c>
      <c r="AA86" s="8"/>
      <c r="AB86" s="8"/>
      <c r="AC86" s="8"/>
      <c r="AD86" s="8"/>
      <c r="AF86" s="8"/>
      <c r="AG86" s="19"/>
      <c r="AH86" s="8"/>
      <c r="AI86" s="8"/>
      <c r="AJ86" s="8"/>
      <c r="AK86" s="19"/>
    </row>
    <row r="87" ht="13.5" spans="1:39">
      <c r="A87" s="20"/>
      <c r="B87" s="54" t="s">
        <v>185</v>
      </c>
      <c r="C87" s="21">
        <f>59*1.45*1.5</f>
        <v>128.325</v>
      </c>
      <c r="D87" s="21" t="s">
        <v>68</v>
      </c>
      <c r="E87" s="21"/>
      <c r="F87" s="8">
        <f t="shared" si="22"/>
        <v>40149.21</v>
      </c>
      <c r="G87" s="55">
        <f t="shared" ref="G87:G89" si="37">SUMPRODUCT($Z$9,Z87)</f>
        <v>15343.9</v>
      </c>
      <c r="H87" s="8">
        <f t="shared" si="24"/>
        <v>50125.36</v>
      </c>
      <c r="I87" s="30">
        <f t="shared" ref="I87:I89" si="38">ROUND(SUM(F87:H87)*0.01,2)</f>
        <v>1056.18</v>
      </c>
      <c r="J87" s="8">
        <f t="shared" ref="J87:J89" si="39">SUM(F87:I87)</f>
        <v>106674.65</v>
      </c>
      <c r="K87" s="8">
        <f t="shared" ref="K87:K89" si="40">ROUND(C87*J87,)</f>
        <v>13689024</v>
      </c>
      <c r="L87" s="8"/>
      <c r="M87" s="8">
        <f>SUMPRODUCT($AA$5:$AC$5,AA87:AC87)</f>
        <v>5353.2286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>
        <v>767.195</v>
      </c>
      <c r="AA87" s="8"/>
      <c r="AB87" s="8">
        <f t="shared" si="28"/>
        <v>144.893</v>
      </c>
      <c r="AC87" s="8">
        <f t="shared" si="29"/>
        <v>148.81</v>
      </c>
      <c r="AD87" s="8"/>
      <c r="AE87" s="1">
        <f t="shared" si="30"/>
        <v>1.9</v>
      </c>
      <c r="AF87" s="8">
        <f t="shared" si="31"/>
        <v>52500</v>
      </c>
      <c r="AG87" s="19">
        <f t="shared" si="32"/>
        <v>148.809523809524</v>
      </c>
      <c r="AH87" s="8">
        <f t="shared" si="33"/>
        <v>23070</v>
      </c>
      <c r="AI87" s="8">
        <f t="shared" si="34"/>
        <v>10381.5</v>
      </c>
      <c r="AJ87" s="8">
        <f t="shared" si="35"/>
        <v>33451.5</v>
      </c>
      <c r="AK87" s="19">
        <f t="shared" si="36"/>
        <v>144.893229956252</v>
      </c>
      <c r="AM87" s="1">
        <v>1.5</v>
      </c>
    </row>
    <row r="88" ht="13.5" spans="1:39">
      <c r="A88" s="20"/>
      <c r="B88" s="54" t="s">
        <v>186</v>
      </c>
      <c r="C88" s="21">
        <f>C87*0.45</f>
        <v>57.74625</v>
      </c>
      <c r="D88" s="21" t="s">
        <v>68</v>
      </c>
      <c r="E88" s="21"/>
      <c r="F88" s="8">
        <f t="shared" si="22"/>
        <v>40149.21</v>
      </c>
      <c r="G88" s="55">
        <f t="shared" si="37"/>
        <v>15343.9</v>
      </c>
      <c r="H88" s="8">
        <f t="shared" si="24"/>
        <v>50125.36</v>
      </c>
      <c r="I88" s="30">
        <f t="shared" si="38"/>
        <v>1056.18</v>
      </c>
      <c r="J88" s="8">
        <f t="shared" si="39"/>
        <v>106674.65</v>
      </c>
      <c r="K88" s="8">
        <f t="shared" si="40"/>
        <v>6160061</v>
      </c>
      <c r="L88" s="8"/>
      <c r="M88" s="8">
        <f>SUMPRODUCT($AA$5:$AC$5,AA88:AC88)</f>
        <v>5353.2286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>
        <v>767.195</v>
      </c>
      <c r="AA88" s="8"/>
      <c r="AB88" s="8">
        <f t="shared" si="28"/>
        <v>144.893</v>
      </c>
      <c r="AC88" s="8">
        <f t="shared" si="29"/>
        <v>148.81</v>
      </c>
      <c r="AD88" s="8"/>
      <c r="AE88" s="1">
        <f t="shared" si="30"/>
        <v>1.9</v>
      </c>
      <c r="AF88" s="8">
        <f t="shared" si="31"/>
        <v>52500</v>
      </c>
      <c r="AG88" s="19">
        <f t="shared" si="32"/>
        <v>148.809523809524</v>
      </c>
      <c r="AH88" s="8">
        <f t="shared" si="33"/>
        <v>23070</v>
      </c>
      <c r="AI88" s="8">
        <f t="shared" si="34"/>
        <v>10381.5</v>
      </c>
      <c r="AJ88" s="8">
        <f t="shared" si="35"/>
        <v>33451.5</v>
      </c>
      <c r="AK88" s="19">
        <f t="shared" si="36"/>
        <v>144.893229956252</v>
      </c>
      <c r="AM88" s="1">
        <v>1.5</v>
      </c>
    </row>
    <row r="89" ht="13.5" spans="1:37">
      <c r="A89" s="20"/>
      <c r="B89" s="54" t="s">
        <v>187</v>
      </c>
      <c r="C89" s="21">
        <f>C87</f>
        <v>128.325</v>
      </c>
      <c r="D89" s="21" t="s">
        <v>68</v>
      </c>
      <c r="E89" s="21"/>
      <c r="F89" s="8"/>
      <c r="G89" s="55">
        <f t="shared" si="37"/>
        <v>67600</v>
      </c>
      <c r="H89" s="8"/>
      <c r="I89" s="30">
        <f t="shared" si="38"/>
        <v>676</v>
      </c>
      <c r="J89" s="8">
        <f t="shared" si="39"/>
        <v>68276</v>
      </c>
      <c r="K89" s="8">
        <f t="shared" si="40"/>
        <v>8761518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44">
        <v>3380</v>
      </c>
      <c r="AA89" s="8"/>
      <c r="AB89" s="8"/>
      <c r="AC89" s="8"/>
      <c r="AD89" s="8"/>
      <c r="AE89" s="62"/>
      <c r="AF89" s="8"/>
      <c r="AG89" s="19"/>
      <c r="AH89" s="8"/>
      <c r="AI89" s="8"/>
      <c r="AJ89" s="8"/>
      <c r="AK89" s="19"/>
    </row>
    <row r="90" ht="13.5" spans="1:42">
      <c r="A90" s="50">
        <v>5</v>
      </c>
      <c r="B90" s="27" t="s">
        <v>189</v>
      </c>
      <c r="C90" s="51"/>
      <c r="D90" s="51"/>
      <c r="E90" s="51"/>
      <c r="F90" s="19"/>
      <c r="G90" s="52"/>
      <c r="H90" s="19"/>
      <c r="I90" s="59"/>
      <c r="J90" s="19"/>
      <c r="K90" s="19">
        <f>SUM(K91:K93)</f>
        <v>5002400</v>
      </c>
      <c r="L90" s="19"/>
      <c r="M90" s="60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61">
        <v>0</v>
      </c>
      <c r="AA90" s="19"/>
      <c r="AB90" s="19"/>
      <c r="AC90" s="19"/>
      <c r="AD90" s="19"/>
      <c r="AE90" s="3"/>
      <c r="AF90" s="19"/>
      <c r="AG90" s="19"/>
      <c r="AH90" s="19"/>
      <c r="AI90" s="19"/>
      <c r="AJ90" s="19"/>
      <c r="AK90" s="19"/>
      <c r="AL90" s="3"/>
      <c r="AM90" s="3"/>
      <c r="AN90" s="3"/>
      <c r="AO90" s="3"/>
      <c r="AP90" s="3"/>
    </row>
    <row r="91" ht="13.5" spans="1:37">
      <c r="A91" s="20">
        <v>5.1</v>
      </c>
      <c r="B91" s="54" t="s">
        <v>190</v>
      </c>
      <c r="C91" s="21">
        <v>80</v>
      </c>
      <c r="D91" s="21" t="s">
        <v>191</v>
      </c>
      <c r="E91" s="21"/>
      <c r="F91" s="8"/>
      <c r="G91" s="55"/>
      <c r="H91" s="8"/>
      <c r="I91" s="30">
        <f>2000*2</f>
        <v>4000</v>
      </c>
      <c r="J91" s="8">
        <f t="shared" ref="J91:J93" si="41">SUM(F91:I91)</f>
        <v>4000</v>
      </c>
      <c r="K91" s="8">
        <f t="shared" ref="K91:K93" si="42">ROUND(J91*C91,)</f>
        <v>320000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>
        <v>0</v>
      </c>
      <c r="AA91" s="8"/>
      <c r="AB91" s="8"/>
      <c r="AC91" s="8"/>
      <c r="AD91" s="8"/>
      <c r="AE91" s="62"/>
      <c r="AF91" s="8"/>
      <c r="AG91" s="19"/>
      <c r="AH91" s="8"/>
      <c r="AI91" s="8"/>
      <c r="AJ91" s="8"/>
      <c r="AK91" s="19"/>
    </row>
    <row r="92" ht="13.5" spans="1:37">
      <c r="A92" s="20">
        <v>5.2</v>
      </c>
      <c r="B92" s="54" t="s">
        <v>192</v>
      </c>
      <c r="C92" s="21">
        <f>18+2+3+4</f>
        <v>27</v>
      </c>
      <c r="D92" s="21" t="s">
        <v>193</v>
      </c>
      <c r="E92" s="21"/>
      <c r="F92" s="8"/>
      <c r="G92" s="55"/>
      <c r="H92" s="8">
        <f>4200*0.6*1*30*2</f>
        <v>151200</v>
      </c>
      <c r="I92" s="30"/>
      <c r="J92" s="8">
        <f t="shared" si="41"/>
        <v>151200</v>
      </c>
      <c r="K92" s="8">
        <f t="shared" si="42"/>
        <v>4082400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44">
        <v>0</v>
      </c>
      <c r="AA92" s="8"/>
      <c r="AB92" s="8"/>
      <c r="AC92" s="8"/>
      <c r="AD92" s="8"/>
      <c r="AE92" s="62"/>
      <c r="AF92" s="8"/>
      <c r="AG92" s="19"/>
      <c r="AH92" s="8"/>
      <c r="AI92" s="8"/>
      <c r="AJ92" s="8"/>
      <c r="AK92" s="19"/>
    </row>
    <row r="93" ht="13.5" spans="1:37">
      <c r="A93" s="20">
        <v>5.3</v>
      </c>
      <c r="B93" s="54" t="s">
        <v>194</v>
      </c>
      <c r="C93" s="21">
        <v>1</v>
      </c>
      <c r="D93" s="21" t="s">
        <v>195</v>
      </c>
      <c r="E93" s="21"/>
      <c r="F93" s="8"/>
      <c r="G93" s="55"/>
      <c r="H93" s="8">
        <v>600000</v>
      </c>
      <c r="I93" s="30"/>
      <c r="J93" s="8">
        <f t="shared" si="41"/>
        <v>600000</v>
      </c>
      <c r="K93" s="8">
        <f t="shared" si="42"/>
        <v>600000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44">
        <v>0</v>
      </c>
      <c r="AA93" s="8"/>
      <c r="AB93" s="8"/>
      <c r="AC93" s="8"/>
      <c r="AD93" s="8"/>
      <c r="AE93" s="62"/>
      <c r="AF93" s="8"/>
      <c r="AG93" s="19"/>
      <c r="AH93" s="8"/>
      <c r="AI93" s="8"/>
      <c r="AJ93" s="8"/>
      <c r="AK93" s="19"/>
    </row>
    <row r="94" ht="13.5" spans="1:42">
      <c r="A94" s="50">
        <v>6</v>
      </c>
      <c r="B94" s="27" t="s">
        <v>196</v>
      </c>
      <c r="C94" s="51"/>
      <c r="D94" s="51"/>
      <c r="E94" s="51"/>
      <c r="F94" s="19"/>
      <c r="G94" s="52"/>
      <c r="H94" s="19"/>
      <c r="I94" s="59"/>
      <c r="J94" s="19"/>
      <c r="K94" s="19">
        <f>SUM(K96:K131)</f>
        <v>18135729</v>
      </c>
      <c r="L94" s="19"/>
      <c r="M94" s="6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61">
        <v>0</v>
      </c>
      <c r="AA94" s="19"/>
      <c r="AB94" s="19"/>
      <c r="AC94" s="19"/>
      <c r="AD94" s="19"/>
      <c r="AE94" s="3"/>
      <c r="AF94" s="19"/>
      <c r="AG94" s="19"/>
      <c r="AH94" s="19"/>
      <c r="AI94" s="19"/>
      <c r="AJ94" s="19"/>
      <c r="AK94" s="19"/>
      <c r="AL94" s="3"/>
      <c r="AM94" s="3"/>
      <c r="AN94" s="3"/>
      <c r="AO94" s="3"/>
      <c r="AP94" s="3"/>
    </row>
    <row r="95" ht="13.5" spans="1:37">
      <c r="A95" s="20">
        <v>6.1</v>
      </c>
      <c r="B95" s="55" t="s">
        <v>197</v>
      </c>
      <c r="D95" s="21"/>
      <c r="E95" s="21"/>
      <c r="F95" s="8"/>
      <c r="G95" s="55"/>
      <c r="H95" s="8"/>
      <c r="I95" s="30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>
        <v>0</v>
      </c>
      <c r="AA95" s="8"/>
      <c r="AB95" s="8"/>
      <c r="AC95" s="8"/>
      <c r="AD95" s="8"/>
      <c r="AE95" s="62"/>
      <c r="AF95" s="8"/>
      <c r="AG95" s="19"/>
      <c r="AH95" s="8"/>
      <c r="AI95" s="8"/>
      <c r="AJ95" s="8"/>
      <c r="AK95" s="19"/>
    </row>
    <row r="96" ht="13.5" spans="1:39">
      <c r="A96" s="20" t="s">
        <v>198</v>
      </c>
      <c r="B96" s="56" t="s">
        <v>199</v>
      </c>
      <c r="C96" s="57">
        <v>44673</v>
      </c>
      <c r="D96" s="26" t="s">
        <v>54</v>
      </c>
      <c r="E96" s="21"/>
      <c r="F96" s="8"/>
      <c r="G96" s="22"/>
      <c r="H96" s="8"/>
      <c r="I96" s="30"/>
      <c r="J96" s="8">
        <v>5.5</v>
      </c>
      <c r="K96" s="8">
        <f t="shared" ref="K96:K102" si="43">ROUND(C96*J96,)</f>
        <v>245702</v>
      </c>
      <c r="L96" s="8"/>
      <c r="M96" s="31">
        <f>ROUND(SUMPRODUCT($AA$5:$AC$5,AA96:AC96),2)</f>
        <v>0.41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44">
        <v>0.533</v>
      </c>
      <c r="AA96" s="8"/>
      <c r="AB96" s="8">
        <f t="shared" ref="AB96:AB100" si="44">ROUND(AK96,3)</f>
        <v>0.014</v>
      </c>
      <c r="AC96" s="8">
        <f t="shared" ref="AC96:AC100" si="45">ROUND(AG96,3)</f>
        <v>0.009</v>
      </c>
      <c r="AD96" s="8"/>
      <c r="AE96" s="1">
        <f t="shared" ref="AE96:AE100" si="46">$AF$15+AM96</f>
        <v>2.4</v>
      </c>
      <c r="AF96" s="8">
        <v>3</v>
      </c>
      <c r="AG96" s="19">
        <f t="shared" ref="AG96:AG100" si="47">AF96/$AC$6</f>
        <v>0.00850340136054422</v>
      </c>
      <c r="AH96" s="8">
        <f>$AG$10/$AI$9*$AI$11</f>
        <v>1.75</v>
      </c>
      <c r="AI96" s="8">
        <f>$AG$12*(AE96-1)*$AK$12*2</f>
        <v>1.47</v>
      </c>
      <c r="AJ96" s="8">
        <f t="shared" ref="AJ96:AJ100" si="48">AH96+AI96</f>
        <v>3.22</v>
      </c>
      <c r="AK96" s="19">
        <f t="shared" ref="AK96:AK100" si="49">AJ96/$AB$6</f>
        <v>0.0139472430372071</v>
      </c>
      <c r="AM96" s="1">
        <v>2</v>
      </c>
    </row>
    <row r="97" ht="13.5" spans="1:39">
      <c r="A97" s="20" t="s">
        <v>200</v>
      </c>
      <c r="B97" s="56" t="s">
        <v>201</v>
      </c>
      <c r="C97" s="57">
        <v>7848</v>
      </c>
      <c r="D97" s="26" t="s">
        <v>54</v>
      </c>
      <c r="E97" s="21"/>
      <c r="F97" s="8">
        <f>ROUND(SUMPRODUCT($M$9:$Y$9,M97:Y97),2)</f>
        <v>3.83</v>
      </c>
      <c r="G97" s="22">
        <f t="shared" ref="G97:G100" si="50">SUMPRODUCT($Z$9,Z97)</f>
        <v>13.26</v>
      </c>
      <c r="H97" s="8">
        <f>ROUND(SUMPRODUCT($AA$9:$AC$9,AA97:AC97)+3.5,2)</f>
        <v>7.88</v>
      </c>
      <c r="I97" s="30">
        <f t="shared" ref="I97:I100" si="51">ROUND(SUM(F97:H97)*0.1,2)</f>
        <v>2.5</v>
      </c>
      <c r="J97" s="8">
        <f t="shared" ref="J97:J100" si="52">SUM(F97:I97)</f>
        <v>27.47</v>
      </c>
      <c r="K97" s="8">
        <f t="shared" si="43"/>
        <v>215585</v>
      </c>
      <c r="L97" s="8"/>
      <c r="M97" s="31">
        <f>ROUND(SUMPRODUCT($AA$5:$AC$5,AA97:AC97),2)</f>
        <v>0.51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44">
        <v>0.663</v>
      </c>
      <c r="AA97" s="8"/>
      <c r="AB97" s="8">
        <f t="shared" si="44"/>
        <v>0.02</v>
      </c>
      <c r="AC97" s="8">
        <f t="shared" si="45"/>
        <v>0.009</v>
      </c>
      <c r="AD97" s="8"/>
      <c r="AE97" s="1">
        <f t="shared" si="46"/>
        <v>2.4</v>
      </c>
      <c r="AF97" s="8">
        <v>3</v>
      </c>
      <c r="AG97" s="19">
        <f t="shared" si="47"/>
        <v>0.00850340136054422</v>
      </c>
      <c r="AH97" s="8">
        <f>$AG$9/$AI$11*$AI$12</f>
        <v>2.49171428571429</v>
      </c>
      <c r="AI97" s="8">
        <f>$AG$11*(AE97-1)*$AJ$12*2</f>
        <v>2.0384</v>
      </c>
      <c r="AJ97" s="8">
        <f t="shared" si="48"/>
        <v>4.53011428571429</v>
      </c>
      <c r="AK97" s="19">
        <f t="shared" si="49"/>
        <v>0.01962192699664</v>
      </c>
      <c r="AM97" s="1">
        <v>2</v>
      </c>
    </row>
    <row r="98" ht="13.5" spans="1:37">
      <c r="A98" s="20" t="s">
        <v>202</v>
      </c>
      <c r="B98" s="56" t="s">
        <v>203</v>
      </c>
      <c r="C98" s="57">
        <v>529</v>
      </c>
      <c r="D98" s="26" t="s">
        <v>54</v>
      </c>
      <c r="E98" s="21"/>
      <c r="F98" s="8">
        <f>ROUND(SUMPRODUCT($M$9:$Y$9,M98:Y98)+1.18*40,2)</f>
        <v>106.83</v>
      </c>
      <c r="G98" s="22">
        <f t="shared" si="50"/>
        <v>103.48</v>
      </c>
      <c r="H98" s="8">
        <v>11.7</v>
      </c>
      <c r="I98" s="30">
        <f t="shared" si="51"/>
        <v>22.2</v>
      </c>
      <c r="J98" s="8">
        <f t="shared" si="52"/>
        <v>244.21</v>
      </c>
      <c r="K98" s="8">
        <f t="shared" si="43"/>
        <v>129187</v>
      </c>
      <c r="L98" s="8"/>
      <c r="M98" s="8"/>
      <c r="N98" s="8"/>
      <c r="O98" s="8"/>
      <c r="P98" s="8"/>
      <c r="Q98" s="8"/>
      <c r="R98" s="8">
        <v>0.069</v>
      </c>
      <c r="S98" s="8"/>
      <c r="T98" s="8">
        <v>0.318</v>
      </c>
      <c r="U98" s="8"/>
      <c r="V98" s="8"/>
      <c r="W98" s="8"/>
      <c r="X98" s="8"/>
      <c r="Y98" s="8"/>
      <c r="Z98" s="8">
        <v>5.174</v>
      </c>
      <c r="AA98" s="8"/>
      <c r="AB98" s="8"/>
      <c r="AC98" s="8"/>
      <c r="AD98" s="8"/>
      <c r="AE98" s="62"/>
      <c r="AF98" s="8"/>
      <c r="AG98" s="19"/>
      <c r="AH98" s="8"/>
      <c r="AI98" s="8"/>
      <c r="AJ98" s="8"/>
      <c r="AK98" s="19"/>
    </row>
    <row r="99" ht="13.5" spans="1:37">
      <c r="A99" s="20" t="s">
        <v>204</v>
      </c>
      <c r="B99" s="56" t="s">
        <v>205</v>
      </c>
      <c r="C99" s="57">
        <v>5481</v>
      </c>
      <c r="D99" s="26" t="s">
        <v>54</v>
      </c>
      <c r="E99" s="21"/>
      <c r="F99" s="8">
        <f>ROUND(SUMPRODUCT($M$9:$Y$9,M99:Y99)+1.18*40,2)</f>
        <v>118.59</v>
      </c>
      <c r="G99" s="22">
        <f t="shared" si="50"/>
        <v>91</v>
      </c>
      <c r="H99" s="8">
        <v>11.7</v>
      </c>
      <c r="I99" s="30">
        <f t="shared" si="51"/>
        <v>22.13</v>
      </c>
      <c r="J99" s="8">
        <f t="shared" si="52"/>
        <v>243.42</v>
      </c>
      <c r="K99" s="8">
        <f t="shared" si="43"/>
        <v>1334185</v>
      </c>
      <c r="L99" s="8"/>
      <c r="M99" s="8"/>
      <c r="N99" s="8"/>
      <c r="O99" s="8"/>
      <c r="P99" s="8"/>
      <c r="Q99" s="8"/>
      <c r="R99" s="8">
        <v>0.09</v>
      </c>
      <c r="S99" s="8"/>
      <c r="T99" s="8">
        <v>0.318</v>
      </c>
      <c r="U99" s="8"/>
      <c r="V99" s="8"/>
      <c r="W99" s="8"/>
      <c r="X99" s="8"/>
      <c r="Y99" s="8"/>
      <c r="Z99" s="8">
        <v>4.55</v>
      </c>
      <c r="AA99" s="8"/>
      <c r="AB99" s="8"/>
      <c r="AC99" s="8"/>
      <c r="AD99" s="8"/>
      <c r="AE99" s="62"/>
      <c r="AF99" s="8"/>
      <c r="AG99" s="19"/>
      <c r="AH99" s="8"/>
      <c r="AI99" s="8"/>
      <c r="AJ99" s="8"/>
      <c r="AK99" s="19"/>
    </row>
    <row r="100" ht="13.5" spans="1:39">
      <c r="A100" s="20" t="s">
        <v>206</v>
      </c>
      <c r="B100" s="56" t="s">
        <v>207</v>
      </c>
      <c r="C100" s="57">
        <v>14602</v>
      </c>
      <c r="D100" s="26" t="s">
        <v>54</v>
      </c>
      <c r="E100" s="21"/>
      <c r="F100" s="8">
        <f>ROUND(SUMPRODUCT($M$9:$Y$9,M100:Y100),2)</f>
        <v>4.5</v>
      </c>
      <c r="G100" s="22">
        <f t="shared" si="50"/>
        <v>15.6</v>
      </c>
      <c r="H100" s="8">
        <f>ROUND(SUMPRODUCT($AA$9:$AC$9,AA100:AC100)+3.5,2)</f>
        <v>8.6</v>
      </c>
      <c r="I100" s="30">
        <f t="shared" si="51"/>
        <v>2.87</v>
      </c>
      <c r="J100" s="8">
        <f t="shared" si="52"/>
        <v>31.57</v>
      </c>
      <c r="K100" s="8">
        <f t="shared" si="43"/>
        <v>460985</v>
      </c>
      <c r="L100" s="8"/>
      <c r="M100" s="31">
        <f>ROUND(SUMPRODUCT($AA$5:$AC$5,AA100:AC100),2)</f>
        <v>0.6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44">
        <v>0.78</v>
      </c>
      <c r="AA100" s="8"/>
      <c r="AB100" s="8">
        <f t="shared" si="44"/>
        <v>0.026</v>
      </c>
      <c r="AC100" s="8">
        <f t="shared" si="45"/>
        <v>0.009</v>
      </c>
      <c r="AD100" s="8"/>
      <c r="AE100" s="1">
        <f t="shared" si="46"/>
        <v>3.4</v>
      </c>
      <c r="AF100" s="8">
        <v>3</v>
      </c>
      <c r="AG100" s="19">
        <f t="shared" si="47"/>
        <v>0.00850340136054422</v>
      </c>
      <c r="AH100" s="8">
        <f>$AG$9/$AI$11*$AI$12</f>
        <v>2.49171428571429</v>
      </c>
      <c r="AI100" s="8">
        <f>$AG$11*(AE100-1)*$AJ$12*2</f>
        <v>3.4944</v>
      </c>
      <c r="AJ100" s="8">
        <f t="shared" si="48"/>
        <v>5.98611428571428</v>
      </c>
      <c r="AK100" s="19">
        <f t="shared" si="49"/>
        <v>0.0259285064569424</v>
      </c>
      <c r="AM100" s="1">
        <v>3</v>
      </c>
    </row>
    <row r="101" ht="13.5" spans="1:37">
      <c r="A101" s="20" t="s">
        <v>208</v>
      </c>
      <c r="B101" s="56" t="s">
        <v>209</v>
      </c>
      <c r="C101" s="57">
        <f>70+40</f>
        <v>110</v>
      </c>
      <c r="D101" s="57" t="s">
        <v>107</v>
      </c>
      <c r="E101" s="21"/>
      <c r="F101" s="8"/>
      <c r="G101" s="55"/>
      <c r="H101" s="8"/>
      <c r="I101" s="30"/>
      <c r="J101" s="8">
        <v>11000</v>
      </c>
      <c r="K101" s="8">
        <f t="shared" si="43"/>
        <v>1210000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>
        <v>0</v>
      </c>
      <c r="AA101" s="8"/>
      <c r="AB101" s="8"/>
      <c r="AC101" s="8"/>
      <c r="AD101" s="8"/>
      <c r="AE101" s="62"/>
      <c r="AF101" s="8"/>
      <c r="AG101" s="19"/>
      <c r="AH101" s="8"/>
      <c r="AI101" s="8"/>
      <c r="AJ101" s="8"/>
      <c r="AK101" s="19"/>
    </row>
    <row r="102" ht="13.5" spans="1:37">
      <c r="A102" s="20" t="s">
        <v>210</v>
      </c>
      <c r="B102" s="56" t="s">
        <v>211</v>
      </c>
      <c r="C102" s="57">
        <v>1</v>
      </c>
      <c r="D102" s="57" t="s">
        <v>195</v>
      </c>
      <c r="E102" s="21"/>
      <c r="F102" s="8"/>
      <c r="G102" s="55">
        <f>3*6000*72*0.5</f>
        <v>648000</v>
      </c>
      <c r="H102" s="8">
        <f>45000*72*0.3</f>
        <v>972000</v>
      </c>
      <c r="I102" s="30">
        <f>ROUND(SUM(F102:H102)*0.1,2)</f>
        <v>162000</v>
      </c>
      <c r="J102" s="8">
        <f t="shared" ref="J102:J109" si="53">SUM(F102:I102)</f>
        <v>1782000</v>
      </c>
      <c r="K102" s="8">
        <f t="shared" si="43"/>
        <v>1782000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>
        <v>0</v>
      </c>
      <c r="AA102" s="8"/>
      <c r="AB102" s="8"/>
      <c r="AC102" s="8"/>
      <c r="AD102" s="8"/>
      <c r="AE102" s="62"/>
      <c r="AF102" s="8"/>
      <c r="AG102" s="19"/>
      <c r="AH102" s="8"/>
      <c r="AI102" s="8"/>
      <c r="AJ102" s="8"/>
      <c r="AK102" s="19"/>
    </row>
    <row r="103" ht="13.5" spans="1:37">
      <c r="A103" s="20">
        <v>6.3</v>
      </c>
      <c r="B103" s="55" t="s">
        <v>212</v>
      </c>
      <c r="C103" s="21"/>
      <c r="D103" s="21"/>
      <c r="E103" s="21"/>
      <c r="F103" s="8"/>
      <c r="G103" s="55"/>
      <c r="H103" s="8"/>
      <c r="I103" s="30"/>
      <c r="J103" s="8"/>
      <c r="K103" s="8">
        <f>SUM(K104:K117)</f>
        <v>2529433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>
        <v>0</v>
      </c>
      <c r="AA103" s="8"/>
      <c r="AB103" s="8"/>
      <c r="AC103" s="8"/>
      <c r="AD103" s="8"/>
      <c r="AE103" s="62"/>
      <c r="AF103" s="8"/>
      <c r="AG103" s="19"/>
      <c r="AH103" s="8"/>
      <c r="AI103" s="8"/>
      <c r="AJ103" s="8"/>
      <c r="AK103" s="19"/>
    </row>
    <row r="104" ht="13.5" spans="1:37">
      <c r="A104" s="20"/>
      <c r="B104" s="56" t="s">
        <v>213</v>
      </c>
      <c r="C104" s="57">
        <v>1.5</v>
      </c>
      <c r="D104" s="57" t="s">
        <v>214</v>
      </c>
      <c r="E104" s="21"/>
      <c r="F104" s="8">
        <v>250000</v>
      </c>
      <c r="G104" s="55">
        <v>25000</v>
      </c>
      <c r="H104" s="8">
        <v>27000</v>
      </c>
      <c r="I104" s="30"/>
      <c r="J104" s="8">
        <f t="shared" si="53"/>
        <v>302000</v>
      </c>
      <c r="K104" s="8">
        <f t="shared" ref="K104:K117" si="54">ROUND(C104*J104,)</f>
        <v>453000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>
        <v>0</v>
      </c>
      <c r="AA104" s="8"/>
      <c r="AB104" s="8"/>
      <c r="AC104" s="8"/>
      <c r="AD104" s="8"/>
      <c r="AE104" s="62"/>
      <c r="AF104" s="8"/>
      <c r="AG104" s="19"/>
      <c r="AH104" s="8"/>
      <c r="AI104" s="8"/>
      <c r="AJ104" s="8"/>
      <c r="AK104" s="19"/>
    </row>
    <row r="105" ht="13.5" spans="1:37">
      <c r="A105" s="20"/>
      <c r="B105" s="56" t="s">
        <v>215</v>
      </c>
      <c r="C105" s="57">
        <v>1.1</v>
      </c>
      <c r="D105" s="57" t="s">
        <v>214</v>
      </c>
      <c r="E105" s="21"/>
      <c r="F105" s="8">
        <v>180000</v>
      </c>
      <c r="G105" s="55">
        <v>22000</v>
      </c>
      <c r="H105" s="8">
        <v>25000</v>
      </c>
      <c r="I105" s="30"/>
      <c r="J105" s="8">
        <f t="shared" si="53"/>
        <v>227000</v>
      </c>
      <c r="K105" s="8">
        <f t="shared" si="54"/>
        <v>249700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>
        <v>0</v>
      </c>
      <c r="AA105" s="8"/>
      <c r="AB105" s="8"/>
      <c r="AC105" s="8"/>
      <c r="AD105" s="8"/>
      <c r="AE105" s="62"/>
      <c r="AF105" s="8"/>
      <c r="AG105" s="19"/>
      <c r="AH105" s="8"/>
      <c r="AI105" s="8"/>
      <c r="AJ105" s="8"/>
      <c r="AK105" s="19"/>
    </row>
    <row r="106" ht="13.5" spans="1:37">
      <c r="A106" s="20"/>
      <c r="B106" s="56" t="s">
        <v>216</v>
      </c>
      <c r="C106" s="57">
        <v>1.2</v>
      </c>
      <c r="D106" s="57" t="s">
        <v>214</v>
      </c>
      <c r="E106" s="21"/>
      <c r="F106" s="8">
        <v>89000</v>
      </c>
      <c r="G106" s="55">
        <v>12000</v>
      </c>
      <c r="H106" s="8">
        <v>12000</v>
      </c>
      <c r="I106" s="30"/>
      <c r="J106" s="8">
        <f t="shared" si="53"/>
        <v>113000</v>
      </c>
      <c r="K106" s="8">
        <f t="shared" si="54"/>
        <v>135600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>
        <v>0</v>
      </c>
      <c r="AA106" s="8"/>
      <c r="AB106" s="8"/>
      <c r="AC106" s="8"/>
      <c r="AD106" s="8"/>
      <c r="AE106" s="62"/>
      <c r="AF106" s="8"/>
      <c r="AG106" s="19"/>
      <c r="AH106" s="8"/>
      <c r="AI106" s="8"/>
      <c r="AJ106" s="8"/>
      <c r="AK106" s="19"/>
    </row>
    <row r="107" ht="13.5" spans="1:37">
      <c r="A107" s="20"/>
      <c r="B107" s="56" t="s">
        <v>217</v>
      </c>
      <c r="C107" s="57">
        <v>1.1</v>
      </c>
      <c r="D107" s="57" t="s">
        <v>214</v>
      </c>
      <c r="E107" s="21"/>
      <c r="F107" s="8">
        <v>52000</v>
      </c>
      <c r="G107" s="55">
        <v>9000</v>
      </c>
      <c r="H107" s="8">
        <v>5000</v>
      </c>
      <c r="I107" s="30"/>
      <c r="J107" s="8">
        <f t="shared" si="53"/>
        <v>66000</v>
      </c>
      <c r="K107" s="8">
        <f t="shared" si="54"/>
        <v>72600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>
        <v>0</v>
      </c>
      <c r="AA107" s="8"/>
      <c r="AB107" s="8"/>
      <c r="AC107" s="8"/>
      <c r="AD107" s="8"/>
      <c r="AE107" s="62"/>
      <c r="AF107" s="8"/>
      <c r="AG107" s="19"/>
      <c r="AH107" s="8"/>
      <c r="AI107" s="8"/>
      <c r="AJ107" s="8"/>
      <c r="AK107" s="19"/>
    </row>
    <row r="108" ht="13.5" spans="1:37">
      <c r="A108" s="20"/>
      <c r="B108" s="56" t="s">
        <v>218</v>
      </c>
      <c r="C108" s="57">
        <v>2.3</v>
      </c>
      <c r="D108" s="57" t="s">
        <v>214</v>
      </c>
      <c r="E108" s="21"/>
      <c r="F108" s="8">
        <v>40000</v>
      </c>
      <c r="G108" s="55">
        <v>7500</v>
      </c>
      <c r="H108" s="8">
        <v>4200</v>
      </c>
      <c r="I108" s="30"/>
      <c r="J108" s="8">
        <f t="shared" si="53"/>
        <v>51700</v>
      </c>
      <c r="K108" s="8">
        <f t="shared" si="54"/>
        <v>118910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>
        <v>0</v>
      </c>
      <c r="AA108" s="8"/>
      <c r="AB108" s="8"/>
      <c r="AC108" s="8"/>
      <c r="AD108" s="8"/>
      <c r="AE108" s="62"/>
      <c r="AF108" s="8"/>
      <c r="AG108" s="19"/>
      <c r="AH108" s="8"/>
      <c r="AI108" s="8"/>
      <c r="AJ108" s="8"/>
      <c r="AK108" s="19"/>
    </row>
    <row r="109" ht="13.5" spans="1:37">
      <c r="A109" s="20"/>
      <c r="B109" s="56" t="s">
        <v>219</v>
      </c>
      <c r="C109" s="57">
        <v>1.9</v>
      </c>
      <c r="D109" s="57" t="s">
        <v>214</v>
      </c>
      <c r="E109" s="21"/>
      <c r="F109" s="8">
        <v>17000</v>
      </c>
      <c r="G109" s="55">
        <v>5000</v>
      </c>
      <c r="H109" s="8">
        <v>1050</v>
      </c>
      <c r="I109" s="30"/>
      <c r="J109" s="8">
        <f t="shared" si="53"/>
        <v>23050</v>
      </c>
      <c r="K109" s="8">
        <f t="shared" si="54"/>
        <v>43795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>
        <v>0</v>
      </c>
      <c r="AA109" s="8"/>
      <c r="AB109" s="8"/>
      <c r="AC109" s="8"/>
      <c r="AD109" s="8"/>
      <c r="AE109" s="62"/>
      <c r="AF109" s="8"/>
      <c r="AG109" s="19"/>
      <c r="AH109" s="8"/>
      <c r="AI109" s="8"/>
      <c r="AJ109" s="8"/>
      <c r="AK109" s="19"/>
    </row>
    <row r="110" ht="13.5" spans="1:37">
      <c r="A110" s="20"/>
      <c r="B110" s="56" t="s">
        <v>220</v>
      </c>
      <c r="C110" s="57">
        <f>3*2.2</f>
        <v>6.6</v>
      </c>
      <c r="D110" s="57" t="s">
        <v>221</v>
      </c>
      <c r="E110" s="21"/>
      <c r="F110" s="8"/>
      <c r="G110" s="55"/>
      <c r="H110" s="8"/>
      <c r="I110" s="30"/>
      <c r="J110" s="8">
        <v>550</v>
      </c>
      <c r="K110" s="8">
        <f t="shared" si="54"/>
        <v>3630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>
        <v>0</v>
      </c>
      <c r="AA110" s="8"/>
      <c r="AB110" s="8"/>
      <c r="AC110" s="8"/>
      <c r="AD110" s="8"/>
      <c r="AE110" s="62"/>
      <c r="AF110" s="8"/>
      <c r="AG110" s="19"/>
      <c r="AH110" s="8"/>
      <c r="AI110" s="8"/>
      <c r="AJ110" s="8"/>
      <c r="AK110" s="19"/>
    </row>
    <row r="111" ht="13.5" spans="1:37">
      <c r="A111" s="20"/>
      <c r="B111" s="56" t="s">
        <v>222</v>
      </c>
      <c r="C111" s="57">
        <v>2</v>
      </c>
      <c r="D111" s="57" t="s">
        <v>223</v>
      </c>
      <c r="E111" s="21"/>
      <c r="F111" s="8">
        <v>15000</v>
      </c>
      <c r="G111" s="55">
        <v>6000</v>
      </c>
      <c r="H111" s="8">
        <v>2700</v>
      </c>
      <c r="I111" s="30">
        <f>ROUND(SUM(F111:H111)*0.1,2)</f>
        <v>2370</v>
      </c>
      <c r="J111" s="8">
        <f>SUM(F111:I111)</f>
        <v>26070</v>
      </c>
      <c r="K111" s="8">
        <f t="shared" si="54"/>
        <v>52140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>
        <v>0</v>
      </c>
      <c r="AA111" s="8"/>
      <c r="AB111" s="8"/>
      <c r="AC111" s="8"/>
      <c r="AD111" s="8"/>
      <c r="AE111" s="62"/>
      <c r="AF111" s="8"/>
      <c r="AG111" s="19"/>
      <c r="AH111" s="8"/>
      <c r="AI111" s="8"/>
      <c r="AJ111" s="8"/>
      <c r="AK111" s="19"/>
    </row>
    <row r="112" ht="13.5" spans="1:37">
      <c r="A112" s="20"/>
      <c r="B112" s="56" t="s">
        <v>224</v>
      </c>
      <c r="C112" s="57">
        <v>1</v>
      </c>
      <c r="D112" s="57" t="s">
        <v>195</v>
      </c>
      <c r="E112" s="21"/>
      <c r="F112" s="8"/>
      <c r="G112" s="55"/>
      <c r="H112" s="8">
        <f>30000*40+(1000*1.4)*40</f>
        <v>1256000</v>
      </c>
      <c r="I112" s="30"/>
      <c r="J112" s="8">
        <f>SUM(F112:I112)</f>
        <v>1256000</v>
      </c>
      <c r="K112" s="8">
        <f t="shared" si="54"/>
        <v>1256000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>
        <v>0</v>
      </c>
      <c r="AA112" s="8"/>
      <c r="AB112" s="8"/>
      <c r="AC112" s="8"/>
      <c r="AD112" s="8"/>
      <c r="AE112" s="62"/>
      <c r="AF112" s="8"/>
      <c r="AG112" s="19"/>
      <c r="AH112" s="8"/>
      <c r="AI112" s="8"/>
      <c r="AJ112" s="8"/>
      <c r="AK112" s="19"/>
    </row>
    <row r="113" ht="13.5" spans="1:37">
      <c r="A113" s="20"/>
      <c r="B113" s="56" t="s">
        <v>225</v>
      </c>
      <c r="C113" s="57">
        <v>48</v>
      </c>
      <c r="D113" s="57" t="s">
        <v>221</v>
      </c>
      <c r="E113" s="21"/>
      <c r="F113" s="8"/>
      <c r="G113" s="55"/>
      <c r="H113" s="8"/>
      <c r="I113" s="30"/>
      <c r="J113" s="8">
        <v>550</v>
      </c>
      <c r="K113" s="8">
        <f t="shared" si="54"/>
        <v>26400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>
        <v>0</v>
      </c>
      <c r="AA113" s="8"/>
      <c r="AB113" s="8"/>
      <c r="AC113" s="8"/>
      <c r="AD113" s="8"/>
      <c r="AE113" s="62"/>
      <c r="AF113" s="8"/>
      <c r="AG113" s="19"/>
      <c r="AH113" s="8"/>
      <c r="AI113" s="8"/>
      <c r="AJ113" s="8"/>
      <c r="AK113" s="19"/>
    </row>
    <row r="114" ht="13.5" spans="1:37">
      <c r="A114" s="20"/>
      <c r="B114" s="56" t="s">
        <v>226</v>
      </c>
      <c r="C114" s="57">
        <v>1175</v>
      </c>
      <c r="D114" s="57" t="s">
        <v>54</v>
      </c>
      <c r="E114" s="21"/>
      <c r="F114" s="8"/>
      <c r="G114" s="55"/>
      <c r="H114" s="8"/>
      <c r="I114" s="30"/>
      <c r="J114" s="8">
        <f>J96</f>
        <v>5.5</v>
      </c>
      <c r="K114" s="8">
        <f t="shared" si="54"/>
        <v>6463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>
        <v>0</v>
      </c>
      <c r="AA114" s="8"/>
      <c r="AB114" s="8"/>
      <c r="AC114" s="8"/>
      <c r="AD114" s="8"/>
      <c r="AE114" s="62"/>
      <c r="AF114" s="8"/>
      <c r="AG114" s="19"/>
      <c r="AH114" s="8"/>
      <c r="AI114" s="8"/>
      <c r="AJ114" s="8"/>
      <c r="AK114" s="19"/>
    </row>
    <row r="115" ht="13.5" spans="1:37">
      <c r="A115" s="20"/>
      <c r="B115" s="56" t="s">
        <v>227</v>
      </c>
      <c r="C115" s="57">
        <v>350</v>
      </c>
      <c r="D115" s="57" t="s">
        <v>54</v>
      </c>
      <c r="E115" s="21"/>
      <c r="F115" s="8"/>
      <c r="G115" s="55"/>
      <c r="H115" s="8"/>
      <c r="I115" s="30"/>
      <c r="J115" s="8">
        <f>J97</f>
        <v>27.47</v>
      </c>
      <c r="K115" s="8">
        <f t="shared" si="54"/>
        <v>9615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>
        <v>0</v>
      </c>
      <c r="AA115" s="8"/>
      <c r="AB115" s="8"/>
      <c r="AC115" s="8"/>
      <c r="AD115" s="8"/>
      <c r="AE115" s="62"/>
      <c r="AF115" s="8"/>
      <c r="AG115" s="19"/>
      <c r="AH115" s="8"/>
      <c r="AI115" s="8"/>
      <c r="AJ115" s="8"/>
      <c r="AK115" s="19"/>
    </row>
    <row r="116" ht="13.5" spans="1:37">
      <c r="A116" s="20"/>
      <c r="B116" s="56" t="s">
        <v>228</v>
      </c>
      <c r="C116" s="57">
        <v>2</v>
      </c>
      <c r="D116" s="57" t="s">
        <v>223</v>
      </c>
      <c r="E116" s="21"/>
      <c r="F116" s="8"/>
      <c r="G116" s="55"/>
      <c r="H116" s="8"/>
      <c r="I116" s="30"/>
      <c r="J116" s="8">
        <v>30000</v>
      </c>
      <c r="K116" s="8">
        <f t="shared" si="54"/>
        <v>60000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>
        <v>0</v>
      </c>
      <c r="AA116" s="8"/>
      <c r="AB116" s="8"/>
      <c r="AC116" s="8"/>
      <c r="AD116" s="8"/>
      <c r="AE116" s="62"/>
      <c r="AF116" s="8"/>
      <c r="AG116" s="19"/>
      <c r="AH116" s="8"/>
      <c r="AI116" s="8"/>
      <c r="AJ116" s="8"/>
      <c r="AK116" s="19"/>
    </row>
    <row r="117" ht="13.5" spans="1:37">
      <c r="A117" s="20"/>
      <c r="B117" s="56" t="s">
        <v>229</v>
      </c>
      <c r="C117" s="57">
        <v>90</v>
      </c>
      <c r="D117" s="57" t="s">
        <v>54</v>
      </c>
      <c r="E117" s="21"/>
      <c r="F117" s="8">
        <v>250</v>
      </c>
      <c r="G117" s="55">
        <v>120</v>
      </c>
      <c r="H117" s="8">
        <v>50</v>
      </c>
      <c r="I117" s="30">
        <f t="shared" ref="I117:I120" si="55">ROUND(SUM(F117:H117)*0.1,2)</f>
        <v>42</v>
      </c>
      <c r="J117" s="8">
        <f t="shared" ref="J117:J120" si="56">SUM(F117:I117)</f>
        <v>462</v>
      </c>
      <c r="K117" s="8">
        <f t="shared" si="54"/>
        <v>41580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>
        <v>0</v>
      </c>
      <c r="AA117" s="8"/>
      <c r="AB117" s="8"/>
      <c r="AC117" s="8"/>
      <c r="AD117" s="8"/>
      <c r="AE117" s="62"/>
      <c r="AF117" s="8"/>
      <c r="AG117" s="19"/>
      <c r="AH117" s="8"/>
      <c r="AI117" s="8"/>
      <c r="AJ117" s="8"/>
      <c r="AK117" s="19"/>
    </row>
    <row r="118" ht="13.5" spans="1:37">
      <c r="A118" s="20">
        <v>6.4</v>
      </c>
      <c r="B118" s="55" t="s">
        <v>230</v>
      </c>
      <c r="C118" s="21"/>
      <c r="D118" s="21"/>
      <c r="E118" s="21"/>
      <c r="F118" s="8"/>
      <c r="G118" s="55"/>
      <c r="H118" s="8"/>
      <c r="I118" s="30">
        <f t="shared" si="55"/>
        <v>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>
        <v>0</v>
      </c>
      <c r="AA118" s="8"/>
      <c r="AB118" s="8"/>
      <c r="AC118" s="8"/>
      <c r="AD118" s="8"/>
      <c r="AE118" s="62"/>
      <c r="AF118" s="8"/>
      <c r="AG118" s="19"/>
      <c r="AH118" s="8"/>
      <c r="AI118" s="8"/>
      <c r="AJ118" s="8"/>
      <c r="AK118" s="19"/>
    </row>
    <row r="119" ht="13.5" spans="1:37">
      <c r="A119" s="20"/>
      <c r="B119" s="56" t="s">
        <v>231</v>
      </c>
      <c r="C119" s="57">
        <f>1.1+0.6+0.75*2+0.5*2</f>
        <v>4.2</v>
      </c>
      <c r="D119" s="57" t="s">
        <v>214</v>
      </c>
      <c r="E119" s="21"/>
      <c r="F119" s="8">
        <v>40000</v>
      </c>
      <c r="G119" s="55">
        <v>7500</v>
      </c>
      <c r="H119" s="8">
        <v>4200</v>
      </c>
      <c r="I119" s="30">
        <f t="shared" si="55"/>
        <v>5170</v>
      </c>
      <c r="J119" s="8">
        <f t="shared" si="56"/>
        <v>56870</v>
      </c>
      <c r="K119" s="8">
        <f t="shared" ref="K119:K121" si="57">ROUND(C119*J119,)</f>
        <v>238854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>
        <v>0</v>
      </c>
      <c r="AA119" s="8"/>
      <c r="AB119" s="8"/>
      <c r="AC119" s="8"/>
      <c r="AD119" s="8"/>
      <c r="AE119" s="62"/>
      <c r="AF119" s="8"/>
      <c r="AG119" s="19"/>
      <c r="AH119" s="8"/>
      <c r="AI119" s="8"/>
      <c r="AJ119" s="8"/>
      <c r="AK119" s="19"/>
    </row>
    <row r="120" ht="13.5" spans="1:37">
      <c r="A120" s="20"/>
      <c r="B120" s="56" t="s">
        <v>232</v>
      </c>
      <c r="C120" s="57">
        <f>3</f>
        <v>3</v>
      </c>
      <c r="D120" s="57" t="s">
        <v>214</v>
      </c>
      <c r="E120" s="21"/>
      <c r="F120" s="8">
        <v>17000</v>
      </c>
      <c r="G120" s="55">
        <v>5000</v>
      </c>
      <c r="H120" s="8">
        <v>1050</v>
      </c>
      <c r="I120" s="30">
        <f t="shared" si="55"/>
        <v>2305</v>
      </c>
      <c r="J120" s="8">
        <f t="shared" si="56"/>
        <v>25355</v>
      </c>
      <c r="K120" s="8">
        <f t="shared" si="57"/>
        <v>76065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>
        <v>0</v>
      </c>
      <c r="AA120" s="8"/>
      <c r="AB120" s="8"/>
      <c r="AC120" s="8"/>
      <c r="AD120" s="8"/>
      <c r="AE120" s="62"/>
      <c r="AF120" s="8"/>
      <c r="AG120" s="19"/>
      <c r="AH120" s="8"/>
      <c r="AI120" s="8"/>
      <c r="AJ120" s="8"/>
      <c r="AK120" s="19"/>
    </row>
    <row r="121" ht="13.5" spans="1:37">
      <c r="A121" s="20"/>
      <c r="B121" s="56" t="s">
        <v>233</v>
      </c>
      <c r="C121" s="57">
        <f>6*2*2</f>
        <v>24</v>
      </c>
      <c r="D121" s="26" t="s">
        <v>89</v>
      </c>
      <c r="E121" s="21"/>
      <c r="F121" s="8"/>
      <c r="G121" s="55"/>
      <c r="H121" s="8"/>
      <c r="I121" s="30"/>
      <c r="J121" s="8">
        <v>200</v>
      </c>
      <c r="K121" s="8">
        <f t="shared" si="57"/>
        <v>4800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>
        <v>0</v>
      </c>
      <c r="AA121" s="8"/>
      <c r="AB121" s="8"/>
      <c r="AC121" s="8"/>
      <c r="AD121" s="8"/>
      <c r="AE121" s="62"/>
      <c r="AF121" s="8"/>
      <c r="AG121" s="19"/>
      <c r="AH121" s="8"/>
      <c r="AI121" s="8"/>
      <c r="AJ121" s="8"/>
      <c r="AK121" s="19"/>
    </row>
    <row r="122" ht="13.5" spans="1:37">
      <c r="A122" s="20">
        <v>6.5</v>
      </c>
      <c r="B122" s="55" t="s">
        <v>234</v>
      </c>
      <c r="C122" s="21"/>
      <c r="D122" s="21"/>
      <c r="E122" s="21"/>
      <c r="F122" s="8"/>
      <c r="G122" s="55"/>
      <c r="H122" s="8"/>
      <c r="I122" s="30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44">
        <v>0</v>
      </c>
      <c r="AA122" s="8"/>
      <c r="AB122" s="8"/>
      <c r="AC122" s="8"/>
      <c r="AD122" s="8"/>
      <c r="AE122" s="62"/>
      <c r="AF122" s="8"/>
      <c r="AG122" s="19"/>
      <c r="AH122" s="8"/>
      <c r="AI122" s="8"/>
      <c r="AJ122" s="8"/>
      <c r="AK122" s="19"/>
    </row>
    <row r="123" ht="13.5" spans="1:37">
      <c r="A123" s="20"/>
      <c r="B123" s="56" t="s">
        <v>235</v>
      </c>
      <c r="C123" s="57">
        <v>11.7</v>
      </c>
      <c r="D123" s="57" t="s">
        <v>214</v>
      </c>
      <c r="E123" s="57">
        <v>11.7</v>
      </c>
      <c r="F123" s="8">
        <v>15000</v>
      </c>
      <c r="G123" s="55">
        <v>20000</v>
      </c>
      <c r="H123" s="8"/>
      <c r="I123" s="30"/>
      <c r="J123" s="8">
        <f>SUM(F123:I123)</f>
        <v>35000</v>
      </c>
      <c r="K123" s="8">
        <f t="shared" ref="K123:K125" si="58">ROUND(C123*J123,)</f>
        <v>409500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44">
        <v>0</v>
      </c>
      <c r="AA123" s="8"/>
      <c r="AB123" s="8"/>
      <c r="AC123" s="8"/>
      <c r="AD123" s="8"/>
      <c r="AE123" s="62"/>
      <c r="AF123" s="8"/>
      <c r="AG123" s="19"/>
      <c r="AH123" s="8"/>
      <c r="AI123" s="8"/>
      <c r="AJ123" s="8"/>
      <c r="AK123" s="19"/>
    </row>
    <row r="124" ht="13.5" spans="1:37">
      <c r="A124" s="20">
        <v>6.7</v>
      </c>
      <c r="B124" s="55" t="s">
        <v>236</v>
      </c>
      <c r="C124" s="21">
        <v>1</v>
      </c>
      <c r="D124" s="21" t="s">
        <v>195</v>
      </c>
      <c r="E124" s="21"/>
      <c r="F124" s="8"/>
      <c r="G124" s="55"/>
      <c r="H124" s="8"/>
      <c r="I124" s="30"/>
      <c r="J124" s="8">
        <v>250000</v>
      </c>
      <c r="K124" s="8">
        <f t="shared" si="58"/>
        <v>250000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>
        <v>0</v>
      </c>
      <c r="AA124" s="8"/>
      <c r="AB124" s="8"/>
      <c r="AC124" s="8"/>
      <c r="AD124" s="8"/>
      <c r="AE124" s="62"/>
      <c r="AF124" s="8"/>
      <c r="AG124" s="19"/>
      <c r="AH124" s="8"/>
      <c r="AI124" s="8"/>
      <c r="AJ124" s="8"/>
      <c r="AK124" s="19"/>
    </row>
    <row r="125" ht="13.5" spans="1:37">
      <c r="A125" s="20">
        <v>6.8</v>
      </c>
      <c r="B125" s="55" t="s">
        <v>237</v>
      </c>
      <c r="C125" s="21">
        <v>1</v>
      </c>
      <c r="D125" s="21" t="s">
        <v>195</v>
      </c>
      <c r="E125" s="21"/>
      <c r="F125" s="8"/>
      <c r="G125" s="55"/>
      <c r="H125" s="8"/>
      <c r="I125" s="30"/>
      <c r="J125" s="8">
        <v>400000</v>
      </c>
      <c r="K125" s="8">
        <f t="shared" si="58"/>
        <v>400000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>
        <v>0</v>
      </c>
      <c r="AA125" s="8"/>
      <c r="AB125" s="8"/>
      <c r="AC125" s="8"/>
      <c r="AD125" s="8"/>
      <c r="AE125" s="62"/>
      <c r="AF125" s="8"/>
      <c r="AG125" s="19"/>
      <c r="AH125" s="8"/>
      <c r="AI125" s="8"/>
      <c r="AJ125" s="8"/>
      <c r="AK125" s="19"/>
    </row>
    <row r="126" ht="13.5" spans="1:37">
      <c r="A126" s="20">
        <v>6.9</v>
      </c>
      <c r="B126" s="55" t="s">
        <v>238</v>
      </c>
      <c r="C126" s="21"/>
      <c r="D126" s="21"/>
      <c r="E126" s="21"/>
      <c r="F126" s="8"/>
      <c r="G126" s="55"/>
      <c r="H126" s="8"/>
      <c r="I126" s="30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>
        <v>0</v>
      </c>
      <c r="AA126" s="8"/>
      <c r="AB126" s="8"/>
      <c r="AC126" s="8"/>
      <c r="AD126" s="8"/>
      <c r="AE126" s="62"/>
      <c r="AF126" s="8"/>
      <c r="AG126" s="19"/>
      <c r="AH126" s="8"/>
      <c r="AI126" s="8"/>
      <c r="AJ126" s="8"/>
      <c r="AK126" s="19"/>
    </row>
    <row r="127" ht="13.5" spans="1:37">
      <c r="A127" s="20" t="s">
        <v>239</v>
      </c>
      <c r="B127" s="58" t="s">
        <v>240</v>
      </c>
      <c r="C127" s="21">
        <v>1</v>
      </c>
      <c r="D127" s="21" t="s">
        <v>195</v>
      </c>
      <c r="E127" s="21"/>
      <c r="F127" s="8"/>
      <c r="G127" s="55"/>
      <c r="H127" s="8"/>
      <c r="I127" s="30"/>
      <c r="J127" s="8">
        <v>500000</v>
      </c>
      <c r="K127" s="8">
        <f t="shared" ref="K127:K131" si="59">ROUND(C127*J127,)</f>
        <v>500000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>
        <v>0</v>
      </c>
      <c r="AA127" s="8"/>
      <c r="AB127" s="8"/>
      <c r="AC127" s="8"/>
      <c r="AD127" s="8"/>
      <c r="AE127" s="62"/>
      <c r="AF127" s="8"/>
      <c r="AG127" s="19"/>
      <c r="AH127" s="8"/>
      <c r="AI127" s="8"/>
      <c r="AJ127" s="8"/>
      <c r="AK127" s="19"/>
    </row>
    <row r="128" ht="13.5" spans="1:37">
      <c r="A128" s="20" t="s">
        <v>241</v>
      </c>
      <c r="B128" s="55" t="s">
        <v>242</v>
      </c>
      <c r="C128" s="21">
        <v>6500</v>
      </c>
      <c r="D128" s="21" t="s">
        <v>243</v>
      </c>
      <c r="E128" s="21"/>
      <c r="F128" s="8"/>
      <c r="G128" s="55"/>
      <c r="H128" s="8"/>
      <c r="I128" s="30">
        <f>420</f>
        <v>420</v>
      </c>
      <c r="J128" s="8">
        <f t="shared" ref="J128:J131" si="60">SUM(F128:I128)</f>
        <v>420</v>
      </c>
      <c r="K128" s="8">
        <f t="shared" si="59"/>
        <v>2730000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>
        <v>0</v>
      </c>
      <c r="AA128" s="8"/>
      <c r="AB128" s="8"/>
      <c r="AC128" s="8"/>
      <c r="AD128" s="8"/>
      <c r="AE128" s="62"/>
      <c r="AF128" s="8"/>
      <c r="AG128" s="19"/>
      <c r="AH128" s="8"/>
      <c r="AI128" s="8"/>
      <c r="AJ128" s="8"/>
      <c r="AK128" s="19"/>
    </row>
    <row r="129" ht="13.5" spans="1:37">
      <c r="A129" s="20" t="s">
        <v>244</v>
      </c>
      <c r="B129" s="55" t="s">
        <v>245</v>
      </c>
      <c r="C129" s="21">
        <v>1</v>
      </c>
      <c r="D129" s="21" t="s">
        <v>195</v>
      </c>
      <c r="E129" s="21"/>
      <c r="F129" s="8"/>
      <c r="G129" s="55"/>
      <c r="H129" s="8"/>
      <c r="I129" s="30"/>
      <c r="J129" s="8">
        <f>150000*3</f>
        <v>450000</v>
      </c>
      <c r="K129" s="8">
        <f t="shared" si="59"/>
        <v>450000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>
        <v>0</v>
      </c>
      <c r="AA129" s="8"/>
      <c r="AB129" s="8"/>
      <c r="AC129" s="8"/>
      <c r="AD129" s="8"/>
      <c r="AE129" s="62"/>
      <c r="AF129" s="8"/>
      <c r="AG129" s="19"/>
      <c r="AH129" s="8"/>
      <c r="AI129" s="8"/>
      <c r="AJ129" s="8"/>
      <c r="AK129" s="19"/>
    </row>
    <row r="130" ht="13.5" spans="1:37">
      <c r="A130" s="20" t="s">
        <v>246</v>
      </c>
      <c r="B130" s="58" t="s">
        <v>247</v>
      </c>
      <c r="C130" s="21">
        <v>200000</v>
      </c>
      <c r="D130" s="21" t="s">
        <v>243</v>
      </c>
      <c r="E130" s="21"/>
      <c r="F130" s="8"/>
      <c r="G130" s="55"/>
      <c r="H130" s="8"/>
      <c r="I130" s="30">
        <v>10</v>
      </c>
      <c r="J130" s="8">
        <f t="shared" si="60"/>
        <v>10</v>
      </c>
      <c r="K130" s="8">
        <f t="shared" si="59"/>
        <v>2000000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>
        <v>0</v>
      </c>
      <c r="AA130" s="8"/>
      <c r="AB130" s="8"/>
      <c r="AC130" s="8"/>
      <c r="AD130" s="8"/>
      <c r="AE130" s="62"/>
      <c r="AF130" s="8"/>
      <c r="AG130" s="19"/>
      <c r="AH130" s="8"/>
      <c r="AI130" s="8"/>
      <c r="AJ130" s="8"/>
      <c r="AK130" s="19"/>
    </row>
    <row r="131" ht="13.5" spans="1:37">
      <c r="A131" s="20" t="s">
        <v>248</v>
      </c>
      <c r="B131" s="58" t="s">
        <v>249</v>
      </c>
      <c r="C131" s="21">
        <v>1</v>
      </c>
      <c r="D131" s="21" t="s">
        <v>195</v>
      </c>
      <c r="E131" s="21"/>
      <c r="F131" s="8"/>
      <c r="G131" s="55"/>
      <c r="H131" s="8"/>
      <c r="I131" s="30">
        <v>640000</v>
      </c>
      <c r="J131" s="8">
        <f t="shared" si="60"/>
        <v>640000</v>
      </c>
      <c r="K131" s="8">
        <f t="shared" si="59"/>
        <v>640000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>
        <v>0</v>
      </c>
      <c r="AA131" s="8"/>
      <c r="AB131" s="8"/>
      <c r="AC131" s="8"/>
      <c r="AD131" s="8"/>
      <c r="AE131" s="62"/>
      <c r="AF131" s="8"/>
      <c r="AG131" s="19"/>
      <c r="AH131" s="8"/>
      <c r="AI131" s="8"/>
      <c r="AJ131" s="8"/>
      <c r="AK131" s="19"/>
    </row>
    <row r="132" ht="13.5" spans="1:42">
      <c r="A132" s="50">
        <v>7</v>
      </c>
      <c r="B132" s="27" t="s">
        <v>250</v>
      </c>
      <c r="C132" s="51"/>
      <c r="D132" s="51"/>
      <c r="E132" s="51"/>
      <c r="F132" s="19"/>
      <c r="G132" s="52"/>
      <c r="H132" s="19"/>
      <c r="I132" s="59"/>
      <c r="J132" s="19"/>
      <c r="K132" s="19">
        <f>SUM(K133:K135)</f>
        <v>7257974</v>
      </c>
      <c r="L132" s="19"/>
      <c r="M132" s="60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61">
        <v>0</v>
      </c>
      <c r="AA132" s="19"/>
      <c r="AB132" s="19"/>
      <c r="AC132" s="19"/>
      <c r="AD132" s="19"/>
      <c r="AE132" s="3"/>
      <c r="AF132" s="19"/>
      <c r="AG132" s="19"/>
      <c r="AH132" s="19"/>
      <c r="AI132" s="19"/>
      <c r="AJ132" s="19"/>
      <c r="AK132" s="19"/>
      <c r="AL132" s="3"/>
      <c r="AM132" s="3"/>
      <c r="AN132" s="3"/>
      <c r="AO132" s="3"/>
      <c r="AP132" s="3"/>
    </row>
    <row r="133" ht="13.5" spans="1:39">
      <c r="A133" s="20">
        <v>7.1</v>
      </c>
      <c r="B133" s="56" t="s">
        <v>251</v>
      </c>
      <c r="C133" s="57">
        <f>(1200+340*2)*2*2</f>
        <v>7520</v>
      </c>
      <c r="D133" s="26" t="s">
        <v>54</v>
      </c>
      <c r="E133" s="21"/>
      <c r="F133" s="8">
        <f>ROUND(SUMPRODUCT($M$9:$Y$9,M133:Y133),2)</f>
        <v>2.48</v>
      </c>
      <c r="G133" s="22">
        <f t="shared" ref="G133:G135" si="61">SUMPRODUCT($Z$9,Z133)</f>
        <v>8.58</v>
      </c>
      <c r="H133" s="8">
        <f>ROUND(SUMPRODUCT($AA$9:$AC$9,AA133:AC133)+3.5,2)</f>
        <v>6.56</v>
      </c>
      <c r="I133" s="30">
        <f t="shared" ref="I133:I135" si="62">ROUND(SUM(F133:H133)*0.1,2)</f>
        <v>1.76</v>
      </c>
      <c r="J133" s="8">
        <f t="shared" ref="J133:J135" si="63">SUM(F133:I133)</f>
        <v>19.38</v>
      </c>
      <c r="K133" s="8">
        <f t="shared" ref="K133:K135" si="64">ROUND(C133*J133,)</f>
        <v>145738</v>
      </c>
      <c r="L133" s="8"/>
      <c r="M133" s="31">
        <f>ROUND(SUMPRODUCT($AA$5:$AC$5,AA133:AC133),2)</f>
        <v>0.33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44">
        <v>0.429</v>
      </c>
      <c r="AA133" s="8"/>
      <c r="AB133" s="8">
        <f>ROUND(AK133,3)</f>
        <v>0.009</v>
      </c>
      <c r="AC133" s="8">
        <f>ROUND(AG133,3)</f>
        <v>0.009</v>
      </c>
      <c r="AD133" s="8"/>
      <c r="AE133" s="1">
        <f>$AF$15+AM133</f>
        <v>1.4</v>
      </c>
      <c r="AF133" s="8">
        <v>3</v>
      </c>
      <c r="AG133" s="19">
        <f>AF133/$AC$6</f>
        <v>0.00850340136054422</v>
      </c>
      <c r="AH133" s="8">
        <f>$AG$10/$AI$9*$AI$11</f>
        <v>1.75</v>
      </c>
      <c r="AI133" s="8">
        <f>$AG$12*(AE133-1)*$AK$12*2</f>
        <v>0.42</v>
      </c>
      <c r="AJ133" s="8">
        <f>AH133+AI133</f>
        <v>2.17</v>
      </c>
      <c r="AK133" s="19">
        <f>AJ133/$AB$6</f>
        <v>0.00939922900333521</v>
      </c>
      <c r="AM133" s="1">
        <v>1</v>
      </c>
    </row>
    <row r="134" ht="13.5" spans="1:39">
      <c r="A134" s="20">
        <v>7.2</v>
      </c>
      <c r="B134" s="56" t="s">
        <v>201</v>
      </c>
      <c r="C134" s="57">
        <f>(1200+340)*15*0.5</f>
        <v>11550</v>
      </c>
      <c r="D134" s="26" t="s">
        <v>54</v>
      </c>
      <c r="E134" s="21"/>
      <c r="F134" s="8">
        <f>ROUND(SUMPRODUCT($M$9:$Y$9,M134:Y134),2)</f>
        <v>4.5</v>
      </c>
      <c r="G134" s="22">
        <f t="shared" si="61"/>
        <v>15.6</v>
      </c>
      <c r="H134" s="8">
        <f>ROUND(SUMPRODUCT($AA$9:$AC$9,AA134:AC134)+3.5,2)</f>
        <v>8.6</v>
      </c>
      <c r="I134" s="30">
        <f t="shared" si="62"/>
        <v>2.87</v>
      </c>
      <c r="J134" s="8">
        <f t="shared" si="63"/>
        <v>31.57</v>
      </c>
      <c r="K134" s="8">
        <f t="shared" si="64"/>
        <v>364634</v>
      </c>
      <c r="L134" s="8"/>
      <c r="M134" s="31">
        <f>ROUND(SUMPRODUCT($AA$5:$AC$5,AA134:AC134),2)</f>
        <v>0.6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44">
        <v>0.78</v>
      </c>
      <c r="AA134" s="8"/>
      <c r="AB134" s="8">
        <f>ROUND(AK134,3)</f>
        <v>0.026</v>
      </c>
      <c r="AC134" s="8">
        <f>ROUND(AG134,3)</f>
        <v>0.009</v>
      </c>
      <c r="AD134" s="8"/>
      <c r="AE134" s="1">
        <f>$AF$15+AM134</f>
        <v>3.4</v>
      </c>
      <c r="AF134" s="8">
        <v>3</v>
      </c>
      <c r="AG134" s="19">
        <f>AF134/$AC$6</f>
        <v>0.00850340136054422</v>
      </c>
      <c r="AH134" s="8">
        <f>$AG$9/$AI$11*$AI$12</f>
        <v>2.49171428571429</v>
      </c>
      <c r="AI134" s="8">
        <f>$AG$11*(AE134-1)*$AJ$12*2</f>
        <v>3.4944</v>
      </c>
      <c r="AJ134" s="8">
        <f>AH134+AI134</f>
        <v>5.98611428571428</v>
      </c>
      <c r="AK134" s="19">
        <f>AJ134/$AB$6</f>
        <v>0.0259285064569424</v>
      </c>
      <c r="AM134" s="1">
        <v>3</v>
      </c>
    </row>
    <row r="135" ht="13.5" spans="1:37">
      <c r="A135" s="20">
        <v>7.3</v>
      </c>
      <c r="B135" s="56" t="s">
        <v>205</v>
      </c>
      <c r="C135" s="57">
        <f>18*(1200+170*2)</f>
        <v>27720</v>
      </c>
      <c r="D135" s="26" t="s">
        <v>54</v>
      </c>
      <c r="E135" s="21"/>
      <c r="F135" s="8">
        <f>ROUND(SUMPRODUCT($M$9:$Y$9,M135:Y135)+1.18*40,2)</f>
        <v>118.59</v>
      </c>
      <c r="G135" s="22">
        <f t="shared" si="61"/>
        <v>91</v>
      </c>
      <c r="H135" s="8">
        <v>11.7</v>
      </c>
      <c r="I135" s="30">
        <f t="shared" si="62"/>
        <v>22.13</v>
      </c>
      <c r="J135" s="8">
        <f t="shared" si="63"/>
        <v>243.42</v>
      </c>
      <c r="K135" s="8">
        <f t="shared" si="64"/>
        <v>6747602</v>
      </c>
      <c r="L135" s="8"/>
      <c r="M135" s="8"/>
      <c r="N135" s="8"/>
      <c r="O135" s="8"/>
      <c r="P135" s="8"/>
      <c r="Q135" s="8"/>
      <c r="R135" s="8">
        <v>0.09</v>
      </c>
      <c r="S135" s="8"/>
      <c r="T135" s="8">
        <v>0.318</v>
      </c>
      <c r="U135" s="8"/>
      <c r="V135" s="8"/>
      <c r="W135" s="8"/>
      <c r="X135" s="8"/>
      <c r="Y135" s="8"/>
      <c r="Z135" s="8">
        <v>4.55</v>
      </c>
      <c r="AA135" s="8"/>
      <c r="AB135" s="8"/>
      <c r="AC135" s="8"/>
      <c r="AD135" s="8"/>
      <c r="AE135" s="62"/>
      <c r="AF135" s="8"/>
      <c r="AG135" s="19"/>
      <c r="AH135" s="8"/>
      <c r="AI135" s="8"/>
      <c r="AJ135" s="8"/>
      <c r="AK135" s="19"/>
    </row>
    <row r="136" ht="13.5" spans="1:42">
      <c r="A136" s="50">
        <v>8</v>
      </c>
      <c r="B136" s="27" t="s">
        <v>252</v>
      </c>
      <c r="C136" s="51"/>
      <c r="D136" s="51"/>
      <c r="E136" s="51"/>
      <c r="F136" s="19"/>
      <c r="G136" s="52"/>
      <c r="H136" s="19"/>
      <c r="I136" s="59"/>
      <c r="J136" s="19"/>
      <c r="K136" s="19">
        <f>SUM(K138:K201)</f>
        <v>15356616</v>
      </c>
      <c r="L136" s="19"/>
      <c r="M136" s="60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61">
        <v>0</v>
      </c>
      <c r="AA136" s="19"/>
      <c r="AB136" s="19"/>
      <c r="AC136" s="19"/>
      <c r="AD136" s="19"/>
      <c r="AE136" s="3"/>
      <c r="AF136" s="19"/>
      <c r="AG136" s="19"/>
      <c r="AH136" s="19"/>
      <c r="AI136" s="19"/>
      <c r="AJ136" s="19"/>
      <c r="AK136" s="19"/>
      <c r="AL136" s="3"/>
      <c r="AM136" s="3"/>
      <c r="AN136" s="3"/>
      <c r="AO136" s="3"/>
      <c r="AP136" s="3"/>
    </row>
    <row r="137" ht="13.5" spans="1:37">
      <c r="A137" s="20" t="s">
        <v>253</v>
      </c>
      <c r="B137" s="56" t="s">
        <v>254</v>
      </c>
      <c r="C137" s="57"/>
      <c r="D137" s="26"/>
      <c r="E137" s="21"/>
      <c r="F137" s="8"/>
      <c r="G137" s="22"/>
      <c r="H137" s="8"/>
      <c r="I137" s="30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>
        <v>0</v>
      </c>
      <c r="AA137" s="8"/>
      <c r="AB137" s="8"/>
      <c r="AC137" s="8"/>
      <c r="AD137" s="8"/>
      <c r="AE137" s="62"/>
      <c r="AF137" s="8"/>
      <c r="AG137" s="19"/>
      <c r="AH137" s="8"/>
      <c r="AI137" s="8"/>
      <c r="AJ137" s="8"/>
      <c r="AK137" s="19"/>
    </row>
    <row r="138" ht="13.5" spans="1:37">
      <c r="A138" s="20" t="s">
        <v>255</v>
      </c>
      <c r="B138" s="56" t="s">
        <v>256</v>
      </c>
      <c r="C138" s="57">
        <v>500</v>
      </c>
      <c r="D138" s="26" t="s">
        <v>54</v>
      </c>
      <c r="E138" s="21"/>
      <c r="F138" s="8"/>
      <c r="G138" s="22"/>
      <c r="H138" s="8"/>
      <c r="I138" s="30"/>
      <c r="J138" s="57">
        <v>80</v>
      </c>
      <c r="K138" s="8">
        <f t="shared" ref="K138:K143" si="65">ROUND(C138*J138,)</f>
        <v>40000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>
        <v>0</v>
      </c>
      <c r="AA138" s="8"/>
      <c r="AB138" s="8"/>
      <c r="AC138" s="8"/>
      <c r="AD138" s="8"/>
      <c r="AE138" s="62"/>
      <c r="AF138" s="8"/>
      <c r="AG138" s="19"/>
      <c r="AH138" s="8"/>
      <c r="AI138" s="8"/>
      <c r="AJ138" s="8"/>
      <c r="AK138" s="19"/>
    </row>
    <row r="139" ht="13.5" spans="1:37">
      <c r="A139" s="20" t="s">
        <v>257</v>
      </c>
      <c r="B139" s="56" t="s">
        <v>258</v>
      </c>
      <c r="C139" s="57">
        <v>62212</v>
      </c>
      <c r="D139" s="26" t="s">
        <v>54</v>
      </c>
      <c r="E139" s="21"/>
      <c r="F139" s="8"/>
      <c r="G139" s="22"/>
      <c r="H139" s="8"/>
      <c r="I139" s="30"/>
      <c r="J139" s="57">
        <v>15</v>
      </c>
      <c r="K139" s="8">
        <f t="shared" si="65"/>
        <v>933180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>
        <v>0</v>
      </c>
      <c r="AA139" s="8"/>
      <c r="AB139" s="8"/>
      <c r="AC139" s="8"/>
      <c r="AD139" s="8"/>
      <c r="AE139" s="62"/>
      <c r="AF139" s="8"/>
      <c r="AG139" s="19"/>
      <c r="AH139" s="8"/>
      <c r="AI139" s="8"/>
      <c r="AJ139" s="8"/>
      <c r="AK139" s="19"/>
    </row>
    <row r="140" ht="13.5" spans="1:37">
      <c r="A140" s="20" t="s">
        <v>259</v>
      </c>
      <c r="B140" s="56" t="s">
        <v>260</v>
      </c>
      <c r="C140" s="57">
        <v>7482</v>
      </c>
      <c r="D140" s="26" t="s">
        <v>54</v>
      </c>
      <c r="E140" s="21"/>
      <c r="F140" s="8"/>
      <c r="G140" s="22"/>
      <c r="H140" s="8"/>
      <c r="I140" s="30"/>
      <c r="J140" s="57">
        <v>70</v>
      </c>
      <c r="K140" s="8">
        <f t="shared" si="65"/>
        <v>523740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>
        <v>0</v>
      </c>
      <c r="AA140" s="8"/>
      <c r="AB140" s="8"/>
      <c r="AC140" s="8"/>
      <c r="AD140" s="8"/>
      <c r="AE140" s="62"/>
      <c r="AF140" s="8"/>
      <c r="AG140" s="19"/>
      <c r="AH140" s="8"/>
      <c r="AI140" s="8"/>
      <c r="AJ140" s="8"/>
      <c r="AK140" s="19"/>
    </row>
    <row r="141" ht="13.5" spans="1:37">
      <c r="A141" s="20" t="s">
        <v>261</v>
      </c>
      <c r="B141" s="56" t="s">
        <v>262</v>
      </c>
      <c r="C141" s="57">
        <v>3835</v>
      </c>
      <c r="D141" s="26" t="s">
        <v>54</v>
      </c>
      <c r="E141" s="21"/>
      <c r="F141" s="8"/>
      <c r="G141" s="22"/>
      <c r="H141" s="8"/>
      <c r="I141" s="30"/>
      <c r="J141" s="57">
        <v>68</v>
      </c>
      <c r="K141" s="8">
        <f t="shared" si="65"/>
        <v>260780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>
        <v>0</v>
      </c>
      <c r="AA141" s="8"/>
      <c r="AB141" s="8"/>
      <c r="AC141" s="8"/>
      <c r="AD141" s="8"/>
      <c r="AE141" s="62"/>
      <c r="AF141" s="8"/>
      <c r="AG141" s="19"/>
      <c r="AH141" s="8"/>
      <c r="AI141" s="8"/>
      <c r="AJ141" s="8"/>
      <c r="AK141" s="19"/>
    </row>
    <row r="142" ht="13.5" spans="1:37">
      <c r="A142" s="20" t="s">
        <v>263</v>
      </c>
      <c r="B142" s="56" t="s">
        <v>264</v>
      </c>
      <c r="C142" s="57">
        <v>73529</v>
      </c>
      <c r="D142" s="26" t="s">
        <v>54</v>
      </c>
      <c r="E142" s="21"/>
      <c r="F142" s="8"/>
      <c r="G142" s="22"/>
      <c r="H142" s="8"/>
      <c r="I142" s="30"/>
      <c r="J142" s="57">
        <v>15</v>
      </c>
      <c r="K142" s="8">
        <f t="shared" si="65"/>
        <v>1102935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>
        <v>0</v>
      </c>
      <c r="AA142" s="8"/>
      <c r="AB142" s="8"/>
      <c r="AC142" s="8"/>
      <c r="AD142" s="8"/>
      <c r="AE142" s="62"/>
      <c r="AF142" s="8"/>
      <c r="AG142" s="19"/>
      <c r="AH142" s="8"/>
      <c r="AI142" s="8"/>
      <c r="AJ142" s="8"/>
      <c r="AK142" s="19"/>
    </row>
    <row r="143" ht="13.5" spans="1:37">
      <c r="A143" s="20" t="s">
        <v>265</v>
      </c>
      <c r="B143" s="56" t="s">
        <v>266</v>
      </c>
      <c r="C143" s="57">
        <v>49280</v>
      </c>
      <c r="D143" s="26" t="s">
        <v>54</v>
      </c>
      <c r="E143" s="21"/>
      <c r="F143" s="8"/>
      <c r="G143" s="22"/>
      <c r="H143" s="8"/>
      <c r="I143" s="30"/>
      <c r="J143" s="57">
        <f>ROUND(3.2+(2.2*1.7+0.35*2*10*1.7),2)</f>
        <v>18.84</v>
      </c>
      <c r="K143" s="8">
        <f t="shared" si="65"/>
        <v>928435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>
        <v>0</v>
      </c>
      <c r="AA143" s="8"/>
      <c r="AB143" s="8"/>
      <c r="AC143" s="8"/>
      <c r="AD143" s="8"/>
      <c r="AE143" s="62"/>
      <c r="AF143" s="8"/>
      <c r="AG143" s="19"/>
      <c r="AH143" s="8"/>
      <c r="AI143" s="8"/>
      <c r="AJ143" s="8"/>
      <c r="AK143" s="19"/>
    </row>
    <row r="144" ht="13.5" spans="1:37">
      <c r="A144" s="20"/>
      <c r="B144" s="63" t="s">
        <v>267</v>
      </c>
      <c r="C144" s="57"/>
      <c r="D144" s="26"/>
      <c r="E144" s="21"/>
      <c r="F144" s="8"/>
      <c r="G144" s="22"/>
      <c r="H144" s="8"/>
      <c r="I144" s="30"/>
      <c r="J144" s="57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>
        <v>0</v>
      </c>
      <c r="AA144" s="8"/>
      <c r="AB144" s="8"/>
      <c r="AC144" s="8"/>
      <c r="AD144" s="8"/>
      <c r="AE144" s="62"/>
      <c r="AF144" s="8"/>
      <c r="AG144" s="19"/>
      <c r="AH144" s="8"/>
      <c r="AI144" s="8"/>
      <c r="AJ144" s="8"/>
      <c r="AK144" s="19"/>
    </row>
    <row r="145" ht="13.5" spans="1:37">
      <c r="A145" s="20" t="s">
        <v>268</v>
      </c>
      <c r="B145" s="56" t="s">
        <v>269</v>
      </c>
      <c r="C145" s="57"/>
      <c r="D145" s="26"/>
      <c r="E145" s="21"/>
      <c r="F145" s="8"/>
      <c r="G145" s="22"/>
      <c r="H145" s="8"/>
      <c r="I145" s="30"/>
      <c r="J145" s="57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>
        <v>0</v>
      </c>
      <c r="AA145" s="8"/>
      <c r="AB145" s="8"/>
      <c r="AC145" s="8"/>
      <c r="AD145" s="8"/>
      <c r="AE145" s="62"/>
      <c r="AF145" s="8"/>
      <c r="AG145" s="19"/>
      <c r="AH145" s="8"/>
      <c r="AI145" s="8"/>
      <c r="AJ145" s="8"/>
      <c r="AK145" s="19"/>
    </row>
    <row r="146" ht="13.5" spans="1:37">
      <c r="A146" s="20"/>
      <c r="B146" s="64" t="e">
        <f>[1]台时!$B$829</f>
        <v>#REF!</v>
      </c>
      <c r="C146" s="65">
        <f t="shared" ref="C146:C148" si="66">24*2*5</f>
        <v>240</v>
      </c>
      <c r="D146" s="26" t="s">
        <v>43</v>
      </c>
      <c r="E146" s="21"/>
      <c r="F146" s="8">
        <v>13.17</v>
      </c>
      <c r="G146" s="22">
        <f t="shared" ref="G146:G149" si="67">SUMPRODUCT($Z$9,Z146)</f>
        <v>26</v>
      </c>
      <c r="H146" s="8">
        <v>2.88</v>
      </c>
      <c r="I146" s="30"/>
      <c r="J146" s="8">
        <f t="shared" ref="J146:J151" si="68">SUM(F146:I146)</f>
        <v>42.05</v>
      </c>
      <c r="K146" s="8">
        <f t="shared" ref="K146:K151" si="69">ROUND(C146*J146,)</f>
        <v>10092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69">
        <v>1.3</v>
      </c>
      <c r="AA146" s="8"/>
      <c r="AB146" s="8"/>
      <c r="AC146" s="8"/>
      <c r="AD146" s="8"/>
      <c r="AE146" s="62"/>
      <c r="AF146" s="8"/>
      <c r="AG146" s="19"/>
      <c r="AH146" s="8"/>
      <c r="AI146" s="8"/>
      <c r="AJ146" s="8"/>
      <c r="AK146" s="19"/>
    </row>
    <row r="147" ht="13.5" spans="1:37">
      <c r="A147" s="20"/>
      <c r="B147" s="66" t="e">
        <f>[1]台时!$B$663</f>
        <v>#REF!</v>
      </c>
      <c r="C147" s="65">
        <f t="shared" si="66"/>
        <v>240</v>
      </c>
      <c r="D147" s="26" t="s">
        <v>43</v>
      </c>
      <c r="E147" s="21"/>
      <c r="F147" s="8">
        <v>53.35</v>
      </c>
      <c r="G147" s="22">
        <f t="shared" si="67"/>
        <v>26</v>
      </c>
      <c r="H147" s="8">
        <v>7.79</v>
      </c>
      <c r="I147" s="30"/>
      <c r="J147" s="8">
        <f t="shared" si="68"/>
        <v>87.14</v>
      </c>
      <c r="K147" s="8">
        <f t="shared" si="69"/>
        <v>20914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69">
        <v>1.3</v>
      </c>
      <c r="AA147" s="8"/>
      <c r="AB147" s="8"/>
      <c r="AC147" s="8"/>
      <c r="AD147" s="8"/>
      <c r="AE147" s="62"/>
      <c r="AF147" s="8"/>
      <c r="AG147" s="19"/>
      <c r="AH147" s="8"/>
      <c r="AI147" s="8"/>
      <c r="AJ147" s="8"/>
      <c r="AK147" s="19"/>
    </row>
    <row r="148" ht="13.5" spans="1:37">
      <c r="A148" s="20"/>
      <c r="B148" s="66" t="e">
        <f>[1]台时!$B$3219</f>
        <v>#REF!</v>
      </c>
      <c r="C148" s="65">
        <f t="shared" si="66"/>
        <v>240</v>
      </c>
      <c r="D148" s="26" t="s">
        <v>43</v>
      </c>
      <c r="E148" s="21"/>
      <c r="F148" s="8">
        <v>29.17</v>
      </c>
      <c r="G148" s="22">
        <f t="shared" si="67"/>
        <v>0</v>
      </c>
      <c r="H148" s="8">
        <v>2.81</v>
      </c>
      <c r="I148" s="30"/>
      <c r="J148" s="8">
        <f t="shared" si="68"/>
        <v>31.98</v>
      </c>
      <c r="K148" s="8">
        <f t="shared" si="69"/>
        <v>7675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69">
        <v>0</v>
      </c>
      <c r="AA148" s="8"/>
      <c r="AB148" s="8"/>
      <c r="AC148" s="8"/>
      <c r="AD148" s="8"/>
      <c r="AE148" s="62"/>
      <c r="AF148" s="8"/>
      <c r="AG148" s="19"/>
      <c r="AH148" s="8"/>
      <c r="AI148" s="8"/>
      <c r="AJ148" s="8"/>
      <c r="AK148" s="19"/>
    </row>
    <row r="149" ht="13.5" spans="1:37">
      <c r="A149" s="20"/>
      <c r="B149" s="64" t="e">
        <f>[1]台时!$B$666</f>
        <v>#REF!</v>
      </c>
      <c r="C149" s="65">
        <f>24*3*5</f>
        <v>360</v>
      </c>
      <c r="D149" s="26" t="s">
        <v>43</v>
      </c>
      <c r="E149" s="21"/>
      <c r="F149" s="8">
        <v>7.64</v>
      </c>
      <c r="G149" s="22">
        <f t="shared" si="67"/>
        <v>0</v>
      </c>
      <c r="H149" s="8">
        <v>1.95</v>
      </c>
      <c r="I149" s="30"/>
      <c r="J149" s="8">
        <f t="shared" si="68"/>
        <v>9.59</v>
      </c>
      <c r="K149" s="8">
        <f t="shared" si="69"/>
        <v>3452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69">
        <v>0</v>
      </c>
      <c r="AA149" s="8"/>
      <c r="AB149" s="8"/>
      <c r="AC149" s="8"/>
      <c r="AD149" s="8"/>
      <c r="AE149" s="62"/>
      <c r="AF149" s="8"/>
      <c r="AG149" s="19"/>
      <c r="AH149" s="8"/>
      <c r="AI149" s="8"/>
      <c r="AJ149" s="8"/>
      <c r="AK149" s="19"/>
    </row>
    <row r="150" ht="13.5" spans="1:37">
      <c r="A150" s="20"/>
      <c r="B150" s="67" t="s">
        <v>270</v>
      </c>
      <c r="C150" s="57">
        <v>0.1</v>
      </c>
      <c r="D150" s="26" t="s">
        <v>214</v>
      </c>
      <c r="E150" s="21"/>
      <c r="F150" s="8">
        <v>220000</v>
      </c>
      <c r="G150" s="55">
        <v>22000</v>
      </c>
      <c r="H150" s="8">
        <v>23000</v>
      </c>
      <c r="I150" s="30"/>
      <c r="J150" s="8">
        <f t="shared" si="68"/>
        <v>265000</v>
      </c>
      <c r="K150" s="8">
        <f t="shared" si="69"/>
        <v>26500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69">
        <v>0</v>
      </c>
      <c r="AA150" s="8"/>
      <c r="AB150" s="8"/>
      <c r="AC150" s="8"/>
      <c r="AD150" s="8"/>
      <c r="AE150" s="62"/>
      <c r="AF150" s="8"/>
      <c r="AG150" s="19"/>
      <c r="AH150" s="8"/>
      <c r="AI150" s="8"/>
      <c r="AJ150" s="8"/>
      <c r="AK150" s="19"/>
    </row>
    <row r="151" ht="13.5" spans="1:37">
      <c r="A151" s="20"/>
      <c r="B151" s="67" t="s">
        <v>271</v>
      </c>
      <c r="C151" s="57">
        <v>0.3</v>
      </c>
      <c r="D151" s="26" t="s">
        <v>214</v>
      </c>
      <c r="E151" s="21"/>
      <c r="F151" s="8">
        <v>250000</v>
      </c>
      <c r="G151" s="55">
        <v>25000</v>
      </c>
      <c r="H151" s="8">
        <v>27000</v>
      </c>
      <c r="I151" s="30"/>
      <c r="J151" s="8">
        <f t="shared" si="68"/>
        <v>302000</v>
      </c>
      <c r="K151" s="8">
        <f t="shared" si="69"/>
        <v>90600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>
        <v>0</v>
      </c>
      <c r="AA151" s="8"/>
      <c r="AB151" s="8"/>
      <c r="AC151" s="8"/>
      <c r="AD151" s="8"/>
      <c r="AE151" s="62"/>
      <c r="AF151" s="8"/>
      <c r="AG151" s="19"/>
      <c r="AH151" s="8"/>
      <c r="AI151" s="8"/>
      <c r="AJ151" s="8"/>
      <c r="AK151" s="19"/>
    </row>
    <row r="152" ht="13.5" spans="1:37">
      <c r="A152" s="44" t="s">
        <v>272</v>
      </c>
      <c r="B152" s="56" t="s">
        <v>273</v>
      </c>
      <c r="C152" s="57"/>
      <c r="D152" s="26"/>
      <c r="E152" s="21"/>
      <c r="F152" s="8"/>
      <c r="G152" s="22"/>
      <c r="H152" s="8"/>
      <c r="I152" s="30"/>
      <c r="J152" s="57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>
        <v>0</v>
      </c>
      <c r="AA152" s="8"/>
      <c r="AB152" s="8"/>
      <c r="AC152" s="8"/>
      <c r="AD152" s="8"/>
      <c r="AE152" s="62"/>
      <c r="AF152" s="8"/>
      <c r="AG152" s="19"/>
      <c r="AH152" s="8"/>
      <c r="AI152" s="8"/>
      <c r="AJ152" s="8"/>
      <c r="AK152" s="19"/>
    </row>
    <row r="153" ht="13.5" spans="1:37">
      <c r="A153" s="44" t="s">
        <v>274</v>
      </c>
      <c r="B153" s="56" t="s">
        <v>275</v>
      </c>
      <c r="C153" s="57" t="s">
        <v>276</v>
      </c>
      <c r="D153" s="26">
        <v>85</v>
      </c>
      <c r="E153" s="21"/>
      <c r="F153" s="8"/>
      <c r="G153" s="22"/>
      <c r="H153" s="8"/>
      <c r="I153" s="30"/>
      <c r="J153" s="5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>
        <v>0</v>
      </c>
      <c r="AA153" s="8"/>
      <c r="AB153" s="8"/>
      <c r="AC153" s="8"/>
      <c r="AD153" s="8"/>
      <c r="AE153" s="62"/>
      <c r="AF153" s="8"/>
      <c r="AG153" s="19"/>
      <c r="AH153" s="8"/>
      <c r="AI153" s="8"/>
      <c r="AJ153" s="8"/>
      <c r="AK153" s="19"/>
    </row>
    <row r="154" ht="13.5" spans="1:37">
      <c r="A154" s="20"/>
      <c r="B154" s="64" t="e">
        <f>[1]台时!$B$829</f>
        <v>#REF!</v>
      </c>
      <c r="C154" s="68">
        <f>12*D153*2</f>
        <v>2040</v>
      </c>
      <c r="D154" s="26" t="s">
        <v>43</v>
      </c>
      <c r="E154" s="21"/>
      <c r="F154" s="8">
        <v>13.17</v>
      </c>
      <c r="G154" s="22">
        <f t="shared" ref="G154:G160" si="70">SUMPRODUCT($Z$9,Z154)</f>
        <v>26</v>
      </c>
      <c r="H154" s="8">
        <v>2.88</v>
      </c>
      <c r="I154" s="30"/>
      <c r="J154" s="8">
        <f t="shared" ref="J154:J160" si="71">SUM(F154:I154)</f>
        <v>42.05</v>
      </c>
      <c r="K154" s="8">
        <f t="shared" ref="K154:K160" si="72">ROUND(C154*J154,)</f>
        <v>85782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69">
        <v>1.3</v>
      </c>
      <c r="AA154" s="8"/>
      <c r="AB154" s="8"/>
      <c r="AC154" s="8"/>
      <c r="AD154" s="8"/>
      <c r="AE154" s="62"/>
      <c r="AF154" s="8"/>
      <c r="AG154" s="19"/>
      <c r="AH154" s="8"/>
      <c r="AI154" s="8"/>
      <c r="AJ154" s="8"/>
      <c r="AK154" s="19"/>
    </row>
    <row r="155" ht="13.5" spans="1:37">
      <c r="A155" s="20"/>
      <c r="B155" s="64" t="e">
        <f>[1]台时!$B$836</f>
        <v>#REF!</v>
      </c>
      <c r="C155" s="68">
        <f>2*12*D153</f>
        <v>2040</v>
      </c>
      <c r="D155" s="26" t="s">
        <v>43</v>
      </c>
      <c r="E155" s="21"/>
      <c r="F155" s="8">
        <v>53.35</v>
      </c>
      <c r="G155" s="22">
        <f t="shared" si="70"/>
        <v>26</v>
      </c>
      <c r="H155" s="8">
        <v>7.79</v>
      </c>
      <c r="I155" s="30"/>
      <c r="J155" s="8">
        <f t="shared" si="71"/>
        <v>87.14</v>
      </c>
      <c r="K155" s="8">
        <f t="shared" si="72"/>
        <v>177766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69">
        <v>1.3</v>
      </c>
      <c r="AA155" s="8"/>
      <c r="AB155" s="8"/>
      <c r="AC155" s="8"/>
      <c r="AD155" s="8"/>
      <c r="AE155" s="62"/>
      <c r="AF155" s="8"/>
      <c r="AG155" s="19"/>
      <c r="AH155" s="8"/>
      <c r="AI155" s="8"/>
      <c r="AJ155" s="8"/>
      <c r="AK155" s="19"/>
    </row>
    <row r="156" ht="13.5" spans="1:37">
      <c r="A156" s="20"/>
      <c r="B156" s="64" t="e">
        <f>[1]台时!$B$3219</f>
        <v>#REF!</v>
      </c>
      <c r="C156" s="68">
        <f>1*12*D153</f>
        <v>1020</v>
      </c>
      <c r="D156" s="26" t="s">
        <v>43</v>
      </c>
      <c r="E156" s="21"/>
      <c r="F156" s="8">
        <v>29.17</v>
      </c>
      <c r="G156" s="22">
        <f t="shared" si="70"/>
        <v>0</v>
      </c>
      <c r="H156" s="8">
        <v>2.81</v>
      </c>
      <c r="I156" s="30"/>
      <c r="J156" s="8">
        <f t="shared" si="71"/>
        <v>31.98</v>
      </c>
      <c r="K156" s="8">
        <f t="shared" si="72"/>
        <v>32620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69">
        <v>0</v>
      </c>
      <c r="AA156" s="8"/>
      <c r="AB156" s="8"/>
      <c r="AC156" s="8"/>
      <c r="AD156" s="8"/>
      <c r="AE156" s="62"/>
      <c r="AF156" s="8"/>
      <c r="AG156" s="19"/>
      <c r="AH156" s="8"/>
      <c r="AI156" s="8"/>
      <c r="AJ156" s="8"/>
      <c r="AK156" s="19"/>
    </row>
    <row r="157" ht="13.5" spans="1:37">
      <c r="A157" s="20"/>
      <c r="B157" s="64" t="e">
        <f>[1]台时!$B$666</f>
        <v>#REF!</v>
      </c>
      <c r="C157" s="68">
        <f>3*12*D153</f>
        <v>3060</v>
      </c>
      <c r="D157" s="26" t="s">
        <v>43</v>
      </c>
      <c r="E157" s="21"/>
      <c r="F157" s="8">
        <v>7.64</v>
      </c>
      <c r="G157" s="22">
        <f t="shared" si="70"/>
        <v>0</v>
      </c>
      <c r="H157" s="8">
        <v>1.95</v>
      </c>
      <c r="I157" s="30"/>
      <c r="J157" s="8">
        <f t="shared" si="71"/>
        <v>9.59</v>
      </c>
      <c r="K157" s="8">
        <f t="shared" si="72"/>
        <v>29345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69">
        <v>0</v>
      </c>
      <c r="AA157" s="8"/>
      <c r="AB157" s="8"/>
      <c r="AC157" s="8"/>
      <c r="AD157" s="8"/>
      <c r="AE157" s="62"/>
      <c r="AF157" s="8"/>
      <c r="AG157" s="19"/>
      <c r="AH157" s="8"/>
      <c r="AI157" s="8"/>
      <c r="AJ157" s="8"/>
      <c r="AK157" s="19"/>
    </row>
    <row r="158" ht="13.5" spans="1:37">
      <c r="A158" s="20"/>
      <c r="B158" s="64" t="e">
        <f>[1]台时!$B$833</f>
        <v>#REF!</v>
      </c>
      <c r="C158" s="68">
        <f>2*12*D153</f>
        <v>2040</v>
      </c>
      <c r="D158" s="26" t="s">
        <v>43</v>
      </c>
      <c r="E158" s="21"/>
      <c r="F158" s="8">
        <v>43.52</v>
      </c>
      <c r="G158" s="22">
        <f t="shared" si="70"/>
        <v>0</v>
      </c>
      <c r="H158" s="8">
        <v>10.04</v>
      </c>
      <c r="I158" s="30"/>
      <c r="J158" s="8">
        <f t="shared" si="71"/>
        <v>53.56</v>
      </c>
      <c r="K158" s="8">
        <f t="shared" si="72"/>
        <v>109262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69">
        <v>0</v>
      </c>
      <c r="AA158" s="8"/>
      <c r="AB158" s="8"/>
      <c r="AC158" s="8"/>
      <c r="AD158" s="8"/>
      <c r="AE158" s="62"/>
      <c r="AF158" s="8"/>
      <c r="AG158" s="19"/>
      <c r="AH158" s="8"/>
      <c r="AI158" s="8"/>
      <c r="AJ158" s="8"/>
      <c r="AK158" s="19"/>
    </row>
    <row r="159" ht="13.5" spans="1:37">
      <c r="A159" s="20"/>
      <c r="B159" s="64" t="e">
        <f>[1]台时!$B$830</f>
        <v>#REF!</v>
      </c>
      <c r="C159" s="68">
        <f>1*12*D153</f>
        <v>1020</v>
      </c>
      <c r="D159" s="26" t="s">
        <v>43</v>
      </c>
      <c r="E159" s="21"/>
      <c r="F159" s="8">
        <v>106.38</v>
      </c>
      <c r="G159" s="22">
        <f t="shared" si="70"/>
        <v>0</v>
      </c>
      <c r="H159" s="8">
        <v>17.1</v>
      </c>
      <c r="I159" s="30"/>
      <c r="J159" s="8">
        <f t="shared" si="71"/>
        <v>123.48</v>
      </c>
      <c r="K159" s="8">
        <f t="shared" si="72"/>
        <v>125950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69">
        <v>0</v>
      </c>
      <c r="AA159" s="8"/>
      <c r="AB159" s="8"/>
      <c r="AC159" s="8"/>
      <c r="AD159" s="8"/>
      <c r="AE159" s="62"/>
      <c r="AF159" s="8"/>
      <c r="AG159" s="19"/>
      <c r="AH159" s="8"/>
      <c r="AI159" s="8"/>
      <c r="AJ159" s="8"/>
      <c r="AK159" s="19"/>
    </row>
    <row r="160" ht="13.5" spans="1:37">
      <c r="A160" s="20"/>
      <c r="B160" s="64" t="e">
        <f>[1]台时!$B$476</f>
        <v>#REF!</v>
      </c>
      <c r="C160" s="68">
        <f>2*12*D153</f>
        <v>2040</v>
      </c>
      <c r="D160" s="26" t="s">
        <v>43</v>
      </c>
      <c r="E160" s="21"/>
      <c r="F160" s="8">
        <v>20.1</v>
      </c>
      <c r="G160" s="22">
        <f t="shared" si="70"/>
        <v>0</v>
      </c>
      <c r="H160" s="8">
        <v>3.53</v>
      </c>
      <c r="I160" s="30"/>
      <c r="J160" s="8">
        <f t="shared" si="71"/>
        <v>23.63</v>
      </c>
      <c r="K160" s="8">
        <f t="shared" si="72"/>
        <v>48205</v>
      </c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69">
        <v>0</v>
      </c>
      <c r="AA160" s="8"/>
      <c r="AB160" s="8"/>
      <c r="AC160" s="8"/>
      <c r="AD160" s="8"/>
      <c r="AE160" s="62"/>
      <c r="AF160" s="8"/>
      <c r="AG160" s="19"/>
      <c r="AH160" s="8"/>
      <c r="AI160" s="8"/>
      <c r="AJ160" s="8"/>
      <c r="AK160" s="19"/>
    </row>
    <row r="161" ht="13.5" spans="1:37">
      <c r="A161" s="44" t="s">
        <v>277</v>
      </c>
      <c r="B161" s="64" t="s">
        <v>278</v>
      </c>
      <c r="C161" s="65" t="s">
        <v>276</v>
      </c>
      <c r="D161" s="26">
        <v>77</v>
      </c>
      <c r="E161" s="21"/>
      <c r="F161" s="8"/>
      <c r="G161" s="22"/>
      <c r="H161" s="8"/>
      <c r="I161" s="30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69">
        <v>0</v>
      </c>
      <c r="AA161" s="8"/>
      <c r="AB161" s="8"/>
      <c r="AC161" s="8"/>
      <c r="AD161" s="8"/>
      <c r="AE161" s="62"/>
      <c r="AF161" s="8"/>
      <c r="AG161" s="19"/>
      <c r="AH161" s="8"/>
      <c r="AI161" s="8"/>
      <c r="AJ161" s="8"/>
      <c r="AK161" s="19"/>
    </row>
    <row r="162" ht="13.5" spans="1:37">
      <c r="A162" s="20"/>
      <c r="B162" s="64" t="e">
        <f>[1]台时!$B$833</f>
        <v>#REF!</v>
      </c>
      <c r="C162" s="68">
        <f>2*12*D161</f>
        <v>1848</v>
      </c>
      <c r="D162" s="26" t="s">
        <v>43</v>
      </c>
      <c r="E162" s="21"/>
      <c r="F162" s="8">
        <v>43.52</v>
      </c>
      <c r="G162" s="22">
        <f t="shared" ref="G162:G168" si="73">SUMPRODUCT($Z$9,Z162)</f>
        <v>26</v>
      </c>
      <c r="H162" s="8">
        <v>10.04</v>
      </c>
      <c r="I162" s="30"/>
      <c r="J162" s="8">
        <f t="shared" ref="J162:J168" si="74">SUM(F162:I162)</f>
        <v>79.56</v>
      </c>
      <c r="K162" s="8">
        <f t="shared" ref="K162:K168" si="75">ROUND(C162*J162,)</f>
        <v>147027</v>
      </c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69">
        <v>1.3</v>
      </c>
      <c r="AA162" s="8"/>
      <c r="AB162" s="8"/>
      <c r="AC162" s="8"/>
      <c r="AD162" s="8"/>
      <c r="AE162" s="62"/>
      <c r="AF162" s="8"/>
      <c r="AG162" s="19"/>
      <c r="AH162" s="8"/>
      <c r="AI162" s="8"/>
      <c r="AJ162" s="8"/>
      <c r="AK162" s="19"/>
    </row>
    <row r="163" ht="13.5" spans="1:37">
      <c r="A163" s="20"/>
      <c r="B163" s="64" t="e">
        <f>[1]台时!$B$836</f>
        <v>#REF!</v>
      </c>
      <c r="C163" s="68">
        <f>2*12*D161</f>
        <v>1848</v>
      </c>
      <c r="D163" s="26" t="s">
        <v>43</v>
      </c>
      <c r="E163" s="21"/>
      <c r="F163" s="8">
        <v>53.35</v>
      </c>
      <c r="G163" s="22">
        <f t="shared" si="73"/>
        <v>26</v>
      </c>
      <c r="H163" s="8">
        <v>7.79</v>
      </c>
      <c r="I163" s="30"/>
      <c r="J163" s="8">
        <f t="shared" si="74"/>
        <v>87.14</v>
      </c>
      <c r="K163" s="8">
        <f t="shared" si="75"/>
        <v>161035</v>
      </c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69">
        <v>1.3</v>
      </c>
      <c r="AA163" s="8"/>
      <c r="AB163" s="8"/>
      <c r="AC163" s="8"/>
      <c r="AD163" s="8"/>
      <c r="AE163" s="62"/>
      <c r="AF163" s="8"/>
      <c r="AG163" s="19"/>
      <c r="AH163" s="8"/>
      <c r="AI163" s="8"/>
      <c r="AJ163" s="8"/>
      <c r="AK163" s="19"/>
    </row>
    <row r="164" ht="13.5" spans="1:37">
      <c r="A164" s="20"/>
      <c r="B164" s="64" t="e">
        <f>[1]台时!$B$830</f>
        <v>#REF!</v>
      </c>
      <c r="C164" s="68">
        <f>1*12*D161</f>
        <v>924</v>
      </c>
      <c r="D164" s="26" t="s">
        <v>43</v>
      </c>
      <c r="E164" s="21"/>
      <c r="F164" s="8">
        <v>106.38</v>
      </c>
      <c r="G164" s="22">
        <f t="shared" si="73"/>
        <v>0</v>
      </c>
      <c r="H164" s="8">
        <v>17.1</v>
      </c>
      <c r="I164" s="30"/>
      <c r="J164" s="8">
        <f t="shared" si="74"/>
        <v>123.48</v>
      </c>
      <c r="K164" s="8">
        <f t="shared" si="75"/>
        <v>114096</v>
      </c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69">
        <v>0</v>
      </c>
      <c r="AA164" s="8"/>
      <c r="AB164" s="8"/>
      <c r="AC164" s="8"/>
      <c r="AD164" s="8"/>
      <c r="AE164" s="62"/>
      <c r="AF164" s="8"/>
      <c r="AG164" s="19"/>
      <c r="AH164" s="8"/>
      <c r="AI164" s="8"/>
      <c r="AJ164" s="8"/>
      <c r="AK164" s="19"/>
    </row>
    <row r="165" ht="13.5" spans="1:37">
      <c r="A165" s="20"/>
      <c r="B165" s="64" t="e">
        <f>[1]台时!$B$829</f>
        <v>#REF!</v>
      </c>
      <c r="C165" s="68">
        <f>12*D161*2</f>
        <v>1848</v>
      </c>
      <c r="D165" s="26" t="s">
        <v>43</v>
      </c>
      <c r="E165" s="21"/>
      <c r="F165" s="8">
        <v>13.17</v>
      </c>
      <c r="G165" s="22">
        <f t="shared" si="73"/>
        <v>0</v>
      </c>
      <c r="H165" s="8">
        <v>2.88</v>
      </c>
      <c r="I165" s="30"/>
      <c r="J165" s="8">
        <f t="shared" si="74"/>
        <v>16.05</v>
      </c>
      <c r="K165" s="8">
        <f t="shared" si="75"/>
        <v>29660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69">
        <v>0</v>
      </c>
      <c r="AA165" s="8"/>
      <c r="AB165" s="8"/>
      <c r="AC165" s="8"/>
      <c r="AD165" s="8"/>
      <c r="AE165" s="62"/>
      <c r="AF165" s="8"/>
      <c r="AG165" s="19"/>
      <c r="AH165" s="8"/>
      <c r="AI165" s="8"/>
      <c r="AJ165" s="8"/>
      <c r="AK165" s="19"/>
    </row>
    <row r="166" ht="13.5" spans="1:37">
      <c r="A166" s="20"/>
      <c r="B166" s="64" t="e">
        <f>[1]台时!$B$3219</f>
        <v>#REF!</v>
      </c>
      <c r="C166" s="68">
        <f>1*12*D161</f>
        <v>924</v>
      </c>
      <c r="D166" s="26" t="s">
        <v>43</v>
      </c>
      <c r="E166" s="21"/>
      <c r="F166" s="8">
        <v>29.17</v>
      </c>
      <c r="G166" s="22">
        <f t="shared" si="73"/>
        <v>0</v>
      </c>
      <c r="H166" s="8">
        <v>2.81</v>
      </c>
      <c r="I166" s="30"/>
      <c r="J166" s="8">
        <f t="shared" si="74"/>
        <v>31.98</v>
      </c>
      <c r="K166" s="8">
        <f t="shared" si="75"/>
        <v>29550</v>
      </c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69">
        <v>0</v>
      </c>
      <c r="AA166" s="8"/>
      <c r="AB166" s="8"/>
      <c r="AC166" s="8"/>
      <c r="AD166" s="8"/>
      <c r="AE166" s="62"/>
      <c r="AF166" s="8"/>
      <c r="AG166" s="19"/>
      <c r="AH166" s="8"/>
      <c r="AI166" s="8"/>
      <c r="AJ166" s="8"/>
      <c r="AK166" s="19"/>
    </row>
    <row r="167" ht="13.5" spans="1:37">
      <c r="A167" s="20"/>
      <c r="B167" s="64" t="e">
        <f>[1]台时!$B$476</f>
        <v>#REF!</v>
      </c>
      <c r="C167" s="68">
        <f>2*12*D161</f>
        <v>1848</v>
      </c>
      <c r="D167" s="26" t="s">
        <v>43</v>
      </c>
      <c r="E167" s="21"/>
      <c r="F167" s="8">
        <v>20.1</v>
      </c>
      <c r="G167" s="22">
        <f t="shared" si="73"/>
        <v>0</v>
      </c>
      <c r="H167" s="8">
        <v>3.53</v>
      </c>
      <c r="I167" s="30"/>
      <c r="J167" s="8">
        <f t="shared" si="74"/>
        <v>23.63</v>
      </c>
      <c r="K167" s="8">
        <f t="shared" si="75"/>
        <v>43668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69">
        <v>0</v>
      </c>
      <c r="AA167" s="8"/>
      <c r="AB167" s="8"/>
      <c r="AC167" s="8"/>
      <c r="AD167" s="8"/>
      <c r="AE167" s="62"/>
      <c r="AF167" s="8"/>
      <c r="AG167" s="19"/>
      <c r="AH167" s="8"/>
      <c r="AI167" s="8"/>
      <c r="AJ167" s="8"/>
      <c r="AK167" s="19"/>
    </row>
    <row r="168" ht="13.5" spans="1:37">
      <c r="A168" s="20"/>
      <c r="B168" s="64" t="e">
        <f>[1]台时!$B$666</f>
        <v>#REF!</v>
      </c>
      <c r="C168" s="68">
        <f>6*12*D161</f>
        <v>5544</v>
      </c>
      <c r="D168" s="26" t="s">
        <v>43</v>
      </c>
      <c r="E168" s="21"/>
      <c r="F168" s="8">
        <v>7.64</v>
      </c>
      <c r="G168" s="22">
        <f t="shared" si="73"/>
        <v>0</v>
      </c>
      <c r="H168" s="8">
        <v>1.95</v>
      </c>
      <c r="I168" s="30"/>
      <c r="J168" s="8">
        <f t="shared" si="74"/>
        <v>9.59</v>
      </c>
      <c r="K168" s="8">
        <f t="shared" si="75"/>
        <v>53167</v>
      </c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69">
        <v>0</v>
      </c>
      <c r="AA168" s="8"/>
      <c r="AB168" s="8"/>
      <c r="AC168" s="8"/>
      <c r="AD168" s="8"/>
      <c r="AE168" s="62"/>
      <c r="AF168" s="8"/>
      <c r="AG168" s="19"/>
      <c r="AH168" s="8"/>
      <c r="AI168" s="8"/>
      <c r="AJ168" s="8"/>
      <c r="AK168" s="19"/>
    </row>
    <row r="169" ht="13.5" spans="1:37">
      <c r="A169" s="44" t="s">
        <v>279</v>
      </c>
      <c r="B169" s="64" t="s">
        <v>280</v>
      </c>
      <c r="C169" s="65" t="s">
        <v>276</v>
      </c>
      <c r="D169" s="26">
        <v>85</v>
      </c>
      <c r="E169" s="21"/>
      <c r="F169" s="8"/>
      <c r="G169" s="22"/>
      <c r="H169" s="8"/>
      <c r="I169" s="30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69">
        <v>0</v>
      </c>
      <c r="AA169" s="8"/>
      <c r="AB169" s="8"/>
      <c r="AC169" s="8"/>
      <c r="AD169" s="8"/>
      <c r="AE169" s="62"/>
      <c r="AF169" s="8"/>
      <c r="AG169" s="19"/>
      <c r="AH169" s="8"/>
      <c r="AI169" s="8"/>
      <c r="AJ169" s="8"/>
      <c r="AK169" s="19"/>
    </row>
    <row r="170" ht="13.5" spans="1:37">
      <c r="A170" s="20"/>
      <c r="B170" s="64" t="e">
        <f>[1]台时!$B$833</f>
        <v>#REF!</v>
      </c>
      <c r="C170" s="68">
        <f>2*12*D169</f>
        <v>2040</v>
      </c>
      <c r="D170" s="26" t="s">
        <v>43</v>
      </c>
      <c r="E170" s="21"/>
      <c r="F170" s="8">
        <v>43.52</v>
      </c>
      <c r="G170" s="22">
        <f t="shared" ref="G170:G175" si="76">SUMPRODUCT($Z$9,Z170)</f>
        <v>26</v>
      </c>
      <c r="H170" s="8">
        <v>10.04</v>
      </c>
      <c r="I170" s="30"/>
      <c r="J170" s="8">
        <f t="shared" ref="J170:J175" si="77">SUM(F170:I170)</f>
        <v>79.56</v>
      </c>
      <c r="K170" s="8">
        <f t="shared" ref="K170:K175" si="78">ROUND(C170*J170,)</f>
        <v>162302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69">
        <v>1.3</v>
      </c>
      <c r="AA170" s="8"/>
      <c r="AB170" s="8"/>
      <c r="AC170" s="8"/>
      <c r="AD170" s="8"/>
      <c r="AE170" s="62"/>
      <c r="AF170" s="8"/>
      <c r="AG170" s="19"/>
      <c r="AH170" s="8"/>
      <c r="AI170" s="8"/>
      <c r="AJ170" s="8"/>
      <c r="AK170" s="19"/>
    </row>
    <row r="171" ht="13.5" spans="1:37">
      <c r="A171" s="20"/>
      <c r="B171" s="64" t="e">
        <f>[1]台时!$B$836</f>
        <v>#REF!</v>
      </c>
      <c r="C171" s="68">
        <f>2*12*D169</f>
        <v>2040</v>
      </c>
      <c r="D171" s="26" t="s">
        <v>43</v>
      </c>
      <c r="E171" s="21"/>
      <c r="F171" s="8">
        <v>53.35</v>
      </c>
      <c r="G171" s="22">
        <f t="shared" si="76"/>
        <v>26</v>
      </c>
      <c r="H171" s="8">
        <v>7.79</v>
      </c>
      <c r="I171" s="30"/>
      <c r="J171" s="8">
        <f t="shared" si="77"/>
        <v>87.14</v>
      </c>
      <c r="K171" s="8">
        <f t="shared" si="78"/>
        <v>177766</v>
      </c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69">
        <v>1.3</v>
      </c>
      <c r="AA171" s="8"/>
      <c r="AB171" s="8"/>
      <c r="AC171" s="8"/>
      <c r="AD171" s="8"/>
      <c r="AE171" s="62"/>
      <c r="AF171" s="8"/>
      <c r="AG171" s="19"/>
      <c r="AH171" s="8"/>
      <c r="AI171" s="8"/>
      <c r="AJ171" s="8"/>
      <c r="AK171" s="19"/>
    </row>
    <row r="172" ht="13.5" spans="1:37">
      <c r="A172" s="20"/>
      <c r="B172" s="64" t="e">
        <f>[1]台时!$B$830</f>
        <v>#REF!</v>
      </c>
      <c r="C172" s="68">
        <f>1*12*D169</f>
        <v>1020</v>
      </c>
      <c r="D172" s="26" t="s">
        <v>43</v>
      </c>
      <c r="E172" s="21"/>
      <c r="F172" s="8">
        <v>106.38</v>
      </c>
      <c r="G172" s="22">
        <f t="shared" si="76"/>
        <v>0</v>
      </c>
      <c r="H172" s="8">
        <v>17.1</v>
      </c>
      <c r="I172" s="30"/>
      <c r="J172" s="8">
        <f t="shared" si="77"/>
        <v>123.48</v>
      </c>
      <c r="K172" s="8">
        <f t="shared" si="78"/>
        <v>125950</v>
      </c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69">
        <v>0</v>
      </c>
      <c r="AA172" s="8"/>
      <c r="AB172" s="8"/>
      <c r="AC172" s="8"/>
      <c r="AD172" s="8"/>
      <c r="AE172" s="62"/>
      <c r="AF172" s="8"/>
      <c r="AG172" s="19"/>
      <c r="AH172" s="8"/>
      <c r="AI172" s="8"/>
      <c r="AJ172" s="8"/>
      <c r="AK172" s="19"/>
    </row>
    <row r="173" ht="13.5" spans="1:37">
      <c r="A173" s="20"/>
      <c r="B173" s="64" t="e">
        <f>[1]台时!$B$829</f>
        <v>#REF!</v>
      </c>
      <c r="C173" s="68">
        <f>12*D169*2</f>
        <v>2040</v>
      </c>
      <c r="D173" s="26" t="s">
        <v>43</v>
      </c>
      <c r="E173" s="21"/>
      <c r="F173" s="8">
        <v>13.17</v>
      </c>
      <c r="G173" s="22">
        <f t="shared" si="76"/>
        <v>0</v>
      </c>
      <c r="H173" s="8">
        <v>2.88</v>
      </c>
      <c r="I173" s="30"/>
      <c r="J173" s="8">
        <f t="shared" si="77"/>
        <v>16.05</v>
      </c>
      <c r="K173" s="8">
        <f t="shared" si="78"/>
        <v>32742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69">
        <v>0</v>
      </c>
      <c r="AA173" s="8"/>
      <c r="AB173" s="8"/>
      <c r="AC173" s="8"/>
      <c r="AD173" s="8"/>
      <c r="AE173" s="62"/>
      <c r="AF173" s="8"/>
      <c r="AG173" s="19"/>
      <c r="AH173" s="8"/>
      <c r="AI173" s="8"/>
      <c r="AJ173" s="8"/>
      <c r="AK173" s="19"/>
    </row>
    <row r="174" ht="13.5" spans="1:37">
      <c r="A174" s="20"/>
      <c r="B174" s="64" t="e">
        <f>[1]台时!$B$3219</f>
        <v>#REF!</v>
      </c>
      <c r="C174" s="68">
        <f>1*12*D169</f>
        <v>1020</v>
      </c>
      <c r="D174" s="26" t="s">
        <v>43</v>
      </c>
      <c r="E174" s="21"/>
      <c r="F174" s="8">
        <v>29.17</v>
      </c>
      <c r="G174" s="22">
        <f t="shared" si="76"/>
        <v>0</v>
      </c>
      <c r="H174" s="8">
        <v>2.81</v>
      </c>
      <c r="I174" s="30"/>
      <c r="J174" s="8">
        <f t="shared" si="77"/>
        <v>31.98</v>
      </c>
      <c r="K174" s="8">
        <f t="shared" si="78"/>
        <v>32620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69">
        <v>0</v>
      </c>
      <c r="AA174" s="8"/>
      <c r="AB174" s="8"/>
      <c r="AC174" s="8"/>
      <c r="AD174" s="8"/>
      <c r="AE174" s="62"/>
      <c r="AF174" s="8"/>
      <c r="AG174" s="19"/>
      <c r="AH174" s="8"/>
      <c r="AI174" s="8"/>
      <c r="AJ174" s="8"/>
      <c r="AK174" s="19"/>
    </row>
    <row r="175" ht="13.5" spans="1:37">
      <c r="A175" s="20"/>
      <c r="B175" s="64" t="e">
        <f>[1]台时!$B$476</f>
        <v>#REF!</v>
      </c>
      <c r="C175" s="68">
        <f>2*12*D169</f>
        <v>2040</v>
      </c>
      <c r="D175" s="26" t="s">
        <v>43</v>
      </c>
      <c r="E175" s="21"/>
      <c r="F175" s="8">
        <v>20.1</v>
      </c>
      <c r="G175" s="22">
        <f t="shared" si="76"/>
        <v>0</v>
      </c>
      <c r="H175" s="8">
        <v>3.53</v>
      </c>
      <c r="I175" s="30"/>
      <c r="J175" s="8">
        <f t="shared" si="77"/>
        <v>23.63</v>
      </c>
      <c r="K175" s="8">
        <f t="shared" si="78"/>
        <v>48205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69">
        <v>0</v>
      </c>
      <c r="AA175" s="8"/>
      <c r="AB175" s="8"/>
      <c r="AC175" s="8"/>
      <c r="AD175" s="8"/>
      <c r="AE175" s="62"/>
      <c r="AF175" s="8"/>
      <c r="AG175" s="19"/>
      <c r="AH175" s="8"/>
      <c r="AI175" s="8"/>
      <c r="AJ175" s="8"/>
      <c r="AK175" s="19"/>
    </row>
    <row r="176" ht="13.5" spans="1:37">
      <c r="A176" s="44" t="s">
        <v>281</v>
      </c>
      <c r="B176" s="64" t="s">
        <v>282</v>
      </c>
      <c r="C176" s="65" t="s">
        <v>276</v>
      </c>
      <c r="D176" s="26">
        <v>61</v>
      </c>
      <c r="E176" s="21"/>
      <c r="F176" s="8"/>
      <c r="G176" s="22"/>
      <c r="H176" s="8"/>
      <c r="I176" s="30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69">
        <v>0</v>
      </c>
      <c r="AA176" s="8"/>
      <c r="AB176" s="8"/>
      <c r="AC176" s="8"/>
      <c r="AD176" s="8"/>
      <c r="AE176" s="62"/>
      <c r="AF176" s="8"/>
      <c r="AG176" s="19"/>
      <c r="AH176" s="8"/>
      <c r="AI176" s="8"/>
      <c r="AJ176" s="8"/>
      <c r="AK176" s="19"/>
    </row>
    <row r="177" ht="13.5" spans="1:37">
      <c r="A177" s="20"/>
      <c r="B177" s="64" t="e">
        <f>[1]台时!$B$833</f>
        <v>#REF!</v>
      </c>
      <c r="C177" s="68">
        <f>2*12*D176</f>
        <v>1464</v>
      </c>
      <c r="D177" s="26" t="s">
        <v>43</v>
      </c>
      <c r="E177" s="21"/>
      <c r="F177" s="8">
        <v>43.52</v>
      </c>
      <c r="G177" s="22">
        <f t="shared" ref="G177:G183" si="79">SUMPRODUCT($Z$9,Z177)</f>
        <v>26</v>
      </c>
      <c r="H177" s="8">
        <v>10.04</v>
      </c>
      <c r="I177" s="30"/>
      <c r="J177" s="8">
        <f t="shared" ref="J177:J183" si="80">SUM(F177:I177)</f>
        <v>79.56</v>
      </c>
      <c r="K177" s="8">
        <f t="shared" ref="K177:K183" si="81">ROUND(C177*J177,)</f>
        <v>116476</v>
      </c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69">
        <v>1.3</v>
      </c>
      <c r="AA177" s="8"/>
      <c r="AB177" s="8"/>
      <c r="AC177" s="8"/>
      <c r="AD177" s="8"/>
      <c r="AE177" s="62"/>
      <c r="AF177" s="8"/>
      <c r="AG177" s="19"/>
      <c r="AH177" s="8"/>
      <c r="AI177" s="8"/>
      <c r="AJ177" s="8"/>
      <c r="AK177" s="19"/>
    </row>
    <row r="178" ht="13.5" spans="1:37">
      <c r="A178" s="20"/>
      <c r="B178" s="64" t="e">
        <f>[1]台时!$B$836</f>
        <v>#REF!</v>
      </c>
      <c r="C178" s="68">
        <f>2*12*D176</f>
        <v>1464</v>
      </c>
      <c r="D178" s="26" t="s">
        <v>43</v>
      </c>
      <c r="E178" s="21"/>
      <c r="F178" s="8">
        <v>53.35</v>
      </c>
      <c r="G178" s="22">
        <f t="shared" si="79"/>
        <v>26</v>
      </c>
      <c r="H178" s="8">
        <v>7.79</v>
      </c>
      <c r="I178" s="30"/>
      <c r="J178" s="8">
        <f t="shared" si="80"/>
        <v>87.14</v>
      </c>
      <c r="K178" s="8">
        <f t="shared" si="81"/>
        <v>127573</v>
      </c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69">
        <v>1.3</v>
      </c>
      <c r="AA178" s="8"/>
      <c r="AB178" s="8"/>
      <c r="AC178" s="8"/>
      <c r="AD178" s="8"/>
      <c r="AE178" s="62"/>
      <c r="AF178" s="8"/>
      <c r="AG178" s="19"/>
      <c r="AH178" s="8"/>
      <c r="AI178" s="8"/>
      <c r="AJ178" s="8"/>
      <c r="AK178" s="19"/>
    </row>
    <row r="179" ht="13.5" spans="1:37">
      <c r="A179" s="20"/>
      <c r="B179" s="64" t="e">
        <f>[1]台时!$B$830</f>
        <v>#REF!</v>
      </c>
      <c r="C179" s="68">
        <f>1*12*D176</f>
        <v>732</v>
      </c>
      <c r="D179" s="26" t="s">
        <v>43</v>
      </c>
      <c r="E179" s="21"/>
      <c r="F179" s="8">
        <v>106.38</v>
      </c>
      <c r="G179" s="22">
        <f t="shared" si="79"/>
        <v>0</v>
      </c>
      <c r="H179" s="8">
        <v>17.1</v>
      </c>
      <c r="I179" s="30"/>
      <c r="J179" s="8">
        <f t="shared" si="80"/>
        <v>123.48</v>
      </c>
      <c r="K179" s="8">
        <f t="shared" si="81"/>
        <v>90387</v>
      </c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69">
        <v>0</v>
      </c>
      <c r="AA179" s="8"/>
      <c r="AB179" s="8"/>
      <c r="AC179" s="8"/>
      <c r="AD179" s="8"/>
      <c r="AE179" s="62"/>
      <c r="AF179" s="8"/>
      <c r="AG179" s="19"/>
      <c r="AH179" s="8"/>
      <c r="AI179" s="8"/>
      <c r="AJ179" s="8"/>
      <c r="AK179" s="19"/>
    </row>
    <row r="180" ht="13.5" spans="1:37">
      <c r="A180" s="20"/>
      <c r="B180" s="64" t="e">
        <f>[1]台时!$B$829</f>
        <v>#REF!</v>
      </c>
      <c r="C180" s="68">
        <f>12*D176*2</f>
        <v>1464</v>
      </c>
      <c r="D180" s="26" t="s">
        <v>43</v>
      </c>
      <c r="E180" s="21"/>
      <c r="F180" s="8">
        <v>13.17</v>
      </c>
      <c r="G180" s="22">
        <f t="shared" si="79"/>
        <v>0</v>
      </c>
      <c r="H180" s="8">
        <v>2.88</v>
      </c>
      <c r="I180" s="30"/>
      <c r="J180" s="8">
        <f t="shared" si="80"/>
        <v>16.05</v>
      </c>
      <c r="K180" s="8">
        <f t="shared" si="81"/>
        <v>23497</v>
      </c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69">
        <v>0</v>
      </c>
      <c r="AA180" s="8"/>
      <c r="AB180" s="8"/>
      <c r="AC180" s="8"/>
      <c r="AD180" s="8"/>
      <c r="AE180" s="62"/>
      <c r="AF180" s="8"/>
      <c r="AG180" s="19"/>
      <c r="AH180" s="8"/>
      <c r="AI180" s="8"/>
      <c r="AJ180" s="8"/>
      <c r="AK180" s="19"/>
    </row>
    <row r="181" ht="13.5" spans="1:37">
      <c r="A181" s="20"/>
      <c r="B181" s="64" t="e">
        <f>[1]台时!$B$3219</f>
        <v>#REF!</v>
      </c>
      <c r="C181" s="68">
        <f>1*12*D176</f>
        <v>732</v>
      </c>
      <c r="D181" s="26" t="s">
        <v>43</v>
      </c>
      <c r="E181" s="21"/>
      <c r="F181" s="8">
        <v>29.17</v>
      </c>
      <c r="G181" s="22">
        <f t="shared" si="79"/>
        <v>0</v>
      </c>
      <c r="H181" s="8">
        <v>2.81</v>
      </c>
      <c r="I181" s="30"/>
      <c r="J181" s="8">
        <f t="shared" si="80"/>
        <v>31.98</v>
      </c>
      <c r="K181" s="8">
        <f t="shared" si="81"/>
        <v>23409</v>
      </c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69">
        <v>0</v>
      </c>
      <c r="AA181" s="8"/>
      <c r="AB181" s="8"/>
      <c r="AC181" s="8"/>
      <c r="AD181" s="8"/>
      <c r="AE181" s="62"/>
      <c r="AF181" s="8"/>
      <c r="AG181" s="19"/>
      <c r="AH181" s="8"/>
      <c r="AI181" s="8"/>
      <c r="AJ181" s="8"/>
      <c r="AK181" s="19"/>
    </row>
    <row r="182" ht="13.5" spans="1:37">
      <c r="A182" s="20"/>
      <c r="B182" s="64" t="e">
        <f>[1]台时!$B$476</f>
        <v>#REF!</v>
      </c>
      <c r="C182" s="68">
        <f>2*12*D176</f>
        <v>1464</v>
      </c>
      <c r="D182" s="26" t="s">
        <v>43</v>
      </c>
      <c r="E182" s="21"/>
      <c r="F182" s="8">
        <v>20.1</v>
      </c>
      <c r="G182" s="22">
        <f t="shared" si="79"/>
        <v>0</v>
      </c>
      <c r="H182" s="8">
        <v>3.53</v>
      </c>
      <c r="I182" s="30"/>
      <c r="J182" s="8">
        <f t="shared" si="80"/>
        <v>23.63</v>
      </c>
      <c r="K182" s="8">
        <f t="shared" si="81"/>
        <v>34594</v>
      </c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69">
        <v>0</v>
      </c>
      <c r="AA182" s="8"/>
      <c r="AB182" s="8"/>
      <c r="AC182" s="8"/>
      <c r="AD182" s="8"/>
      <c r="AE182" s="62"/>
      <c r="AF182" s="8"/>
      <c r="AG182" s="19"/>
      <c r="AH182" s="8"/>
      <c r="AI182" s="8"/>
      <c r="AJ182" s="8"/>
      <c r="AK182" s="19"/>
    </row>
    <row r="183" ht="13.5" spans="1:37">
      <c r="A183" s="20"/>
      <c r="B183" s="64" t="e">
        <f>[1]台时!$B$666</f>
        <v>#REF!</v>
      </c>
      <c r="C183" s="68">
        <f>3*12*D176</f>
        <v>2196</v>
      </c>
      <c r="D183" s="26" t="s">
        <v>43</v>
      </c>
      <c r="E183" s="21"/>
      <c r="F183" s="8">
        <v>7.64</v>
      </c>
      <c r="G183" s="22">
        <f t="shared" si="79"/>
        <v>0</v>
      </c>
      <c r="H183" s="8">
        <v>1.95</v>
      </c>
      <c r="I183" s="30"/>
      <c r="J183" s="8">
        <f t="shared" si="80"/>
        <v>9.59</v>
      </c>
      <c r="K183" s="8">
        <f t="shared" si="81"/>
        <v>21060</v>
      </c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69">
        <v>0</v>
      </c>
      <c r="AA183" s="8"/>
      <c r="AB183" s="8"/>
      <c r="AC183" s="8"/>
      <c r="AD183" s="8"/>
      <c r="AE183" s="62"/>
      <c r="AF183" s="8"/>
      <c r="AG183" s="19"/>
      <c r="AH183" s="8"/>
      <c r="AI183" s="8"/>
      <c r="AJ183" s="8"/>
      <c r="AK183" s="19"/>
    </row>
    <row r="184" ht="13.5" spans="1:37">
      <c r="A184" s="44" t="s">
        <v>283</v>
      </c>
      <c r="B184" s="64" t="s">
        <v>284</v>
      </c>
      <c r="C184" s="65" t="s">
        <v>276</v>
      </c>
      <c r="D184" s="26">
        <v>213</v>
      </c>
      <c r="E184" s="21"/>
      <c r="F184" s="8"/>
      <c r="G184" s="22"/>
      <c r="H184" s="8"/>
      <c r="I184" s="30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69">
        <v>0</v>
      </c>
      <c r="AA184" s="8"/>
      <c r="AB184" s="8"/>
      <c r="AC184" s="8"/>
      <c r="AD184" s="8"/>
      <c r="AE184" s="62"/>
      <c r="AF184" s="8"/>
      <c r="AG184" s="19"/>
      <c r="AH184" s="8"/>
      <c r="AI184" s="8"/>
      <c r="AJ184" s="8"/>
      <c r="AK184" s="19"/>
    </row>
    <row r="185" ht="13.5" spans="1:37">
      <c r="A185" s="20"/>
      <c r="B185" s="64" t="e">
        <f>[1]台时!$B$833</f>
        <v>#REF!</v>
      </c>
      <c r="C185" s="68">
        <f>2*12*D184</f>
        <v>5112</v>
      </c>
      <c r="D185" s="26" t="s">
        <v>43</v>
      </c>
      <c r="E185" s="21"/>
      <c r="F185" s="8">
        <v>43.52</v>
      </c>
      <c r="G185" s="22">
        <f t="shared" ref="G185:G187" si="82">SUMPRODUCT($Z$9,Z185)</f>
        <v>26</v>
      </c>
      <c r="H185" s="8">
        <v>10.04</v>
      </c>
      <c r="I185" s="30"/>
      <c r="J185" s="8">
        <f t="shared" ref="J185:J189" si="83">SUM(F185:I185)</f>
        <v>79.56</v>
      </c>
      <c r="K185" s="8">
        <f t="shared" ref="K185:K189" si="84">ROUND(C185*J185,)</f>
        <v>406711</v>
      </c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69">
        <v>1.3</v>
      </c>
      <c r="AA185" s="8"/>
      <c r="AB185" s="8"/>
      <c r="AC185" s="8"/>
      <c r="AD185" s="8"/>
      <c r="AE185" s="62"/>
      <c r="AF185" s="8"/>
      <c r="AG185" s="19"/>
      <c r="AH185" s="8"/>
      <c r="AI185" s="8"/>
      <c r="AJ185" s="8"/>
      <c r="AK185" s="19"/>
    </row>
    <row r="186" ht="13.5" spans="1:37">
      <c r="A186" s="20"/>
      <c r="B186" s="64" t="e">
        <f>[1]台时!$B$836</f>
        <v>#REF!</v>
      </c>
      <c r="C186" s="68">
        <f>4*12*D184</f>
        <v>10224</v>
      </c>
      <c r="D186" s="26" t="s">
        <v>43</v>
      </c>
      <c r="E186" s="21"/>
      <c r="F186" s="8">
        <v>53.35</v>
      </c>
      <c r="G186" s="22">
        <f t="shared" si="82"/>
        <v>26</v>
      </c>
      <c r="H186" s="8">
        <v>7.79</v>
      </c>
      <c r="I186" s="30"/>
      <c r="J186" s="8">
        <f t="shared" si="83"/>
        <v>87.14</v>
      </c>
      <c r="K186" s="8">
        <f t="shared" si="84"/>
        <v>890919</v>
      </c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69">
        <v>1.3</v>
      </c>
      <c r="AA186" s="8"/>
      <c r="AB186" s="8"/>
      <c r="AC186" s="8"/>
      <c r="AD186" s="8"/>
      <c r="AE186" s="62"/>
      <c r="AF186" s="8"/>
      <c r="AG186" s="19"/>
      <c r="AH186" s="8"/>
      <c r="AI186" s="8"/>
      <c r="AJ186" s="8"/>
      <c r="AK186" s="19"/>
    </row>
    <row r="187" ht="13.5" spans="1:37">
      <c r="A187" s="20"/>
      <c r="B187" s="64" t="e">
        <f>[1]台时!$B$830</f>
        <v>#REF!</v>
      </c>
      <c r="C187" s="68">
        <f>4*12*D184</f>
        <v>10224</v>
      </c>
      <c r="D187" s="26" t="s">
        <v>43</v>
      </c>
      <c r="E187" s="21"/>
      <c r="F187" s="8">
        <v>106.38</v>
      </c>
      <c r="G187" s="22">
        <f t="shared" si="82"/>
        <v>0</v>
      </c>
      <c r="H187" s="8">
        <v>17.1</v>
      </c>
      <c r="I187" s="30"/>
      <c r="J187" s="8">
        <f t="shared" si="83"/>
        <v>123.48</v>
      </c>
      <c r="K187" s="8">
        <f t="shared" si="84"/>
        <v>1262460</v>
      </c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69">
        <v>0</v>
      </c>
      <c r="AA187" s="8"/>
      <c r="AB187" s="8"/>
      <c r="AC187" s="8"/>
      <c r="AD187" s="8"/>
      <c r="AE187" s="62"/>
      <c r="AF187" s="8"/>
      <c r="AG187" s="19"/>
      <c r="AH187" s="8"/>
      <c r="AI187" s="8"/>
      <c r="AJ187" s="8"/>
      <c r="AK187" s="19"/>
    </row>
    <row r="188" ht="13.5" spans="1:37">
      <c r="A188" s="20"/>
      <c r="B188" s="64" t="s">
        <v>271</v>
      </c>
      <c r="C188" s="65">
        <v>0.8</v>
      </c>
      <c r="D188" s="26" t="s">
        <v>214</v>
      </c>
      <c r="E188" s="21"/>
      <c r="F188" s="8">
        <v>250000</v>
      </c>
      <c r="G188" s="22">
        <v>25000</v>
      </c>
      <c r="H188" s="8">
        <v>27000</v>
      </c>
      <c r="I188" s="30"/>
      <c r="J188" s="8">
        <f t="shared" si="83"/>
        <v>302000</v>
      </c>
      <c r="K188" s="8">
        <f t="shared" si="84"/>
        <v>241600</v>
      </c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69">
        <v>0</v>
      </c>
      <c r="AA188" s="8"/>
      <c r="AB188" s="8"/>
      <c r="AC188" s="8"/>
      <c r="AD188" s="8"/>
      <c r="AE188" s="62"/>
      <c r="AF188" s="8"/>
      <c r="AG188" s="19"/>
      <c r="AH188" s="8"/>
      <c r="AI188" s="8"/>
      <c r="AJ188" s="8"/>
      <c r="AK188" s="19"/>
    </row>
    <row r="189" ht="13.5" spans="1:37">
      <c r="A189" s="20"/>
      <c r="B189" s="64" t="s">
        <v>285</v>
      </c>
      <c r="C189" s="65">
        <v>0.5</v>
      </c>
      <c r="D189" s="26" t="s">
        <v>214</v>
      </c>
      <c r="E189" s="21"/>
      <c r="F189" s="8">
        <v>320000</v>
      </c>
      <c r="G189" s="22">
        <v>31000</v>
      </c>
      <c r="H189" s="8">
        <v>33000</v>
      </c>
      <c r="I189" s="30"/>
      <c r="J189" s="8">
        <f t="shared" si="83"/>
        <v>384000</v>
      </c>
      <c r="K189" s="8">
        <f t="shared" si="84"/>
        <v>192000</v>
      </c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69">
        <v>0</v>
      </c>
      <c r="AA189" s="8"/>
      <c r="AB189" s="8"/>
      <c r="AC189" s="8"/>
      <c r="AD189" s="8"/>
      <c r="AE189" s="62"/>
      <c r="AF189" s="8"/>
      <c r="AG189" s="19"/>
      <c r="AH189" s="8"/>
      <c r="AI189" s="8"/>
      <c r="AJ189" s="8"/>
      <c r="AK189" s="19"/>
    </row>
    <row r="190" ht="13.5" spans="1:37">
      <c r="A190" s="20"/>
      <c r="B190" s="66" t="s">
        <v>286</v>
      </c>
      <c r="C190" s="65"/>
      <c r="D190" s="26"/>
      <c r="E190" s="21"/>
      <c r="F190" s="8"/>
      <c r="G190" s="22"/>
      <c r="H190" s="8"/>
      <c r="I190" s="30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69">
        <v>0</v>
      </c>
      <c r="AA190" s="8"/>
      <c r="AB190" s="8"/>
      <c r="AC190" s="8"/>
      <c r="AD190" s="8"/>
      <c r="AE190" s="62"/>
      <c r="AF190" s="8"/>
      <c r="AG190" s="19"/>
      <c r="AH190" s="8"/>
      <c r="AI190" s="8"/>
      <c r="AJ190" s="8"/>
      <c r="AK190" s="19"/>
    </row>
    <row r="191" ht="13.5" spans="1:37">
      <c r="A191" s="20" t="s">
        <v>287</v>
      </c>
      <c r="B191" s="64" t="s">
        <v>62</v>
      </c>
      <c r="C191" s="65">
        <v>31034</v>
      </c>
      <c r="D191" s="26" t="s">
        <v>54</v>
      </c>
      <c r="E191" s="21"/>
      <c r="F191" s="8"/>
      <c r="G191" s="22"/>
      <c r="H191" s="8"/>
      <c r="I191" s="30"/>
      <c r="J191" s="8">
        <v>13</v>
      </c>
      <c r="K191" s="8">
        <f t="shared" ref="K191:K201" si="85">ROUND(C191*J191,)</f>
        <v>403442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69">
        <v>0</v>
      </c>
      <c r="AA191" s="8"/>
      <c r="AB191" s="8"/>
      <c r="AC191" s="8"/>
      <c r="AD191" s="8"/>
      <c r="AE191" s="62"/>
      <c r="AF191" s="8"/>
      <c r="AG191" s="19"/>
      <c r="AH191" s="8"/>
      <c r="AI191" s="8"/>
      <c r="AJ191" s="8"/>
      <c r="AK191" s="19"/>
    </row>
    <row r="192" ht="13.5" spans="1:37">
      <c r="A192" s="20" t="s">
        <v>288</v>
      </c>
      <c r="B192" s="64" t="s">
        <v>53</v>
      </c>
      <c r="C192" s="65">
        <v>352</v>
      </c>
      <c r="D192" s="26" t="s">
        <v>54</v>
      </c>
      <c r="E192" s="21"/>
      <c r="F192" s="8"/>
      <c r="G192" s="22"/>
      <c r="H192" s="8"/>
      <c r="I192" s="30"/>
      <c r="J192" s="8">
        <v>35</v>
      </c>
      <c r="K192" s="8">
        <f t="shared" si="85"/>
        <v>12320</v>
      </c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69">
        <v>0</v>
      </c>
      <c r="AA192" s="8"/>
      <c r="AB192" s="8"/>
      <c r="AC192" s="8"/>
      <c r="AD192" s="8"/>
      <c r="AE192" s="62"/>
      <c r="AF192" s="8"/>
      <c r="AG192" s="19"/>
      <c r="AH192" s="8"/>
      <c r="AI192" s="8"/>
      <c r="AJ192" s="8"/>
      <c r="AK192" s="19"/>
    </row>
    <row r="193" ht="13.5" spans="1:37">
      <c r="A193" s="20" t="s">
        <v>289</v>
      </c>
      <c r="B193" s="64" t="s">
        <v>290</v>
      </c>
      <c r="C193" s="65">
        <v>1059823</v>
      </c>
      <c r="D193" s="26" t="s">
        <v>54</v>
      </c>
      <c r="E193" s="21"/>
      <c r="F193" s="8"/>
      <c r="G193" s="22"/>
      <c r="H193" s="8"/>
      <c r="I193" s="30"/>
      <c r="J193" s="8">
        <v>3.2</v>
      </c>
      <c r="K193" s="8">
        <f t="shared" si="85"/>
        <v>3391434</v>
      </c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69">
        <v>0</v>
      </c>
      <c r="AA193" s="8"/>
      <c r="AB193" s="8"/>
      <c r="AC193" s="8"/>
      <c r="AD193" s="8"/>
      <c r="AE193" s="62"/>
      <c r="AF193" s="8"/>
      <c r="AG193" s="19"/>
      <c r="AH193" s="8"/>
      <c r="AI193" s="8"/>
      <c r="AJ193" s="8"/>
      <c r="AK193" s="19"/>
    </row>
    <row r="194" ht="13.5" spans="1:37">
      <c r="A194" s="20" t="s">
        <v>291</v>
      </c>
      <c r="B194" s="64" t="s">
        <v>70</v>
      </c>
      <c r="C194" s="65">
        <v>141939</v>
      </c>
      <c r="D194" s="26" t="s">
        <v>54</v>
      </c>
      <c r="E194" s="21"/>
      <c r="F194" s="8"/>
      <c r="G194" s="22"/>
      <c r="H194" s="8"/>
      <c r="I194" s="30"/>
      <c r="J194" s="8">
        <v>3.2</v>
      </c>
      <c r="K194" s="8">
        <f t="shared" si="85"/>
        <v>454205</v>
      </c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69">
        <v>0</v>
      </c>
      <c r="AA194" s="8"/>
      <c r="AB194" s="8"/>
      <c r="AC194" s="8"/>
      <c r="AD194" s="8"/>
      <c r="AE194" s="62"/>
      <c r="AF194" s="8"/>
      <c r="AG194" s="19"/>
      <c r="AH194" s="8"/>
      <c r="AI194" s="8"/>
      <c r="AJ194" s="8"/>
      <c r="AK194" s="19"/>
    </row>
    <row r="195" ht="13.5" spans="1:37">
      <c r="A195" s="20" t="s">
        <v>292</v>
      </c>
      <c r="B195" s="64" t="s">
        <v>293</v>
      </c>
      <c r="C195" s="65">
        <v>41877</v>
      </c>
      <c r="D195" s="26" t="s">
        <v>54</v>
      </c>
      <c r="E195" s="21"/>
      <c r="F195" s="8"/>
      <c r="G195" s="22"/>
      <c r="H195" s="8"/>
      <c r="I195" s="30"/>
      <c r="J195" s="8">
        <f>3.5+(2.2+0.35*2*5)*2.8</f>
        <v>19.46</v>
      </c>
      <c r="K195" s="8">
        <f t="shared" si="85"/>
        <v>814926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69">
        <v>0</v>
      </c>
      <c r="AA195" s="8"/>
      <c r="AB195" s="8"/>
      <c r="AC195" s="8"/>
      <c r="AD195" s="8"/>
      <c r="AE195" s="62"/>
      <c r="AF195" s="8"/>
      <c r="AG195" s="19"/>
      <c r="AH195" s="8"/>
      <c r="AI195" s="8"/>
      <c r="AJ195" s="8"/>
      <c r="AK195" s="19"/>
    </row>
    <row r="196" ht="13.5" spans="1:37">
      <c r="A196" s="20" t="s">
        <v>294</v>
      </c>
      <c r="B196" s="64" t="s">
        <v>172</v>
      </c>
      <c r="C196" s="65">
        <v>50972</v>
      </c>
      <c r="D196" s="26" t="s">
        <v>89</v>
      </c>
      <c r="E196" s="21"/>
      <c r="F196" s="8">
        <v>10</v>
      </c>
      <c r="G196" s="22">
        <v>2.5</v>
      </c>
      <c r="H196" s="8"/>
      <c r="I196" s="30"/>
      <c r="J196" s="8">
        <f>10+2.5</f>
        <v>12.5</v>
      </c>
      <c r="K196" s="8">
        <f t="shared" si="85"/>
        <v>637150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69">
        <v>0</v>
      </c>
      <c r="AA196" s="8"/>
      <c r="AB196" s="8"/>
      <c r="AC196" s="8"/>
      <c r="AD196" s="8"/>
      <c r="AE196" s="62"/>
      <c r="AF196" s="8"/>
      <c r="AG196" s="19"/>
      <c r="AH196" s="8"/>
      <c r="AI196" s="8"/>
      <c r="AJ196" s="8"/>
      <c r="AK196" s="19"/>
    </row>
    <row r="197" ht="13.5" spans="1:37">
      <c r="A197" s="20" t="s">
        <v>295</v>
      </c>
      <c r="B197" s="64" t="s">
        <v>296</v>
      </c>
      <c r="C197" s="65">
        <v>12428</v>
      </c>
      <c r="D197" s="26" t="s">
        <v>54</v>
      </c>
      <c r="E197" s="21"/>
      <c r="F197" s="8"/>
      <c r="G197" s="22"/>
      <c r="H197" s="8"/>
      <c r="I197" s="30"/>
      <c r="J197" s="8">
        <v>3.5</v>
      </c>
      <c r="K197" s="8">
        <f t="shared" si="85"/>
        <v>43498</v>
      </c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69">
        <v>0</v>
      </c>
      <c r="AA197" s="8"/>
      <c r="AB197" s="8"/>
      <c r="AC197" s="8"/>
      <c r="AD197" s="8"/>
      <c r="AE197" s="62"/>
      <c r="AF197" s="8"/>
      <c r="AG197" s="19"/>
      <c r="AH197" s="8"/>
      <c r="AI197" s="8"/>
      <c r="AJ197" s="8"/>
      <c r="AK197" s="19"/>
    </row>
    <row r="198" ht="13.5" spans="1:37">
      <c r="A198" s="20" t="s">
        <v>297</v>
      </c>
      <c r="B198" s="64" t="s">
        <v>298</v>
      </c>
      <c r="C198" s="65">
        <v>4420</v>
      </c>
      <c r="D198" s="26" t="s">
        <v>54</v>
      </c>
      <c r="E198" s="21"/>
      <c r="F198" s="8"/>
      <c r="G198" s="22"/>
      <c r="H198" s="8"/>
      <c r="I198" s="30"/>
      <c r="J198" s="8">
        <f>(2.2+(5*0.35*2))*2.2+3.5+3.5</f>
        <v>19.54</v>
      </c>
      <c r="K198" s="8">
        <f t="shared" si="85"/>
        <v>86367</v>
      </c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69">
        <v>0</v>
      </c>
      <c r="AA198" s="8"/>
      <c r="AB198" s="8"/>
      <c r="AC198" s="8"/>
      <c r="AD198" s="8"/>
      <c r="AE198" s="62"/>
      <c r="AF198" s="8"/>
      <c r="AG198" s="19"/>
      <c r="AH198" s="8"/>
      <c r="AI198" s="8"/>
      <c r="AJ198" s="8"/>
      <c r="AK198" s="19"/>
    </row>
    <row r="199" ht="13.5" spans="1:37">
      <c r="A199" s="20" t="s">
        <v>299</v>
      </c>
      <c r="B199" s="64" t="s">
        <v>72</v>
      </c>
      <c r="C199" s="65">
        <v>3366</v>
      </c>
      <c r="D199" s="26" t="s">
        <v>54</v>
      </c>
      <c r="E199" s="21"/>
      <c r="F199" s="8"/>
      <c r="G199" s="22"/>
      <c r="H199" s="8"/>
      <c r="I199" s="30"/>
      <c r="J199" s="8">
        <f>31*1.45+3.5+3.5</f>
        <v>51.95</v>
      </c>
      <c r="K199" s="8">
        <f t="shared" si="85"/>
        <v>174864</v>
      </c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69">
        <v>0</v>
      </c>
      <c r="AA199" s="8"/>
      <c r="AB199" s="8"/>
      <c r="AC199" s="8"/>
      <c r="AD199" s="8"/>
      <c r="AE199" s="62"/>
      <c r="AF199" s="8"/>
      <c r="AG199" s="19"/>
      <c r="AH199" s="8"/>
      <c r="AI199" s="8"/>
      <c r="AJ199" s="8"/>
      <c r="AK199" s="19"/>
    </row>
    <row r="200" ht="13.5" spans="1:37">
      <c r="A200" s="20" t="s">
        <v>300</v>
      </c>
      <c r="B200" s="64" t="s">
        <v>301</v>
      </c>
      <c r="C200" s="65">
        <v>1576</v>
      </c>
      <c r="D200" s="26" t="s">
        <v>54</v>
      </c>
      <c r="E200" s="21"/>
      <c r="F200" s="8"/>
      <c r="G200" s="22"/>
      <c r="H200" s="8"/>
      <c r="I200" s="30"/>
      <c r="J200" s="8">
        <v>80</v>
      </c>
      <c r="K200" s="8">
        <f t="shared" si="85"/>
        <v>126080</v>
      </c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69">
        <v>0</v>
      </c>
      <c r="AA200" s="8"/>
      <c r="AB200" s="8"/>
      <c r="AC200" s="8"/>
      <c r="AD200" s="8"/>
      <c r="AE200" s="62"/>
      <c r="AF200" s="8"/>
      <c r="AG200" s="19"/>
      <c r="AH200" s="8"/>
      <c r="AI200" s="8"/>
      <c r="AJ200" s="8"/>
      <c r="AK200" s="19"/>
    </row>
    <row r="201" ht="13.5" spans="1:37">
      <c r="A201" s="20" t="s">
        <v>302</v>
      </c>
      <c r="B201" s="64" t="s">
        <v>303</v>
      </c>
      <c r="C201" s="65">
        <v>19035</v>
      </c>
      <c r="D201" s="26" t="s">
        <v>54</v>
      </c>
      <c r="E201" s="21"/>
      <c r="F201" s="8"/>
      <c r="G201" s="22"/>
      <c r="H201" s="8"/>
      <c r="I201" s="30"/>
      <c r="J201" s="8">
        <f>3.5</f>
        <v>3.5</v>
      </c>
      <c r="K201" s="8">
        <f t="shared" si="85"/>
        <v>66623</v>
      </c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69">
        <v>0</v>
      </c>
      <c r="AA201" s="8"/>
      <c r="AB201" s="8"/>
      <c r="AC201" s="8"/>
      <c r="AD201" s="8"/>
      <c r="AE201" s="62"/>
      <c r="AF201" s="8"/>
      <c r="AG201" s="19"/>
      <c r="AH201" s="8"/>
      <c r="AI201" s="8"/>
      <c r="AJ201" s="8"/>
      <c r="AK201" s="19"/>
    </row>
    <row r="202" spans="1:37">
      <c r="A202" s="8">
        <v>8</v>
      </c>
      <c r="B202" s="70" t="s">
        <v>304</v>
      </c>
      <c r="C202" s="71"/>
      <c r="D202" s="8"/>
      <c r="E202" s="8"/>
      <c r="F202" s="8"/>
      <c r="G202" s="8"/>
      <c r="H202" s="8"/>
      <c r="I202" s="8"/>
      <c r="J202" s="8"/>
      <c r="K202" s="8">
        <f>SUM(K203:K208)</f>
        <v>101327835</v>
      </c>
      <c r="L202" s="71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>
        <v>0</v>
      </c>
      <c r="AA202" s="8"/>
      <c r="AB202" s="8"/>
      <c r="AC202" s="8"/>
      <c r="AD202" s="8"/>
      <c r="AF202" s="8"/>
      <c r="AG202" s="8"/>
      <c r="AH202" s="8"/>
      <c r="AI202" s="8"/>
      <c r="AJ202" s="8"/>
      <c r="AK202" s="8"/>
    </row>
    <row r="203" ht="60" spans="1:41">
      <c r="A203" s="8">
        <v>8.1</v>
      </c>
      <c r="B203" s="8" t="s">
        <v>305</v>
      </c>
      <c r="C203" s="8">
        <v>15</v>
      </c>
      <c r="D203" s="23" t="s">
        <v>68</v>
      </c>
      <c r="E203" s="8">
        <f t="shared" ref="E203:E208" si="86">ROUND(SUMPRODUCT($M$9:$Y$9,M203:Y203),2)</f>
        <v>25304.93</v>
      </c>
      <c r="F203" s="30">
        <f t="shared" ref="F203:F208" si="87">SUMPRODUCT($Z$9,Z203)</f>
        <v>9027.46</v>
      </c>
      <c r="G203" s="8">
        <f t="shared" ref="G203:G208" si="88">ROUND(SUMPRODUCT($AA$9:$AC$9,AA203:AC203),2)</f>
        <v>29979.08</v>
      </c>
      <c r="H203" s="30">
        <f>ROUND(SUM(E203:G203)*0.01,2)</f>
        <v>643.11</v>
      </c>
      <c r="I203" s="8">
        <f t="shared" ref="I203:I208" si="89">ROUND(SUM(E203:H203)*$AG$7,2)</f>
        <v>3897.27</v>
      </c>
      <c r="J203" s="8">
        <f t="shared" ref="J203:J208" si="90">SUM(E203:I203)</f>
        <v>68851.85</v>
      </c>
      <c r="K203" s="8">
        <f t="shared" ref="K203:K208" si="91">ROUND(C203*J203,)</f>
        <v>1032778</v>
      </c>
      <c r="L203" s="8" t="s">
        <v>306</v>
      </c>
      <c r="M203" s="75">
        <f>ROUND(SUMPRODUCT($AA$5:$AC$5,AA203:AC203),2)</f>
        <v>3373.99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>
        <v>451.373</v>
      </c>
      <c r="AA203" s="8"/>
      <c r="AB203" s="8">
        <f t="shared" ref="AB203:AB206" si="92">ROUND(AK203,3)</f>
        <v>119.912</v>
      </c>
      <c r="AC203" s="8">
        <f t="shared" ref="AC203:AC206" si="93">ROUND(AG203,3)</f>
        <v>70.862</v>
      </c>
      <c r="AD203" s="8" t="s">
        <v>307</v>
      </c>
      <c r="AE203" s="1">
        <f t="shared" ref="AE203:AE208" si="94">AO203+$AF$70</f>
        <v>1.4</v>
      </c>
      <c r="AF203" s="8">
        <f t="shared" ref="AF203:AF208" si="95">(2.5)*10000</f>
        <v>25000</v>
      </c>
      <c r="AG203" s="8">
        <f t="shared" ref="AG203:AG205" si="96">AF203/$AC$6</f>
        <v>70.8616780045352</v>
      </c>
      <c r="AH203" s="8">
        <f t="shared" ref="AH203:AH208" si="97">$AG$10/$AI$9*$AI$10*10000</f>
        <v>23070</v>
      </c>
      <c r="AI203" s="8">
        <f t="shared" ref="AI203:AI208" si="98">$AG$12*(AE203-1)*$AI$10*2*10000</f>
        <v>4614</v>
      </c>
      <c r="AJ203" s="8">
        <f t="shared" ref="AJ203:AJ208" si="99">AH203+AI203</f>
        <v>27684</v>
      </c>
      <c r="AK203" s="8">
        <f t="shared" ref="AK203:AK208" si="100">AJ203/$AB$6</f>
        <v>119.911638584485</v>
      </c>
      <c r="AO203" s="1">
        <v>1</v>
      </c>
    </row>
    <row r="204" ht="24" spans="1:41">
      <c r="A204" s="8">
        <v>8.2</v>
      </c>
      <c r="B204" s="71" t="s">
        <v>308</v>
      </c>
      <c r="C204" s="8">
        <v>60</v>
      </c>
      <c r="D204" s="23" t="s">
        <v>68</v>
      </c>
      <c r="E204" s="8">
        <f t="shared" si="86"/>
        <v>43516.43</v>
      </c>
      <c r="F204" s="30">
        <f t="shared" si="87"/>
        <v>14093.82</v>
      </c>
      <c r="G204" s="8">
        <f t="shared" si="88"/>
        <v>47965.76</v>
      </c>
      <c r="H204" s="30">
        <f t="shared" ref="H204:H208" si="101">ROUND(SUM(F204:G204)*0.01,2)</f>
        <v>620.6</v>
      </c>
      <c r="I204" s="8">
        <f t="shared" si="89"/>
        <v>6371.8</v>
      </c>
      <c r="J204" s="8">
        <f t="shared" si="90"/>
        <v>112568.41</v>
      </c>
      <c r="K204" s="8">
        <f t="shared" si="91"/>
        <v>6754105</v>
      </c>
      <c r="L204" s="8"/>
      <c r="M204" s="75">
        <f>ROUND(SUMPRODUCT($AA$5:$AC$5,AA204:AC204),2)</f>
        <v>5802.19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>
        <v>704.691</v>
      </c>
      <c r="AA204" s="8"/>
      <c r="AB204" s="8">
        <f t="shared" si="92"/>
        <v>269.801</v>
      </c>
      <c r="AC204" s="8">
        <f t="shared" si="93"/>
        <v>70.862</v>
      </c>
      <c r="AD204" s="8" t="s">
        <v>307</v>
      </c>
      <c r="AE204" s="1">
        <f t="shared" si="94"/>
        <v>4.4</v>
      </c>
      <c r="AF204" s="8">
        <f t="shared" si="95"/>
        <v>25000</v>
      </c>
      <c r="AG204" s="8">
        <f t="shared" si="96"/>
        <v>70.8616780045352</v>
      </c>
      <c r="AH204" s="8">
        <f t="shared" si="97"/>
        <v>23070</v>
      </c>
      <c r="AI204" s="8">
        <f t="shared" si="98"/>
        <v>39219</v>
      </c>
      <c r="AJ204" s="8">
        <f t="shared" si="99"/>
        <v>62289</v>
      </c>
      <c r="AK204" s="8">
        <f t="shared" si="100"/>
        <v>269.801186815091</v>
      </c>
      <c r="AO204" s="1">
        <v>4</v>
      </c>
    </row>
    <row r="205" ht="13.5" spans="1:41">
      <c r="A205" s="8">
        <v>8.3</v>
      </c>
      <c r="B205" s="71" t="s">
        <v>309</v>
      </c>
      <c r="C205" s="8">
        <v>185</v>
      </c>
      <c r="D205" s="23" t="s">
        <v>68</v>
      </c>
      <c r="E205" s="8">
        <f t="shared" si="86"/>
        <v>71697.53</v>
      </c>
      <c r="F205" s="30">
        <f t="shared" si="87"/>
        <v>22490</v>
      </c>
      <c r="G205" s="8">
        <f t="shared" si="88"/>
        <v>77195.14</v>
      </c>
      <c r="H205" s="30">
        <f t="shared" si="101"/>
        <v>996.85</v>
      </c>
      <c r="I205" s="8">
        <f t="shared" si="89"/>
        <v>10342.77</v>
      </c>
      <c r="J205" s="8">
        <f t="shared" si="90"/>
        <v>182722.29</v>
      </c>
      <c r="K205" s="8">
        <f t="shared" si="91"/>
        <v>33803624</v>
      </c>
      <c r="L205" s="8"/>
      <c r="M205" s="75">
        <f>ROUND(SUMPRODUCT($AA$5:$AC$5,AA205:AC205),2)</f>
        <v>9559.67</v>
      </c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>
        <v>1124.5</v>
      </c>
      <c r="AA205" s="8"/>
      <c r="AB205" s="8">
        <f t="shared" si="92"/>
        <v>477.004</v>
      </c>
      <c r="AC205" s="8">
        <f t="shared" si="93"/>
        <v>90.703</v>
      </c>
      <c r="AD205" s="8" t="s">
        <v>310</v>
      </c>
      <c r="AE205" s="1">
        <f t="shared" si="94"/>
        <v>8.14</v>
      </c>
      <c r="AF205" s="8">
        <f>(3.2)*10000</f>
        <v>32000</v>
      </c>
      <c r="AG205" s="8">
        <f t="shared" si="96"/>
        <v>90.702947845805</v>
      </c>
      <c r="AH205" s="8">
        <f t="shared" ref="AH205:AH211" si="102">$AG$9/$AI$11*$AI$12*10000</f>
        <v>24917.1428571429</v>
      </c>
      <c r="AI205" s="8">
        <f t="shared" ref="AI205:AI211" si="103">$AG$11*(AE205-1)*$AI$12*2*10000</f>
        <v>85208.76</v>
      </c>
      <c r="AJ205" s="8">
        <f t="shared" si="99"/>
        <v>110125.902857143</v>
      </c>
      <c r="AK205" s="8">
        <f t="shared" si="100"/>
        <v>477.003953987711</v>
      </c>
      <c r="AL205" s="1" t="s">
        <v>311</v>
      </c>
      <c r="AO205" s="1">
        <v>7.74</v>
      </c>
    </row>
    <row r="206" ht="13.5" spans="1:41">
      <c r="A206" s="8">
        <v>8.4</v>
      </c>
      <c r="B206" s="71" t="s">
        <v>312</v>
      </c>
      <c r="C206" s="8">
        <f>848/2+40</f>
        <v>464</v>
      </c>
      <c r="D206" s="23" t="s">
        <v>68</v>
      </c>
      <c r="E206" s="8">
        <f t="shared" si="86"/>
        <v>40747.35</v>
      </c>
      <c r="F206" s="30">
        <f t="shared" si="87"/>
        <v>11335.48</v>
      </c>
      <c r="G206" s="8">
        <f t="shared" si="88"/>
        <v>40244.28</v>
      </c>
      <c r="H206" s="30">
        <f t="shared" si="101"/>
        <v>515.8</v>
      </c>
      <c r="I206" s="8">
        <f t="shared" si="89"/>
        <v>5570.57</v>
      </c>
      <c r="J206" s="8">
        <f t="shared" si="90"/>
        <v>98413.48</v>
      </c>
      <c r="K206" s="8">
        <f t="shared" si="91"/>
        <v>45663855</v>
      </c>
      <c r="L206" s="8"/>
      <c r="M206" s="75">
        <f>ROUND(SUMPRODUCT($AA$5:$AC$5,AA206:AC206),2)</f>
        <v>5432.98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>
        <v>566.774</v>
      </c>
      <c r="AA206" s="8"/>
      <c r="AB206" s="8">
        <f t="shared" si="92"/>
        <v>335.369</v>
      </c>
      <c r="AC206" s="8">
        <f t="shared" si="93"/>
        <v>0</v>
      </c>
      <c r="AD206" s="8"/>
      <c r="AE206" s="1">
        <f t="shared" si="94"/>
        <v>5.4</v>
      </c>
      <c r="AF206" s="8"/>
      <c r="AG206" s="8"/>
      <c r="AH206" s="8">
        <f t="shared" si="102"/>
        <v>24917.1428571429</v>
      </c>
      <c r="AI206" s="8">
        <f t="shared" si="103"/>
        <v>52509.6</v>
      </c>
      <c r="AJ206" s="8">
        <f t="shared" si="99"/>
        <v>77426.7428571428</v>
      </c>
      <c r="AK206" s="8">
        <f t="shared" si="100"/>
        <v>335.369441058357</v>
      </c>
      <c r="AL206" s="1" t="s">
        <v>311</v>
      </c>
      <c r="AO206" s="1">
        <v>5</v>
      </c>
    </row>
    <row r="207" ht="24" spans="1:41">
      <c r="A207" s="8">
        <v>8.5</v>
      </c>
      <c r="B207" s="71" t="s">
        <v>313</v>
      </c>
      <c r="C207" s="8">
        <v>36</v>
      </c>
      <c r="D207" s="23" t="s">
        <v>68</v>
      </c>
      <c r="E207" s="8">
        <f t="shared" si="86"/>
        <v>57114.3</v>
      </c>
      <c r="F207" s="30">
        <f t="shared" si="87"/>
        <v>17876.56</v>
      </c>
      <c r="G207" s="8">
        <f t="shared" si="88"/>
        <v>61395.6</v>
      </c>
      <c r="H207" s="30">
        <f t="shared" si="101"/>
        <v>792.72</v>
      </c>
      <c r="I207" s="8">
        <f t="shared" si="89"/>
        <v>8230.75</v>
      </c>
      <c r="J207" s="8">
        <f t="shared" si="90"/>
        <v>145409.93</v>
      </c>
      <c r="K207" s="8">
        <f t="shared" si="91"/>
        <v>5234757</v>
      </c>
      <c r="L207" s="8"/>
      <c r="M207" s="75">
        <f>ROUND(SUMPRODUCT($AA$5:$AC$5,AA207:AC207),2)</f>
        <v>7615.24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>
        <v>893.828</v>
      </c>
      <c r="AA207" s="8"/>
      <c r="AB207" s="8">
        <f t="shared" ref="AB207:AB211" si="104">ROUND(AK207,2)</f>
        <v>381.72</v>
      </c>
      <c r="AC207" s="8">
        <f t="shared" ref="AC207:AC211" si="105">ROUND(AG207,2)</f>
        <v>70.86</v>
      </c>
      <c r="AD207" s="8" t="s">
        <v>307</v>
      </c>
      <c r="AE207" s="1">
        <f t="shared" si="94"/>
        <v>6.64</v>
      </c>
      <c r="AF207" s="8">
        <f t="shared" si="95"/>
        <v>25000</v>
      </c>
      <c r="AG207" s="8">
        <f t="shared" ref="AG207:AG211" si="106">AF207/$AC$6</f>
        <v>70.8616780045352</v>
      </c>
      <c r="AH207" s="8">
        <f t="shared" si="97"/>
        <v>23070</v>
      </c>
      <c r="AI207" s="8">
        <f t="shared" si="98"/>
        <v>65057.4</v>
      </c>
      <c r="AJ207" s="8">
        <f t="shared" si="99"/>
        <v>88127.4</v>
      </c>
      <c r="AK207" s="8">
        <f t="shared" si="100"/>
        <v>381.71871616061</v>
      </c>
      <c r="AL207" s="1">
        <f>AH206/2.3</f>
        <v>10833.5403726708</v>
      </c>
      <c r="AO207" s="1">
        <v>6.24</v>
      </c>
    </row>
    <row r="208" ht="24" spans="1:41">
      <c r="A208" s="8">
        <v>8.6</v>
      </c>
      <c r="B208" s="71" t="s">
        <v>314</v>
      </c>
      <c r="C208" s="8">
        <v>59</v>
      </c>
      <c r="D208" s="23" t="s">
        <v>68</v>
      </c>
      <c r="E208" s="8">
        <f t="shared" si="86"/>
        <v>58935.53</v>
      </c>
      <c r="F208" s="30">
        <f t="shared" si="87"/>
        <v>18383.3</v>
      </c>
      <c r="G208" s="8">
        <f t="shared" si="88"/>
        <v>63194.4</v>
      </c>
      <c r="H208" s="30">
        <f t="shared" si="101"/>
        <v>815.78</v>
      </c>
      <c r="I208" s="8">
        <f t="shared" si="89"/>
        <v>8479.74</v>
      </c>
      <c r="J208" s="8">
        <f t="shared" si="90"/>
        <v>149808.75</v>
      </c>
      <c r="K208" s="8">
        <f t="shared" si="91"/>
        <v>8838716</v>
      </c>
      <c r="L208" s="8"/>
      <c r="M208" s="75">
        <f>ROUND(SUMPRODUCT($AA$5:$AC$5,AA208:AC208),2)</f>
        <v>7858.07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>
        <v>919.165</v>
      </c>
      <c r="AA208" s="8"/>
      <c r="AB208" s="8">
        <f t="shared" si="104"/>
        <v>396.71</v>
      </c>
      <c r="AC208" s="8">
        <f t="shared" si="105"/>
        <v>70.86</v>
      </c>
      <c r="AD208" s="8" t="s">
        <v>307</v>
      </c>
      <c r="AE208" s="1">
        <f t="shared" si="94"/>
        <v>6.94</v>
      </c>
      <c r="AF208" s="8">
        <f t="shared" si="95"/>
        <v>25000</v>
      </c>
      <c r="AG208" s="8">
        <f t="shared" si="106"/>
        <v>70.8616780045352</v>
      </c>
      <c r="AH208" s="8">
        <f t="shared" si="97"/>
        <v>23070</v>
      </c>
      <c r="AI208" s="8">
        <f t="shared" si="98"/>
        <v>68517.9</v>
      </c>
      <c r="AJ208" s="8">
        <f t="shared" si="99"/>
        <v>91587.9</v>
      </c>
      <c r="AK208" s="8">
        <f t="shared" si="100"/>
        <v>396.70767098367</v>
      </c>
      <c r="AO208" s="1">
        <v>6.54</v>
      </c>
    </row>
    <row r="209" ht="60" spans="1:37">
      <c r="A209" s="8">
        <v>9</v>
      </c>
      <c r="B209" s="70" t="s">
        <v>315</v>
      </c>
      <c r="C209" s="71"/>
      <c r="D209" s="8"/>
      <c r="E209" s="8"/>
      <c r="F209" s="8"/>
      <c r="G209" s="8"/>
      <c r="H209" s="30"/>
      <c r="I209" s="8"/>
      <c r="J209" s="8"/>
      <c r="K209" s="8">
        <f>SUM(K210:K211)</f>
        <v>11064810</v>
      </c>
      <c r="L209" s="8" t="s">
        <v>306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>
        <v>0</v>
      </c>
      <c r="AA209" s="8"/>
      <c r="AB209" s="8"/>
      <c r="AC209" s="8"/>
      <c r="AD209" s="8"/>
      <c r="AF209" s="8"/>
      <c r="AG209" s="8"/>
      <c r="AH209" s="8"/>
      <c r="AI209" s="8"/>
      <c r="AJ209" s="8"/>
      <c r="AK209" s="8"/>
    </row>
    <row r="210" ht="13.5" spans="1:41">
      <c r="A210" s="8">
        <v>9.1</v>
      </c>
      <c r="B210" s="71" t="s">
        <v>316</v>
      </c>
      <c r="C210" s="8">
        <v>22.7</v>
      </c>
      <c r="D210" s="23" t="s">
        <v>68</v>
      </c>
      <c r="E210" s="8">
        <f t="shared" ref="E210:E216" si="107">ROUND(SUMPRODUCT($M$9:$Y$9,M210:Y210),2)</f>
        <v>54488.48</v>
      </c>
      <c r="F210" s="30">
        <f t="shared" ref="F210:F216" si="108">SUMPRODUCT($Z$9,Z210)</f>
        <v>17702.62</v>
      </c>
      <c r="G210" s="8">
        <f t="shared" ref="G210:G216" si="109">ROUND(SUMPRODUCT($AA$9:$AC$9,AA210:AC210),2)</f>
        <v>60198.4</v>
      </c>
      <c r="H210" s="30">
        <f t="shared" ref="H210:H216" si="110">ROUND(SUM(F210:G210)*0.01,2)</f>
        <v>779.01</v>
      </c>
      <c r="I210" s="8">
        <f t="shared" ref="I210:I216" si="111">ROUND(SUM(E210:H210)*$AG$7,2)</f>
        <v>7990.11</v>
      </c>
      <c r="J210" s="8">
        <f t="shared" ref="J210:J216" si="112">SUM(E210:I210)</f>
        <v>141158.62</v>
      </c>
      <c r="K210" s="8">
        <f t="shared" ref="K210:K216" si="113">ROUND(C210*J210,)</f>
        <v>3204301</v>
      </c>
      <c r="L210" s="8"/>
      <c r="M210" s="75">
        <f>ROUND(SUMPRODUCT($AA$5:$AC$5,AA210:AC210),2)</f>
        <v>7265.13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>
        <v>885.131</v>
      </c>
      <c r="AA210" s="8"/>
      <c r="AB210" s="8">
        <f t="shared" si="104"/>
        <v>335.37</v>
      </c>
      <c r="AC210" s="8">
        <f t="shared" si="105"/>
        <v>90.7</v>
      </c>
      <c r="AD210" s="8" t="s">
        <v>310</v>
      </c>
      <c r="AE210" s="1">
        <f t="shared" ref="AE210:AE216" si="114">AO210+$AF$70</f>
        <v>5.4</v>
      </c>
      <c r="AF210" s="8">
        <f>(3.2)*10000</f>
        <v>32000</v>
      </c>
      <c r="AG210" s="8">
        <f t="shared" si="106"/>
        <v>90.702947845805</v>
      </c>
      <c r="AH210" s="8">
        <f t="shared" si="102"/>
        <v>24917.1428571429</v>
      </c>
      <c r="AI210" s="8">
        <f t="shared" si="103"/>
        <v>52509.6</v>
      </c>
      <c r="AJ210" s="8">
        <f t="shared" ref="AJ210:AJ216" si="115">AH210+AI210</f>
        <v>77426.7428571428</v>
      </c>
      <c r="AK210" s="8">
        <f t="shared" ref="AK210:AK216" si="116">AJ210/$AB$6</f>
        <v>335.369441058357</v>
      </c>
      <c r="AO210" s="1">
        <v>5</v>
      </c>
    </row>
    <row r="211" ht="13.5" spans="1:41">
      <c r="A211" s="8">
        <v>9.2</v>
      </c>
      <c r="B211" s="71" t="s">
        <v>317</v>
      </c>
      <c r="C211" s="8">
        <v>35</v>
      </c>
      <c r="D211" s="23" t="s">
        <v>68</v>
      </c>
      <c r="E211" s="8">
        <f t="shared" si="107"/>
        <v>89030.93</v>
      </c>
      <c r="F211" s="30">
        <f t="shared" si="108"/>
        <v>27311.96</v>
      </c>
      <c r="G211" s="8">
        <f t="shared" si="109"/>
        <v>94314.4</v>
      </c>
      <c r="H211" s="30">
        <f t="shared" si="110"/>
        <v>1216.26</v>
      </c>
      <c r="I211" s="8">
        <f t="shared" si="111"/>
        <v>12712.41</v>
      </c>
      <c r="J211" s="8">
        <f t="shared" si="112"/>
        <v>224585.96</v>
      </c>
      <c r="K211" s="8">
        <f t="shared" si="113"/>
        <v>7860509</v>
      </c>
      <c r="L211" s="8"/>
      <c r="M211" s="75">
        <f>ROUND(SUMPRODUCT($AA$5:$AC$5,AA211:AC211),2)</f>
        <v>11870.79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>
        <v>1365.598</v>
      </c>
      <c r="AA211" s="8"/>
      <c r="AB211" s="8">
        <f t="shared" si="104"/>
        <v>619.67</v>
      </c>
      <c r="AC211" s="8">
        <f t="shared" si="105"/>
        <v>90.7</v>
      </c>
      <c r="AD211" s="8" t="s">
        <v>310</v>
      </c>
      <c r="AE211" s="1">
        <f t="shared" si="114"/>
        <v>10.9</v>
      </c>
      <c r="AF211" s="8">
        <f>(3.2)*10000</f>
        <v>32000</v>
      </c>
      <c r="AG211" s="8">
        <f t="shared" si="106"/>
        <v>90.702947845805</v>
      </c>
      <c r="AH211" s="8">
        <f t="shared" si="102"/>
        <v>24917.1428571429</v>
      </c>
      <c r="AI211" s="8">
        <f t="shared" si="103"/>
        <v>118146.6</v>
      </c>
      <c r="AJ211" s="8">
        <f t="shared" si="115"/>
        <v>143063.742857143</v>
      </c>
      <c r="AK211" s="8">
        <f t="shared" si="116"/>
        <v>619.672295478593</v>
      </c>
      <c r="AO211" s="1">
        <v>10.5</v>
      </c>
    </row>
    <row r="212" ht="13.5" spans="1:37">
      <c r="A212" s="8">
        <v>10</v>
      </c>
      <c r="B212" s="70" t="s">
        <v>318</v>
      </c>
      <c r="C212" s="8"/>
      <c r="D212" s="23"/>
      <c r="E212" s="8"/>
      <c r="F212" s="30"/>
      <c r="G212" s="8"/>
      <c r="H212" s="30"/>
      <c r="I212" s="8"/>
      <c r="J212" s="8"/>
      <c r="K212" s="8">
        <f>SUM(K213:K216)</f>
        <v>40602489</v>
      </c>
      <c r="L212" s="71"/>
      <c r="M212" s="75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>
        <v>0</v>
      </c>
      <c r="AA212" s="8"/>
      <c r="AB212" s="8"/>
      <c r="AC212" s="8"/>
      <c r="AD212" s="8"/>
      <c r="AF212" s="8"/>
      <c r="AG212" s="8"/>
      <c r="AH212" s="8"/>
      <c r="AI212" s="8"/>
      <c r="AJ212" s="8"/>
      <c r="AK212" s="8"/>
    </row>
    <row r="213" ht="24" spans="1:41">
      <c r="A213" s="8">
        <v>10.1</v>
      </c>
      <c r="B213" s="72" t="s">
        <v>319</v>
      </c>
      <c r="C213" s="8">
        <v>23.615</v>
      </c>
      <c r="D213" s="23" t="s">
        <v>68</v>
      </c>
      <c r="E213" s="8">
        <f t="shared" si="107"/>
        <v>88131.53</v>
      </c>
      <c r="F213" s="30">
        <f t="shared" si="108"/>
        <v>27857.18</v>
      </c>
      <c r="G213" s="8">
        <f t="shared" si="109"/>
        <v>95420.96</v>
      </c>
      <c r="H213" s="30">
        <f t="shared" si="110"/>
        <v>1232.78</v>
      </c>
      <c r="I213" s="8">
        <f t="shared" si="111"/>
        <v>12758.55</v>
      </c>
      <c r="J213" s="8">
        <f t="shared" si="112"/>
        <v>225401</v>
      </c>
      <c r="K213" s="8">
        <f t="shared" si="113"/>
        <v>5322845</v>
      </c>
      <c r="L213" s="8"/>
      <c r="M213" s="75">
        <f>ROUND(SUMPRODUCT($AA$5:$AC$5,AA213:AC213),2)</f>
        <v>11750.87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>
        <v>1392.859</v>
      </c>
      <c r="AA213" s="8"/>
      <c r="AB213" s="8">
        <f t="shared" ref="AB213:AB216" si="117">ROUND(AK213,3)</f>
        <v>576.92</v>
      </c>
      <c r="AC213" s="8">
        <f t="shared" ref="AC213:AC216" si="118">ROUND(AG213,3)</f>
        <v>119.048</v>
      </c>
      <c r="AD213" s="8" t="s">
        <v>320</v>
      </c>
      <c r="AE213" s="1">
        <f t="shared" si="114"/>
        <v>8.06</v>
      </c>
      <c r="AF213" s="8">
        <f>(3.5*1.2)*10000</f>
        <v>42000</v>
      </c>
      <c r="AG213" s="8">
        <f t="shared" ref="AG213:AG216" si="119">AF213/$AC$6</f>
        <v>119.047619047619</v>
      </c>
      <c r="AH213" s="8">
        <f t="shared" ref="AH213:AH215" si="120">$AG$9/$AI$11*$AJ$12*10000</f>
        <v>30400</v>
      </c>
      <c r="AI213" s="8">
        <f t="shared" ref="AI213:AI215" si="121">$AG$11*(AE213-1)*$AJ$12*2*10000</f>
        <v>102793.6</v>
      </c>
      <c r="AJ213" s="8">
        <f t="shared" si="115"/>
        <v>133193.6</v>
      </c>
      <c r="AK213" s="8">
        <f t="shared" si="116"/>
        <v>576.920344782778</v>
      </c>
      <c r="AL213" s="1">
        <f>1.7*2.8</f>
        <v>4.76</v>
      </c>
      <c r="AO213" s="1">
        <v>7.66</v>
      </c>
    </row>
    <row r="214" ht="24" spans="1:41">
      <c r="A214" s="8">
        <v>10.2</v>
      </c>
      <c r="B214" s="72" t="s">
        <v>321</v>
      </c>
      <c r="C214" s="8">
        <v>37</v>
      </c>
      <c r="D214" s="23" t="s">
        <v>68</v>
      </c>
      <c r="E214" s="8">
        <f t="shared" si="107"/>
        <v>99702</v>
      </c>
      <c r="F214" s="30">
        <f t="shared" si="108"/>
        <v>31075.72</v>
      </c>
      <c r="G214" s="8">
        <f t="shared" si="109"/>
        <v>106848.56</v>
      </c>
      <c r="H214" s="30">
        <f t="shared" si="110"/>
        <v>1379.24</v>
      </c>
      <c r="I214" s="8">
        <f t="shared" si="111"/>
        <v>14340.33</v>
      </c>
      <c r="J214" s="8">
        <f t="shared" si="112"/>
        <v>253345.85</v>
      </c>
      <c r="K214" s="8">
        <f t="shared" si="113"/>
        <v>9373796</v>
      </c>
      <c r="L214" s="8"/>
      <c r="M214" s="75">
        <f>ROUND(SUMPRODUCT($AA$5:$AC$5,AA214:AC214),2)</f>
        <v>13293.6</v>
      </c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>
        <v>1553.786</v>
      </c>
      <c r="AA214" s="8"/>
      <c r="AB214" s="8">
        <f t="shared" si="117"/>
        <v>672.15</v>
      </c>
      <c r="AC214" s="8">
        <f t="shared" si="118"/>
        <v>119.048</v>
      </c>
      <c r="AD214" s="8" t="s">
        <v>322</v>
      </c>
      <c r="AE214" s="1">
        <f t="shared" si="114"/>
        <v>9.57</v>
      </c>
      <c r="AF214" s="8">
        <f>(3.5*1.2)*10000</f>
        <v>42000</v>
      </c>
      <c r="AG214" s="8">
        <f t="shared" si="119"/>
        <v>119.047619047619</v>
      </c>
      <c r="AH214" s="8">
        <f t="shared" si="120"/>
        <v>30400</v>
      </c>
      <c r="AI214" s="8">
        <f t="shared" si="121"/>
        <v>124779.2</v>
      </c>
      <c r="AJ214" s="8">
        <f t="shared" si="115"/>
        <v>155179.2</v>
      </c>
      <c r="AK214" s="8">
        <f t="shared" si="116"/>
        <v>672.149694633344</v>
      </c>
      <c r="AO214" s="1">
        <v>9.17</v>
      </c>
    </row>
    <row r="215" ht="24" spans="1:41">
      <c r="A215" s="8">
        <v>10.3</v>
      </c>
      <c r="B215" s="72" t="s">
        <v>323</v>
      </c>
      <c r="C215" s="8">
        <v>113</v>
      </c>
      <c r="D215" s="23" t="s">
        <v>68</v>
      </c>
      <c r="E215" s="8">
        <f t="shared" si="107"/>
        <v>73329.6</v>
      </c>
      <c r="F215" s="30">
        <f t="shared" si="108"/>
        <v>23453.04</v>
      </c>
      <c r="G215" s="8">
        <f t="shared" si="109"/>
        <v>80083.72</v>
      </c>
      <c r="H215" s="30">
        <f t="shared" si="110"/>
        <v>1035.37</v>
      </c>
      <c r="I215" s="8">
        <f t="shared" si="111"/>
        <v>10674.1</v>
      </c>
      <c r="J215" s="8">
        <f t="shared" si="112"/>
        <v>188575.83</v>
      </c>
      <c r="K215" s="8">
        <f t="shared" si="113"/>
        <v>21309069</v>
      </c>
      <c r="L215" s="8"/>
      <c r="M215" s="75">
        <f>ROUND(SUMPRODUCT($AA$5:$AC$5,AA215:AC215),2)</f>
        <v>9777.28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>
        <v>1172.652</v>
      </c>
      <c r="AA215" s="8"/>
      <c r="AB215" s="8">
        <f t="shared" si="117"/>
        <v>467.817</v>
      </c>
      <c r="AC215" s="8">
        <f t="shared" si="118"/>
        <v>108.844</v>
      </c>
      <c r="AD215" s="8" t="s">
        <v>324</v>
      </c>
      <c r="AE215" s="1">
        <f t="shared" si="114"/>
        <v>6.33</v>
      </c>
      <c r="AF215" s="8">
        <f>(3.2*1.2)*10000</f>
        <v>38400</v>
      </c>
      <c r="AG215" s="8">
        <f t="shared" si="119"/>
        <v>108.843537414966</v>
      </c>
      <c r="AH215" s="8">
        <f t="shared" si="120"/>
        <v>30400</v>
      </c>
      <c r="AI215" s="8">
        <f t="shared" si="121"/>
        <v>77604.8</v>
      </c>
      <c r="AJ215" s="8">
        <f t="shared" si="115"/>
        <v>108004.8</v>
      </c>
      <c r="AK215" s="8">
        <f t="shared" si="116"/>
        <v>467.816520119548</v>
      </c>
      <c r="AO215" s="1">
        <v>5.93</v>
      </c>
    </row>
    <row r="216" ht="24" spans="1:41">
      <c r="A216" s="8">
        <v>10.4</v>
      </c>
      <c r="B216" s="71" t="s">
        <v>325</v>
      </c>
      <c r="C216" s="8">
        <v>37</v>
      </c>
      <c r="D216" s="23" t="s">
        <v>68</v>
      </c>
      <c r="E216" s="8">
        <f t="shared" si="107"/>
        <v>47086.5</v>
      </c>
      <c r="F216" s="30">
        <f t="shared" si="108"/>
        <v>15897.96</v>
      </c>
      <c r="G216" s="8">
        <f t="shared" si="109"/>
        <v>53526.26</v>
      </c>
      <c r="H216" s="30">
        <f t="shared" si="110"/>
        <v>694.24</v>
      </c>
      <c r="I216" s="8">
        <f t="shared" si="111"/>
        <v>7032.3</v>
      </c>
      <c r="J216" s="8">
        <f t="shared" si="112"/>
        <v>124237.26</v>
      </c>
      <c r="K216" s="8">
        <f t="shared" si="113"/>
        <v>4596779</v>
      </c>
      <c r="L216" s="8"/>
      <c r="M216" s="75">
        <f>ROUND(SUMPRODUCT($AA$5:$AC$5,AA216:AC216),2)</f>
        <v>6278.2</v>
      </c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>
        <v>794.898</v>
      </c>
      <c r="AA216" s="8"/>
      <c r="AB216" s="8">
        <f t="shared" si="117"/>
        <v>263.135</v>
      </c>
      <c r="AC216" s="8">
        <f t="shared" si="118"/>
        <v>99.773</v>
      </c>
      <c r="AD216" s="8" t="s">
        <v>326</v>
      </c>
      <c r="AE216" s="1">
        <f t="shared" si="114"/>
        <v>5.75</v>
      </c>
      <c r="AF216" s="8">
        <f>(3.2*1.1)*10000</f>
        <v>35200</v>
      </c>
      <c r="AG216" s="8">
        <f t="shared" si="119"/>
        <v>99.7732426303855</v>
      </c>
      <c r="AH216" s="8">
        <f>$AG$10/$AI$9*$AI$9*10000</f>
        <v>18000</v>
      </c>
      <c r="AI216" s="8">
        <f>$AG$12*(AE216-1)*$AI$9*2*10000</f>
        <v>42750</v>
      </c>
      <c r="AJ216" s="8">
        <f t="shared" si="115"/>
        <v>60750</v>
      </c>
      <c r="AK216" s="8">
        <f t="shared" si="116"/>
        <v>263.135097674016</v>
      </c>
      <c r="AO216" s="1">
        <v>5.35</v>
      </c>
    </row>
    <row r="217" ht="48" spans="1:36">
      <c r="A217" s="73" t="s">
        <v>327</v>
      </c>
      <c r="B217" s="70" t="s">
        <v>328</v>
      </c>
      <c r="C217" s="73"/>
      <c r="D217" s="74"/>
      <c r="E217" s="23"/>
      <c r="F217" s="30"/>
      <c r="G217" s="8"/>
      <c r="H217" s="8"/>
      <c r="I217" s="8"/>
      <c r="J217" s="8"/>
      <c r="K217" s="8">
        <f>SUM(K218:K220)</f>
        <v>21930090</v>
      </c>
      <c r="L217" s="8" t="s">
        <v>329</v>
      </c>
      <c r="M217" s="75"/>
      <c r="N217" s="8"/>
      <c r="O217" s="8"/>
      <c r="P217" s="8"/>
      <c r="Q217" s="8"/>
      <c r="R217" s="76"/>
      <c r="S217" s="76"/>
      <c r="T217" s="76"/>
      <c r="U217" s="76"/>
      <c r="V217" s="76"/>
      <c r="W217" s="76"/>
      <c r="X217" s="76"/>
      <c r="Y217" s="8"/>
      <c r="Z217" s="8">
        <v>0</v>
      </c>
      <c r="AA217" s="8"/>
      <c r="AB217" s="8"/>
      <c r="AC217" s="8"/>
      <c r="AD217" s="8"/>
      <c r="AF217" s="1"/>
      <c r="AJ217" s="1"/>
    </row>
    <row r="218" ht="48" spans="1:41">
      <c r="A218" s="73">
        <v>24.1</v>
      </c>
      <c r="B218" s="24" t="s">
        <v>296</v>
      </c>
      <c r="C218" s="24">
        <v>1059823</v>
      </c>
      <c r="D218" s="24" t="s">
        <v>54</v>
      </c>
      <c r="E218" s="8">
        <f t="shared" ref="E218:E221" si="122">ROUND(SUMPRODUCT($M$9:$Y$9,M218:Y218),2)</f>
        <v>6.83</v>
      </c>
      <c r="F218" s="30">
        <f t="shared" ref="F218:F221" si="123">SUMPRODUCT($Z$9,Z218)</f>
        <v>2.08</v>
      </c>
      <c r="G218" s="8">
        <f t="shared" ref="G218:G221" si="124">ROUND(SUMPRODUCT($AA$9:$AC$9,AA218:AC218),2)</f>
        <v>7.38</v>
      </c>
      <c r="H218" s="30">
        <f t="shared" ref="H218:H221" si="125">ROUND(SUM(F218:G218)*0.1,2)</f>
        <v>0.95</v>
      </c>
      <c r="I218" s="8">
        <f t="shared" ref="I218:I221" si="126">ROUND(SUM(E218:H218)*$AG$7,2)</f>
        <v>1.03</v>
      </c>
      <c r="J218" s="8">
        <f t="shared" ref="J218:J221" si="127">SUM(E218:I218)</f>
        <v>18.27</v>
      </c>
      <c r="K218" s="8">
        <f t="shared" ref="K218:K221" si="128">ROUND(C218*J218,)</f>
        <v>19362966</v>
      </c>
      <c r="L218" s="8" t="s">
        <v>329</v>
      </c>
      <c r="M218" s="75">
        <f>ROUND(SUMPRODUCT($AA$5:$AC$5,AA218:AC218),2)</f>
        <v>0.91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>
        <v>0.104</v>
      </c>
      <c r="AA218" s="8"/>
      <c r="AB218" s="8">
        <f t="shared" ref="AB218:AB221" si="129">ROUND(AK218,3)</f>
        <v>0.045</v>
      </c>
      <c r="AC218" s="8">
        <f t="shared" ref="AC218:AC221" si="130">ROUND(AG218,3)</f>
        <v>0.009</v>
      </c>
      <c r="AD218" s="8"/>
      <c r="AE218" s="1">
        <f t="shared" ref="AE218:AE221" si="131">AO218+$AF$70</f>
        <v>8.01</v>
      </c>
      <c r="AF218" s="8">
        <f t="shared" ref="AF218:AF220" si="132">3.2</f>
        <v>3.2</v>
      </c>
      <c r="AG218" s="8">
        <f t="shared" ref="AG218:AG221" si="133">AF218/$AC$6</f>
        <v>0.0090702947845805</v>
      </c>
      <c r="AH218" s="8">
        <f t="shared" ref="AH218:AH220" si="134">$AG$10/$AI$9*$AI$10</f>
        <v>2.307</v>
      </c>
      <c r="AI218" s="8">
        <f t="shared" ref="AI218:AI220" si="135">$AG$12*(AE218-1)*$AI$10*2</f>
        <v>8.086035</v>
      </c>
      <c r="AJ218" s="8">
        <f t="shared" ref="AJ218:AJ221" si="136">AH218+AI218</f>
        <v>10.393035</v>
      </c>
      <c r="AK218" s="8">
        <f t="shared" ref="AK218:AK221" si="137">AJ218/$AB$6</f>
        <v>0.0450168276519253</v>
      </c>
      <c r="AO218" s="1">
        <v>7.61</v>
      </c>
    </row>
    <row r="219" ht="48" spans="1:41">
      <c r="A219" s="73">
        <v>24.2</v>
      </c>
      <c r="B219" s="24" t="s">
        <v>70</v>
      </c>
      <c r="C219" s="24">
        <v>141939</v>
      </c>
      <c r="D219" s="24" t="s">
        <v>54</v>
      </c>
      <c r="E219" s="8">
        <f t="shared" si="122"/>
        <v>6.08</v>
      </c>
      <c r="F219" s="30">
        <f t="shared" si="123"/>
        <v>2.08</v>
      </c>
      <c r="G219" s="8">
        <f t="shared" si="124"/>
        <v>6.66</v>
      </c>
      <c r="H219" s="30">
        <f t="shared" si="125"/>
        <v>0.87</v>
      </c>
      <c r="I219" s="8">
        <f t="shared" si="126"/>
        <v>0.94</v>
      </c>
      <c r="J219" s="8">
        <f t="shared" si="127"/>
        <v>16.63</v>
      </c>
      <c r="K219" s="8">
        <f t="shared" si="128"/>
        <v>2360446</v>
      </c>
      <c r="L219" s="8" t="s">
        <v>329</v>
      </c>
      <c r="M219" s="75">
        <f>ROUND(SUMPRODUCT($AA$5:$AC$5,AA219:AC219),2)</f>
        <v>0.81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>
        <v>0.104</v>
      </c>
      <c r="AA219" s="8"/>
      <c r="AB219" s="8">
        <f t="shared" si="129"/>
        <v>0.039</v>
      </c>
      <c r="AC219" s="8">
        <f t="shared" si="130"/>
        <v>0.009</v>
      </c>
      <c r="AD219" s="8"/>
      <c r="AE219" s="1">
        <f t="shared" si="131"/>
        <v>6.8</v>
      </c>
      <c r="AF219" s="8">
        <f t="shared" si="132"/>
        <v>3.2</v>
      </c>
      <c r="AG219" s="8">
        <f t="shared" si="133"/>
        <v>0.0090702947845805</v>
      </c>
      <c r="AH219" s="8">
        <f t="shared" si="134"/>
        <v>2.307</v>
      </c>
      <c r="AI219" s="8">
        <f t="shared" si="135"/>
        <v>6.6903</v>
      </c>
      <c r="AJ219" s="8">
        <f t="shared" si="136"/>
        <v>8.9973</v>
      </c>
      <c r="AK219" s="8">
        <f t="shared" si="137"/>
        <v>0.0389712825399576</v>
      </c>
      <c r="AO219" s="1">
        <v>6.4</v>
      </c>
    </row>
    <row r="220" ht="48" spans="1:41">
      <c r="A220" s="73">
        <v>24.3</v>
      </c>
      <c r="B220" s="24" t="s">
        <v>296</v>
      </c>
      <c r="C220" s="24">
        <v>12428</v>
      </c>
      <c r="D220" s="24" t="s">
        <v>54</v>
      </c>
      <c r="E220" s="8">
        <f t="shared" si="122"/>
        <v>6.08</v>
      </c>
      <c r="F220" s="30">
        <f t="shared" si="123"/>
        <v>2.08</v>
      </c>
      <c r="G220" s="8">
        <f t="shared" si="124"/>
        <v>6.66</v>
      </c>
      <c r="H220" s="30">
        <f t="shared" si="125"/>
        <v>0.87</v>
      </c>
      <c r="I220" s="8">
        <f t="shared" si="126"/>
        <v>0.94</v>
      </c>
      <c r="J220" s="8">
        <f t="shared" si="127"/>
        <v>16.63</v>
      </c>
      <c r="K220" s="8">
        <f t="shared" si="128"/>
        <v>206678</v>
      </c>
      <c r="L220" s="8" t="s">
        <v>329</v>
      </c>
      <c r="M220" s="75">
        <f>ROUND(SUMPRODUCT($AA$5:$AC$5,AA220:AC220),2)</f>
        <v>0.81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>
        <v>0.104</v>
      </c>
      <c r="AA220" s="8"/>
      <c r="AB220" s="8">
        <f t="shared" si="129"/>
        <v>0.039</v>
      </c>
      <c r="AC220" s="8">
        <f t="shared" si="130"/>
        <v>0.009</v>
      </c>
      <c r="AD220" s="8"/>
      <c r="AE220" s="1">
        <f t="shared" si="131"/>
        <v>6.8</v>
      </c>
      <c r="AF220" s="8">
        <f t="shared" si="132"/>
        <v>3.2</v>
      </c>
      <c r="AG220" s="8">
        <f t="shared" si="133"/>
        <v>0.0090702947845805</v>
      </c>
      <c r="AH220" s="8">
        <f t="shared" si="134"/>
        <v>2.307</v>
      </c>
      <c r="AI220" s="8">
        <f t="shared" si="135"/>
        <v>6.6903</v>
      </c>
      <c r="AJ220" s="8">
        <f t="shared" si="136"/>
        <v>8.9973</v>
      </c>
      <c r="AK220" s="8">
        <f t="shared" si="137"/>
        <v>0.0389712825399576</v>
      </c>
      <c r="AO220" s="1">
        <v>6.4</v>
      </c>
    </row>
    <row r="221" ht="48" spans="1:41">
      <c r="A221" s="73">
        <v>25</v>
      </c>
      <c r="B221" s="74" t="s">
        <v>330</v>
      </c>
      <c r="C221" s="74">
        <v>400000</v>
      </c>
      <c r="D221" s="24" t="s">
        <v>54</v>
      </c>
      <c r="E221" s="8">
        <f t="shared" si="122"/>
        <v>2.55</v>
      </c>
      <c r="F221" s="30">
        <f t="shared" si="123"/>
        <v>0.78</v>
      </c>
      <c r="G221" s="8">
        <f t="shared" si="124"/>
        <v>2.52</v>
      </c>
      <c r="H221" s="30">
        <f t="shared" si="125"/>
        <v>0.33</v>
      </c>
      <c r="I221" s="8">
        <f t="shared" si="126"/>
        <v>0.37</v>
      </c>
      <c r="J221" s="8">
        <f t="shared" si="127"/>
        <v>6.55</v>
      </c>
      <c r="K221" s="8">
        <f t="shared" si="128"/>
        <v>2620000</v>
      </c>
      <c r="L221" s="8" t="s">
        <v>329</v>
      </c>
      <c r="M221" s="75">
        <f>ROUND(SUMPRODUCT($AA$5:$AC$5,AA221:AC221),2)</f>
        <v>0.34</v>
      </c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>
        <v>0.039</v>
      </c>
      <c r="AA221" s="8"/>
      <c r="AB221" s="8">
        <f t="shared" si="129"/>
        <v>0.021</v>
      </c>
      <c r="AC221" s="8">
        <f t="shared" si="130"/>
        <v>0</v>
      </c>
      <c r="AD221" s="8"/>
      <c r="AE221" s="1">
        <f t="shared" si="131"/>
        <v>3.4</v>
      </c>
      <c r="AF221" s="8"/>
      <c r="AG221" s="8">
        <f t="shared" si="133"/>
        <v>0</v>
      </c>
      <c r="AH221" s="8">
        <f>2.4/1.45*1.55</f>
        <v>2.56551724137931</v>
      </c>
      <c r="AI221" s="8">
        <f>0.32*(AE221-1)*1.55*2</f>
        <v>2.3808</v>
      </c>
      <c r="AJ221" s="8">
        <f t="shared" si="136"/>
        <v>4.94631724137931</v>
      </c>
      <c r="AK221" s="8">
        <f t="shared" si="137"/>
        <v>0.0214246859331196</v>
      </c>
      <c r="AO221" s="1">
        <v>3</v>
      </c>
    </row>
  </sheetData>
  <mergeCells count="20">
    <mergeCell ref="A1:B1"/>
    <mergeCell ref="A2:AC2"/>
    <mergeCell ref="A3:AC3"/>
    <mergeCell ref="A6:U6"/>
    <mergeCell ref="M7:Y7"/>
    <mergeCell ref="AA7:AD7"/>
    <mergeCell ref="A11:B11"/>
    <mergeCell ref="A7:A10"/>
    <mergeCell ref="B7:B10"/>
    <mergeCell ref="C7:C10"/>
    <mergeCell ref="D7:D10"/>
    <mergeCell ref="E7:E10"/>
    <mergeCell ref="F9:F10"/>
    <mergeCell ref="G9:G10"/>
    <mergeCell ref="H9:H10"/>
    <mergeCell ref="I9:I10"/>
    <mergeCell ref="J9:J10"/>
    <mergeCell ref="K7:K10"/>
    <mergeCell ref="AD8:AD10"/>
    <mergeCell ref="F7:J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冬末的寒冰</cp:lastModifiedBy>
  <dcterms:created xsi:type="dcterms:W3CDTF">2018-04-27T15:37:00Z</dcterms:created>
  <dcterms:modified xsi:type="dcterms:W3CDTF">2018-06-14T06:09:40Z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