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<sst xmlns="http://schemas.openxmlformats.org/spreadsheetml/2006/main" count="136">
  <si>
    <t>新疆阿尔塔什大坝枢纽工程大坝工程标经营盈亏分析表</t>
  </si>
  <si>
    <t>附表2</t>
  </si>
  <si>
    <t>序号</t>
  </si>
  <si>
    <t>项目名称</t>
  </si>
  <si>
    <t>金额（万元）</t>
  </si>
  <si>
    <t>备注</t>
  </si>
  <si>
    <t>计划工期为2182日历天(2015年6月10日～2021年5月31日)</t>
  </si>
  <si>
    <t>收入</t>
  </si>
  <si>
    <t>合同额1601065856元</t>
  </si>
  <si>
    <t>分局项目部产值</t>
  </si>
  <si>
    <t>基础处理分局产值</t>
  </si>
  <si>
    <t>已扣土建管理费</t>
  </si>
  <si>
    <t>备用金</t>
  </si>
  <si>
    <t>支出</t>
  </si>
  <si>
    <t>自营成本</t>
  </si>
  <si>
    <t>2.1.1</t>
  </si>
  <si>
    <t>大坝危险体及右坝肩挖装运输</t>
  </si>
  <si>
    <t>2.1.2</t>
  </si>
  <si>
    <t>坝上摊铺碾压</t>
  </si>
  <si>
    <t>2.1.3</t>
  </si>
  <si>
    <t>砼拌制、运输(含原材料）</t>
  </si>
  <si>
    <t>2.1.4</t>
  </si>
  <si>
    <t>过渡料、垫层料原材料的开采、运输、加工</t>
  </si>
  <si>
    <t>2.1.5</t>
  </si>
  <si>
    <t>一般规定</t>
  </si>
  <si>
    <t>2.1.6</t>
  </si>
  <si>
    <t>施工临时设施</t>
  </si>
  <si>
    <t>2.1.7</t>
  </si>
  <si>
    <t>环境保护和水土保持</t>
  </si>
  <si>
    <t>2.1.8</t>
  </si>
  <si>
    <t>施工导流</t>
  </si>
  <si>
    <t>2.1.9</t>
  </si>
  <si>
    <t>2.1.10</t>
  </si>
  <si>
    <t>2.1.11</t>
  </si>
  <si>
    <t>2.1.12</t>
  </si>
  <si>
    <t>2.1.13</t>
  </si>
  <si>
    <t>分包成本</t>
  </si>
  <si>
    <t>2.2.1</t>
  </si>
  <si>
    <t>业主指定分包</t>
  </si>
  <si>
    <t>P1P2料场</t>
  </si>
  <si>
    <t>2.2.2</t>
  </si>
  <si>
    <t>项目部其它分包</t>
  </si>
  <si>
    <r>
      <t>2</t>
    </r>
    <r>
      <rPr>
        <sz val="10"/>
        <rFont val="宋体"/>
        <charset val="134"/>
      </rPr>
      <t>.2.2.1</t>
    </r>
  </si>
  <si>
    <r>
      <t>2</t>
    </r>
    <r>
      <rPr>
        <sz val="10"/>
        <rFont val="宋体"/>
        <charset val="134"/>
      </rPr>
      <t>.2.2.2</t>
    </r>
  </si>
  <si>
    <r>
      <t>2</t>
    </r>
    <r>
      <rPr>
        <sz val="10"/>
        <rFont val="宋体"/>
        <charset val="134"/>
      </rPr>
      <t>.2.2.3</t>
    </r>
  </si>
  <si>
    <r>
      <t>2</t>
    </r>
    <r>
      <rPr>
        <sz val="10"/>
        <rFont val="宋体"/>
        <charset val="134"/>
      </rPr>
      <t>.2.2.4</t>
    </r>
  </si>
  <si>
    <r>
      <t>2</t>
    </r>
    <r>
      <rPr>
        <sz val="10"/>
        <rFont val="宋体"/>
        <charset val="134"/>
      </rPr>
      <t>.2.2.5</t>
    </r>
  </si>
  <si>
    <r>
      <t>2</t>
    </r>
    <r>
      <rPr>
        <sz val="10"/>
        <rFont val="宋体"/>
        <charset val="134"/>
      </rPr>
      <t>.2.2.6</t>
    </r>
  </si>
  <si>
    <t>2.2.2.7</t>
  </si>
  <si>
    <t>危岩体钻爆</t>
  </si>
  <si>
    <r>
      <t>2</t>
    </r>
    <r>
      <rPr>
        <sz val="10"/>
        <rFont val="宋体"/>
        <charset val="134"/>
      </rPr>
      <t>.2.2.9</t>
    </r>
  </si>
  <si>
    <r>
      <t>2</t>
    </r>
    <r>
      <rPr>
        <sz val="10"/>
        <rFont val="宋体"/>
        <charset val="134"/>
      </rPr>
      <t>.2.2.10</t>
    </r>
  </si>
  <si>
    <r>
      <t>2</t>
    </r>
    <r>
      <rPr>
        <sz val="10"/>
        <rFont val="宋体"/>
        <charset val="134"/>
      </rPr>
      <t>.2.2.11</t>
    </r>
  </si>
  <si>
    <r>
      <t>2</t>
    </r>
    <r>
      <rPr>
        <sz val="10"/>
        <rFont val="宋体"/>
        <charset val="134"/>
      </rPr>
      <t>.2.2.12</t>
    </r>
  </si>
  <si>
    <r>
      <t>2</t>
    </r>
    <r>
      <rPr>
        <sz val="10"/>
        <rFont val="宋体"/>
        <charset val="134"/>
      </rPr>
      <t>.2.2.13</t>
    </r>
  </si>
  <si>
    <r>
      <t>2</t>
    </r>
    <r>
      <rPr>
        <sz val="10"/>
        <rFont val="宋体"/>
        <charset val="134"/>
      </rPr>
      <t>.2.2.14</t>
    </r>
  </si>
  <si>
    <r>
      <t>2</t>
    </r>
    <r>
      <rPr>
        <sz val="10"/>
        <rFont val="宋体"/>
        <charset val="134"/>
      </rPr>
      <t>.2.2.15</t>
    </r>
  </si>
  <si>
    <r>
      <t>2</t>
    </r>
    <r>
      <rPr>
        <sz val="10"/>
        <rFont val="宋体"/>
        <charset val="134"/>
      </rPr>
      <t>.2.2.16</t>
    </r>
  </si>
  <si>
    <t>2.3</t>
  </si>
  <si>
    <t>施工试验(科研所)</t>
  </si>
  <si>
    <t>内部分包</t>
  </si>
  <si>
    <t>项目管理成本</t>
  </si>
  <si>
    <t>月平均</t>
  </si>
  <si>
    <r>
      <rPr>
        <b/>
        <sz val="10"/>
        <rFont val="宋体"/>
        <charset val="134"/>
      </rPr>
      <t>四川</t>
    </r>
    <r>
      <rPr>
        <b/>
        <sz val="10"/>
        <rFont val="Geneva"/>
        <family val="2"/>
        <charset val="0"/>
      </rPr>
      <t>3</t>
    </r>
    <r>
      <rPr>
        <b/>
        <sz val="10"/>
        <rFont val="宋体"/>
        <charset val="134"/>
      </rPr>
      <t>倍为</t>
    </r>
  </si>
  <si>
    <r>
      <t>2</t>
    </r>
    <r>
      <rPr>
        <sz val="10"/>
        <rFont val="宋体"/>
        <charset val="134"/>
      </rPr>
      <t>.4.1</t>
    </r>
  </si>
  <si>
    <r>
      <t>管理人员工资(6</t>
    </r>
    <r>
      <rPr>
        <sz val="10"/>
        <rFont val="宋体"/>
        <charset val="134"/>
      </rPr>
      <t>8</t>
    </r>
    <r>
      <rPr>
        <sz val="10"/>
        <rFont val="宋体"/>
        <charset val="134"/>
      </rPr>
      <t>人)</t>
    </r>
  </si>
  <si>
    <r>
      <t>2</t>
    </r>
    <r>
      <rPr>
        <sz val="10"/>
        <rFont val="宋体"/>
        <charset val="134"/>
      </rPr>
      <t>.4.1.1</t>
    </r>
  </si>
  <si>
    <r>
      <t>项目班子工资、加班费、各种补贴、绩效、奖励等(</t>
    </r>
    <r>
      <rPr>
        <sz val="10"/>
        <rFont val="宋体"/>
        <charset val="134"/>
      </rPr>
      <t>6.5</t>
    </r>
    <r>
      <rPr>
        <sz val="10"/>
        <rFont val="宋体"/>
        <charset val="134"/>
      </rPr>
      <t>人)</t>
    </r>
  </si>
  <si>
    <r>
      <t>平均</t>
    </r>
    <r>
      <rPr>
        <sz val="10"/>
        <rFont val="宋体"/>
        <charset val="134"/>
      </rPr>
      <t>30</t>
    </r>
    <r>
      <rPr>
        <sz val="10"/>
        <rFont val="宋体"/>
        <charset val="134"/>
      </rPr>
      <t>万元/人.年，6.5</t>
    </r>
    <r>
      <rPr>
        <sz val="10"/>
        <rFont val="宋体"/>
        <charset val="134"/>
      </rPr>
      <t>人，平均按6年</t>
    </r>
  </si>
  <si>
    <r>
      <t>2</t>
    </r>
    <r>
      <rPr>
        <sz val="10"/>
        <rFont val="宋体"/>
        <charset val="134"/>
      </rPr>
      <t>.4.1.2</t>
    </r>
  </si>
  <si>
    <r>
      <t>科队长工资、加班费、各种补贴、绩效、奖励等(1</t>
    </r>
    <r>
      <rPr>
        <sz val="10"/>
        <rFont val="宋体"/>
        <charset val="134"/>
      </rPr>
      <t>.5</t>
    </r>
    <r>
      <rPr>
        <sz val="10"/>
        <rFont val="宋体"/>
        <charset val="134"/>
      </rPr>
      <t>人)</t>
    </r>
  </si>
  <si>
    <r>
      <t>平均8500元/月.人，平均按10</t>
    </r>
    <r>
      <rPr>
        <sz val="10"/>
        <rFont val="宋体"/>
        <charset val="134"/>
      </rPr>
      <t>.5</t>
    </r>
    <r>
      <rPr>
        <sz val="10"/>
        <rFont val="宋体"/>
        <charset val="134"/>
      </rPr>
      <t>个人，70</t>
    </r>
    <r>
      <rPr>
        <sz val="10"/>
        <rFont val="宋体"/>
        <charset val="134"/>
      </rPr>
      <t>个月，</t>
    </r>
  </si>
  <si>
    <r>
      <t>2</t>
    </r>
    <r>
      <rPr>
        <sz val="10"/>
        <rFont val="宋体"/>
        <charset val="134"/>
      </rPr>
      <t>.4.1.3</t>
    </r>
  </si>
  <si>
    <t>其他人员工资、加班费、各种补贴、绩效、奖励等</t>
  </si>
  <si>
    <r>
      <t>平均7500元/月.人，平均49人，共7</t>
    </r>
    <r>
      <rPr>
        <sz val="10"/>
        <rFont val="宋体"/>
        <charset val="134"/>
      </rPr>
      <t>0</t>
    </r>
    <r>
      <rPr>
        <sz val="10"/>
        <rFont val="宋体"/>
        <charset val="134"/>
      </rPr>
      <t>个月。</t>
    </r>
  </si>
  <si>
    <r>
      <t>2</t>
    </r>
    <r>
      <rPr>
        <sz val="10"/>
        <rFont val="宋体"/>
        <charset val="134"/>
      </rPr>
      <t>.4.2</t>
    </r>
  </si>
  <si>
    <t>办公费用、差旅交通费</t>
  </si>
  <si>
    <t>2.4.2.1</t>
  </si>
  <si>
    <t>前期的办公、生活设施投入</t>
  </si>
  <si>
    <t>生活设施、办公设施、监控系统，厨具，文化娱乐设施</t>
  </si>
  <si>
    <t>2.4.2.2</t>
  </si>
  <si>
    <r>
      <t>按5万/月考虑，共计</t>
    </r>
    <r>
      <rPr>
        <sz val="10"/>
        <rFont val="宋体"/>
        <charset val="134"/>
      </rPr>
      <t>70月</t>
    </r>
  </si>
  <si>
    <t>2.4.2.3</t>
  </si>
  <si>
    <t>项目员工其它福利</t>
  </si>
  <si>
    <t>含员工的工地补贴，电话费及生活补贴</t>
  </si>
  <si>
    <t>2.4.3</t>
  </si>
  <si>
    <t>竣工资料编制费用</t>
  </si>
  <si>
    <t>2.4.4</t>
  </si>
  <si>
    <t>招待费</t>
  </si>
  <si>
    <t>分局项目部产值3‰</t>
  </si>
  <si>
    <t>2.4.5</t>
  </si>
  <si>
    <t>人员及设备保险</t>
  </si>
  <si>
    <t>2.5</t>
  </si>
  <si>
    <t>项目计提费用</t>
  </si>
  <si>
    <r>
      <t>2.</t>
    </r>
    <r>
      <rPr>
        <sz val="10"/>
        <rFont val="宋体"/>
        <charset val="134"/>
      </rPr>
      <t>5</t>
    </r>
    <r>
      <rPr>
        <sz val="10"/>
        <rFont val="宋体"/>
        <charset val="134"/>
      </rPr>
      <t>.1</t>
    </r>
  </si>
  <si>
    <t>五险两金等计提费用</t>
  </si>
  <si>
    <t>（2.4.1+2.4.2）*54.8%，未超出月平均工资41655元/月的3倍。</t>
  </si>
  <si>
    <t>2.5.2</t>
  </si>
  <si>
    <t>项目机关固定资产大修、折旧费用</t>
  </si>
  <si>
    <r>
      <t>100</t>
    </r>
    <r>
      <rPr>
        <sz val="10"/>
        <rFont val="宋体"/>
        <charset val="134"/>
      </rPr>
      <t>万以下</t>
    </r>
  </si>
  <si>
    <r>
      <t>100~500</t>
    </r>
    <r>
      <rPr>
        <sz val="10"/>
        <rFont val="宋体"/>
        <charset val="134"/>
      </rPr>
      <t>万</t>
    </r>
  </si>
  <si>
    <t>500~1000</t>
  </si>
  <si>
    <t>1000~5000</t>
  </si>
  <si>
    <t>5000~10000</t>
  </si>
  <si>
    <t>10000~100000</t>
  </si>
  <si>
    <r>
      <t>100000</t>
    </r>
    <r>
      <rPr>
        <sz val="10"/>
        <rFont val="宋体"/>
        <charset val="134"/>
      </rPr>
      <t>以上</t>
    </r>
  </si>
  <si>
    <r>
      <t>2.</t>
    </r>
    <r>
      <rPr>
        <sz val="10"/>
        <rFont val="宋体"/>
        <charset val="134"/>
      </rPr>
      <t>5</t>
    </r>
    <r>
      <rPr>
        <sz val="10"/>
        <rFont val="宋体"/>
        <charset val="134"/>
      </rPr>
      <t>.3</t>
    </r>
  </si>
  <si>
    <t>项目交通车费用</t>
  </si>
  <si>
    <t>2.6</t>
  </si>
  <si>
    <t>其他支出</t>
  </si>
  <si>
    <t>2.6.1</t>
  </si>
  <si>
    <t>科研经费</t>
  </si>
  <si>
    <t>分局项目部产值2‰。</t>
  </si>
  <si>
    <t>2.6.2</t>
  </si>
  <si>
    <t>上交公司安全经费</t>
  </si>
  <si>
    <t>2.6.3</t>
  </si>
  <si>
    <t>财务费用</t>
  </si>
  <si>
    <t>平均每月0.3万元</t>
  </si>
  <si>
    <t>2.6.4</t>
  </si>
  <si>
    <t>保函费用</t>
  </si>
  <si>
    <t>按保函金额的0.2%计提</t>
  </si>
  <si>
    <t>2.6.5</t>
  </si>
  <si>
    <t>招标代理费</t>
  </si>
  <si>
    <t>按招标文件及相关文件执行</t>
  </si>
  <si>
    <t>2.6.6</t>
  </si>
  <si>
    <t>安全费用</t>
  </si>
  <si>
    <t>按产值的1.5%的90%计算</t>
  </si>
  <si>
    <t>预计毛利（土建）</t>
  </si>
  <si>
    <r>
      <t>土建分局产值</t>
    </r>
    <r>
      <rPr>
        <sz val="10"/>
        <rFont val="宋体"/>
        <charset val="134"/>
      </rPr>
      <t>－</t>
    </r>
    <r>
      <rPr>
        <sz val="10"/>
        <rFont val="宋体"/>
        <charset val="134"/>
      </rPr>
      <t>支出</t>
    </r>
  </si>
  <si>
    <t>土建毛利率</t>
  </si>
  <si>
    <r>
      <t>含税金3</t>
    </r>
    <r>
      <rPr>
        <sz val="10"/>
        <rFont val="宋体"/>
        <charset val="134"/>
      </rPr>
      <t>.28%</t>
    </r>
  </si>
  <si>
    <t>按建造合同要求归集的财务费用</t>
  </si>
  <si>
    <t>税金</t>
  </si>
  <si>
    <t>（“1.1”减去业主指定分包）*0.328（按投标时的三税计算）</t>
  </si>
  <si>
    <t>土建净利润</t>
  </si>
  <si>
    <t>土建净利率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</si>
</sst>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ajor"/>
    </font>
    <font>
      <b/>
      <sz val="10"/>
      <name val="宋体"/>
      <charset val="134"/>
    </font>
    <font>
      <b/>
      <sz val="11"/>
      <name val="宋体"/>
      <charset val="134"/>
      <scheme val="major"/>
    </font>
    <font>
      <b/>
      <sz val="10"/>
      <name val="宋体"/>
      <charset val="134"/>
      <scheme val="major"/>
    </font>
    <font>
      <b/>
      <sz val="10"/>
      <name val="Geneva"/>
      <family val="2"/>
      <charset val="0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8" fillId="0" borderId="0"/>
    <xf numFmtId="41" fontId="3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5" applyFont="1" applyFill="1" applyBorder="1" applyAlignment="1">
      <alignment horizontal="center" vertical="center" wrapText="1"/>
    </xf>
    <xf numFmtId="0" fontId="1" fillId="0" borderId="0" xfId="5" applyFont="1" applyFill="1" applyBorder="1" applyAlignment="1">
      <alignment horizontal="center" vertical="center"/>
    </xf>
    <xf numFmtId="0" fontId="2" fillId="0" borderId="0" xfId="5" applyFont="1" applyFill="1" applyAlignment="1">
      <alignment vertical="center"/>
    </xf>
    <xf numFmtId="0" fontId="3" fillId="0" borderId="0" xfId="5" applyFont="1" applyFill="1" applyAlignment="1">
      <alignment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1" xfId="5" applyFont="1" applyFill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left" vertical="center"/>
    </xf>
    <xf numFmtId="0" fontId="4" fillId="0" borderId="1" xfId="5" applyFont="1" applyFill="1" applyBorder="1" applyAlignment="1">
      <alignment vertical="center"/>
    </xf>
    <xf numFmtId="0" fontId="8" fillId="0" borderId="1" xfId="5" applyFont="1" applyFill="1" applyBorder="1" applyAlignment="1">
      <alignment horizontal="center" vertical="center"/>
    </xf>
    <xf numFmtId="10" fontId="4" fillId="0" borderId="1" xfId="5" applyNumberFormat="1" applyFont="1" applyFill="1" applyBorder="1" applyAlignment="1">
      <alignment horizontal="center" vertical="center" wrapText="1"/>
    </xf>
    <xf numFmtId="0" fontId="9" fillId="0" borderId="0" xfId="5" applyFont="1" applyFill="1" applyAlignment="1">
      <alignment vertical="center"/>
    </xf>
    <xf numFmtId="0" fontId="10" fillId="0" borderId="0" xfId="5" applyFont="1" applyFill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4" fillId="0" borderId="1" xfId="5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6" fillId="0" borderId="1" xfId="5" applyNumberFormat="1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5" applyNumberFormat="1" applyFont="1" applyFill="1" applyAlignment="1">
      <alignment vertical="center"/>
    </xf>
    <xf numFmtId="0" fontId="4" fillId="2" borderId="1" xfId="5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10" fontId="5" fillId="0" borderId="1" xfId="5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辽西北(二段)四标经营策划(上报分局)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386080</xdr:colOff>
      <xdr:row>46</xdr:row>
      <xdr:rowOff>182880</xdr:rowOff>
    </xdr:from>
    <xdr:to>
      <xdr:col>15</xdr:col>
      <xdr:colOff>505460</xdr:colOff>
      <xdr:row>50</xdr:row>
      <xdr:rowOff>278130</xdr:rowOff>
    </xdr:to>
    <xdr:pic>
      <xdr:nvPicPr>
        <xdr:cNvPr id="2" name="Picture 10" descr="C:\Users\Administrator\Documents\Tencent Files\597613913\Image\Group\HY{M)C7~SOM}SE99C$R2E8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23840" y="18379440"/>
          <a:ext cx="4439920" cy="2838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qmf\Documents\Tencent%20Files\651857512\FileRecv\&#38463;&#23572;&#22612;&#20160;&#20998;&#21253;&#35268;&#21010;&#21069;&#26399;%20&#31574;&#2101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分包规划汇总"/>
      <sheetName val="分包指导价测算"/>
      <sheetName val="盈亏分析新表"/>
      <sheetName val="人、材、机明细"/>
      <sheetName val="差旅费用"/>
      <sheetName val="项目部员工工资计算"/>
      <sheetName val="薪酬管理办法"/>
      <sheetName val="导流工程"/>
      <sheetName val="面板"/>
      <sheetName val="趾板下变模"/>
      <sheetName val="趾板"/>
      <sheetName val="临建项目"/>
      <sheetName val="自营项目、分包项目明细表"/>
      <sheetName val="后坡框格梁"/>
      <sheetName val="二次倒运"/>
      <sheetName val="P1P2"/>
      <sheetName val="砂砾石开采"/>
      <sheetName val="左右坝肩及危岩体支护"/>
      <sheetName val="左岸土石方开挖"/>
      <sheetName val="危岩体钻爆"/>
      <sheetName val="机耕道、危岩体、右坝肩及坝基土石方开挖"/>
      <sheetName val="垫层料及过渡料加工生产、运输"/>
      <sheetName val="上游土料及任意料填筑"/>
      <sheetName val="防渗墙"/>
      <sheetName val="灌浆"/>
      <sheetName val="道路、桥梁、隧洞"/>
      <sheetName val="导流分包（填筑项目）"/>
      <sheetName val="一般项目"/>
      <sheetName val="Sheet4"/>
      <sheetName val="人员配置情况"/>
      <sheetName val="设备配置情况"/>
      <sheetName val="Sheet5"/>
      <sheetName val="安全费用"/>
      <sheetName val="环境保护"/>
      <sheetName val="人员配置细则"/>
    </sheetNames>
    <sheetDataSet>
      <sheetData sheetId="0"/>
      <sheetData sheetId="1">
        <row r="9">
          <cell r="K9">
            <v>500.24</v>
          </cell>
        </row>
        <row r="10">
          <cell r="K10">
            <v>1813.57</v>
          </cell>
        </row>
        <row r="11">
          <cell r="K11">
            <v>725.8</v>
          </cell>
        </row>
        <row r="12">
          <cell r="K12">
            <v>1535.66</v>
          </cell>
        </row>
        <row r="15">
          <cell r="K15">
            <v>5452.51</v>
          </cell>
        </row>
        <row r="16">
          <cell r="K16">
            <v>15844.82</v>
          </cell>
        </row>
        <row r="17">
          <cell r="B17" t="str">
            <v>上坝料的装、运输</v>
          </cell>
        </row>
        <row r="17">
          <cell r="K17">
            <v>10132.784</v>
          </cell>
        </row>
        <row r="18">
          <cell r="B18" t="str">
            <v>上游压重体挖装运</v>
          </cell>
        </row>
        <row r="18">
          <cell r="K18">
            <v>1106.481</v>
          </cell>
        </row>
        <row r="19">
          <cell r="B19" t="str">
            <v>大坝基坑及冲积物运输、右坝肩挖装运</v>
          </cell>
        </row>
        <row r="19">
          <cell r="K19">
            <v>4060.249</v>
          </cell>
        </row>
        <row r="20">
          <cell r="B20" t="str">
            <v>围堰挖装运输</v>
          </cell>
        </row>
        <row r="20">
          <cell r="K20">
            <v>2193.01</v>
          </cell>
        </row>
        <row r="21">
          <cell r="B21" t="str">
            <v>砂石骨料运输</v>
          </cell>
        </row>
        <row r="21">
          <cell r="K21">
            <v>262</v>
          </cell>
        </row>
        <row r="24">
          <cell r="B24" t="str">
            <v>趾板下变模区（碾压干贫砼），挤压边墙，探洞回填、垫层小区料填筑</v>
          </cell>
        </row>
        <row r="24">
          <cell r="K24">
            <v>346.593</v>
          </cell>
        </row>
        <row r="25">
          <cell r="B25" t="str">
            <v>护坡框格梁砼，钢筋制安、干砌石、后坡的梯步、水沟</v>
          </cell>
        </row>
        <row r="25">
          <cell r="K25">
            <v>1911.743</v>
          </cell>
        </row>
        <row r="26">
          <cell r="B26" t="str">
            <v>趾板砼、钢筋制安、止水、锚固筋</v>
          </cell>
        </row>
        <row r="26">
          <cell r="K26">
            <v>264.56</v>
          </cell>
        </row>
        <row r="27">
          <cell r="B27" t="str">
            <v>面板砼，钢筋制安</v>
          </cell>
        </row>
        <row r="27">
          <cell r="K27">
            <v>3809.777</v>
          </cell>
        </row>
        <row r="30">
          <cell r="K30">
            <v>30771.605</v>
          </cell>
        </row>
        <row r="31">
          <cell r="B31" t="str">
            <v>C3-3料场开采</v>
          </cell>
        </row>
        <row r="31">
          <cell r="K31">
            <v>19947.176</v>
          </cell>
        </row>
        <row r="32">
          <cell r="B32" t="str">
            <v>左岸土石方开挖</v>
          </cell>
        </row>
        <row r="32">
          <cell r="K32">
            <v>520.16</v>
          </cell>
        </row>
        <row r="33">
          <cell r="K33">
            <v>1558.59</v>
          </cell>
        </row>
        <row r="35">
          <cell r="K35">
            <v>5432.32</v>
          </cell>
        </row>
        <row r="37">
          <cell r="L37">
            <v>-1080.77</v>
          </cell>
        </row>
        <row r="39">
          <cell r="B39" t="str">
            <v>3#-1道路</v>
          </cell>
        </row>
        <row r="39">
          <cell r="K39">
            <v>221.782</v>
          </cell>
        </row>
        <row r="40">
          <cell r="B40" t="str">
            <v>3#交通桥</v>
          </cell>
        </row>
        <row r="40">
          <cell r="K40">
            <v>295.399</v>
          </cell>
        </row>
        <row r="41">
          <cell r="B41" t="str">
            <v>13#-1道路延长</v>
          </cell>
        </row>
        <row r="41">
          <cell r="K41">
            <v>140.476</v>
          </cell>
        </row>
        <row r="42">
          <cell r="B42" t="str">
            <v>6#道路</v>
          </cell>
        </row>
        <row r="42">
          <cell r="K42">
            <v>414.948</v>
          </cell>
        </row>
        <row r="44">
          <cell r="B44" t="str">
            <v>临时设施项目</v>
          </cell>
        </row>
        <row r="45">
          <cell r="K45">
            <v>293.678</v>
          </cell>
        </row>
        <row r="46">
          <cell r="K46">
            <v>333</v>
          </cell>
        </row>
        <row r="47">
          <cell r="K47">
            <v>76.8</v>
          </cell>
        </row>
        <row r="48">
          <cell r="K48">
            <v>179.338</v>
          </cell>
        </row>
        <row r="49">
          <cell r="K49">
            <v>99.288</v>
          </cell>
        </row>
        <row r="50">
          <cell r="K50">
            <v>120.074</v>
          </cell>
        </row>
        <row r="51">
          <cell r="B51" t="str">
            <v>危岩体、左右坝肩支护</v>
          </cell>
        </row>
        <row r="51">
          <cell r="K51">
            <v>9207.47</v>
          </cell>
        </row>
        <row r="52">
          <cell r="B52" t="str">
            <v>索道群施工及运营</v>
          </cell>
        </row>
        <row r="52">
          <cell r="K52">
            <v>580</v>
          </cell>
        </row>
        <row r="53">
          <cell r="B53" t="str">
            <v>营地建设</v>
          </cell>
        </row>
        <row r="53">
          <cell r="K53">
            <v>580</v>
          </cell>
        </row>
      </sheetData>
      <sheetData sheetId="2"/>
      <sheetData sheetId="3"/>
      <sheetData sheetId="4">
        <row r="12">
          <cell r="K12">
            <v>22565451</v>
          </cell>
        </row>
        <row r="19">
          <cell r="K19">
            <v>87335451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workbookViewId="0">
      <selection activeCell="G4" sqref="G4"/>
    </sheetView>
  </sheetViews>
  <sheetFormatPr defaultColWidth="9" defaultRowHeight="14.4"/>
  <sheetData>
    <row r="1" ht="15.6" spans="1:1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6" spans="1:15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2</v>
      </c>
      <c r="B3" s="6" t="s">
        <v>3</v>
      </c>
      <c r="C3" s="7" t="s">
        <v>4</v>
      </c>
      <c r="D3" s="6" t="s">
        <v>5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ht="84" spans="1:15">
      <c r="A4" s="6"/>
      <c r="B4" s="8" t="s">
        <v>6</v>
      </c>
      <c r="C4" s="7"/>
      <c r="D4" s="6"/>
      <c r="E4" s="3"/>
      <c r="F4" s="4"/>
      <c r="G4" s="4"/>
      <c r="H4" s="4"/>
      <c r="I4" s="4"/>
      <c r="J4" s="4"/>
      <c r="K4" s="4"/>
      <c r="L4" s="4"/>
      <c r="M4" s="4"/>
      <c r="N4" s="4"/>
      <c r="O4" s="4"/>
    </row>
    <row r="5" ht="36" spans="1:15">
      <c r="A5" s="9">
        <v>1</v>
      </c>
      <c r="B5" s="10" t="s">
        <v>7</v>
      </c>
      <c r="C5" s="11">
        <f>C6+C7</f>
        <v>150106.5856</v>
      </c>
      <c r="D5" s="12" t="s">
        <v>8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13">
        <v>1.1</v>
      </c>
      <c r="B6" s="14" t="s">
        <v>9</v>
      </c>
      <c r="C6" s="15">
        <f>ROUND((1501065856/10000-C7),4)</f>
        <v>144674.2656</v>
      </c>
      <c r="D6" s="12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" spans="1:15">
      <c r="A7" s="13">
        <v>1.2</v>
      </c>
      <c r="B7" s="14" t="s">
        <v>10</v>
      </c>
      <c r="C7" s="7">
        <f>[1]分包规划汇总!K36+[1]分包规划汇总!K35</f>
        <v>5432.32</v>
      </c>
      <c r="D7" s="12" t="s">
        <v>11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13">
        <v>1.4</v>
      </c>
      <c r="B8" s="14" t="s">
        <v>12</v>
      </c>
      <c r="C8" s="7">
        <v>10000</v>
      </c>
      <c r="D8" s="12"/>
      <c r="E8" s="3"/>
      <c r="F8" s="4"/>
      <c r="G8" s="4"/>
      <c r="H8" s="4">
        <v>2015</v>
      </c>
      <c r="I8" s="4">
        <f>20+31+31+30+31+30+31</f>
        <v>204</v>
      </c>
      <c r="J8" s="4"/>
      <c r="K8" s="4"/>
      <c r="L8" s="4"/>
      <c r="M8" s="4"/>
      <c r="N8" s="4"/>
      <c r="O8" s="4"/>
    </row>
    <row r="9" spans="1:15">
      <c r="A9" s="9">
        <v>2</v>
      </c>
      <c r="B9" s="10" t="s">
        <v>13</v>
      </c>
      <c r="C9" s="15">
        <f>ROUND(C10+C24+C42+C43+C55+C59,3)</f>
        <v>140101.89</v>
      </c>
      <c r="D9" s="16">
        <f>C9/$C$5</f>
        <v>0.933349389302211</v>
      </c>
      <c r="E9" s="3"/>
      <c r="F9" s="17"/>
      <c r="G9" s="17"/>
      <c r="H9" s="4">
        <v>2016</v>
      </c>
      <c r="I9" s="17">
        <f>366</f>
        <v>366</v>
      </c>
      <c r="J9" s="17"/>
      <c r="K9" s="17"/>
      <c r="L9" s="17"/>
      <c r="M9" s="17"/>
      <c r="N9" s="17"/>
      <c r="O9" s="17"/>
    </row>
    <row r="10" spans="1:15">
      <c r="A10" s="9">
        <v>2.1</v>
      </c>
      <c r="B10" s="10" t="s">
        <v>14</v>
      </c>
      <c r="C10" s="11">
        <f>SUM(C11:C23)</f>
        <v>54617.214</v>
      </c>
      <c r="D10" s="16">
        <f>C10/$C$5</f>
        <v>0.363856214447129</v>
      </c>
      <c r="E10" s="18"/>
      <c r="F10" s="17"/>
      <c r="G10" s="17"/>
      <c r="H10" s="4">
        <v>2017</v>
      </c>
      <c r="I10" s="17">
        <v>365</v>
      </c>
      <c r="J10" s="17"/>
      <c r="K10" s="17"/>
      <c r="L10" s="17"/>
      <c r="M10" s="17"/>
      <c r="N10" s="17"/>
      <c r="O10" s="17"/>
    </row>
    <row r="11" ht="48" spans="1:15">
      <c r="A11" s="13" t="s">
        <v>15</v>
      </c>
      <c r="B11" s="19" t="s">
        <v>16</v>
      </c>
      <c r="C11" s="7">
        <f>ROUND([1]人、材、机明细!$K$12/10000,3)</f>
        <v>2256.545</v>
      </c>
      <c r="D11" s="12"/>
      <c r="E11" s="3"/>
      <c r="F11" s="17"/>
      <c r="G11" s="17"/>
      <c r="H11" s="17">
        <v>2018</v>
      </c>
      <c r="I11" s="17">
        <v>365</v>
      </c>
      <c r="J11" s="17"/>
      <c r="K11" s="17"/>
      <c r="L11" s="17"/>
      <c r="M11" s="17"/>
      <c r="N11" s="17"/>
      <c r="O11" s="17"/>
    </row>
    <row r="12" ht="24" spans="1:15">
      <c r="A12" s="13" t="s">
        <v>17</v>
      </c>
      <c r="B12" s="19" t="s">
        <v>18</v>
      </c>
      <c r="C12" s="7">
        <f>ROUND([1]人、材、机明细!$K$19/10000,3)</f>
        <v>8733.545</v>
      </c>
      <c r="D12" s="12"/>
      <c r="E12" s="3"/>
      <c r="F12" s="17"/>
      <c r="G12" s="17"/>
      <c r="H12" s="17">
        <v>2019</v>
      </c>
      <c r="I12" s="17">
        <v>365</v>
      </c>
      <c r="J12" s="17"/>
      <c r="K12" s="17"/>
      <c r="L12" s="17"/>
      <c r="M12" s="17"/>
      <c r="N12" s="17"/>
      <c r="O12" s="17"/>
    </row>
    <row r="13" ht="36" spans="1:15">
      <c r="A13" s="13" t="s">
        <v>19</v>
      </c>
      <c r="B13" s="20" t="s">
        <v>20</v>
      </c>
      <c r="C13" s="7">
        <f>[1]分包规划汇总!$K$16</f>
        <v>15844.82</v>
      </c>
      <c r="D13" s="12"/>
      <c r="E13" s="3"/>
      <c r="F13" s="17"/>
      <c r="G13" s="17"/>
      <c r="H13" s="17">
        <v>2020</v>
      </c>
      <c r="I13" s="17">
        <v>366</v>
      </c>
      <c r="J13" s="17"/>
      <c r="K13" s="17"/>
      <c r="L13" s="17"/>
      <c r="M13" s="17"/>
      <c r="N13" s="17"/>
      <c r="O13" s="17"/>
    </row>
    <row r="14" ht="60" spans="1:15">
      <c r="A14" s="13" t="s">
        <v>21</v>
      </c>
      <c r="B14" s="20" t="s">
        <v>22</v>
      </c>
      <c r="C14" s="7">
        <f>ROUND([1]分包规划汇总!$K$15,2)</f>
        <v>5452.51</v>
      </c>
      <c r="D14" s="12"/>
      <c r="E14" s="3"/>
      <c r="F14" s="17"/>
      <c r="G14" s="17"/>
      <c r="H14" s="17">
        <v>2021</v>
      </c>
      <c r="I14" s="17">
        <f>31+28+31+30+31</f>
        <v>151</v>
      </c>
      <c r="J14" s="17"/>
      <c r="K14" s="17"/>
      <c r="L14" s="17"/>
      <c r="M14" s="17"/>
      <c r="N14" s="17"/>
      <c r="O14" s="17"/>
    </row>
    <row r="15" spans="1:15">
      <c r="A15" s="13" t="s">
        <v>23</v>
      </c>
      <c r="B15" s="20" t="s">
        <v>24</v>
      </c>
      <c r="C15" s="7">
        <f>[1]分包规划汇总!$K$9</f>
        <v>500.24</v>
      </c>
      <c r="D15" s="12"/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ht="24" spans="1:15">
      <c r="A16" s="13" t="s">
        <v>25</v>
      </c>
      <c r="B16" s="20" t="s">
        <v>26</v>
      </c>
      <c r="C16" s="7">
        <f>[1]分包规划汇总!$K$10</f>
        <v>1813.57</v>
      </c>
      <c r="D16" s="12"/>
      <c r="E16" s="3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36" spans="1:15">
      <c r="A17" s="13" t="s">
        <v>27</v>
      </c>
      <c r="B17" s="20" t="s">
        <v>28</v>
      </c>
      <c r="C17" s="7">
        <f>[1]分包规划汇总!$K$11</f>
        <v>725.8</v>
      </c>
      <c r="D17" s="12"/>
      <c r="E17" s="3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A18" s="13" t="s">
        <v>29</v>
      </c>
      <c r="B18" s="21" t="s">
        <v>30</v>
      </c>
      <c r="C18" s="7">
        <f>[1]分包规划汇总!$K$12</f>
        <v>1535.66</v>
      </c>
      <c r="D18" s="12"/>
      <c r="E18" s="3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ht="24" spans="1:15">
      <c r="A19" s="13" t="s">
        <v>31</v>
      </c>
      <c r="B19" s="21" t="str">
        <f>[1]分包规划汇总!B17</f>
        <v>上坝料的装、运输</v>
      </c>
      <c r="C19" s="7">
        <f>[1]分包规划汇总!K17</f>
        <v>10132.784</v>
      </c>
      <c r="D19" s="12"/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24" spans="1:15">
      <c r="A20" s="13" t="s">
        <v>32</v>
      </c>
      <c r="B20" s="21" t="str">
        <f>[1]分包规划汇总!B18</f>
        <v>上游压重体挖装运</v>
      </c>
      <c r="C20" s="7">
        <f>[1]分包规划汇总!K18</f>
        <v>1106.481</v>
      </c>
      <c r="D20" s="12"/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60" spans="1:15">
      <c r="A21" s="13" t="s">
        <v>33</v>
      </c>
      <c r="B21" s="21" t="str">
        <f>[1]分包规划汇总!B19</f>
        <v>大坝基坑及冲积物运输、右坝肩挖装运</v>
      </c>
      <c r="C21" s="7">
        <f>[1]分包规划汇总!K19</f>
        <v>4060.249</v>
      </c>
      <c r="D21" s="12"/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ht="24" spans="1:15">
      <c r="A22" s="13" t="s">
        <v>34</v>
      </c>
      <c r="B22" s="21" t="str">
        <f>[1]分包规划汇总!B20</f>
        <v>围堰挖装运输</v>
      </c>
      <c r="C22" s="7">
        <f>[1]分包规划汇总!K20</f>
        <v>2193.01</v>
      </c>
      <c r="D22" s="12"/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ht="24" spans="1:15">
      <c r="A23" s="13" t="s">
        <v>35</v>
      </c>
      <c r="B23" s="21" t="str">
        <f>[1]分包规划汇总!B21</f>
        <v>砂石骨料运输</v>
      </c>
      <c r="C23" s="7">
        <f>[1]分包规划汇总!K21</f>
        <v>262</v>
      </c>
      <c r="D23" s="12"/>
      <c r="E23" s="3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9">
        <v>2.2</v>
      </c>
      <c r="B24" s="10" t="s">
        <v>36</v>
      </c>
      <c r="C24" s="11">
        <f>C25+C26</f>
        <v>71672.457</v>
      </c>
      <c r="D24" s="16">
        <f>C24/C5</f>
        <v>0.477477098779602</v>
      </c>
      <c r="E24" s="3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A25" s="9" t="s">
        <v>37</v>
      </c>
      <c r="B25" s="10" t="s">
        <v>38</v>
      </c>
      <c r="C25" s="11">
        <f>ROUND([1]分包规划汇总!$K$30,3)</f>
        <v>30771.605</v>
      </c>
      <c r="D25" s="16" t="s">
        <v>39</v>
      </c>
      <c r="E25" s="3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A26" s="9" t="s">
        <v>40</v>
      </c>
      <c r="B26" s="10" t="s">
        <v>41</v>
      </c>
      <c r="C26" s="11">
        <f>SUM(C27:C41)</f>
        <v>40900.852</v>
      </c>
      <c r="D26" s="16"/>
      <c r="E26" s="3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ht="96" spans="1:15">
      <c r="A27" s="13" t="s">
        <v>42</v>
      </c>
      <c r="B27" s="20" t="str">
        <f>[1]分包规划汇总!B24</f>
        <v>趾板下变模区（碾压干贫砼），挤压边墙，探洞回填、垫层小区料填筑</v>
      </c>
      <c r="C27" s="7">
        <f>[1]分包规划汇总!$K$24</f>
        <v>346.593</v>
      </c>
      <c r="D27" s="12"/>
      <c r="E27" s="3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ht="72" spans="1:15">
      <c r="A28" s="13" t="s">
        <v>43</v>
      </c>
      <c r="B28" s="20" t="str">
        <f>[1]分包规划汇总!B25</f>
        <v>护坡框格梁砼，钢筋制安、干砌石、后坡的梯步、水沟</v>
      </c>
      <c r="C28" s="7">
        <f>[1]分包规划汇总!$K$25</f>
        <v>1911.743</v>
      </c>
      <c r="D28" s="12"/>
      <c r="E28" s="3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ht="48" spans="1:15">
      <c r="A29" s="13" t="s">
        <v>44</v>
      </c>
      <c r="B29" s="20" t="str">
        <f>[1]分包规划汇总!B26</f>
        <v>趾板砼、钢筋制安、止水、锚固筋</v>
      </c>
      <c r="C29" s="7">
        <f>[1]分包规划汇总!$K$26</f>
        <v>264.56</v>
      </c>
      <c r="D29" s="12"/>
      <c r="E29" s="3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ht="24" spans="1:15">
      <c r="A30" s="13" t="s">
        <v>45</v>
      </c>
      <c r="B30" s="20" t="str">
        <f>[1]分包规划汇总!B27</f>
        <v>面板砼，钢筋制安</v>
      </c>
      <c r="C30" s="7">
        <f>[1]分包规划汇总!$K$27</f>
        <v>3809.777</v>
      </c>
      <c r="D30" s="12"/>
      <c r="E30" s="3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ht="24" spans="1:15">
      <c r="A31" s="13" t="s">
        <v>46</v>
      </c>
      <c r="B31" s="20" t="str">
        <f>[1]分包规划汇总!B31</f>
        <v>C3-3料场开采</v>
      </c>
      <c r="C31" s="7">
        <f>[1]分包规划汇总!$K$31</f>
        <v>19947.176</v>
      </c>
      <c r="D31" s="12"/>
      <c r="E31" s="3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ht="24" spans="1:15">
      <c r="A32" s="13" t="s">
        <v>47</v>
      </c>
      <c r="B32" s="20" t="str">
        <f>[1]分包规划汇总!B32</f>
        <v>左岸土石方开挖</v>
      </c>
      <c r="C32" s="7">
        <f>[1]分包规划汇总!K32</f>
        <v>520.16</v>
      </c>
      <c r="D32" s="12"/>
      <c r="E32" s="3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ht="24" spans="1:15">
      <c r="A33" s="13" t="s">
        <v>48</v>
      </c>
      <c r="B33" s="20" t="s">
        <v>49</v>
      </c>
      <c r="C33" s="7">
        <f>[1]分包规划汇总!K33</f>
        <v>1558.59</v>
      </c>
      <c r="D33" s="12"/>
      <c r="E33" s="3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>
      <c r="A34" s="13" t="s">
        <v>50</v>
      </c>
      <c r="B34" s="20" t="str">
        <f>[1]分包规划汇总!B39</f>
        <v>3#-1道路</v>
      </c>
      <c r="C34" s="7">
        <f>[1]分包规划汇总!$K$39</f>
        <v>221.782</v>
      </c>
      <c r="D34" s="12"/>
      <c r="E34" s="3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>
      <c r="A35" s="13" t="s">
        <v>51</v>
      </c>
      <c r="B35" s="20" t="str">
        <f>[1]分包规划汇总!B40</f>
        <v>3#交通桥</v>
      </c>
      <c r="C35" s="7">
        <f>[1]分包规划汇总!$K$40</f>
        <v>295.399</v>
      </c>
      <c r="D35" s="12"/>
      <c r="E35" s="3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ht="24" spans="1:15">
      <c r="A36" s="13" t="s">
        <v>52</v>
      </c>
      <c r="B36" s="20" t="str">
        <f>[1]分包规划汇总!B41</f>
        <v>13#-1道路延长</v>
      </c>
      <c r="C36" s="7">
        <f>[1]分包规划汇总!$K$41</f>
        <v>140.476</v>
      </c>
      <c r="D36" s="12"/>
      <c r="E36" s="3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>
      <c r="A37" s="13" t="s">
        <v>53</v>
      </c>
      <c r="B37" s="20" t="str">
        <f>[1]分包规划汇总!B42</f>
        <v>6#道路</v>
      </c>
      <c r="C37" s="7">
        <f>[1]分包规划汇总!$K$42</f>
        <v>414.948</v>
      </c>
      <c r="D37" s="12"/>
      <c r="E37" s="3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ht="24" spans="1:15">
      <c r="A38" s="13" t="s">
        <v>54</v>
      </c>
      <c r="B38" s="20" t="str">
        <f>[1]分包规划汇总!B44</f>
        <v>临时设施项目</v>
      </c>
      <c r="C38" s="7">
        <f>[1]分包规划汇总!$K$45+[1]分包规划汇总!$K$46+[1]分包规划汇总!$K$47+[1]分包规划汇总!$K$48+[1]分包规划汇总!$K$49+[1]分包规划汇总!$K$50</f>
        <v>1102.178</v>
      </c>
      <c r="D38" s="12"/>
      <c r="E38" s="3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ht="36" spans="1:15">
      <c r="A39" s="13" t="s">
        <v>55</v>
      </c>
      <c r="B39" s="20" t="str">
        <f>[1]分包规划汇总!B51</f>
        <v>危岩体、左右坝肩支护</v>
      </c>
      <c r="C39" s="7">
        <f>[1]分包规划汇总!$K$51</f>
        <v>9207.47</v>
      </c>
      <c r="D39" s="12"/>
      <c r="E39" s="3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ht="24" spans="1:15">
      <c r="A40" s="13" t="s">
        <v>56</v>
      </c>
      <c r="B40" s="20" t="str">
        <f>[1]分包规划汇总!B52</f>
        <v>索道群施工及运营</v>
      </c>
      <c r="C40" s="7">
        <f>[1]分包规划汇总!K52</f>
        <v>580</v>
      </c>
      <c r="D40" s="12"/>
      <c r="E40" s="3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>
      <c r="A41" s="13" t="s">
        <v>57</v>
      </c>
      <c r="B41" s="20" t="str">
        <f>[1]分包规划汇总!B53</f>
        <v>营地建设</v>
      </c>
      <c r="C41" s="7">
        <f>[1]分包规划汇总!K53</f>
        <v>580</v>
      </c>
      <c r="D41" s="12"/>
      <c r="E41" s="3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ht="24" spans="1:15">
      <c r="A42" s="22" t="s">
        <v>58</v>
      </c>
      <c r="B42" s="23" t="s">
        <v>59</v>
      </c>
      <c r="C42" s="15">
        <f>-[1]分包规划汇总!$L$37</f>
        <v>1080.77</v>
      </c>
      <c r="D42" s="24" t="s">
        <v>60</v>
      </c>
      <c r="E42" s="25">
        <f>5.66+0.72+2.81+0.98+0.16</f>
        <v>10.33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24" spans="1:15">
      <c r="A43" s="9">
        <v>2.4</v>
      </c>
      <c r="B43" s="23" t="s">
        <v>61</v>
      </c>
      <c r="C43" s="15">
        <f>C44+C48+SUM(C52:C54)</f>
        <v>6569.47</v>
      </c>
      <c r="D43" s="16">
        <f>C43/$C$5</f>
        <v>0.0437653682797512</v>
      </c>
      <c r="E43" s="3" t="s">
        <v>62</v>
      </c>
      <c r="F43" s="17"/>
      <c r="G43" s="17" t="s">
        <v>63</v>
      </c>
      <c r="H43" s="17"/>
      <c r="I43" s="17"/>
      <c r="J43" s="17"/>
      <c r="K43" s="17"/>
      <c r="L43" s="17"/>
      <c r="M43" s="17"/>
      <c r="N43" s="17"/>
      <c r="O43" s="17"/>
    </row>
    <row r="44" ht="36" spans="1:15">
      <c r="A44" s="13" t="s">
        <v>64</v>
      </c>
      <c r="B44" s="20" t="s">
        <v>65</v>
      </c>
      <c r="C44" s="7">
        <f>SUM(C45:C47)</f>
        <v>4426.75</v>
      </c>
      <c r="D44" s="12"/>
      <c r="E44" s="3">
        <f>C44/45/24</f>
        <v>4.09884259259259</v>
      </c>
      <c r="F44" s="17"/>
      <c r="G44" s="17">
        <f>3160*3</f>
        <v>9480</v>
      </c>
      <c r="H44" s="17"/>
      <c r="I44" s="17"/>
      <c r="J44" s="17"/>
      <c r="K44" s="17"/>
      <c r="L44" s="17"/>
      <c r="M44" s="17"/>
      <c r="N44" s="17"/>
      <c r="O44" s="17"/>
    </row>
    <row r="45" ht="84" spans="1:15">
      <c r="A45" s="13" t="s">
        <v>66</v>
      </c>
      <c r="B45" s="20" t="s">
        <v>67</v>
      </c>
      <c r="C45" s="7">
        <f>6*300000*6.5/10000</f>
        <v>1170</v>
      </c>
      <c r="D45" s="12" t="s">
        <v>68</v>
      </c>
      <c r="E45" s="3">
        <f>85-7-13</f>
        <v>65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ht="84" spans="1:15">
      <c r="A46" s="13" t="s">
        <v>69</v>
      </c>
      <c r="B46" s="20" t="s">
        <v>70</v>
      </c>
      <c r="C46" s="7">
        <f>8500*11.5*70/10000</f>
        <v>684.25</v>
      </c>
      <c r="D46" s="12" t="s">
        <v>71</v>
      </c>
      <c r="E46" s="3"/>
      <c r="F46" s="17"/>
      <c r="G46" s="17">
        <f>7+5+5*12</f>
        <v>72</v>
      </c>
      <c r="H46" s="17"/>
      <c r="I46" s="17"/>
      <c r="J46" s="17"/>
      <c r="K46" s="17"/>
      <c r="L46" s="17"/>
      <c r="M46" s="17"/>
      <c r="N46" s="17"/>
      <c r="O46" s="17"/>
    </row>
    <row r="47" ht="72" spans="1:15">
      <c r="A47" s="13" t="s">
        <v>72</v>
      </c>
      <c r="B47" s="20" t="s">
        <v>73</v>
      </c>
      <c r="C47" s="7">
        <f>7500*49*70/10000</f>
        <v>2572.5</v>
      </c>
      <c r="D47" s="12" t="s">
        <v>74</v>
      </c>
      <c r="E47" s="3">
        <f>3+5+10</f>
        <v>18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ht="36" spans="1:15">
      <c r="A48" s="13" t="s">
        <v>75</v>
      </c>
      <c r="B48" s="20" t="s">
        <v>76</v>
      </c>
      <c r="C48" s="7">
        <f>SUM(C49:C51)</f>
        <v>1074.68</v>
      </c>
      <c r="D48" s="12"/>
      <c r="E48" s="3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ht="72" spans="1:15">
      <c r="A49" s="13" t="s">
        <v>77</v>
      </c>
      <c r="B49" s="20" t="s">
        <v>78</v>
      </c>
      <c r="C49" s="7">
        <f>ROUND(E49/10000,3)</f>
        <v>193.38</v>
      </c>
      <c r="D49" s="12" t="s">
        <v>79</v>
      </c>
      <c r="E49" s="3">
        <f>(69*1000+20*3000+35000*2+250*50+400000+1000000)*1.2</f>
        <v>1933800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ht="36" spans="1:15">
      <c r="A50" s="13" t="s">
        <v>80</v>
      </c>
      <c r="B50" s="20" t="s">
        <v>76</v>
      </c>
      <c r="C50" s="7">
        <f>F50/10000</f>
        <v>350</v>
      </c>
      <c r="D50" s="12" t="s">
        <v>81</v>
      </c>
      <c r="E50" s="3">
        <v>70</v>
      </c>
      <c r="F50" s="17">
        <f>E50*50000</f>
        <v>3500000</v>
      </c>
      <c r="G50" s="17"/>
      <c r="H50" s="17"/>
      <c r="I50" s="17"/>
      <c r="J50" s="17"/>
      <c r="K50" s="17"/>
      <c r="L50" s="17"/>
      <c r="M50" s="17"/>
      <c r="N50" s="17"/>
      <c r="O50" s="17"/>
    </row>
    <row r="51" ht="60" spans="1:15">
      <c r="A51" s="13" t="s">
        <v>82</v>
      </c>
      <c r="B51" s="20" t="s">
        <v>83</v>
      </c>
      <c r="C51" s="7">
        <f>ROUND(E51/10000,2)</f>
        <v>531.3</v>
      </c>
      <c r="D51" s="26" t="s">
        <v>84</v>
      </c>
      <c r="E51" s="3">
        <f>69*(300+200+600)*70</f>
        <v>5313000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ht="24" spans="1:15">
      <c r="A52" s="13" t="s">
        <v>85</v>
      </c>
      <c r="B52" s="20" t="s">
        <v>86</v>
      </c>
      <c r="C52" s="7">
        <v>200</v>
      </c>
      <c r="D52" s="26"/>
      <c r="E52" s="3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ht="36" spans="1:15">
      <c r="A53" s="13" t="s">
        <v>87</v>
      </c>
      <c r="B53" s="20" t="s">
        <v>88</v>
      </c>
      <c r="C53" s="7">
        <f>ROUND(F53,2)</f>
        <v>434.02</v>
      </c>
      <c r="D53" s="12" t="s">
        <v>89</v>
      </c>
      <c r="E53" s="3">
        <f>C6</f>
        <v>144674.2656</v>
      </c>
      <c r="F53" s="17">
        <f>E53*0.3%</f>
        <v>434.0227968</v>
      </c>
      <c r="G53" s="17"/>
      <c r="H53" s="17"/>
      <c r="I53" s="17"/>
      <c r="J53" s="17"/>
      <c r="K53" s="17"/>
      <c r="L53" s="17"/>
      <c r="M53" s="17"/>
      <c r="N53" s="17"/>
      <c r="O53" s="17"/>
    </row>
    <row r="54" ht="36" spans="1:15">
      <c r="A54" s="13" t="s">
        <v>90</v>
      </c>
      <c r="B54" s="20" t="s">
        <v>91</v>
      </c>
      <c r="C54" s="7">
        <f>ROUND(C6*0.003,2)</f>
        <v>434.02</v>
      </c>
      <c r="D54" s="12" t="s">
        <v>89</v>
      </c>
      <c r="E54" s="3"/>
      <c r="F54" s="17"/>
      <c r="G54" s="27"/>
      <c r="H54" s="17"/>
      <c r="I54" s="17"/>
      <c r="J54" s="17"/>
      <c r="K54" s="17"/>
      <c r="L54" s="17"/>
      <c r="M54" s="17"/>
      <c r="N54" s="17"/>
      <c r="O54" s="17"/>
    </row>
    <row r="55" ht="24" spans="1:15">
      <c r="A55" s="9" t="s">
        <v>92</v>
      </c>
      <c r="B55" s="23" t="s">
        <v>93</v>
      </c>
      <c r="C55" s="15">
        <f>SUM(C56:C58)</f>
        <v>3132</v>
      </c>
      <c r="D55" s="16">
        <f>C55/$C$5</f>
        <v>0.0208651738195289</v>
      </c>
      <c r="E55" s="3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ht="108" spans="1:15">
      <c r="A56" s="13" t="s">
        <v>94</v>
      </c>
      <c r="B56" s="20" t="s">
        <v>95</v>
      </c>
      <c r="C56" s="7">
        <f>ROUND(C44*0.548,)</f>
        <v>2426</v>
      </c>
      <c r="D56" s="12" t="s">
        <v>96</v>
      </c>
      <c r="E56" s="3">
        <f>41655</f>
        <v>41655</v>
      </c>
      <c r="F56" s="17">
        <f>30.7+12+0.6+8+2+1.5</f>
        <v>54.8</v>
      </c>
      <c r="G56" s="17"/>
      <c r="H56" s="17"/>
      <c r="I56" s="17"/>
      <c r="J56" s="17"/>
      <c r="K56" s="17"/>
      <c r="L56" s="17"/>
      <c r="M56" s="17"/>
      <c r="N56" s="17"/>
      <c r="O56" s="17"/>
    </row>
    <row r="57" ht="48" spans="1:15">
      <c r="A57" s="13" t="s">
        <v>97</v>
      </c>
      <c r="B57" s="20" t="s">
        <v>98</v>
      </c>
      <c r="C57" s="7">
        <f>ROUND(E57,2)</f>
        <v>504</v>
      </c>
      <c r="D57" s="12"/>
      <c r="E57" s="3">
        <f>((7*20+60+3*20+3*20+100)/10/12*72)*(1+1)</f>
        <v>504</v>
      </c>
      <c r="F57" s="17"/>
      <c r="G57" s="17"/>
      <c r="H57" s="17"/>
      <c r="I57" s="17" t="s">
        <v>99</v>
      </c>
      <c r="J57" s="17" t="s">
        <v>100</v>
      </c>
      <c r="K57" s="17" t="s">
        <v>101</v>
      </c>
      <c r="L57" s="17" t="s">
        <v>102</v>
      </c>
      <c r="M57" s="17" t="s">
        <v>103</v>
      </c>
      <c r="N57" s="17" t="s">
        <v>104</v>
      </c>
      <c r="O57" s="17" t="s">
        <v>105</v>
      </c>
    </row>
    <row r="58" ht="24" spans="1:15">
      <c r="A58" s="13" t="s">
        <v>106</v>
      </c>
      <c r="B58" s="20" t="s">
        <v>107</v>
      </c>
      <c r="C58" s="7">
        <f>E58</f>
        <v>202</v>
      </c>
      <c r="D58" s="12"/>
      <c r="E58" s="3">
        <f>ROUND(10*2000*72*1.4/10000,)</f>
        <v>202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>
      <c r="A59" s="9" t="s">
        <v>108</v>
      </c>
      <c r="B59" s="23" t="s">
        <v>109</v>
      </c>
      <c r="C59" s="15">
        <f>SUM(C60:C65)</f>
        <v>3029.979</v>
      </c>
      <c r="D59" s="16">
        <f>C59/$C$5</f>
        <v>0.0201855167638961</v>
      </c>
      <c r="E59" s="3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ht="36" spans="1:15">
      <c r="A60" s="13" t="s">
        <v>110</v>
      </c>
      <c r="B60" s="20" t="s">
        <v>111</v>
      </c>
      <c r="C60" s="7">
        <f>ROUND($C$6*0.002,)</f>
        <v>289</v>
      </c>
      <c r="D60" s="12" t="s">
        <v>112</v>
      </c>
      <c r="E60" s="3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ht="36" spans="1:15">
      <c r="A61" s="13" t="s">
        <v>113</v>
      </c>
      <c r="B61" s="20" t="s">
        <v>114</v>
      </c>
      <c r="C61" s="7">
        <f>ROUND($C$6*0.003,)</f>
        <v>434</v>
      </c>
      <c r="D61" s="12" t="s">
        <v>89</v>
      </c>
      <c r="E61" s="3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ht="24" spans="1:15">
      <c r="A62" s="13" t="s">
        <v>115</v>
      </c>
      <c r="B62" s="20" t="s">
        <v>116</v>
      </c>
      <c r="C62" s="7">
        <f>0.3*72</f>
        <v>21.6</v>
      </c>
      <c r="D62" s="12" t="s">
        <v>117</v>
      </c>
      <c r="E62" s="3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ht="36" spans="1:15">
      <c r="A63" s="13" t="s">
        <v>118</v>
      </c>
      <c r="B63" s="20" t="s">
        <v>119</v>
      </c>
      <c r="C63" s="7">
        <f>ROUND(0.2%*E63*6/10000,2)</f>
        <v>180.13</v>
      </c>
      <c r="D63" s="12" t="s">
        <v>120</v>
      </c>
      <c r="E63" s="3">
        <f>1501065856*0.1</f>
        <v>150106585.6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ht="36" spans="1:15">
      <c r="A64" s="13" t="s">
        <v>121</v>
      </c>
      <c r="B64" s="20" t="s">
        <v>122</v>
      </c>
      <c r="C64" s="7">
        <f>ROUND(E64/10000,2)</f>
        <v>78.81</v>
      </c>
      <c r="D64" s="12" t="s">
        <v>123</v>
      </c>
      <c r="E64" s="3">
        <v>788086.208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ht="36" spans="1:15">
      <c r="A65" s="13" t="s">
        <v>124</v>
      </c>
      <c r="B65" s="21" t="s">
        <v>125</v>
      </c>
      <c r="C65" s="7">
        <f>ROUND($C$5*0.015*0.9,3)</f>
        <v>2026.439</v>
      </c>
      <c r="D65" s="12" t="s">
        <v>126</v>
      </c>
      <c r="E65" s="3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ht="36" spans="1:15">
      <c r="A66" s="13">
        <v>3</v>
      </c>
      <c r="B66" s="20" t="s">
        <v>127</v>
      </c>
      <c r="C66" s="7">
        <f>ROUND((C6-C9),3)</f>
        <v>4572.376</v>
      </c>
      <c r="D66" s="12" t="s">
        <v>128</v>
      </c>
      <c r="E66" s="3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ht="24" spans="1:15">
      <c r="A67" s="13">
        <v>4</v>
      </c>
      <c r="B67" s="20" t="s">
        <v>129</v>
      </c>
      <c r="C67" s="28">
        <f>C66/(C6)</f>
        <v>0.0316046256121448</v>
      </c>
      <c r="D67" s="12" t="s">
        <v>130</v>
      </c>
      <c r="E67" s="3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ht="48" spans="1:15">
      <c r="A68" s="13">
        <v>5</v>
      </c>
      <c r="B68" s="20" t="s">
        <v>131</v>
      </c>
      <c r="C68" s="7">
        <f>SUM(C69:C69)</f>
        <v>3736.007</v>
      </c>
      <c r="D68" s="16">
        <f>C68/$C$6</f>
        <v>0.025823576739829</v>
      </c>
      <c r="E68" s="3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ht="108" spans="1:15">
      <c r="A69" s="13">
        <v>5.1</v>
      </c>
      <c r="B69" s="20" t="s">
        <v>132</v>
      </c>
      <c r="C69" s="7">
        <f>ROUND((C6-C25)*0.0328,3)</f>
        <v>3736.007</v>
      </c>
      <c r="D69" s="12" t="s">
        <v>133</v>
      </c>
      <c r="E69" s="3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ht="24" spans="1:15">
      <c r="A70" s="13">
        <v>6</v>
      </c>
      <c r="B70" s="20" t="s">
        <v>134</v>
      </c>
      <c r="C70" s="7">
        <f>C66-C68</f>
        <v>836.369</v>
      </c>
      <c r="D70" s="12"/>
      <c r="E70" s="3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ht="24" spans="1:15">
      <c r="A71" s="13">
        <v>7</v>
      </c>
      <c r="B71" s="20" t="s">
        <v>135</v>
      </c>
      <c r="C71" s="28">
        <f>C70/(C6)</f>
        <v>0.00578104887231582</v>
      </c>
      <c r="D71" s="12"/>
      <c r="E71" s="3"/>
      <c r="F71" s="17"/>
      <c r="G71" s="17"/>
      <c r="H71" s="17"/>
      <c r="I71" s="17"/>
      <c r="J71" s="17"/>
      <c r="K71" s="17"/>
      <c r="L71" s="17"/>
      <c r="M71" s="17"/>
      <c r="N71" s="17"/>
      <c r="O71" s="1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2018-04-27T16:24:11Z</dcterms:created>
  <dcterms:modified xsi:type="dcterms:W3CDTF">2018-04-27T16:25:01Z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