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kiZ\Downloads\teori dana pensiun\teori-dana-pensiun\case_study_IRR_rate\"/>
    </mc:Choice>
  </mc:AlternateContent>
  <xr:revisionPtr revIDLastSave="0" documentId="13_ncr:1_{045BF790-D400-403A-882E-9CF85B399291}" xr6:coauthVersionLast="47" xr6:coauthVersionMax="47" xr10:uidLastSave="{00000000-0000-0000-0000-000000000000}"/>
  <bookViews>
    <workbookView xWindow="-108" yWindow="-108" windowWidth="23256" windowHeight="12456" xr2:uid="{2CFAB7DF-BAA6-4F18-BD3E-21A81EFC5E9C}"/>
  </bookViews>
  <sheets>
    <sheet name="Dashboard" sheetId="1" r:id="rId1"/>
    <sheet name="Proyeksi Tahunan" sheetId="2" r:id="rId2"/>
    <sheet name="Referensi" sheetId="3" r:id="rId3"/>
  </sheets>
  <definedNames>
    <definedName name="a_55">Dashboard!$H$21</definedName>
    <definedName name="a_60">Dashboard!$H$22</definedName>
    <definedName name="Batas_Atas_Manfaat_JP">Dashboard!$C$17</definedName>
    <definedName name="dana_lump_sum">Dashboard!$H$18</definedName>
    <definedName name="Faktor_Anuitas_60">#REF!</definedName>
    <definedName name="Gaji_Akhir">Dashboard!$H$4</definedName>
    <definedName name="Gaji_Awal">Dashboard!$C$6</definedName>
    <definedName name="Gender">Dashboard!$C$7</definedName>
    <definedName name="Imbal_Hasil">Dashboard!$C$9</definedName>
    <definedName name="Informasi">Dashboard!$B$19</definedName>
    <definedName name="Kenaikan_Gaji">Dashboard!$C$8</definedName>
    <definedName name="lump_sum_jp">Dashboard!$H$15</definedName>
    <definedName name="Manfaat_JP_Final">Dashboard!$H$14</definedName>
    <definedName name="Masa_Iuran_JP">Dashboard!$H$13</definedName>
    <definedName name="Masa_Kerja">Dashboard!$C$21</definedName>
    <definedName name="pv_manfaat_jp">Dashboard!$H$16</definedName>
    <definedName name="Rate_Iuran_JHT">Dashboard!$C$11</definedName>
    <definedName name="Target_IRR">Dashboard!$C$10</definedName>
    <definedName name="total_akumulasi_dana_jht">Dashboard!$H$5</definedName>
    <definedName name="uang_pesangon_final">Dashboard!$H$10</definedName>
    <definedName name="Usia_Awal">Dashboard!$C$4</definedName>
    <definedName name="Usia_Mulai_Iuran_JP">Dashboard!$C$16</definedName>
    <definedName name="Usia_Pensiun">Dashboard!$C$5</definedName>
    <definedName name="Usia_Pensiun_JP">Dashboard!$C$15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T5" i="2"/>
  <c r="T6" i="2" s="1"/>
  <c r="V4" i="2"/>
  <c r="W4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O5" i="2"/>
  <c r="O6" i="2" s="1"/>
  <c r="Q4" i="2"/>
  <c r="R4" i="2" s="1"/>
  <c r="T7" i="2" l="1"/>
  <c r="V6" i="2"/>
  <c r="W6" i="2" s="1"/>
  <c r="V5" i="2"/>
  <c r="W5" i="2" s="1"/>
  <c r="Q6" i="2"/>
  <c r="R6" i="2" s="1"/>
  <c r="O7" i="2"/>
  <c r="Q5" i="2"/>
  <c r="R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F4" i="2"/>
  <c r="C4" i="2"/>
  <c r="D4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C21" i="1"/>
  <c r="H4" i="1" l="1"/>
  <c r="T8" i="2"/>
  <c r="V7" i="2"/>
  <c r="W7" i="2" s="1"/>
  <c r="Q7" i="2"/>
  <c r="R7" i="2" s="1"/>
  <c r="O8" i="2"/>
  <c r="C5" i="2"/>
  <c r="C6" i="2" s="1"/>
  <c r="G4" i="2"/>
  <c r="H24" i="1" l="1"/>
  <c r="H14" i="1"/>
  <c r="D5" i="2"/>
  <c r="E5" i="2"/>
  <c r="H8" i="1"/>
  <c r="H9" i="1" s="1"/>
  <c r="H10" i="1" s="1"/>
  <c r="V8" i="2"/>
  <c r="W8" i="2" s="1"/>
  <c r="T9" i="2"/>
  <c r="O9" i="2"/>
  <c r="Q8" i="2"/>
  <c r="R8" i="2" s="1"/>
  <c r="C7" i="2"/>
  <c r="D6" i="2"/>
  <c r="F5" i="2"/>
  <c r="G5" i="2" l="1"/>
  <c r="E6" i="2" s="1"/>
  <c r="T10" i="2"/>
  <c r="V9" i="2"/>
  <c r="W9" i="2" s="1"/>
  <c r="O10" i="2"/>
  <c r="Q9" i="2"/>
  <c r="R9" i="2" s="1"/>
  <c r="F6" i="2"/>
  <c r="G6" i="2" s="1"/>
  <c r="E7" i="2" s="1"/>
  <c r="C8" i="2"/>
  <c r="D7" i="2"/>
  <c r="T11" i="2" l="1"/>
  <c r="V10" i="2"/>
  <c r="W10" i="2" s="1"/>
  <c r="O11" i="2"/>
  <c r="Q10" i="2"/>
  <c r="R10" i="2" s="1"/>
  <c r="F7" i="2"/>
  <c r="G7" i="2" s="1"/>
  <c r="E8" i="2" s="1"/>
  <c r="C9" i="2"/>
  <c r="D8" i="2"/>
  <c r="T12" i="2" l="1"/>
  <c r="V11" i="2"/>
  <c r="W11" i="2" s="1"/>
  <c r="O12" i="2"/>
  <c r="Q11" i="2"/>
  <c r="R11" i="2" s="1"/>
  <c r="F8" i="2"/>
  <c r="G8" i="2" s="1"/>
  <c r="E9" i="2" s="1"/>
  <c r="D9" i="2"/>
  <c r="C10" i="2"/>
  <c r="V12" i="2" l="1"/>
  <c r="W12" i="2" s="1"/>
  <c r="T13" i="2"/>
  <c r="Q12" i="2"/>
  <c r="R12" i="2" s="1"/>
  <c r="O13" i="2"/>
  <c r="F9" i="2"/>
  <c r="G9" i="2" s="1"/>
  <c r="E10" i="2" s="1"/>
  <c r="C11" i="2"/>
  <c r="D10" i="2"/>
  <c r="T14" i="2" l="1"/>
  <c r="V13" i="2"/>
  <c r="W13" i="2" s="1"/>
  <c r="O14" i="2"/>
  <c r="Q13" i="2"/>
  <c r="R13" i="2" s="1"/>
  <c r="F10" i="2"/>
  <c r="G10" i="2" s="1"/>
  <c r="E11" i="2" s="1"/>
  <c r="D11" i="2"/>
  <c r="C12" i="2"/>
  <c r="T15" i="2" l="1"/>
  <c r="V14" i="2"/>
  <c r="W14" i="2" s="1"/>
  <c r="Q14" i="2"/>
  <c r="R14" i="2" s="1"/>
  <c r="O15" i="2"/>
  <c r="F11" i="2"/>
  <c r="G11" i="2" s="1"/>
  <c r="E12" i="2" s="1"/>
  <c r="C13" i="2"/>
  <c r="D12" i="2"/>
  <c r="T16" i="2" l="1"/>
  <c r="V15" i="2"/>
  <c r="W15" i="2" s="1"/>
  <c r="Q15" i="2"/>
  <c r="R15" i="2" s="1"/>
  <c r="O16" i="2"/>
  <c r="F12" i="2"/>
  <c r="G12" i="2" s="1"/>
  <c r="E13" i="2" s="1"/>
  <c r="D13" i="2"/>
  <c r="C14" i="2"/>
  <c r="V16" i="2" l="1"/>
  <c r="W16" i="2" s="1"/>
  <c r="T17" i="2"/>
  <c r="O17" i="2"/>
  <c r="Q16" i="2"/>
  <c r="R16" i="2" s="1"/>
  <c r="F13" i="2"/>
  <c r="G13" i="2" s="1"/>
  <c r="E14" i="2" s="1"/>
  <c r="C15" i="2"/>
  <c r="D14" i="2"/>
  <c r="V17" i="2" l="1"/>
  <c r="W17" i="2" s="1"/>
  <c r="T18" i="2"/>
  <c r="O18" i="2"/>
  <c r="Q17" i="2"/>
  <c r="R17" i="2" s="1"/>
  <c r="F14" i="2"/>
  <c r="G14" i="2" s="1"/>
  <c r="E15" i="2" s="1"/>
  <c r="C16" i="2"/>
  <c r="D15" i="2"/>
  <c r="T19" i="2" l="1"/>
  <c r="V18" i="2"/>
  <c r="W18" i="2" s="1"/>
  <c r="O19" i="2"/>
  <c r="Q18" i="2"/>
  <c r="R18" i="2" s="1"/>
  <c r="F15" i="2"/>
  <c r="G15" i="2" s="1"/>
  <c r="E16" i="2" s="1"/>
  <c r="D16" i="2"/>
  <c r="C17" i="2"/>
  <c r="T20" i="2" l="1"/>
  <c r="V19" i="2"/>
  <c r="W19" i="2" s="1"/>
  <c r="O20" i="2"/>
  <c r="Q19" i="2"/>
  <c r="R19" i="2" s="1"/>
  <c r="F16" i="2"/>
  <c r="G16" i="2" s="1"/>
  <c r="E17" i="2" s="1"/>
  <c r="C18" i="2"/>
  <c r="D18" i="2" s="1"/>
  <c r="D17" i="2"/>
  <c r="V20" i="2" l="1"/>
  <c r="W20" i="2" s="1"/>
  <c r="T21" i="2"/>
  <c r="Q20" i="2"/>
  <c r="R20" i="2" s="1"/>
  <c r="O21" i="2"/>
  <c r="F17" i="2"/>
  <c r="G17" i="2" s="1"/>
  <c r="E18" i="2" s="1"/>
  <c r="V21" i="2" l="1"/>
  <c r="W21" i="2" s="1"/>
  <c r="T22" i="2"/>
  <c r="O22" i="2"/>
  <c r="Q21" i="2"/>
  <c r="R21" i="2" s="1"/>
  <c r="F18" i="2"/>
  <c r="G18" i="2"/>
  <c r="H5" i="1" s="1"/>
  <c r="T23" i="2" l="1"/>
  <c r="V22" i="2"/>
  <c r="W22" i="2" s="1"/>
  <c r="Q22" i="2"/>
  <c r="R22" i="2" s="1"/>
  <c r="O23" i="2"/>
  <c r="T24" i="2" l="1"/>
  <c r="V23" i="2"/>
  <c r="W23" i="2" s="1"/>
  <c r="Q23" i="2"/>
  <c r="R23" i="2" s="1"/>
  <c r="O24" i="2"/>
  <c r="V24" i="2" l="1"/>
  <c r="W24" i="2" s="1"/>
  <c r="T25" i="2"/>
  <c r="O25" i="2"/>
  <c r="Q24" i="2"/>
  <c r="R24" i="2" s="1"/>
  <c r="T26" i="2" l="1"/>
  <c r="V25" i="2"/>
  <c r="W25" i="2" s="1"/>
  <c r="O26" i="2"/>
  <c r="Q25" i="2"/>
  <c r="R25" i="2" s="1"/>
  <c r="T27" i="2" l="1"/>
  <c r="V26" i="2"/>
  <c r="W26" i="2" s="1"/>
  <c r="O27" i="2"/>
  <c r="Q26" i="2"/>
  <c r="R26" i="2" s="1"/>
  <c r="T28" i="2" l="1"/>
  <c r="V27" i="2"/>
  <c r="W27" i="2" s="1"/>
  <c r="O28" i="2"/>
  <c r="Q27" i="2"/>
  <c r="R27" i="2" s="1"/>
  <c r="V28" i="2" l="1"/>
  <c r="W28" i="2" s="1"/>
  <c r="T29" i="2"/>
  <c r="Q28" i="2"/>
  <c r="R28" i="2" s="1"/>
  <c r="O29" i="2"/>
  <c r="T30" i="2" l="1"/>
  <c r="V29" i="2"/>
  <c r="W29" i="2" s="1"/>
  <c r="O30" i="2"/>
  <c r="Q29" i="2"/>
  <c r="R29" i="2" s="1"/>
  <c r="T31" i="2" l="1"/>
  <c r="V30" i="2"/>
  <c r="W30" i="2" s="1"/>
  <c r="Q30" i="2"/>
  <c r="R30" i="2" s="1"/>
  <c r="O31" i="2"/>
  <c r="T32" i="2" l="1"/>
  <c r="V31" i="2"/>
  <c r="W31" i="2" s="1"/>
  <c r="O32" i="2"/>
  <c r="Q31" i="2"/>
  <c r="R31" i="2" s="1"/>
  <c r="V32" i="2" l="1"/>
  <c r="W32" i="2" s="1"/>
  <c r="T33" i="2"/>
  <c r="O33" i="2"/>
  <c r="Q32" i="2"/>
  <c r="R32" i="2" s="1"/>
  <c r="T34" i="2" l="1"/>
  <c r="V33" i="2"/>
  <c r="W33" i="2" s="1"/>
  <c r="O34" i="2"/>
  <c r="Q33" i="2"/>
  <c r="R33" i="2" s="1"/>
  <c r="T35" i="2" l="1"/>
  <c r="V34" i="2"/>
  <c r="W34" i="2" s="1"/>
  <c r="O35" i="2"/>
  <c r="Q34" i="2"/>
  <c r="R34" i="2" s="1"/>
  <c r="T36" i="2" l="1"/>
  <c r="V35" i="2"/>
  <c r="W35" i="2" s="1"/>
  <c r="O36" i="2"/>
  <c r="Q35" i="2"/>
  <c r="R35" i="2" s="1"/>
  <c r="V36" i="2" l="1"/>
  <c r="W36" i="2" s="1"/>
  <c r="T37" i="2"/>
  <c r="Q36" i="2"/>
  <c r="R36" i="2" s="1"/>
  <c r="O37" i="2"/>
  <c r="T38" i="2" l="1"/>
  <c r="V37" i="2"/>
  <c r="W37" i="2" s="1"/>
  <c r="O38" i="2"/>
  <c r="Q37" i="2"/>
  <c r="R37" i="2" s="1"/>
  <c r="T39" i="2" l="1"/>
  <c r="V38" i="2"/>
  <c r="W38" i="2" s="1"/>
  <c r="Q38" i="2"/>
  <c r="R38" i="2" s="1"/>
  <c r="O39" i="2"/>
  <c r="T40" i="2" l="1"/>
  <c r="V39" i="2"/>
  <c r="W39" i="2" s="1"/>
  <c r="Q39" i="2"/>
  <c r="R39" i="2" s="1"/>
  <c r="O40" i="2"/>
  <c r="V40" i="2" l="1"/>
  <c r="W40" i="2" s="1"/>
  <c r="T41" i="2"/>
  <c r="O41" i="2"/>
  <c r="Q40" i="2"/>
  <c r="R40" i="2" s="1"/>
  <c r="T42" i="2" l="1"/>
  <c r="V41" i="2"/>
  <c r="W41" i="2" s="1"/>
  <c r="O42" i="2"/>
  <c r="Q41" i="2"/>
  <c r="R41" i="2" s="1"/>
  <c r="T43" i="2" l="1"/>
  <c r="V42" i="2"/>
  <c r="W42" i="2" s="1"/>
  <c r="O43" i="2"/>
  <c r="Q42" i="2"/>
  <c r="R42" i="2" s="1"/>
  <c r="T44" i="2" l="1"/>
  <c r="V43" i="2"/>
  <c r="W43" i="2" s="1"/>
  <c r="O44" i="2"/>
  <c r="Q43" i="2"/>
  <c r="R43" i="2" s="1"/>
  <c r="V44" i="2" l="1"/>
  <c r="W44" i="2" s="1"/>
  <c r="T45" i="2"/>
  <c r="Q44" i="2"/>
  <c r="R44" i="2" s="1"/>
  <c r="O45" i="2"/>
  <c r="T46" i="2" l="1"/>
  <c r="V45" i="2"/>
  <c r="W45" i="2" s="1"/>
  <c r="O46" i="2"/>
  <c r="Q45" i="2"/>
  <c r="R45" i="2" s="1"/>
  <c r="T47" i="2" l="1"/>
  <c r="V46" i="2"/>
  <c r="W46" i="2" s="1"/>
  <c r="Q46" i="2"/>
  <c r="R46" i="2" s="1"/>
  <c r="O47" i="2"/>
  <c r="T48" i="2" l="1"/>
  <c r="V47" i="2"/>
  <c r="W47" i="2" s="1"/>
  <c r="Q47" i="2"/>
  <c r="R47" i="2" s="1"/>
  <c r="O48" i="2"/>
  <c r="V48" i="2" l="1"/>
  <c r="W48" i="2" s="1"/>
  <c r="T49" i="2"/>
  <c r="O49" i="2"/>
  <c r="Q48" i="2"/>
  <c r="R48" i="2" s="1"/>
  <c r="T50" i="2" l="1"/>
  <c r="V49" i="2"/>
  <c r="W49" i="2" s="1"/>
  <c r="O50" i="2"/>
  <c r="Q49" i="2"/>
  <c r="R49" i="2" s="1"/>
  <c r="T51" i="2" l="1"/>
  <c r="V50" i="2"/>
  <c r="W50" i="2" s="1"/>
  <c r="O51" i="2"/>
  <c r="Q50" i="2"/>
  <c r="R50" i="2" s="1"/>
  <c r="T52" i="2" l="1"/>
  <c r="V51" i="2"/>
  <c r="W51" i="2" s="1"/>
  <c r="Q51" i="2"/>
  <c r="R51" i="2" s="1"/>
  <c r="O52" i="2"/>
  <c r="V52" i="2" l="1"/>
  <c r="W52" i="2" s="1"/>
  <c r="T53" i="2"/>
  <c r="O53" i="2"/>
  <c r="Q52" i="2"/>
  <c r="R52" i="2" s="1"/>
  <c r="V53" i="2" l="1"/>
  <c r="W53" i="2" s="1"/>
  <c r="T54" i="2"/>
  <c r="O54" i="2"/>
  <c r="Q53" i="2"/>
  <c r="R53" i="2" s="1"/>
  <c r="T55" i="2" l="1"/>
  <c r="V54" i="2"/>
  <c r="W54" i="2" s="1"/>
  <c r="Q54" i="2"/>
  <c r="R54" i="2" s="1"/>
  <c r="O55" i="2"/>
  <c r="V55" i="2" l="1"/>
  <c r="W55" i="2" s="1"/>
  <c r="H22" i="1" s="1"/>
  <c r="H15" i="1" s="1"/>
  <c r="H16" i="1" s="1"/>
  <c r="H18" i="1" s="1"/>
  <c r="O56" i="2"/>
  <c r="Q55" i="2"/>
  <c r="R55" i="2" s="1"/>
  <c r="Q56" i="2" l="1"/>
  <c r="R56" i="2" s="1"/>
  <c r="O57" i="2"/>
  <c r="O58" i="2" l="1"/>
  <c r="Q57" i="2"/>
  <c r="R57" i="2" s="1"/>
  <c r="O59" i="2" l="1"/>
  <c r="Q58" i="2"/>
  <c r="R58" i="2" s="1"/>
  <c r="Q59" i="2" l="1"/>
  <c r="R59" i="2" s="1"/>
  <c r="O60" i="2"/>
  <c r="Q60" i="2" s="1"/>
  <c r="R60" i="2" s="1"/>
  <c r="H21" i="1" s="1"/>
  <c r="H23" i="1" s="1"/>
  <c r="H25" i="1" s="1"/>
  <c r="H28" i="1" s="1"/>
  <c r="H29" i="1" s="1"/>
</calcChain>
</file>

<file path=xl/sharedStrings.xml><?xml version="1.0" encoding="utf-8"?>
<sst xmlns="http://schemas.openxmlformats.org/spreadsheetml/2006/main" count="74" uniqueCount="64">
  <si>
    <t>Variabel Input</t>
  </si>
  <si>
    <t>Usia Awal (Tahun)</t>
  </si>
  <si>
    <t>Usia Pensiun (Tahun)</t>
  </si>
  <si>
    <t>Gaji Awal (Bulanan)</t>
  </si>
  <si>
    <t>Gender</t>
  </si>
  <si>
    <t>m</t>
  </si>
  <si>
    <t>Kenaikan Gaji (per tahun)</t>
  </si>
  <si>
    <t>Imbal Hasil Investasi (per tahun)</t>
  </si>
  <si>
    <t>Target IRR</t>
  </si>
  <si>
    <t>Rate Iuran JHT (Total)</t>
  </si>
  <si>
    <t>Masa Kerja (Tahun)</t>
  </si>
  <si>
    <t>Usia Pensiun JP (Tahun)</t>
  </si>
  <si>
    <t>Usia Mulai Iuran JP (Tahun)</t>
  </si>
  <si>
    <t>Batas Atas Manfaat JP (Bulanan)</t>
  </si>
  <si>
    <t>Variabel Input Jaminan Pensiun</t>
  </si>
  <si>
    <t>diperoleh dari BPJS JP</t>
  </si>
  <si>
    <t>Informasi</t>
  </si>
  <si>
    <t>Tahun Ke-</t>
  </si>
  <si>
    <t>Usia</t>
  </si>
  <si>
    <t>Gaji Tahunan</t>
  </si>
  <si>
    <t>Iuran JHT Setahun</t>
  </si>
  <si>
    <t>Saldo Awal Tahun</t>
  </si>
  <si>
    <t>Imbal Hasil</t>
  </si>
  <si>
    <t>Saldo Akhir Tahun</t>
  </si>
  <si>
    <t>Proyeksi Tahunan</t>
  </si>
  <si>
    <t>usia</t>
  </si>
  <si>
    <t>lx</t>
  </si>
  <si>
    <t>Tabel TMI-IV Male</t>
  </si>
  <si>
    <t>Tabel TMI-IV Female</t>
  </si>
  <si>
    <t>Faktor Anuitas Hidup ä_50 Male</t>
  </si>
  <si>
    <t>Probabilitas Hidup</t>
  </si>
  <si>
    <t>Faktor Diskonto</t>
  </si>
  <si>
    <t>PV Anuitas per Tahun</t>
  </si>
  <si>
    <t>Faktor Anuitas Hidup (ä_60)</t>
  </si>
  <si>
    <t>Faktor Anuitas Hidup ä_60 Male</t>
  </si>
  <si>
    <t>Faktor UP (Bulan)</t>
  </si>
  <si>
    <t>Faktor UPMK (Bulan)</t>
  </si>
  <si>
    <t>Hasil &amp; Solusi</t>
  </si>
  <si>
    <t>Gaji Akhir Bulanan (di Usia 55)</t>
  </si>
  <si>
    <t>Total Akumulasi Dana JHT</t>
  </si>
  <si>
    <t>Faktor UP Pensiun (1.75x)</t>
  </si>
  <si>
    <t>Faktor UPMK</t>
  </si>
  <si>
    <t>Faktor UPH (15%)</t>
  </si>
  <si>
    <t>Total Faktor Pengali Pesangon</t>
  </si>
  <si>
    <t>Uang Pesangon Final (UUCK)</t>
  </si>
  <si>
    <t>TOTAL DANA LUMP SUM</t>
  </si>
  <si>
    <t>Faktor Anuitas Hidup (ä_55)</t>
  </si>
  <si>
    <t>Estimasi Pensiun Bulanan (dari Dana Ada)</t>
  </si>
  <si>
    <t>Target Pensiun Bulanan (80% IRR)</t>
  </si>
  <si>
    <t>KEKURANGAN / GAP BULANAN</t>
  </si>
  <si>
    <t>Dana DPLK yang Dibutuhkan (di Usia 55)</t>
  </si>
  <si>
    <t>IURAN DPLK BULANAN YANG DIPERLUKAN</t>
  </si>
  <si>
    <t>Perhitungan Manfaat Jaminan Pensiun (JP)</t>
  </si>
  <si>
    <t>Masa Iuran JP (Bulan)</t>
  </si>
  <si>
    <t>Manfaat JP Final (Bulanan)</t>
  </si>
  <si>
    <t>Nilai Lump Sum JP di Usia 60</t>
  </si>
  <si>
    <t>PV Manfaat JP di Usia 55</t>
  </si>
  <si>
    <t>Manfaat Jaminan Pensiun</t>
  </si>
  <si>
    <t>Total Dana Lump Sum</t>
  </si>
  <si>
    <t>Estimasi Kekurangan</t>
  </si>
  <si>
    <t>Iuran DPLK bulanan yang diperlukan</t>
  </si>
  <si>
    <t>PP No. 35 Tahun 2021</t>
  </si>
  <si>
    <t>Pasal 40 Ayat 2</t>
  </si>
  <si>
    <t>Pasal 40 Ayat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</si>
</sst>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3809]* #,##0.00_-;\-[$Rp-3809]* #,##0.00_-;_-[$Rp-3809]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Times New Roman"/>
      <family val="1"/>
    </font>
    <font>
      <b/>
      <sz val="20"/>
      <color theme="0"/>
      <name val="Times New Roman"/>
      <family val="1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64" fontId="0" fillId="2" borderId="0" xfId="1" applyNumberFormat="1" applyFont="1" applyFill="1"/>
    <xf numFmtId="0" fontId="0" fillId="2" borderId="2" xfId="0" applyFill="1" applyBorder="1"/>
    <xf numFmtId="0" fontId="0" fillId="2" borderId="4" xfId="0" applyFill="1" applyBorder="1"/>
    <xf numFmtId="0" fontId="4" fillId="2" borderId="0" xfId="0" applyFont="1" applyFill="1"/>
    <xf numFmtId="0" fontId="0" fillId="2" borderId="3" xfId="0" applyFill="1" applyBorder="1"/>
    <xf numFmtId="0" fontId="0" fillId="2" borderId="1" xfId="0" applyFill="1" applyBorder="1"/>
    <xf numFmtId="164" fontId="0" fillId="2" borderId="3" xfId="0" applyNumberFormat="1" applyFill="1" applyBorder="1"/>
    <xf numFmtId="0" fontId="0" fillId="2" borderId="1" xfId="0" applyFill="1" applyBorder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164" fontId="0" fillId="2" borderId="1" xfId="0" applyNumberFormat="1" applyFill="1" applyBorder="1"/>
    <xf numFmtId="164" fontId="0" fillId="4" borderId="3" xfId="0" applyNumberFormat="1" applyFill="1" applyBorder="1"/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37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3809]* #,##0.00_-;\-[$Rp-3809]* #,##0.00_-;_-[$Rp-3809]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3809]* #,##0.00_-;\-[$Rp-3809]* #,##0.00_-;_-[$Rp-3809]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3809]* #,##0.00_-;\-[$Rp-3809]* #,##0.00_-;_-[$Rp-3809]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3809]* #,##0.00_-;\-[$Rp-3809]* #,##0.00_-;_-[$Rp-3809]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3809]* #,##0.00_-;\-[$Rp-3809]* #,##0.00_-;_-[$Rp-3809]* &quot;-&quot;??_-;_-@_-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6AECDF-C47E-4144-A2FD-00A9331D8001}" name="Table2" displayName="Table2" ref="A3:G18" totalsRowShown="0" headerRowDxfId="36" dataDxfId="35" dataCellStyle="Currency">
  <autoFilter ref="A3:G18" xr:uid="{236AECDF-C47E-4144-A2FD-00A9331D8001}"/>
  <tableColumns count="7">
    <tableColumn id="1" xr3:uid="{04B585EF-0FEF-45C0-93B8-8C3984E564FF}" name="Tahun Ke-" dataDxfId="34">
      <calculatedColumnFormula>A3+1</calculatedColumnFormula>
    </tableColumn>
    <tableColumn id="2" xr3:uid="{3CA23722-7FFF-45A7-8885-0F97DBBC5972}" name="Usia" dataDxfId="33">
      <calculatedColumnFormula>B3+1</calculatedColumnFormula>
    </tableColumn>
    <tableColumn id="3" xr3:uid="{77FEDC76-3BEE-4AFA-B574-C02356D50E80}" name="Gaji Tahunan" dataDxfId="32" dataCellStyle="Currency">
      <calculatedColumnFormula>C3*(1+Kenaikan_Gaji)</calculatedColumnFormula>
    </tableColumn>
    <tableColumn id="4" xr3:uid="{45CE913C-0D72-4A79-8235-416EF7BEBC74}" name="Iuran JHT Setahun" dataDxfId="31" dataCellStyle="Currency">
      <calculatedColumnFormula>C4*Rate_Iuran_JHT</calculatedColumnFormula>
    </tableColumn>
    <tableColumn id="5" xr3:uid="{A3103E77-37B4-42AF-BDAC-1649956F23EB}" name="Saldo Awal Tahun" dataDxfId="30" dataCellStyle="Currency">
      <calculatedColumnFormula>G3</calculatedColumnFormula>
    </tableColumn>
    <tableColumn id="6" xr3:uid="{84B7A8B0-D9B8-46E3-ADB4-4A5CEF6A596B}" name="Imbal Hasil" dataDxfId="29" dataCellStyle="Currency">
      <calculatedColumnFormula>E4*Imbal_Hasil</calculatedColumnFormula>
    </tableColumn>
    <tableColumn id="7" xr3:uid="{1E697E75-A2A7-4BC2-A9A7-8E536A0405C9}" name="Saldo Akhir Tahun" dataDxfId="28" dataCellStyle="Currency">
      <calculatedColumnFormula>E4+F4+D4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959EB-AB23-4528-A7CE-DEE2F9AF0FB3}" name="Table3" displayName="Table3" ref="I3:J115" totalsRowShown="0" headerRowDxfId="27" dataDxfId="26">
  <autoFilter ref="I3:J115" xr:uid="{27A959EB-AB23-4528-A7CE-DEE2F9AF0FB3}"/>
  <tableColumns count="2">
    <tableColumn id="1" xr3:uid="{F77F50BD-C11B-4CAF-B6D5-E22C2D7CF0B8}" name="usia" dataDxfId="25"/>
    <tableColumn id="2" xr3:uid="{5B22FF88-1C06-4576-8662-2DCE745FEEE6}" name="lx" dataDxfId="24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DC1A78-F50D-4AEB-8B7B-B09D03EA65A8}" name="Table35" displayName="Table35" ref="L3:M115" totalsRowShown="0" headerRowDxfId="23" dataDxfId="22">
  <autoFilter ref="L3:M115" xr:uid="{EDDC1A78-F50D-4AEB-8B7B-B09D03EA65A8}"/>
  <tableColumns count="2">
    <tableColumn id="1" xr3:uid="{9382C28D-389C-4F58-90B1-D3D25184909D}" name="usia" dataDxfId="21"/>
    <tableColumn id="2" xr3:uid="{3BFBC465-800A-48DE-B47B-3B01A78E8432}" name="lx" dataDxfId="20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E38CA5-E8F1-4A19-8C01-54A7826B6F8C}" name="Table5" displayName="Table5" ref="O3:R60" totalsRowShown="0" headerRowDxfId="19" dataDxfId="18">
  <autoFilter ref="O3:R60" xr:uid="{37E38CA5-E8F1-4A19-8C01-54A7826B6F8C}"/>
  <tableColumns count="4">
    <tableColumn id="1" xr3:uid="{E0366CF9-D51C-4EE1-A698-681452853F4C}" name="Usia" dataDxfId="17">
      <calculatedColumnFormula>O3+1</calculatedColumnFormula>
    </tableColumn>
    <tableColumn id="2" xr3:uid="{306A1E42-B78C-406B-A836-EE12DC93273D}" name="Probabilitas Hidup" dataDxfId="16">
      <calculatedColumnFormula>J59/$J$59</calculatedColumnFormula>
    </tableColumn>
    <tableColumn id="3" xr3:uid="{2203A6D9-E517-4B0D-980D-27F196B9E9BA}" name="Faktor Diskonto" dataDxfId="15">
      <calculatedColumnFormula>(1/(1+Imbal_Hasil))^O4</calculatedColumnFormula>
    </tableColumn>
    <tableColumn id="4" xr3:uid="{643A51DE-68EC-4C1D-8107-D3498D1B17B6}" name="PV Anuitas per Tahun" dataDxfId="14">
      <calculatedColumnFormula>P4*Q4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E405CF-A40C-403C-8EE3-7082CD895466}" name="Table57" displayName="Table57" ref="T3:W55" totalsRowShown="0" headerRowDxfId="13" dataDxfId="12">
  <autoFilter ref="T3:W55" xr:uid="{C5E405CF-A40C-403C-8EE3-7082CD895466}"/>
  <tableColumns count="4">
    <tableColumn id="1" xr3:uid="{48B7DDE1-856A-4D1C-B6B0-0E1E436649C6}" name="Usia" dataDxfId="11">
      <calculatedColumnFormula>T3+1</calculatedColumnFormula>
    </tableColumn>
    <tableColumn id="2" xr3:uid="{A6B028FD-0B70-4F27-BA1D-043CC6C21631}" name="Probabilitas Hidup" dataDxfId="10">
      <calculatedColumnFormula>J64/$J$64</calculatedColumnFormula>
    </tableColumn>
    <tableColumn id="3" xr3:uid="{62CE1962-DC18-44F9-9FD5-210B6E6E7DC5}" name="Faktor Diskonto" dataDxfId="9">
      <calculatedColumnFormula>(1/(1+Imbal_Hasil))^T4</calculatedColumnFormula>
    </tableColumn>
    <tableColumn id="4" xr3:uid="{ECE7F485-85F0-4C01-8B71-C9EDFA62C2CA}" name="PV Anuitas per Tahun" dataDxfId="8">
      <calculatedColumnFormula>U4*V4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402F71-E198-4338-B03A-E82E78B5644E}" name="Table7" displayName="Table7" ref="A3:B12" totalsRowShown="0" headerRowDxfId="7" dataDxfId="6">
  <autoFilter ref="A3:B12" xr:uid="{E2402F71-E198-4338-B03A-E82E78B5644E}"/>
  <tableColumns count="2">
    <tableColumn id="1" xr3:uid="{D69C8FD0-5840-47A0-8ECC-EDFC8711F874}" name="Masa Kerja (Tahun)" dataDxfId="5"/>
    <tableColumn id="2" xr3:uid="{BD0BA4BB-F913-420F-BC3E-0774B4810C31}" name="Faktor UP (Bulan)" dataDxfId="4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2D3DA3-37FD-489C-BD5C-8256628619FD}" name="Table9" displayName="Table9" ref="D3:E12" totalsRowShown="0" headerRowDxfId="3" dataDxfId="2">
  <autoFilter ref="D3:E12" xr:uid="{482D3DA3-37FD-489C-BD5C-8256628619FD}"/>
  <tableColumns count="2">
    <tableColumn id="1" xr3:uid="{11627ECC-66DB-4129-A005-D08C4DF54BB2}" name="Masa Kerja (Tahun)" dataDxfId="1"/>
    <tableColumn id="2" xr3:uid="{D23B6569-7105-4C3E-BA1D-EB9A369FA126}" name="Faktor UPMK (Bulan)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D676-5ECA-43E2-9735-290BB7C1DE00}">
  <dimension ref="B2:H29"/>
  <sheetViews>
    <sheetView showGridLines="0" tabSelected="1" workbookViewId="0">
      <selection activeCell="B2" sqref="B2:C3"/>
    </sheetView>
  </sheetViews>
  <sheetFormatPr defaultRowHeight="14.4" x14ac:dyDescent="0.3"/>
  <cols>
    <col min="1" max="1" width="8.88671875" style="1"/>
    <col min="2" max="2" width="40" style="1" customWidth="1"/>
    <col min="3" max="3" width="15.21875" style="1" bestFit="1" customWidth="1"/>
    <col min="4" max="4" width="3.33203125" style="1" customWidth="1"/>
    <col min="5" max="5" width="22.44140625" style="1" customWidth="1"/>
    <col min="6" max="6" width="4.6640625" style="1" customWidth="1"/>
    <col min="7" max="7" width="36" style="1" customWidth="1"/>
    <col min="8" max="8" width="28.109375" style="1" customWidth="1"/>
    <col min="9" max="16384" width="8.88671875" style="1"/>
  </cols>
  <sheetData>
    <row r="2" spans="2:8" ht="14.4" customHeight="1" x14ac:dyDescent="0.3">
      <c r="B2" s="16" t="s">
        <v>0</v>
      </c>
      <c r="C2" s="16"/>
      <c r="G2" s="16" t="s">
        <v>37</v>
      </c>
      <c r="H2" s="16"/>
    </row>
    <row r="3" spans="2:8" ht="14.4" customHeight="1" x14ac:dyDescent="0.3">
      <c r="B3" s="16"/>
      <c r="C3" s="16"/>
      <c r="G3" s="16"/>
      <c r="H3" s="16"/>
    </row>
    <row r="4" spans="2:8" x14ac:dyDescent="0.3">
      <c r="B4" s="5" t="s">
        <v>1</v>
      </c>
      <c r="C4" s="7">
        <v>40</v>
      </c>
      <c r="G4" s="4" t="s">
        <v>38</v>
      </c>
      <c r="H4" s="14">
        <f>FV(Kenaikan_Gaji, Masa_Kerja, 0, -Gaji_Awal)</f>
        <v>16631425.435290944</v>
      </c>
    </row>
    <row r="5" spans="2:8" x14ac:dyDescent="0.3">
      <c r="B5" s="4" t="s">
        <v>2</v>
      </c>
      <c r="C5" s="8">
        <v>55</v>
      </c>
      <c r="G5" s="4" t="s">
        <v>39</v>
      </c>
      <c r="H5" s="14">
        <f>MAX(Table2[Saldo Akhir Tahun])</f>
        <v>173807143.49025011</v>
      </c>
    </row>
    <row r="6" spans="2:8" x14ac:dyDescent="0.3">
      <c r="B6" s="4" t="s">
        <v>3</v>
      </c>
      <c r="C6" s="9">
        <v>8000000</v>
      </c>
      <c r="G6" s="4" t="s">
        <v>40</v>
      </c>
      <c r="H6" s="8">
        <v>15.75</v>
      </c>
    </row>
    <row r="7" spans="2:8" x14ac:dyDescent="0.3">
      <c r="B7" s="4" t="s">
        <v>4</v>
      </c>
      <c r="C7" s="10" t="s">
        <v>5</v>
      </c>
      <c r="G7" s="4" t="s">
        <v>41</v>
      </c>
      <c r="H7" s="8">
        <v>6</v>
      </c>
    </row>
    <row r="8" spans="2:8" x14ac:dyDescent="0.3">
      <c r="B8" s="4" t="s">
        <v>6</v>
      </c>
      <c r="C8" s="8">
        <v>0.05</v>
      </c>
      <c r="G8" s="4" t="s">
        <v>42</v>
      </c>
      <c r="H8" s="8">
        <f>0.15 * (H6 + H7)</f>
        <v>3.2624999999999997</v>
      </c>
    </row>
    <row r="9" spans="2:8" x14ac:dyDescent="0.3">
      <c r="B9" s="4" t="s">
        <v>7</v>
      </c>
      <c r="C9" s="7">
        <v>0.06</v>
      </c>
      <c r="G9" s="4" t="s">
        <v>43</v>
      </c>
      <c r="H9" s="8">
        <f>SUM(H6:H8)</f>
        <v>25.012499999999999</v>
      </c>
    </row>
    <row r="10" spans="2:8" x14ac:dyDescent="0.3">
      <c r="B10" s="5" t="s">
        <v>8</v>
      </c>
      <c r="C10" s="8">
        <v>0.8</v>
      </c>
      <c r="G10" s="5" t="s">
        <v>44</v>
      </c>
      <c r="H10" s="9">
        <f>H9 * H4</f>
        <v>415993528.70021474</v>
      </c>
    </row>
    <row r="11" spans="2:8" x14ac:dyDescent="0.3">
      <c r="B11" s="4" t="s">
        <v>9</v>
      </c>
      <c r="C11" s="8">
        <v>5.7000000000000002E-2</v>
      </c>
      <c r="G11" s="18" t="s">
        <v>57</v>
      </c>
      <c r="H11" s="18"/>
    </row>
    <row r="12" spans="2:8" x14ac:dyDescent="0.3">
      <c r="G12" s="4" t="s">
        <v>52</v>
      </c>
      <c r="H12" s="8">
        <f>Usia_Pensiun_JP</f>
        <v>60</v>
      </c>
    </row>
    <row r="13" spans="2:8" ht="14.4" customHeight="1" x14ac:dyDescent="0.3">
      <c r="B13" s="16" t="s">
        <v>14</v>
      </c>
      <c r="C13" s="16"/>
      <c r="G13" s="4" t="s">
        <v>53</v>
      </c>
      <c r="H13" s="8">
        <f>(Usia_Pensiun_JP - Usia_Mulai_Iuran_JP) * 12</f>
        <v>420</v>
      </c>
    </row>
    <row r="14" spans="2:8" ht="14.4" customHeight="1" x14ac:dyDescent="0.3">
      <c r="B14" s="16"/>
      <c r="C14" s="16"/>
      <c r="G14" s="4" t="s">
        <v>54</v>
      </c>
      <c r="H14" s="14">
        <f>MIN( (1% * Masa_Iuran_JP * (Gaji_Akhir * 12) / 12), Batas_Atas_Manfaat_JP )</f>
        <v>4792300</v>
      </c>
    </row>
    <row r="15" spans="2:8" x14ac:dyDescent="0.3">
      <c r="B15" s="4" t="s">
        <v>11</v>
      </c>
      <c r="C15" s="8">
        <v>60</v>
      </c>
      <c r="G15" s="4" t="s">
        <v>55</v>
      </c>
      <c r="H15" s="14">
        <f>Manfaat_JP_Final * 12 * a_60</f>
        <v>722659040.62115991</v>
      </c>
    </row>
    <row r="16" spans="2:8" x14ac:dyDescent="0.3">
      <c r="B16" s="4" t="s">
        <v>12</v>
      </c>
      <c r="C16" s="8">
        <v>25</v>
      </c>
      <c r="G16" s="4" t="s">
        <v>56</v>
      </c>
      <c r="H16" s="14">
        <f>lump_sum_jp / (1 + Imbal_Hasil)^(Usia_Pensiun_JP - Usia_Pensiun)</f>
        <v>540012874.29970551</v>
      </c>
    </row>
    <row r="17" spans="2:8" x14ac:dyDescent="0.3">
      <c r="B17" s="5" t="s">
        <v>13</v>
      </c>
      <c r="C17" s="9">
        <v>4792300</v>
      </c>
      <c r="E17" s="2" t="s">
        <v>15</v>
      </c>
      <c r="G17" s="18" t="s">
        <v>58</v>
      </c>
      <c r="H17" s="18"/>
    </row>
    <row r="18" spans="2:8" x14ac:dyDescent="0.3">
      <c r="G18" s="4" t="s">
        <v>45</v>
      </c>
      <c r="H18" s="14">
        <f>total_akumulasi_dana_jht + uang_pesangon_final + pv_manfaat_jp</f>
        <v>1129813546.4901705</v>
      </c>
    </row>
    <row r="19" spans="2:8" ht="14.4" customHeight="1" x14ac:dyDescent="0.3">
      <c r="B19" s="16" t="s">
        <v>16</v>
      </c>
      <c r="C19" s="16"/>
    </row>
    <row r="20" spans="2:8" ht="14.4" customHeight="1" x14ac:dyDescent="0.3">
      <c r="B20" s="17"/>
      <c r="C20" s="17"/>
      <c r="G20" s="18" t="s">
        <v>59</v>
      </c>
      <c r="H20" s="18"/>
    </row>
    <row r="21" spans="2:8" x14ac:dyDescent="0.3">
      <c r="B21" s="4" t="s">
        <v>10</v>
      </c>
      <c r="C21" s="8">
        <f>Usia_Pensiun - Usia_Awal</f>
        <v>15</v>
      </c>
      <c r="G21" s="4" t="s">
        <v>46</v>
      </c>
      <c r="H21" s="8">
        <f>SUM(Table5[PV Anuitas per Tahun])</f>
        <v>13.375236131676656</v>
      </c>
    </row>
    <row r="22" spans="2:8" x14ac:dyDescent="0.3">
      <c r="G22" s="5" t="s">
        <v>33</v>
      </c>
      <c r="H22" s="7">
        <f>SUM(Table57[PV Anuitas per Tahun])</f>
        <v>12.566322375149717</v>
      </c>
    </row>
    <row r="23" spans="2:8" x14ac:dyDescent="0.3">
      <c r="G23" s="4" t="s">
        <v>47</v>
      </c>
      <c r="H23" s="14">
        <f>dana_lump_sum/(a_55*12)</f>
        <v>7039212.463038478</v>
      </c>
    </row>
    <row r="24" spans="2:8" x14ac:dyDescent="0.3">
      <c r="G24" s="4" t="s">
        <v>48</v>
      </c>
      <c r="H24" s="14">
        <f>Gaji_Akhir*Target_IRR</f>
        <v>13305140.348232755</v>
      </c>
    </row>
    <row r="25" spans="2:8" x14ac:dyDescent="0.3">
      <c r="G25" s="5" t="s">
        <v>49</v>
      </c>
      <c r="H25" s="9">
        <f>H24-H23</f>
        <v>6265927.8851942774</v>
      </c>
    </row>
    <row r="27" spans="2:8" x14ac:dyDescent="0.3">
      <c r="G27" s="18" t="s">
        <v>60</v>
      </c>
      <c r="H27" s="18"/>
    </row>
    <row r="28" spans="2:8" x14ac:dyDescent="0.3">
      <c r="G28" s="4" t="s">
        <v>50</v>
      </c>
      <c r="H28" s="14">
        <f>H25*H21*12</f>
        <v>1005699180.5823696</v>
      </c>
    </row>
    <row r="29" spans="2:8" x14ac:dyDescent="0.3">
      <c r="G29" s="5" t="s">
        <v>51</v>
      </c>
      <c r="H29" s="15">
        <f>-PMT( (1+Imbal_Hasil)^(1/12)-1, Masa_Kerja*12, 0, H28 )</f>
        <v>3505254.3024673681</v>
      </c>
    </row>
  </sheetData>
  <mergeCells count="8">
    <mergeCell ref="B19:C20"/>
    <mergeCell ref="G17:H17"/>
    <mergeCell ref="G20:H20"/>
    <mergeCell ref="G27:H27"/>
    <mergeCell ref="B2:C3"/>
    <mergeCell ref="B13:C14"/>
    <mergeCell ref="G2:H3"/>
    <mergeCell ref="G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160F-5312-4B95-97F5-5A70CE077897}">
  <dimension ref="A1:W115"/>
  <sheetViews>
    <sheetView topLeftCell="G45" zoomScale="121" workbookViewId="0">
      <selection activeCell="T1" sqref="T1:W2"/>
    </sheetView>
  </sheetViews>
  <sheetFormatPr defaultRowHeight="14.4" x14ac:dyDescent="0.3"/>
  <cols>
    <col min="1" max="1" width="10.88671875" style="1" customWidth="1"/>
    <col min="2" max="2" width="8.88671875" style="1"/>
    <col min="3" max="3" width="17.33203125" style="1" bestFit="1" customWidth="1"/>
    <col min="4" max="4" width="17.44140625" style="1" customWidth="1"/>
    <col min="5" max="5" width="17.33203125" style="1" bestFit="1" customWidth="1"/>
    <col min="6" max="6" width="15.21875" style="1" bestFit="1" customWidth="1"/>
    <col min="7" max="7" width="17.5546875" style="1" customWidth="1"/>
    <col min="8" max="8" width="8.88671875" style="1"/>
    <col min="9" max="9" width="5.33203125" style="1" customWidth="1"/>
    <col min="10" max="10" width="29.109375" style="1" customWidth="1"/>
    <col min="11" max="11" width="4.109375" style="1" customWidth="1"/>
    <col min="12" max="12" width="5.6640625" style="1" customWidth="1"/>
    <col min="13" max="13" width="32.5546875" style="1" customWidth="1"/>
    <col min="14" max="14" width="4.33203125" style="1" customWidth="1"/>
    <col min="15" max="15" width="8.88671875" style="1"/>
    <col min="16" max="16" width="18.88671875" style="1" customWidth="1"/>
    <col min="17" max="17" width="17.88671875" style="1" customWidth="1"/>
    <col min="18" max="18" width="20.21875" style="1" customWidth="1"/>
    <col min="19" max="19" width="5" style="1" customWidth="1"/>
    <col min="20" max="20" width="6.33203125" style="1" customWidth="1"/>
    <col min="21" max="21" width="12.88671875" style="1" customWidth="1"/>
    <col min="22" max="22" width="17.109375" style="1" customWidth="1"/>
    <col min="23" max="23" width="22.6640625" style="1" customWidth="1"/>
    <col min="24" max="16384" width="8.88671875" style="1"/>
  </cols>
  <sheetData>
    <row r="1" spans="1:23" ht="14.4" customHeight="1" x14ac:dyDescent="0.3">
      <c r="A1" s="16" t="s">
        <v>24</v>
      </c>
      <c r="B1" s="16"/>
      <c r="C1" s="16"/>
      <c r="D1" s="16"/>
      <c r="E1" s="16"/>
      <c r="F1" s="16"/>
      <c r="G1" s="16"/>
      <c r="I1" s="16" t="s">
        <v>27</v>
      </c>
      <c r="J1" s="16"/>
      <c r="L1" s="16" t="s">
        <v>28</v>
      </c>
      <c r="M1" s="16"/>
      <c r="O1" s="16" t="s">
        <v>29</v>
      </c>
      <c r="P1" s="16"/>
      <c r="Q1" s="16"/>
      <c r="R1" s="16"/>
      <c r="T1" s="16" t="s">
        <v>34</v>
      </c>
      <c r="U1" s="16"/>
      <c r="V1" s="16"/>
      <c r="W1" s="16"/>
    </row>
    <row r="2" spans="1:23" ht="14.4" customHeight="1" x14ac:dyDescent="0.3">
      <c r="A2" s="16"/>
      <c r="B2" s="16"/>
      <c r="C2" s="16"/>
      <c r="D2" s="16"/>
      <c r="E2" s="16"/>
      <c r="F2" s="16"/>
      <c r="G2" s="16"/>
      <c r="I2" s="16"/>
      <c r="J2" s="16"/>
      <c r="L2" s="16"/>
      <c r="M2" s="16"/>
      <c r="O2" s="16"/>
      <c r="P2" s="16"/>
      <c r="Q2" s="16"/>
      <c r="R2" s="16"/>
      <c r="T2" s="16"/>
      <c r="U2" s="16"/>
      <c r="V2" s="16"/>
      <c r="W2" s="16"/>
    </row>
    <row r="3" spans="1:23" x14ac:dyDescent="0.3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I3" s="12" t="s">
        <v>25</v>
      </c>
      <c r="J3" s="12" t="s">
        <v>26</v>
      </c>
      <c r="L3" s="12" t="s">
        <v>25</v>
      </c>
      <c r="M3" s="12" t="s">
        <v>26</v>
      </c>
      <c r="O3" s="11" t="s">
        <v>18</v>
      </c>
      <c r="P3" s="11" t="s">
        <v>30</v>
      </c>
      <c r="Q3" s="11" t="s">
        <v>31</v>
      </c>
      <c r="R3" s="11" t="s">
        <v>32</v>
      </c>
      <c r="T3" s="11" t="s">
        <v>18</v>
      </c>
      <c r="U3" s="11" t="s">
        <v>30</v>
      </c>
      <c r="V3" s="11" t="s">
        <v>31</v>
      </c>
      <c r="W3" s="11" t="s">
        <v>32</v>
      </c>
    </row>
    <row r="4" spans="1:23" x14ac:dyDescent="0.3">
      <c r="A4" s="1">
        <v>1</v>
      </c>
      <c r="B4" s="1">
        <f>Usia_Awal</f>
        <v>40</v>
      </c>
      <c r="C4" s="3">
        <f>Gaji_Awal*12</f>
        <v>96000000</v>
      </c>
      <c r="D4" s="3">
        <f t="shared" ref="D4:D18" si="0">C4*Rate_Iuran_JHT</f>
        <v>5472000</v>
      </c>
      <c r="E4" s="3">
        <v>0</v>
      </c>
      <c r="F4" s="3">
        <f t="shared" ref="F4:F18" si="1">E4*Imbal_Hasil</f>
        <v>0</v>
      </c>
      <c r="G4" s="3">
        <f>E4+F4+D4</f>
        <v>5472000</v>
      </c>
      <c r="I4" s="1">
        <v>0</v>
      </c>
      <c r="J4" s="1">
        <v>100000</v>
      </c>
      <c r="L4" s="1">
        <v>0</v>
      </c>
      <c r="M4" s="1">
        <v>100000</v>
      </c>
      <c r="O4" s="1">
        <v>0</v>
      </c>
      <c r="P4" s="1">
        <f t="shared" ref="P4:P35" si="2">J59/$J$59</f>
        <v>1</v>
      </c>
      <c r="Q4" s="1">
        <f t="shared" ref="Q4:Q35" si="3">(1/(1+Imbal_Hasil))^O4</f>
        <v>1</v>
      </c>
      <c r="R4" s="1">
        <f>P4*Q4</f>
        <v>1</v>
      </c>
      <c r="T4" s="1">
        <v>0</v>
      </c>
      <c r="U4" s="1">
        <f t="shared" ref="U4:U35" si="4">J64/$J$64</f>
        <v>1</v>
      </c>
      <c r="V4" s="1">
        <f t="shared" ref="V4:V55" si="5">(1/(1+Imbal_Hasil))^T4</f>
        <v>1</v>
      </c>
      <c r="W4" s="1">
        <f>U4*V4</f>
        <v>1</v>
      </c>
    </row>
    <row r="5" spans="1:23" x14ac:dyDescent="0.3">
      <c r="A5" s="1">
        <f>A4+1</f>
        <v>2</v>
      </c>
      <c r="B5" s="1">
        <f>B4+1</f>
        <v>41</v>
      </c>
      <c r="C5" s="3">
        <f t="shared" ref="C5:C18" si="6">C4*(1+Kenaikan_Gaji)</f>
        <v>100800000</v>
      </c>
      <c r="D5" s="3">
        <f t="shared" si="0"/>
        <v>5745600</v>
      </c>
      <c r="E5" s="3">
        <f>G4</f>
        <v>5472000</v>
      </c>
      <c r="F5" s="3">
        <f t="shared" si="1"/>
        <v>328320</v>
      </c>
      <c r="G5" s="3">
        <f>E5+F5+D5</f>
        <v>11545920</v>
      </c>
      <c r="I5" s="1">
        <v>1</v>
      </c>
      <c r="J5" s="1">
        <v>99476</v>
      </c>
      <c r="L5" s="1">
        <v>1</v>
      </c>
      <c r="M5" s="1">
        <v>99734</v>
      </c>
      <c r="O5" s="1">
        <f>O4+1</f>
        <v>1</v>
      </c>
      <c r="P5" s="1">
        <f t="shared" si="2"/>
        <v>0.99211000000000005</v>
      </c>
      <c r="Q5" s="1">
        <f t="shared" si="3"/>
        <v>0.94339622641509424</v>
      </c>
      <c r="R5" s="1">
        <f>P5*Q5</f>
        <v>0.93595283018867914</v>
      </c>
      <c r="T5" s="1">
        <f>T4+1</f>
        <v>1</v>
      </c>
      <c r="U5" s="1">
        <f t="shared" si="4"/>
        <v>0.99000999999999995</v>
      </c>
      <c r="V5" s="1">
        <f t="shared" si="5"/>
        <v>0.94339622641509424</v>
      </c>
      <c r="W5" s="1">
        <f>U5*V5</f>
        <v>0.93397169811320735</v>
      </c>
    </row>
    <row r="6" spans="1:23" x14ac:dyDescent="0.3">
      <c r="A6" s="1">
        <f t="shared" ref="A6:B18" si="7">A5+1</f>
        <v>3</v>
      </c>
      <c r="B6" s="1">
        <f t="shared" si="7"/>
        <v>42</v>
      </c>
      <c r="C6" s="3">
        <f t="shared" si="6"/>
        <v>105840000</v>
      </c>
      <c r="D6" s="3">
        <f t="shared" si="0"/>
        <v>6032880</v>
      </c>
      <c r="E6" s="3">
        <f t="shared" ref="E6:E18" si="8">G5</f>
        <v>11545920</v>
      </c>
      <c r="F6" s="3">
        <f t="shared" si="1"/>
        <v>692755.2</v>
      </c>
      <c r="G6" s="3">
        <f t="shared" ref="G6:G18" si="9">E6+F6+D6</f>
        <v>18271555.199999999</v>
      </c>
      <c r="I6" s="1">
        <v>2</v>
      </c>
      <c r="J6" s="1">
        <v>99423.277719999998</v>
      </c>
      <c r="L6" s="1">
        <v>2</v>
      </c>
      <c r="M6" s="1">
        <v>99693.109060000003</v>
      </c>
      <c r="O6" s="1">
        <f t="shared" ref="O6:O60" si="10">O5+1</f>
        <v>2</v>
      </c>
      <c r="P6" s="1">
        <f t="shared" si="2"/>
        <v>0.9837068283</v>
      </c>
      <c r="Q6" s="1">
        <f t="shared" si="3"/>
        <v>0.88999644001423972</v>
      </c>
      <c r="R6" s="1">
        <f t="shared" ref="R6:R60" si="11">P6*Q6</f>
        <v>0.87549557520469901</v>
      </c>
      <c r="T6" s="1">
        <f t="shared" ref="T6:T55" si="12">T5+1</f>
        <v>2</v>
      </c>
      <c r="U6" s="1">
        <f t="shared" si="4"/>
        <v>0.97987229759999983</v>
      </c>
      <c r="V6" s="1">
        <f t="shared" si="5"/>
        <v>0.88999644001423972</v>
      </c>
      <c r="W6" s="1">
        <f t="shared" ref="W6:W55" si="13">U6*V6</f>
        <v>0.87208285653257345</v>
      </c>
    </row>
    <row r="7" spans="1:23" x14ac:dyDescent="0.3">
      <c r="A7" s="1">
        <f t="shared" si="7"/>
        <v>4</v>
      </c>
      <c r="B7" s="1">
        <f t="shared" si="7"/>
        <v>43</v>
      </c>
      <c r="C7" s="3">
        <f t="shared" si="6"/>
        <v>111132000</v>
      </c>
      <c r="D7" s="3">
        <f t="shared" si="0"/>
        <v>6334524</v>
      </c>
      <c r="E7" s="3">
        <f t="shared" si="8"/>
        <v>18271555.199999999</v>
      </c>
      <c r="F7" s="3">
        <f t="shared" si="1"/>
        <v>1096293.3119999999</v>
      </c>
      <c r="G7" s="3">
        <f t="shared" si="9"/>
        <v>25702372.511999998</v>
      </c>
      <c r="I7" s="1">
        <v>3</v>
      </c>
      <c r="J7" s="1">
        <v>99381.519943357605</v>
      </c>
      <c r="L7" s="1">
        <v>3</v>
      </c>
      <c r="M7" s="1">
        <v>99662.204196191393</v>
      </c>
      <c r="O7" s="1">
        <f t="shared" si="10"/>
        <v>3</v>
      </c>
      <c r="P7" s="1">
        <f t="shared" si="2"/>
        <v>0.97487314098186606</v>
      </c>
      <c r="Q7" s="1">
        <f t="shared" si="3"/>
        <v>0.83961928303230149</v>
      </c>
      <c r="R7" s="1">
        <f t="shared" si="11"/>
        <v>0.8185222876786421</v>
      </c>
      <c r="T7" s="1">
        <f t="shared" si="12"/>
        <v>3</v>
      </c>
      <c r="U7" s="1">
        <f t="shared" si="4"/>
        <v>0.96962283336710375</v>
      </c>
      <c r="V7" s="1">
        <f t="shared" si="5"/>
        <v>0.83961928303230149</v>
      </c>
      <c r="W7" s="1">
        <f t="shared" si="13"/>
        <v>0.81411402816343637</v>
      </c>
    </row>
    <row r="8" spans="1:23" x14ac:dyDescent="0.3">
      <c r="A8" s="1">
        <f t="shared" si="7"/>
        <v>5</v>
      </c>
      <c r="B8" s="1">
        <f t="shared" si="7"/>
        <v>44</v>
      </c>
      <c r="C8" s="3">
        <f t="shared" si="6"/>
        <v>116688600</v>
      </c>
      <c r="D8" s="3">
        <f t="shared" si="0"/>
        <v>6651250.2000000002</v>
      </c>
      <c r="E8" s="3">
        <f t="shared" si="8"/>
        <v>25702372.511999998</v>
      </c>
      <c r="F8" s="3">
        <f t="shared" si="1"/>
        <v>1542142.3507199998</v>
      </c>
      <c r="G8" s="3">
        <f t="shared" si="9"/>
        <v>33895765.062720001</v>
      </c>
      <c r="I8" s="1">
        <v>4</v>
      </c>
      <c r="J8" s="1">
        <v>99347.730226576867</v>
      </c>
      <c r="L8" s="1">
        <v>4</v>
      </c>
      <c r="M8" s="1">
        <v>99638.285267184299</v>
      </c>
      <c r="O8" s="1">
        <f t="shared" si="10"/>
        <v>4</v>
      </c>
      <c r="P8" s="1">
        <f t="shared" si="2"/>
        <v>0.96571908218804625</v>
      </c>
      <c r="Q8" s="1">
        <f t="shared" si="3"/>
        <v>0.79209366323802022</v>
      </c>
      <c r="R8" s="1">
        <f t="shared" si="11"/>
        <v>0.7649399654691883</v>
      </c>
      <c r="T8" s="1">
        <f t="shared" si="12"/>
        <v>4</v>
      </c>
      <c r="U8" s="1">
        <f t="shared" si="4"/>
        <v>0.95923817282174217</v>
      </c>
      <c r="V8" s="1">
        <f t="shared" si="5"/>
        <v>0.79209366323802022</v>
      </c>
      <c r="W8" s="1">
        <f t="shared" si="13"/>
        <v>0.75980647822811886</v>
      </c>
    </row>
    <row r="9" spans="1:23" x14ac:dyDescent="0.3">
      <c r="A9" s="1">
        <f t="shared" si="7"/>
        <v>6</v>
      </c>
      <c r="B9" s="1">
        <f t="shared" si="7"/>
        <v>45</v>
      </c>
      <c r="C9" s="3">
        <f t="shared" si="6"/>
        <v>122523030</v>
      </c>
      <c r="D9" s="3">
        <f t="shared" si="0"/>
        <v>6983812.71</v>
      </c>
      <c r="E9" s="3">
        <f t="shared" si="8"/>
        <v>33895765.062720001</v>
      </c>
      <c r="F9" s="3">
        <f t="shared" si="1"/>
        <v>2033745.9037631999</v>
      </c>
      <c r="G9" s="3">
        <f t="shared" si="9"/>
        <v>42913323.676483199</v>
      </c>
      <c r="I9" s="1">
        <v>5</v>
      </c>
      <c r="J9" s="1">
        <v>99318.919384811161</v>
      </c>
      <c r="L9" s="1">
        <v>5</v>
      </c>
      <c r="M9" s="1">
        <v>99617.36122727819</v>
      </c>
      <c r="O9" s="1">
        <f t="shared" si="10"/>
        <v>5</v>
      </c>
      <c r="P9" s="1">
        <f t="shared" si="2"/>
        <v>0.95634194990000043</v>
      </c>
      <c r="Q9" s="1">
        <f t="shared" si="3"/>
        <v>0.74725817286605678</v>
      </c>
      <c r="R9" s="1">
        <f t="shared" si="11"/>
        <v>0.71463433811743637</v>
      </c>
      <c r="T9" s="1">
        <f t="shared" si="12"/>
        <v>5</v>
      </c>
      <c r="U9" s="1">
        <f t="shared" si="4"/>
        <v>0.94864818339379009</v>
      </c>
      <c r="V9" s="1">
        <f t="shared" si="5"/>
        <v>0.74725817286605678</v>
      </c>
      <c r="W9" s="1">
        <f t="shared" si="13"/>
        <v>0.70888510821554751</v>
      </c>
    </row>
    <row r="10" spans="1:23" x14ac:dyDescent="0.3">
      <c r="A10" s="1">
        <f t="shared" si="7"/>
        <v>7</v>
      </c>
      <c r="B10" s="1">
        <f t="shared" si="7"/>
        <v>46</v>
      </c>
      <c r="C10" s="3">
        <f t="shared" si="6"/>
        <v>128649181.5</v>
      </c>
      <c r="D10" s="3">
        <f t="shared" si="0"/>
        <v>7333003.3454999998</v>
      </c>
      <c r="E10" s="3">
        <f t="shared" si="8"/>
        <v>42913323.676483199</v>
      </c>
      <c r="F10" s="3">
        <f t="shared" si="1"/>
        <v>2574799.4205889921</v>
      </c>
      <c r="G10" s="3">
        <f t="shared" si="9"/>
        <v>52821126.442572191</v>
      </c>
      <c r="I10" s="1">
        <v>6</v>
      </c>
      <c r="J10" s="1">
        <v>99293.096465771101</v>
      </c>
      <c r="L10" s="1">
        <v>6</v>
      </c>
      <c r="M10" s="1">
        <v>99597.437755032734</v>
      </c>
      <c r="O10" s="1">
        <f t="shared" si="10"/>
        <v>6</v>
      </c>
      <c r="P10" s="1">
        <f t="shared" si="2"/>
        <v>0.94678809382049933</v>
      </c>
      <c r="Q10" s="1">
        <f t="shared" si="3"/>
        <v>0.70496054043967604</v>
      </c>
      <c r="R10" s="1">
        <f t="shared" si="11"/>
        <v>0.66744824630154986</v>
      </c>
      <c r="T10" s="1">
        <f t="shared" si="12"/>
        <v>6</v>
      </c>
      <c r="U10" s="1">
        <f t="shared" si="4"/>
        <v>0.93777667521209718</v>
      </c>
      <c r="V10" s="1">
        <f t="shared" si="5"/>
        <v>0.70496054043967604</v>
      </c>
      <c r="W10" s="1">
        <f t="shared" si="13"/>
        <v>0.66109555176924262</v>
      </c>
    </row>
    <row r="11" spans="1:23" x14ac:dyDescent="0.3">
      <c r="A11" s="1">
        <f t="shared" si="7"/>
        <v>8</v>
      </c>
      <c r="B11" s="1">
        <f t="shared" si="7"/>
        <v>47</v>
      </c>
      <c r="C11" s="3">
        <f t="shared" si="6"/>
        <v>135081640.57500002</v>
      </c>
      <c r="D11" s="3">
        <f t="shared" si="0"/>
        <v>7699653.5127750011</v>
      </c>
      <c r="E11" s="3">
        <f t="shared" si="8"/>
        <v>52821126.442572191</v>
      </c>
      <c r="F11" s="3">
        <f t="shared" si="1"/>
        <v>3169267.5865543312</v>
      </c>
      <c r="G11" s="3">
        <f t="shared" si="9"/>
        <v>63690047.541901529</v>
      </c>
      <c r="I11" s="1">
        <v>7</v>
      </c>
      <c r="J11" s="1">
        <v>99270.259053583984</v>
      </c>
      <c r="L11" s="1">
        <v>7</v>
      </c>
      <c r="M11" s="1">
        <v>99575.526318726625</v>
      </c>
      <c r="O11" s="1">
        <f t="shared" si="10"/>
        <v>7</v>
      </c>
      <c r="P11" s="1">
        <f t="shared" si="2"/>
        <v>0.93709298373977734</v>
      </c>
      <c r="Q11" s="1">
        <f t="shared" si="3"/>
        <v>0.66505711362233577</v>
      </c>
      <c r="R11" s="1">
        <f t="shared" si="11"/>
        <v>0.62322035496171879</v>
      </c>
      <c r="T11" s="1">
        <f t="shared" si="12"/>
        <v>7</v>
      </c>
      <c r="U11" s="1">
        <f t="shared" si="4"/>
        <v>0.92653273287630422</v>
      </c>
      <c r="V11" s="1">
        <f t="shared" si="5"/>
        <v>0.66505711362233577</v>
      </c>
      <c r="W11" s="1">
        <f t="shared" si="13"/>
        <v>0.61619718500332954</v>
      </c>
    </row>
    <row r="12" spans="1:23" x14ac:dyDescent="0.3">
      <c r="A12" s="1">
        <f t="shared" si="7"/>
        <v>9</v>
      </c>
      <c r="B12" s="1">
        <f t="shared" si="7"/>
        <v>48</v>
      </c>
      <c r="C12" s="3">
        <f t="shared" si="6"/>
        <v>141835722.60375002</v>
      </c>
      <c r="D12" s="3">
        <f t="shared" si="0"/>
        <v>8084636.1884137513</v>
      </c>
      <c r="E12" s="3">
        <f t="shared" si="8"/>
        <v>63690047.541901529</v>
      </c>
      <c r="F12" s="3">
        <f t="shared" si="1"/>
        <v>3821402.8525140914</v>
      </c>
      <c r="G12" s="3">
        <f t="shared" si="9"/>
        <v>75596086.582829371</v>
      </c>
      <c r="I12" s="1">
        <v>8</v>
      </c>
      <c r="J12" s="1">
        <v>99249.412299182732</v>
      </c>
      <c r="L12" s="1">
        <v>8</v>
      </c>
      <c r="M12" s="1">
        <v>99552.623947673317</v>
      </c>
      <c r="O12" s="1">
        <f t="shared" si="10"/>
        <v>8</v>
      </c>
      <c r="P12" s="1">
        <f t="shared" si="2"/>
        <v>0.92729099112985924</v>
      </c>
      <c r="Q12" s="1">
        <f t="shared" si="3"/>
        <v>0.62741237134182615</v>
      </c>
      <c r="R12" s="1">
        <f t="shared" si="11"/>
        <v>0.58179383966869724</v>
      </c>
      <c r="T12" s="1">
        <f t="shared" si="12"/>
        <v>8</v>
      </c>
      <c r="U12" s="1">
        <f t="shared" si="4"/>
        <v>0.91485842044206278</v>
      </c>
      <c r="V12" s="1">
        <f t="shared" si="5"/>
        <v>0.62741237134182615</v>
      </c>
      <c r="W12" s="1">
        <f t="shared" si="13"/>
        <v>0.57399349101159203</v>
      </c>
    </row>
    <row r="13" spans="1:23" x14ac:dyDescent="0.3">
      <c r="A13" s="1">
        <f t="shared" si="7"/>
        <v>10</v>
      </c>
      <c r="B13" s="1">
        <f t="shared" si="7"/>
        <v>49</v>
      </c>
      <c r="C13" s="3">
        <f t="shared" si="6"/>
        <v>148927508.73393753</v>
      </c>
      <c r="D13" s="3">
        <f t="shared" si="0"/>
        <v>8488867.9978344403</v>
      </c>
      <c r="E13" s="3">
        <f t="shared" si="8"/>
        <v>75596086.582829371</v>
      </c>
      <c r="F13" s="3">
        <f t="shared" si="1"/>
        <v>4535765.1949697621</v>
      </c>
      <c r="G13" s="3">
        <f t="shared" si="9"/>
        <v>88620719.775633574</v>
      </c>
      <c r="I13" s="1">
        <v>9</v>
      </c>
      <c r="J13" s="1">
        <v>99229.562416722896</v>
      </c>
      <c r="L13" s="1">
        <v>9</v>
      </c>
      <c r="M13" s="1">
        <v>99530.722370404823</v>
      </c>
      <c r="O13" s="1">
        <f t="shared" si="10"/>
        <v>9</v>
      </c>
      <c r="P13" s="1">
        <f t="shared" si="2"/>
        <v>0.9173597046148585</v>
      </c>
      <c r="Q13" s="1">
        <f t="shared" si="3"/>
        <v>0.59189846353002462</v>
      </c>
      <c r="R13" s="1">
        <f t="shared" si="11"/>
        <v>0.54298379966589194</v>
      </c>
      <c r="T13" s="1">
        <f t="shared" si="12"/>
        <v>9</v>
      </c>
      <c r="U13" s="1">
        <f t="shared" si="4"/>
        <v>0.90269995203438769</v>
      </c>
      <c r="V13" s="1">
        <f t="shared" si="5"/>
        <v>0.59189846353002462</v>
      </c>
      <c r="W13" s="1">
        <f t="shared" si="13"/>
        <v>0.53430671463778101</v>
      </c>
    </row>
    <row r="14" spans="1:23" x14ac:dyDescent="0.3">
      <c r="A14" s="1">
        <f t="shared" si="7"/>
        <v>11</v>
      </c>
      <c r="B14" s="1">
        <f t="shared" si="7"/>
        <v>50</v>
      </c>
      <c r="C14" s="3">
        <f t="shared" si="6"/>
        <v>156373884.17063442</v>
      </c>
      <c r="D14" s="3">
        <f t="shared" si="0"/>
        <v>8913311.3977261614</v>
      </c>
      <c r="E14" s="3">
        <f t="shared" si="8"/>
        <v>88620719.775633574</v>
      </c>
      <c r="F14" s="3">
        <f t="shared" si="1"/>
        <v>5317243.1865380146</v>
      </c>
      <c r="G14" s="3">
        <f t="shared" si="9"/>
        <v>102851274.35989775</v>
      </c>
      <c r="I14" s="1">
        <v>10</v>
      </c>
      <c r="J14" s="1">
        <v>99209.71650423955</v>
      </c>
      <c r="L14" s="1">
        <v>10</v>
      </c>
      <c r="M14" s="1">
        <v>99509.820918707032</v>
      </c>
      <c r="O14" s="1">
        <f t="shared" si="10"/>
        <v>10</v>
      </c>
      <c r="P14" s="1">
        <f t="shared" si="2"/>
        <v>0.9072320534759104</v>
      </c>
      <c r="Q14" s="1">
        <f t="shared" si="3"/>
        <v>0.55839477691511752</v>
      </c>
      <c r="R14" s="1">
        <f t="shared" si="11"/>
        <v>0.506593640110925</v>
      </c>
      <c r="T14" s="1">
        <f t="shared" si="12"/>
        <v>10</v>
      </c>
      <c r="U14" s="1">
        <f t="shared" si="4"/>
        <v>0.89001701770830455</v>
      </c>
      <c r="V14" s="1">
        <f t="shared" si="5"/>
        <v>0.55839477691511752</v>
      </c>
      <c r="W14" s="1">
        <f t="shared" si="13"/>
        <v>0.49698085405388692</v>
      </c>
    </row>
    <row r="15" spans="1:23" x14ac:dyDescent="0.3">
      <c r="A15" s="1">
        <f t="shared" si="7"/>
        <v>12</v>
      </c>
      <c r="B15" s="1">
        <f t="shared" si="7"/>
        <v>51</v>
      </c>
      <c r="C15" s="3">
        <f t="shared" si="6"/>
        <v>164192578.37916616</v>
      </c>
      <c r="D15" s="3">
        <f t="shared" si="0"/>
        <v>9358976.9676124714</v>
      </c>
      <c r="E15" s="3">
        <f t="shared" si="8"/>
        <v>102851274.35989775</v>
      </c>
      <c r="F15" s="3">
        <f t="shared" si="1"/>
        <v>6171076.4615938645</v>
      </c>
      <c r="G15" s="3">
        <f t="shared" si="9"/>
        <v>118381327.78910409</v>
      </c>
      <c r="I15" s="1">
        <v>11</v>
      </c>
      <c r="J15" s="1">
        <v>99190.86665810374</v>
      </c>
      <c r="L15" s="1">
        <v>11</v>
      </c>
      <c r="M15" s="1">
        <v>99490.914052732478</v>
      </c>
      <c r="O15" s="1">
        <f t="shared" si="10"/>
        <v>11</v>
      </c>
      <c r="P15" s="1">
        <f t="shared" si="2"/>
        <v>0.89683517414307645</v>
      </c>
      <c r="Q15" s="1">
        <f t="shared" si="3"/>
        <v>0.52678752539162021</v>
      </c>
      <c r="R15" s="1">
        <f t="shared" si="11"/>
        <v>0.47244158207099402</v>
      </c>
      <c r="T15" s="1">
        <f t="shared" si="12"/>
        <v>11</v>
      </c>
      <c r="U15" s="1">
        <f t="shared" si="4"/>
        <v>0.87680026499533614</v>
      </c>
      <c r="V15" s="1">
        <f t="shared" si="5"/>
        <v>0.52678752539162021</v>
      </c>
      <c r="W15" s="1">
        <f t="shared" si="13"/>
        <v>0.46188744185960995</v>
      </c>
    </row>
    <row r="16" spans="1:23" x14ac:dyDescent="0.3">
      <c r="A16" s="1">
        <f t="shared" si="7"/>
        <v>13</v>
      </c>
      <c r="B16" s="1">
        <f t="shared" si="7"/>
        <v>52</v>
      </c>
      <c r="C16" s="3">
        <f t="shared" si="6"/>
        <v>172402207.29812446</v>
      </c>
      <c r="D16" s="3">
        <f t="shared" si="0"/>
        <v>9826925.8159930948</v>
      </c>
      <c r="E16" s="3">
        <f t="shared" si="8"/>
        <v>118381327.78910409</v>
      </c>
      <c r="F16" s="3">
        <f t="shared" si="1"/>
        <v>7102879.6673462447</v>
      </c>
      <c r="G16" s="3">
        <f t="shared" si="9"/>
        <v>135311133.27244341</v>
      </c>
      <c r="I16" s="1">
        <v>12</v>
      </c>
      <c r="J16" s="1">
        <v>99172.020393438695</v>
      </c>
      <c r="L16" s="1">
        <v>12</v>
      </c>
      <c r="M16" s="1">
        <v>99473.005688202989</v>
      </c>
      <c r="O16" s="1">
        <f t="shared" si="10"/>
        <v>12</v>
      </c>
      <c r="P16" s="1">
        <f t="shared" si="2"/>
        <v>0.88608212040510093</v>
      </c>
      <c r="Q16" s="1">
        <f t="shared" si="3"/>
        <v>0.49696936357700011</v>
      </c>
      <c r="R16" s="1">
        <f t="shared" si="11"/>
        <v>0.4403556674546818</v>
      </c>
      <c r="T16" s="1">
        <f t="shared" si="12"/>
        <v>12</v>
      </c>
      <c r="U16" s="1">
        <f t="shared" si="4"/>
        <v>0.86299942882430958</v>
      </c>
      <c r="V16" s="1">
        <f t="shared" si="5"/>
        <v>0.49696936357700011</v>
      </c>
      <c r="W16" s="1">
        <f t="shared" si="13"/>
        <v>0.42888427691013176</v>
      </c>
    </row>
    <row r="17" spans="1:23" x14ac:dyDescent="0.3">
      <c r="A17" s="1">
        <f t="shared" si="7"/>
        <v>14</v>
      </c>
      <c r="B17" s="1">
        <f t="shared" si="7"/>
        <v>53</v>
      </c>
      <c r="C17" s="3">
        <f t="shared" si="6"/>
        <v>181022317.66303068</v>
      </c>
      <c r="D17" s="3">
        <f t="shared" si="0"/>
        <v>10318272.10679275</v>
      </c>
      <c r="E17" s="3">
        <f t="shared" si="8"/>
        <v>135311133.27244341</v>
      </c>
      <c r="F17" s="3">
        <f t="shared" si="1"/>
        <v>8118667.9963466041</v>
      </c>
      <c r="G17" s="3">
        <f t="shared" si="9"/>
        <v>153748073.37558275</v>
      </c>
      <c r="I17" s="1">
        <v>13</v>
      </c>
      <c r="J17" s="1">
        <v>99153.177709563941</v>
      </c>
      <c r="L17" s="1">
        <v>13</v>
      </c>
      <c r="M17" s="1">
        <v>99453.11108706535</v>
      </c>
      <c r="O17" s="1">
        <f t="shared" si="10"/>
        <v>13</v>
      </c>
      <c r="P17" s="1">
        <f t="shared" si="2"/>
        <v>0.87491748568799665</v>
      </c>
      <c r="Q17" s="1">
        <f t="shared" si="3"/>
        <v>0.46883902224245294</v>
      </c>
      <c r="R17" s="1">
        <f t="shared" si="11"/>
        <v>0.41019545853278566</v>
      </c>
      <c r="T17" s="1">
        <f t="shared" si="12"/>
        <v>13</v>
      </c>
      <c r="U17" s="1">
        <f t="shared" si="4"/>
        <v>0.84858733836294353</v>
      </c>
      <c r="V17" s="1">
        <f t="shared" si="5"/>
        <v>0.46883902224245294</v>
      </c>
      <c r="W17" s="1">
        <f t="shared" si="13"/>
        <v>0.39785085800540804</v>
      </c>
    </row>
    <row r="18" spans="1:23" x14ac:dyDescent="0.3">
      <c r="A18" s="1">
        <f t="shared" si="7"/>
        <v>15</v>
      </c>
      <c r="B18" s="1">
        <f t="shared" si="7"/>
        <v>54</v>
      </c>
      <c r="C18" s="3">
        <f t="shared" si="6"/>
        <v>190073433.54618222</v>
      </c>
      <c r="D18" s="3">
        <f t="shared" si="0"/>
        <v>10834185.712132387</v>
      </c>
      <c r="E18" s="3">
        <f t="shared" si="8"/>
        <v>153748073.37558275</v>
      </c>
      <c r="F18" s="3">
        <f t="shared" si="1"/>
        <v>9224884.4025349654</v>
      </c>
      <c r="G18" s="3">
        <f t="shared" si="9"/>
        <v>173807143.49025011</v>
      </c>
      <c r="I18" s="1">
        <v>14</v>
      </c>
      <c r="J18" s="1">
        <v>99133.347074022036</v>
      </c>
      <c r="L18" s="1">
        <v>14</v>
      </c>
      <c r="M18" s="1">
        <v>99431.231402626203</v>
      </c>
      <c r="O18" s="1">
        <f t="shared" si="10"/>
        <v>14</v>
      </c>
      <c r="P18" s="1">
        <f t="shared" si="2"/>
        <v>0.86328983230320322</v>
      </c>
      <c r="Q18" s="1">
        <f t="shared" si="3"/>
        <v>0.44230096437967248</v>
      </c>
      <c r="R18" s="1">
        <f t="shared" si="11"/>
        <v>0.3818339253668725</v>
      </c>
      <c r="T18" s="1">
        <f t="shared" si="12"/>
        <v>14</v>
      </c>
      <c r="U18" s="1">
        <f t="shared" si="4"/>
        <v>0.83350794136023409</v>
      </c>
      <c r="V18" s="1">
        <f t="shared" si="5"/>
        <v>0.44230096437967248</v>
      </c>
      <c r="W18" s="1">
        <f t="shared" si="13"/>
        <v>0.36866136628174706</v>
      </c>
    </row>
    <row r="19" spans="1:23" x14ac:dyDescent="0.3">
      <c r="I19" s="1">
        <v>15</v>
      </c>
      <c r="J19" s="1">
        <v>99110.546404195018</v>
      </c>
      <c r="L19" s="1">
        <v>15</v>
      </c>
      <c r="M19" s="1">
        <v>99408.3622194036</v>
      </c>
      <c r="O19" s="1">
        <f t="shared" si="10"/>
        <v>15</v>
      </c>
      <c r="P19" s="1">
        <f t="shared" si="2"/>
        <v>0.85116061015934308</v>
      </c>
      <c r="Q19" s="1">
        <f t="shared" si="3"/>
        <v>0.41726506073553998</v>
      </c>
      <c r="R19" s="1">
        <f t="shared" si="11"/>
        <v>0.35515958369383754</v>
      </c>
      <c r="T19" s="1">
        <f t="shared" si="12"/>
        <v>15</v>
      </c>
      <c r="U19" s="1">
        <f t="shared" si="4"/>
        <v>0.81771296587145759</v>
      </c>
      <c r="V19" s="1">
        <f t="shared" si="5"/>
        <v>0.41726506073553998</v>
      </c>
      <c r="W19" s="1">
        <f t="shared" si="13"/>
        <v>0.34120305036859228</v>
      </c>
    </row>
    <row r="20" spans="1:23" x14ac:dyDescent="0.3">
      <c r="I20" s="1">
        <v>16</v>
      </c>
      <c r="J20" s="1">
        <v>99083.786556665887</v>
      </c>
      <c r="L20" s="1">
        <v>16</v>
      </c>
      <c r="M20" s="1">
        <v>99385.498296093137</v>
      </c>
      <c r="O20" s="1">
        <f t="shared" si="10"/>
        <v>16</v>
      </c>
      <c r="P20" s="1">
        <f t="shared" si="2"/>
        <v>0.83852087509847684</v>
      </c>
      <c r="Q20" s="1">
        <f t="shared" si="3"/>
        <v>0.39364628371277355</v>
      </c>
      <c r="R20" s="1">
        <f t="shared" si="11"/>
        <v>0.33008062629809815</v>
      </c>
      <c r="T20" s="1">
        <f t="shared" si="12"/>
        <v>16</v>
      </c>
      <c r="U20" s="1">
        <f t="shared" si="4"/>
        <v>0.80114610118290186</v>
      </c>
      <c r="V20" s="1">
        <f t="shared" si="5"/>
        <v>0.39364628371277355</v>
      </c>
      <c r="W20" s="1">
        <f t="shared" si="13"/>
        <v>0.31536818544162698</v>
      </c>
    </row>
    <row r="21" spans="1:23" x14ac:dyDescent="0.3">
      <c r="I21" s="1">
        <v>17</v>
      </c>
      <c r="J21" s="1">
        <v>99053.070582833316</v>
      </c>
      <c r="L21" s="1">
        <v>17</v>
      </c>
      <c r="M21" s="1">
        <v>99361.645776502075</v>
      </c>
      <c r="O21" s="1">
        <f t="shared" si="10"/>
        <v>17</v>
      </c>
      <c r="P21" s="1">
        <f t="shared" si="2"/>
        <v>0.82532255652442676</v>
      </c>
      <c r="Q21" s="1">
        <f t="shared" si="3"/>
        <v>0.37136441859695613</v>
      </c>
      <c r="R21" s="1">
        <f t="shared" si="11"/>
        <v>0.30649543135864721</v>
      </c>
      <c r="T21" s="1">
        <f t="shared" si="12"/>
        <v>17</v>
      </c>
      <c r="U21" s="1">
        <f t="shared" si="4"/>
        <v>0.78216695004587888</v>
      </c>
      <c r="V21" s="1">
        <f t="shared" si="5"/>
        <v>0.37136441859695613</v>
      </c>
      <c r="W21" s="1">
        <f t="shared" si="13"/>
        <v>0.29046897464954224</v>
      </c>
    </row>
    <row r="22" spans="1:23" x14ac:dyDescent="0.3">
      <c r="I22" s="1">
        <v>18</v>
      </c>
      <c r="J22" s="1">
        <v>99016.42094671767</v>
      </c>
      <c r="L22" s="1">
        <v>18</v>
      </c>
      <c r="M22" s="1">
        <v>99337.79898151572</v>
      </c>
      <c r="O22" s="1">
        <f t="shared" si="10"/>
        <v>18</v>
      </c>
      <c r="P22" s="1">
        <f t="shared" si="2"/>
        <v>0.81153966983046877</v>
      </c>
      <c r="Q22" s="1">
        <f t="shared" si="3"/>
        <v>0.35034379112920383</v>
      </c>
      <c r="R22" s="1">
        <f t="shared" si="11"/>
        <v>0.28431788458014878</v>
      </c>
      <c r="T22" s="1">
        <f t="shared" si="12"/>
        <v>18</v>
      </c>
      <c r="U22" s="1">
        <f t="shared" si="4"/>
        <v>0.76075121895362274</v>
      </c>
      <c r="V22" s="1">
        <f t="shared" si="5"/>
        <v>0.35034379112920383</v>
      </c>
      <c r="W22" s="1">
        <f t="shared" si="13"/>
        <v>0.26652446615437519</v>
      </c>
    </row>
    <row r="23" spans="1:23" x14ac:dyDescent="0.3">
      <c r="I23" s="1">
        <v>19</v>
      </c>
      <c r="J23" s="1">
        <v>98973.843885710579</v>
      </c>
      <c r="L23" s="1">
        <v>19</v>
      </c>
      <c r="M23" s="1">
        <v>99312.96453177034</v>
      </c>
      <c r="O23" s="1">
        <f t="shared" si="10"/>
        <v>19</v>
      </c>
      <c r="P23" s="1">
        <f t="shared" si="2"/>
        <v>0.79711860989758143</v>
      </c>
      <c r="Q23" s="1">
        <f t="shared" si="3"/>
        <v>0.33051301049924886</v>
      </c>
      <c r="R23" s="1">
        <f t="shared" si="11"/>
        <v>0.263458071482226</v>
      </c>
      <c r="T23" s="1">
        <f t="shared" si="12"/>
        <v>19</v>
      </c>
      <c r="U23" s="1">
        <f t="shared" si="4"/>
        <v>0.73693970580037438</v>
      </c>
      <c r="V23" s="1">
        <f t="shared" si="5"/>
        <v>0.33051301049924886</v>
      </c>
      <c r="W23" s="1">
        <f t="shared" si="13"/>
        <v>0.24356816072051252</v>
      </c>
    </row>
    <row r="24" spans="1:23" x14ac:dyDescent="0.3">
      <c r="I24" s="1">
        <v>20</v>
      </c>
      <c r="J24" s="1">
        <v>98927.326179084295</v>
      </c>
      <c r="L24" s="1">
        <v>20</v>
      </c>
      <c r="M24" s="1">
        <v>99287.143160992069</v>
      </c>
      <c r="O24" s="1">
        <f t="shared" si="10"/>
        <v>20</v>
      </c>
      <c r="P24" s="1">
        <f t="shared" si="2"/>
        <v>0.78201321224002218</v>
      </c>
      <c r="Q24" s="1">
        <f t="shared" si="3"/>
        <v>0.31180472688608379</v>
      </c>
      <c r="R24" s="1">
        <f t="shared" si="11"/>
        <v>0.24383541606380921</v>
      </c>
      <c r="T24" s="1">
        <f t="shared" si="12"/>
        <v>20</v>
      </c>
      <c r="U24" s="1">
        <f t="shared" si="4"/>
        <v>0.7097245224651666</v>
      </c>
      <c r="V24" s="1">
        <f t="shared" si="5"/>
        <v>0.31180472688608379</v>
      </c>
      <c r="W24" s="1">
        <f t="shared" si="13"/>
        <v>0.22129546089160751</v>
      </c>
    </row>
    <row r="25" spans="1:23" x14ac:dyDescent="0.3">
      <c r="I25" s="1">
        <v>21</v>
      </c>
      <c r="J25" s="1">
        <v>98878.851789256543</v>
      </c>
      <c r="L25" s="1">
        <v>21</v>
      </c>
      <c r="M25" s="1">
        <v>99260.335632338596</v>
      </c>
      <c r="O25" s="1">
        <f t="shared" si="10"/>
        <v>21</v>
      </c>
      <c r="P25" s="1">
        <f t="shared" si="2"/>
        <v>0.76616962456003934</v>
      </c>
      <c r="Q25" s="1">
        <f t="shared" si="3"/>
        <v>0.29415540272272056</v>
      </c>
      <c r="R25" s="1">
        <f t="shared" si="11"/>
        <v>0.22537293446637399</v>
      </c>
      <c r="T25" s="1">
        <f t="shared" si="12"/>
        <v>21</v>
      </c>
      <c r="U25" s="1">
        <f t="shared" si="4"/>
        <v>0.67765916854019037</v>
      </c>
      <c r="V25" s="1">
        <f t="shared" si="5"/>
        <v>0.29415540272272056</v>
      </c>
      <c r="W25" s="1">
        <f t="shared" si="13"/>
        <v>0.19933710563068366</v>
      </c>
    </row>
    <row r="26" spans="1:23" x14ac:dyDescent="0.3">
      <c r="I26" s="1">
        <v>22</v>
      </c>
      <c r="J26" s="1">
        <v>98830.401151879807</v>
      </c>
      <c r="L26" s="1">
        <v>22</v>
      </c>
      <c r="M26" s="1">
        <v>99232.542738361546</v>
      </c>
      <c r="O26" s="1">
        <f t="shared" si="10"/>
        <v>22</v>
      </c>
      <c r="P26" s="1">
        <f t="shared" si="2"/>
        <v>0.74801906615421199</v>
      </c>
      <c r="Q26" s="1">
        <f t="shared" si="3"/>
        <v>0.27750509690822689</v>
      </c>
      <c r="R26" s="1">
        <f t="shared" si="11"/>
        <v>0.20757910344232597</v>
      </c>
      <c r="T26" s="1">
        <f t="shared" si="12"/>
        <v>22</v>
      </c>
      <c r="U26" s="1">
        <f t="shared" si="4"/>
        <v>0.64020494629497404</v>
      </c>
      <c r="V26" s="1">
        <f t="shared" si="5"/>
        <v>0.27750509690822689</v>
      </c>
      <c r="W26" s="1">
        <f t="shared" si="13"/>
        <v>0.17766013566271296</v>
      </c>
    </row>
    <row r="27" spans="1:23" x14ac:dyDescent="0.3">
      <c r="I27" s="1">
        <v>23</v>
      </c>
      <c r="J27" s="1">
        <v>98781.974255315392</v>
      </c>
      <c r="L27" s="1">
        <v>23</v>
      </c>
      <c r="M27" s="1">
        <v>99202.772975540036</v>
      </c>
      <c r="O27" s="1">
        <f t="shared" si="10"/>
        <v>23</v>
      </c>
      <c r="P27" s="1">
        <f t="shared" si="2"/>
        <v>0.72753830412290976</v>
      </c>
      <c r="Q27" s="1">
        <f t="shared" si="3"/>
        <v>0.26179726123417624</v>
      </c>
      <c r="R27" s="1">
        <f t="shared" si="11"/>
        <v>0.19046753546233497</v>
      </c>
      <c r="T27" s="1">
        <f t="shared" si="12"/>
        <v>23</v>
      </c>
      <c r="U27" s="1">
        <f t="shared" si="4"/>
        <v>0.5971063493103963</v>
      </c>
      <c r="V27" s="1">
        <f t="shared" si="5"/>
        <v>0.26179726123417624</v>
      </c>
      <c r="W27" s="1">
        <f t="shared" si="13"/>
        <v>0.15632080691499911</v>
      </c>
    </row>
    <row r="28" spans="1:23" x14ac:dyDescent="0.3">
      <c r="I28" s="1">
        <v>24</v>
      </c>
      <c r="J28" s="1">
        <v>98733.571087930293</v>
      </c>
      <c r="L28" s="1">
        <v>24</v>
      </c>
      <c r="M28" s="1">
        <v>99171.028088187872</v>
      </c>
      <c r="O28" s="1">
        <f t="shared" si="10"/>
        <v>24</v>
      </c>
      <c r="P28" s="1">
        <f t="shared" si="2"/>
        <v>0.70476635520386266</v>
      </c>
      <c r="Q28" s="1">
        <f t="shared" si="3"/>
        <v>0.24697854833412852</v>
      </c>
      <c r="R28" s="1">
        <f t="shared" si="11"/>
        <v>0.17406217132298479</v>
      </c>
      <c r="T28" s="1">
        <f t="shared" si="12"/>
        <v>24</v>
      </c>
      <c r="U28" s="1">
        <f t="shared" si="4"/>
        <v>0.54797643888913694</v>
      </c>
      <c r="V28" s="1">
        <f t="shared" si="5"/>
        <v>0.24697854833412852</v>
      </c>
      <c r="W28" s="1">
        <f t="shared" si="13"/>
        <v>0.13533842539814434</v>
      </c>
    </row>
    <row r="29" spans="1:23" x14ac:dyDescent="0.3">
      <c r="I29" s="1">
        <v>25</v>
      </c>
      <c r="J29" s="1">
        <v>98684.204302386337</v>
      </c>
      <c r="L29" s="1">
        <v>25</v>
      </c>
      <c r="M29" s="1">
        <v>99137.309938637889</v>
      </c>
      <c r="O29" s="1">
        <f t="shared" si="10"/>
        <v>25</v>
      </c>
      <c r="P29" s="1">
        <f t="shared" si="2"/>
        <v>0.67873933370618411</v>
      </c>
      <c r="Q29" s="1">
        <f t="shared" si="3"/>
        <v>0.23299863050389483</v>
      </c>
      <c r="R29" s="1">
        <f t="shared" si="11"/>
        <v>0.15814533522266697</v>
      </c>
      <c r="T29" s="1">
        <f t="shared" si="12"/>
        <v>25</v>
      </c>
      <c r="U29" s="1">
        <f t="shared" si="4"/>
        <v>0.49603923201122452</v>
      </c>
      <c r="V29" s="1">
        <f t="shared" si="5"/>
        <v>0.23299863050389483</v>
      </c>
      <c r="W29" s="1">
        <f t="shared" si="13"/>
        <v>0.11557646173481906</v>
      </c>
    </row>
    <row r="30" spans="1:23" x14ac:dyDescent="0.3">
      <c r="I30" s="1">
        <v>26</v>
      </c>
      <c r="J30" s="1">
        <v>98632.888516149105</v>
      </c>
      <c r="L30" s="1">
        <v>26</v>
      </c>
      <c r="M30" s="1">
        <v>99099.637760861195</v>
      </c>
      <c r="O30" s="1">
        <f t="shared" si="10"/>
        <v>26</v>
      </c>
      <c r="P30" s="1">
        <f t="shared" si="2"/>
        <v>0.64807389060933862</v>
      </c>
      <c r="Q30" s="1">
        <f t="shared" si="3"/>
        <v>0.21981002877725925</v>
      </c>
      <c r="R30" s="1">
        <f t="shared" si="11"/>
        <v>0.1424531405446291</v>
      </c>
      <c r="T30" s="1">
        <f t="shared" si="12"/>
        <v>26</v>
      </c>
      <c r="U30" s="1">
        <f t="shared" si="4"/>
        <v>0.44412872638124989</v>
      </c>
      <c r="V30" s="1">
        <f t="shared" si="5"/>
        <v>0.21981002877725925</v>
      </c>
      <c r="W30" s="1">
        <f t="shared" si="13"/>
        <v>9.7623948126670038E-2</v>
      </c>
    </row>
    <row r="31" spans="1:23" x14ac:dyDescent="0.3">
      <c r="I31" s="1">
        <v>27</v>
      </c>
      <c r="J31" s="1">
        <v>98578.640427465216</v>
      </c>
      <c r="L31" s="1">
        <v>27</v>
      </c>
      <c r="M31" s="1">
        <v>99058.01591300164</v>
      </c>
      <c r="O31" s="1">
        <f t="shared" si="10"/>
        <v>27</v>
      </c>
      <c r="P31" s="1">
        <f t="shared" si="2"/>
        <v>0.61225484667536045</v>
      </c>
      <c r="Q31" s="1">
        <f t="shared" si="3"/>
        <v>0.20736795167665964</v>
      </c>
      <c r="R31" s="1">
        <f t="shared" si="11"/>
        <v>0.12696203345917681</v>
      </c>
      <c r="T31" s="1">
        <f t="shared" si="12"/>
        <v>27</v>
      </c>
      <c r="U31" s="1">
        <f t="shared" si="4"/>
        <v>0.3929073603677003</v>
      </c>
      <c r="V31" s="1">
        <f t="shared" si="5"/>
        <v>0.20736795167665964</v>
      </c>
      <c r="W31" s="1">
        <f t="shared" si="13"/>
        <v>8.1476394518133169E-2</v>
      </c>
    </row>
    <row r="32" spans="1:23" x14ac:dyDescent="0.3">
      <c r="I32" s="1">
        <v>28</v>
      </c>
      <c r="J32" s="1">
        <v>98519.493243208737</v>
      </c>
      <c r="L32" s="1">
        <v>28</v>
      </c>
      <c r="M32" s="1">
        <v>99012.449225681659</v>
      </c>
      <c r="O32" s="1">
        <f t="shared" si="10"/>
        <v>28</v>
      </c>
      <c r="P32" s="1">
        <f t="shared" si="2"/>
        <v>0.57103785039717514</v>
      </c>
      <c r="Q32" s="1">
        <f t="shared" si="3"/>
        <v>0.19563014309118829</v>
      </c>
      <c r="R32" s="1">
        <f t="shared" si="11"/>
        <v>0.11171221638368395</v>
      </c>
      <c r="T32" s="1">
        <f t="shared" si="12"/>
        <v>28</v>
      </c>
      <c r="U32" s="1">
        <f t="shared" si="4"/>
        <v>0.34301598374820974</v>
      </c>
      <c r="V32" s="1">
        <f t="shared" si="5"/>
        <v>0.19563014309118829</v>
      </c>
      <c r="W32" s="1">
        <f t="shared" si="13"/>
        <v>6.7104265983226982E-2</v>
      </c>
    </row>
    <row r="33" spans="9:23" x14ac:dyDescent="0.3">
      <c r="I33" s="1">
        <v>29</v>
      </c>
      <c r="J33" s="1">
        <v>98455.455572600651</v>
      </c>
      <c r="L33" s="1">
        <v>29</v>
      </c>
      <c r="M33" s="1">
        <v>98963.933125561074</v>
      </c>
      <c r="O33" s="1">
        <f t="shared" si="10"/>
        <v>29</v>
      </c>
      <c r="P33" s="1">
        <f t="shared" si="2"/>
        <v>0.52405285606649554</v>
      </c>
      <c r="Q33" s="1">
        <f t="shared" si="3"/>
        <v>0.18455673876527198</v>
      </c>
      <c r="R33" s="1">
        <f t="shared" si="11"/>
        <v>9.6717486056258892E-2</v>
      </c>
      <c r="T33" s="1">
        <f t="shared" si="12"/>
        <v>29</v>
      </c>
      <c r="U33" s="1">
        <f t="shared" si="4"/>
        <v>0.29517554449484695</v>
      </c>
      <c r="V33" s="1">
        <f t="shared" si="5"/>
        <v>0.18455673876527198</v>
      </c>
      <c r="W33" s="1">
        <f t="shared" si="13"/>
        <v>5.4476635855232387E-2</v>
      </c>
    </row>
    <row r="34" spans="9:23" x14ac:dyDescent="0.3">
      <c r="I34" s="1">
        <v>30</v>
      </c>
      <c r="J34" s="1">
        <v>98386.536753699824</v>
      </c>
      <c r="L34" s="1">
        <v>30</v>
      </c>
      <c r="M34" s="1">
        <v>98912.471880335783</v>
      </c>
      <c r="O34" s="1">
        <f t="shared" si="10"/>
        <v>30</v>
      </c>
      <c r="P34" s="1">
        <f t="shared" si="2"/>
        <v>0.47438312636851315</v>
      </c>
      <c r="Q34" s="1">
        <f t="shared" si="3"/>
        <v>0.1741101309106339</v>
      </c>
      <c r="R34" s="1">
        <f t="shared" si="11"/>
        <v>8.2594908233817613E-2</v>
      </c>
      <c r="T34" s="1">
        <f t="shared" si="12"/>
        <v>30</v>
      </c>
      <c r="U34" s="1">
        <f t="shared" si="4"/>
        <v>0.25009928709503887</v>
      </c>
      <c r="V34" s="1">
        <f t="shared" si="5"/>
        <v>0.1741101309106339</v>
      </c>
      <c r="W34" s="1">
        <f t="shared" si="13"/>
        <v>4.3544819616773429E-2</v>
      </c>
    </row>
    <row r="35" spans="9:23" x14ac:dyDescent="0.3">
      <c r="I35" s="1">
        <v>31</v>
      </c>
      <c r="J35" s="1">
        <v>98312.746851134551</v>
      </c>
      <c r="L35" s="1">
        <v>31</v>
      </c>
      <c r="M35" s="1">
        <v>98857.0808960828</v>
      </c>
      <c r="O35" s="1">
        <f t="shared" si="10"/>
        <v>31</v>
      </c>
      <c r="P35" s="1">
        <f t="shared" si="2"/>
        <v>0.42473893219404829</v>
      </c>
      <c r="Q35" s="1">
        <f t="shared" si="3"/>
        <v>0.16425484048173006</v>
      </c>
      <c r="R35" s="1">
        <f t="shared" si="11"/>
        <v>6.9765425553913768E-2</v>
      </c>
      <c r="T35" s="1">
        <f t="shared" si="12"/>
        <v>31</v>
      </c>
      <c r="U35" s="1">
        <f t="shared" si="4"/>
        <v>0.20843524685787632</v>
      </c>
      <c r="V35" s="1">
        <f t="shared" si="5"/>
        <v>0.16425484048173006</v>
      </c>
      <c r="W35" s="1">
        <f t="shared" si="13"/>
        <v>3.4236498223410503E-2</v>
      </c>
    </row>
    <row r="36" spans="9:23" x14ac:dyDescent="0.3">
      <c r="I36" s="1">
        <v>32</v>
      </c>
      <c r="J36" s="1">
        <v>98233.11352618513</v>
      </c>
      <c r="L36" s="1">
        <v>32</v>
      </c>
      <c r="M36" s="1">
        <v>98797.766647545141</v>
      </c>
      <c r="O36" s="1">
        <f t="shared" si="10"/>
        <v>32</v>
      </c>
      <c r="P36" s="1">
        <f t="shared" ref="P36:P60" si="14">J91/$J$59</f>
        <v>0.37575379114410867</v>
      </c>
      <c r="Q36" s="1">
        <f t="shared" ref="Q36:Q60" si="15">(1/(1+Imbal_Hasil))^O36</f>
        <v>0.15495739668087741</v>
      </c>
      <c r="R36" s="1">
        <f t="shared" si="11"/>
        <v>5.8225829268661211E-2</v>
      </c>
      <c r="T36" s="1">
        <f t="shared" si="12"/>
        <v>32</v>
      </c>
      <c r="U36" s="1">
        <f t="shared" ref="U36:U55" si="16">J96/$J$64</f>
        <v>0.17093566159567578</v>
      </c>
      <c r="V36" s="1">
        <f t="shared" si="5"/>
        <v>0.15495739668087741</v>
      </c>
      <c r="W36" s="1">
        <f t="shared" si="13"/>
        <v>2.6487745120789354E-2</v>
      </c>
    </row>
    <row r="37" spans="9:23" x14ac:dyDescent="0.3">
      <c r="I37" s="1">
        <v>33</v>
      </c>
      <c r="J37" s="1">
        <v>98147.650717417346</v>
      </c>
      <c r="L37" s="1">
        <v>33</v>
      </c>
      <c r="M37" s="1">
        <v>98734.536076890712</v>
      </c>
      <c r="O37" s="1">
        <f t="shared" si="10"/>
        <v>33</v>
      </c>
      <c r="P37" s="1">
        <f t="shared" si="14"/>
        <v>0.32804057474462972</v>
      </c>
      <c r="Q37" s="1">
        <f t="shared" si="15"/>
        <v>0.14618622328384659</v>
      </c>
      <c r="R37" s="1">
        <f t="shared" si="11"/>
        <v>4.7955012705779808E-2</v>
      </c>
      <c r="T37" s="1">
        <f t="shared" si="12"/>
        <v>33</v>
      </c>
      <c r="U37" s="1">
        <f t="shared" si="16"/>
        <v>0.13779123681227426</v>
      </c>
      <c r="V37" s="1">
        <f t="shared" si="5"/>
        <v>0.14618622328384659</v>
      </c>
      <c r="W37" s="1">
        <f t="shared" si="13"/>
        <v>2.0143180511196505E-2</v>
      </c>
    </row>
    <row r="38" spans="9:23" x14ac:dyDescent="0.3">
      <c r="I38" s="1">
        <v>34</v>
      </c>
      <c r="J38" s="1">
        <v>98056.373402250145</v>
      </c>
      <c r="L38" s="1">
        <v>34</v>
      </c>
      <c r="M38" s="1">
        <v>98666.40924699766</v>
      </c>
      <c r="O38" s="1">
        <f t="shared" si="10"/>
        <v>34</v>
      </c>
      <c r="P38" s="1">
        <f t="shared" si="14"/>
        <v>0.28228875578499624</v>
      </c>
      <c r="Q38" s="1">
        <f t="shared" si="15"/>
        <v>0.13791153139985526</v>
      </c>
      <c r="R38" s="1">
        <f t="shared" si="11"/>
        <v>3.893087460726858E-2</v>
      </c>
      <c r="T38" s="1">
        <f t="shared" si="12"/>
        <v>34</v>
      </c>
      <c r="U38" s="1">
        <f t="shared" si="16"/>
        <v>0.10902869404008013</v>
      </c>
      <c r="V38" s="1">
        <f t="shared" si="5"/>
        <v>0.13791153139985526</v>
      </c>
      <c r="W38" s="1">
        <f t="shared" si="13"/>
        <v>1.5036314161593723E-2</v>
      </c>
    </row>
    <row r="39" spans="9:23" x14ac:dyDescent="0.3">
      <c r="I39" s="1">
        <v>35</v>
      </c>
      <c r="J39" s="1">
        <v>97959.297592581919</v>
      </c>
      <c r="L39" s="1">
        <v>35</v>
      </c>
      <c r="M39" s="1">
        <v>98593.39610415489</v>
      </c>
      <c r="O39" s="1">
        <f t="shared" si="10"/>
        <v>35</v>
      </c>
      <c r="P39" s="1">
        <f t="shared" si="14"/>
        <v>0.23918043988906945</v>
      </c>
      <c r="Q39" s="1">
        <f t="shared" si="15"/>
        <v>0.13010521830175023</v>
      </c>
      <c r="R39" s="1">
        <f t="shared" si="11"/>
        <v>3.1118623345276028E-2</v>
      </c>
      <c r="T39" s="1">
        <f t="shared" si="12"/>
        <v>35</v>
      </c>
      <c r="U39" s="1">
        <f t="shared" si="16"/>
        <v>8.4550661941141733E-2</v>
      </c>
      <c r="V39" s="1">
        <f t="shared" si="5"/>
        <v>0.13010521830175023</v>
      </c>
      <c r="W39" s="1">
        <f t="shared" si="13"/>
        <v>1.1000482329409729E-2</v>
      </c>
    </row>
    <row r="40" spans="9:23" x14ac:dyDescent="0.3">
      <c r="I40" s="1">
        <v>36</v>
      </c>
      <c r="J40" s="1">
        <v>97854.481144157849</v>
      </c>
      <c r="L40" s="1">
        <v>36</v>
      </c>
      <c r="M40" s="1">
        <v>98514.521387271569</v>
      </c>
      <c r="O40" s="1">
        <f t="shared" si="10"/>
        <v>36</v>
      </c>
      <c r="P40" s="1">
        <f t="shared" si="14"/>
        <v>0.19933537040794938</v>
      </c>
      <c r="Q40" s="1">
        <f t="shared" si="15"/>
        <v>0.12274077198278321</v>
      </c>
      <c r="R40" s="1">
        <f t="shared" si="11"/>
        <v>2.4466577247345748E-2</v>
      </c>
      <c r="T40" s="1">
        <f t="shared" si="12"/>
        <v>36</v>
      </c>
      <c r="U40" s="1">
        <f t="shared" si="16"/>
        <v>6.4151969241221879E-2</v>
      </c>
      <c r="V40" s="1">
        <f t="shared" si="5"/>
        <v>0.12274077198278321</v>
      </c>
      <c r="W40" s="1">
        <f t="shared" si="13"/>
        <v>7.874062228883337E-3</v>
      </c>
    </row>
    <row r="41" spans="9:23" x14ac:dyDescent="0.3">
      <c r="I41" s="1">
        <v>37</v>
      </c>
      <c r="J41" s="1">
        <v>97740.969946030615</v>
      </c>
      <c r="L41" s="1">
        <v>37</v>
      </c>
      <c r="M41" s="1">
        <v>98429.798898878522</v>
      </c>
      <c r="O41" s="1">
        <f t="shared" si="10"/>
        <v>37</v>
      </c>
      <c r="P41" s="1">
        <f t="shared" si="14"/>
        <v>0.16347294391785519</v>
      </c>
      <c r="Q41" s="1">
        <f t="shared" si="15"/>
        <v>0.11579318111583323</v>
      </c>
      <c r="R41" s="1">
        <f t="shared" si="11"/>
        <v>1.8929052202618653E-2</v>
      </c>
      <c r="T41" s="1">
        <f t="shared" si="12"/>
        <v>37</v>
      </c>
      <c r="U41" s="1">
        <f t="shared" si="16"/>
        <v>4.7655290350841671E-2</v>
      </c>
      <c r="V41" s="1">
        <f t="shared" si="5"/>
        <v>0.11579318111583323</v>
      </c>
      <c r="W41" s="1">
        <f t="shared" si="13"/>
        <v>5.5181576667226295E-3</v>
      </c>
    </row>
    <row r="42" spans="9:23" x14ac:dyDescent="0.3">
      <c r="I42" s="1">
        <v>38</v>
      </c>
      <c r="J42" s="1">
        <v>97616.83891419915</v>
      </c>
      <c r="L42" s="1">
        <v>38</v>
      </c>
      <c r="M42" s="1">
        <v>98338.259185902571</v>
      </c>
      <c r="O42" s="1">
        <f t="shared" si="10"/>
        <v>38</v>
      </c>
      <c r="P42" s="1">
        <f t="shared" si="14"/>
        <v>0.13177554009218306</v>
      </c>
      <c r="Q42" s="1">
        <f t="shared" si="15"/>
        <v>0.1092388501092766</v>
      </c>
      <c r="R42" s="1">
        <f t="shared" si="11"/>
        <v>1.4395008472198954E-2</v>
      </c>
      <c r="T42" s="1">
        <f t="shared" si="12"/>
        <v>38</v>
      </c>
      <c r="U42" s="1">
        <f t="shared" si="16"/>
        <v>3.4588686289544396E-2</v>
      </c>
      <c r="V42" s="1">
        <f t="shared" si="5"/>
        <v>0.1092388501092766</v>
      </c>
      <c r="W42" s="1">
        <f t="shared" si="13"/>
        <v>3.778428317060331E-3</v>
      </c>
    </row>
    <row r="43" spans="9:23" x14ac:dyDescent="0.3">
      <c r="I43" s="1">
        <v>39</v>
      </c>
      <c r="J43" s="1">
        <v>97481.151508108407</v>
      </c>
      <c r="L43" s="1">
        <v>39</v>
      </c>
      <c r="M43" s="1">
        <v>98239.920926716673</v>
      </c>
      <c r="O43" s="1">
        <f t="shared" si="10"/>
        <v>39</v>
      </c>
      <c r="P43" s="1">
        <f t="shared" si="14"/>
        <v>0.10426871385334079</v>
      </c>
      <c r="Q43" s="1">
        <f t="shared" si="15"/>
        <v>0.10305551897101564</v>
      </c>
      <c r="R43" s="1">
        <f t="shared" si="11"/>
        <v>1.0745466418596363E-2</v>
      </c>
      <c r="T43" s="1">
        <f t="shared" si="12"/>
        <v>39</v>
      </c>
      <c r="U43" s="1">
        <f t="shared" si="16"/>
        <v>2.4471841436715554E-2</v>
      </c>
      <c r="V43" s="1">
        <f t="shared" si="5"/>
        <v>0.10305551897101564</v>
      </c>
      <c r="W43" s="1">
        <f t="shared" si="13"/>
        <v>2.5219583194371264E-3</v>
      </c>
    </row>
    <row r="44" spans="9:23" x14ac:dyDescent="0.3">
      <c r="I44" s="1">
        <v>40</v>
      </c>
      <c r="J44" s="1">
        <v>97330.055723270838</v>
      </c>
      <c r="L44" s="1">
        <v>40</v>
      </c>
      <c r="M44" s="1">
        <v>98133.821812115828</v>
      </c>
      <c r="O44" s="1">
        <f t="shared" si="10"/>
        <v>40</v>
      </c>
      <c r="P44" s="1">
        <f t="shared" si="14"/>
        <v>8.0859344906127242E-2</v>
      </c>
      <c r="Q44" s="1">
        <f t="shared" si="15"/>
        <v>9.7222187708505312E-2</v>
      </c>
      <c r="R44" s="1">
        <f t="shared" si="11"/>
        <v>7.8613224084502758E-3</v>
      </c>
      <c r="T44" s="1">
        <f t="shared" si="12"/>
        <v>40</v>
      </c>
      <c r="U44" s="1">
        <f t="shared" si="16"/>
        <v>1.6832956132244795E-2</v>
      </c>
      <c r="V44" s="1">
        <f t="shared" si="5"/>
        <v>9.7222187708505312E-2</v>
      </c>
      <c r="W44" s="1">
        <f t="shared" si="13"/>
        <v>1.6365368207781389E-3</v>
      </c>
    </row>
    <row r="45" spans="9:23" x14ac:dyDescent="0.3">
      <c r="I45" s="1">
        <v>41</v>
      </c>
      <c r="J45" s="1">
        <v>97161.674726869576</v>
      </c>
      <c r="L45" s="1">
        <v>41</v>
      </c>
      <c r="M45" s="1">
        <v>98018.023902377536</v>
      </c>
      <c r="O45" s="1">
        <f t="shared" si="10"/>
        <v>41</v>
      </c>
      <c r="P45" s="1">
        <f t="shared" si="14"/>
        <v>6.1351219354074983E-2</v>
      </c>
      <c r="Q45" s="1">
        <f t="shared" si="15"/>
        <v>9.1719045008023872E-2</v>
      </c>
      <c r="R45" s="1">
        <f t="shared" si="11"/>
        <v>5.6270752492335483E-3</v>
      </c>
      <c r="T45" s="1">
        <f t="shared" si="12"/>
        <v>41</v>
      </c>
      <c r="U45" s="1">
        <f t="shared" si="16"/>
        <v>1.1222363523806282E-2</v>
      </c>
      <c r="V45" s="1">
        <f t="shared" si="5"/>
        <v>9.1719045008023872E-2</v>
      </c>
      <c r="W45" s="1">
        <f t="shared" si="13"/>
        <v>1.0293044651363938E-3</v>
      </c>
    </row>
    <row r="46" spans="9:23" x14ac:dyDescent="0.3">
      <c r="I46" s="1">
        <v>42</v>
      </c>
      <c r="J46" s="1">
        <v>96974.15269464672</v>
      </c>
      <c r="L46" s="1">
        <v>42</v>
      </c>
      <c r="M46" s="1">
        <v>97892.560831782495</v>
      </c>
      <c r="O46" s="1">
        <f t="shared" si="10"/>
        <v>42</v>
      </c>
      <c r="P46" s="1">
        <f t="shared" si="14"/>
        <v>4.55747532971746E-2</v>
      </c>
      <c r="Q46" s="1">
        <f t="shared" si="15"/>
        <v>8.6527400950965908E-2</v>
      </c>
      <c r="R46" s="1">
        <f t="shared" si="11"/>
        <v>3.9434649517859823E-3</v>
      </c>
      <c r="T46" s="1">
        <f t="shared" si="12"/>
        <v>42</v>
      </c>
      <c r="U46" s="1">
        <f t="shared" si="16"/>
        <v>7.2762438379302789E-3</v>
      </c>
      <c r="V46" s="1">
        <f t="shared" si="5"/>
        <v>8.6527400950965908E-2</v>
      </c>
      <c r="W46" s="1">
        <f t="shared" si="13"/>
        <v>6.2959446798158819E-4</v>
      </c>
    </row>
    <row r="47" spans="9:23" x14ac:dyDescent="0.3">
      <c r="I47" s="1">
        <v>43</v>
      </c>
      <c r="J47" s="1">
        <v>96764.688524826284</v>
      </c>
      <c r="L47" s="1">
        <v>43</v>
      </c>
      <c r="M47" s="1">
        <v>97754.532321009683</v>
      </c>
      <c r="O47" s="1">
        <f t="shared" si="10"/>
        <v>43</v>
      </c>
      <c r="P47" s="1">
        <f t="shared" si="14"/>
        <v>3.3078611690622296E-2</v>
      </c>
      <c r="Q47" s="1">
        <f t="shared" si="15"/>
        <v>8.162962353864707E-2</v>
      </c>
      <c r="R47" s="1">
        <f t="shared" si="11"/>
        <v>2.7001946194865878E-3</v>
      </c>
      <c r="T47" s="1">
        <f t="shared" si="12"/>
        <v>43</v>
      </c>
      <c r="U47" s="1">
        <f t="shared" si="16"/>
        <v>4.5744289760300079E-3</v>
      </c>
      <c r="V47" s="1">
        <f t="shared" si="5"/>
        <v>8.162962353864707E-2</v>
      </c>
      <c r="W47" s="1">
        <f t="shared" si="13"/>
        <v>3.7340891521760834E-4</v>
      </c>
    </row>
    <row r="48" spans="9:23" x14ac:dyDescent="0.3">
      <c r="I48" s="1">
        <v>44</v>
      </c>
      <c r="J48" s="1">
        <v>96531.485625481451</v>
      </c>
      <c r="L48" s="1">
        <v>44</v>
      </c>
      <c r="M48" s="1">
        <v>97603.990341235331</v>
      </c>
      <c r="O48" s="1">
        <f t="shared" si="10"/>
        <v>44</v>
      </c>
      <c r="P48" s="1">
        <f t="shared" si="14"/>
        <v>2.3403448557232181E-2</v>
      </c>
      <c r="Q48" s="1">
        <f t="shared" si="15"/>
        <v>7.7009078810044401E-2</v>
      </c>
      <c r="R48" s="1">
        <f t="shared" si="11"/>
        <v>1.802278014370713E-3</v>
      </c>
      <c r="T48" s="1">
        <f t="shared" si="12"/>
        <v>44</v>
      </c>
      <c r="U48" s="1">
        <f t="shared" si="16"/>
        <v>2.7789656029382293E-3</v>
      </c>
      <c r="V48" s="1">
        <f t="shared" si="5"/>
        <v>7.7009078810044401E-2</v>
      </c>
      <c r="W48" s="1">
        <f t="shared" si="13"/>
        <v>2.1400558112707265E-4</v>
      </c>
    </row>
    <row r="49" spans="9:23" x14ac:dyDescent="0.3">
      <c r="I49" s="1">
        <v>45</v>
      </c>
      <c r="J49" s="1">
        <v>96270.850614292649</v>
      </c>
      <c r="L49" s="1">
        <v>45</v>
      </c>
      <c r="M49" s="1">
        <v>97439.039597558643</v>
      </c>
      <c r="O49" s="1">
        <f t="shared" si="10"/>
        <v>45</v>
      </c>
      <c r="P49" s="1">
        <f t="shared" si="14"/>
        <v>1.6098062090092156E-2</v>
      </c>
      <c r="Q49" s="1">
        <f t="shared" si="15"/>
        <v>7.2650074349098481E-2</v>
      </c>
      <c r="R49" s="1">
        <f t="shared" si="11"/>
        <v>1.1695254077215987E-3</v>
      </c>
      <c r="T49" s="1">
        <f t="shared" si="12"/>
        <v>45</v>
      </c>
      <c r="U49" s="1">
        <f t="shared" si="16"/>
        <v>1.6249445570060707E-3</v>
      </c>
      <c r="V49" s="1">
        <f t="shared" si="5"/>
        <v>7.2650074349098481E-2</v>
      </c>
      <c r="W49" s="1">
        <f t="shared" si="13"/>
        <v>1.1805234287965394E-4</v>
      </c>
    </row>
    <row r="50" spans="9:23" x14ac:dyDescent="0.3">
      <c r="I50" s="1">
        <v>46</v>
      </c>
      <c r="J50" s="1">
        <v>95980.11264543749</v>
      </c>
      <c r="L50" s="1">
        <v>46</v>
      </c>
      <c r="M50" s="1">
        <v>97256.828593511207</v>
      </c>
      <c r="O50" s="1">
        <f t="shared" si="10"/>
        <v>46</v>
      </c>
      <c r="P50" s="1">
        <f t="shared" si="14"/>
        <v>1.0732417014843541E-2</v>
      </c>
      <c r="Q50" s="1">
        <f t="shared" si="15"/>
        <v>6.8537805989715539E-2</v>
      </c>
      <c r="R50" s="1">
        <f t="shared" si="11"/>
        <v>7.3557631516406861E-4</v>
      </c>
      <c r="T50" s="1">
        <f t="shared" si="12"/>
        <v>46</v>
      </c>
      <c r="U50" s="1">
        <f t="shared" si="16"/>
        <v>9.1040768695379139E-4</v>
      </c>
      <c r="V50" s="1">
        <f t="shared" si="5"/>
        <v>6.8537805989715539E-2</v>
      </c>
      <c r="W50" s="1">
        <f t="shared" si="13"/>
        <v>6.2397345419984627E-5</v>
      </c>
    </row>
    <row r="51" spans="9:23" x14ac:dyDescent="0.3">
      <c r="I51" s="1">
        <v>47</v>
      </c>
      <c r="J51" s="1">
        <v>95655.699864695911</v>
      </c>
      <c r="L51" s="1">
        <v>47</v>
      </c>
      <c r="M51" s="1">
        <v>97053.561821750758</v>
      </c>
      <c r="O51" s="1">
        <f t="shared" si="10"/>
        <v>47</v>
      </c>
      <c r="P51" s="1">
        <f t="shared" si="14"/>
        <v>6.9585772199141057E-3</v>
      </c>
      <c r="Q51" s="1">
        <f t="shared" si="15"/>
        <v>6.4658307537467472E-2</v>
      </c>
      <c r="R51" s="1">
        <f t="shared" si="11"/>
        <v>4.4992982590842169E-4</v>
      </c>
      <c r="T51" s="1">
        <f t="shared" si="12"/>
        <v>47</v>
      </c>
      <c r="U51" s="1">
        <f t="shared" si="16"/>
        <v>4.861394966795856E-4</v>
      </c>
      <c r="V51" s="1">
        <f t="shared" si="5"/>
        <v>6.4658307537467472E-2</v>
      </c>
      <c r="W51" s="1">
        <f t="shared" si="13"/>
        <v>3.1432957082418296E-5</v>
      </c>
    </row>
    <row r="52" spans="9:23" x14ac:dyDescent="0.3">
      <c r="I52" s="1">
        <v>48</v>
      </c>
      <c r="J52" s="1">
        <v>95295.077876206007</v>
      </c>
      <c r="L52" s="1">
        <v>48</v>
      </c>
      <c r="M52" s="1">
        <v>96830.338629560734</v>
      </c>
      <c r="O52" s="1">
        <f t="shared" si="10"/>
        <v>48</v>
      </c>
      <c r="P52" s="1">
        <f t="shared" si="14"/>
        <v>4.3747183266155997E-3</v>
      </c>
      <c r="Q52" s="1">
        <f t="shared" si="15"/>
        <v>6.0998403337233463E-2</v>
      </c>
      <c r="R52" s="1">
        <f t="shared" si="11"/>
        <v>2.6685083297368537E-4</v>
      </c>
      <c r="T52" s="1">
        <f t="shared" si="12"/>
        <v>48</v>
      </c>
      <c r="U52" s="1">
        <f t="shared" si="16"/>
        <v>2.4584560486583322E-4</v>
      </c>
      <c r="V52" s="1">
        <f t="shared" si="5"/>
        <v>6.0998403337233463E-2</v>
      </c>
      <c r="W52" s="1">
        <f t="shared" si="13"/>
        <v>1.499618936429222E-5</v>
      </c>
    </row>
    <row r="53" spans="9:23" x14ac:dyDescent="0.3">
      <c r="I53" s="1">
        <v>49</v>
      </c>
      <c r="J53" s="1">
        <v>94896.744450683473</v>
      </c>
      <c r="L53" s="1">
        <v>49</v>
      </c>
      <c r="M53" s="1">
        <v>96585.357872827939</v>
      </c>
      <c r="O53" s="1">
        <f t="shared" si="10"/>
        <v>49</v>
      </c>
      <c r="P53" s="1">
        <f t="shared" si="14"/>
        <v>2.6576413834189768E-3</v>
      </c>
      <c r="Q53" s="1">
        <f t="shared" si="15"/>
        <v>5.7545663525691938E-2</v>
      </c>
      <c r="R53" s="1">
        <f t="shared" si="11"/>
        <v>1.5293573682218287E-4</v>
      </c>
      <c r="T53" s="1">
        <f t="shared" si="12"/>
        <v>49</v>
      </c>
      <c r="U53" s="1">
        <f t="shared" si="16"/>
        <v>1.1685779136087652E-4</v>
      </c>
      <c r="V53" s="1">
        <f t="shared" si="5"/>
        <v>5.7545663525691938E-2</v>
      </c>
      <c r="W53" s="1">
        <f t="shared" si="13"/>
        <v>6.7246591420085105E-6</v>
      </c>
    </row>
    <row r="54" spans="9:23" x14ac:dyDescent="0.3">
      <c r="I54" s="1">
        <v>50</v>
      </c>
      <c r="J54" s="1">
        <v>94459.270458765823</v>
      </c>
      <c r="L54" s="1">
        <v>50</v>
      </c>
      <c r="M54" s="1">
        <v>96317.816431520201</v>
      </c>
      <c r="O54" s="1">
        <f t="shared" si="10"/>
        <v>50</v>
      </c>
      <c r="P54" s="1">
        <f t="shared" si="14"/>
        <v>1.5540026461265781E-3</v>
      </c>
      <c r="Q54" s="1">
        <f t="shared" si="15"/>
        <v>5.42883618166905E-2</v>
      </c>
      <c r="R54" s="1">
        <f t="shared" si="11"/>
        <v>8.4364257917014115E-5</v>
      </c>
      <c r="T54" s="1">
        <f t="shared" si="12"/>
        <v>50</v>
      </c>
      <c r="U54" s="1">
        <f t="shared" si="16"/>
        <v>5.1729438501719214E-5</v>
      </c>
      <c r="V54" s="1">
        <f t="shared" si="5"/>
        <v>5.42883618166905E-2</v>
      </c>
      <c r="W54" s="1">
        <f t="shared" si="13"/>
        <v>2.808306473955573E-6</v>
      </c>
    </row>
    <row r="55" spans="9:23" x14ac:dyDescent="0.3">
      <c r="I55" s="1">
        <v>51</v>
      </c>
      <c r="J55" s="1">
        <v>93979.417364835288</v>
      </c>
      <c r="L55" s="1">
        <v>51</v>
      </c>
      <c r="M55" s="1">
        <v>96024.047091404063</v>
      </c>
      <c r="O55" s="1">
        <f t="shared" si="10"/>
        <v>51</v>
      </c>
      <c r="P55" s="1">
        <f t="shared" si="14"/>
        <v>8.7066106254533805E-4</v>
      </c>
      <c r="Q55" s="1">
        <f t="shared" si="15"/>
        <v>5.1215435676123106E-2</v>
      </c>
      <c r="R55" s="1">
        <f t="shared" si="11"/>
        <v>4.4591285644495755E-5</v>
      </c>
      <c r="T55" s="1">
        <f t="shared" si="12"/>
        <v>51</v>
      </c>
      <c r="U55" s="1">
        <f t="shared" si="16"/>
        <v>2.1082849955760683E-5</v>
      </c>
      <c r="V55" s="1">
        <f t="shared" si="5"/>
        <v>5.1215435676123106E-2</v>
      </c>
      <c r="W55" s="1">
        <f t="shared" si="13"/>
        <v>1.079767345778616E-6</v>
      </c>
    </row>
    <row r="56" spans="9:23" x14ac:dyDescent="0.3">
      <c r="I56" s="1">
        <v>52</v>
      </c>
      <c r="J56" s="1">
        <v>93456.891804286803</v>
      </c>
      <c r="L56" s="1">
        <v>52</v>
      </c>
      <c r="M56" s="1">
        <v>95702.366533647859</v>
      </c>
      <c r="O56" s="1">
        <f t="shared" si="10"/>
        <v>52</v>
      </c>
      <c r="P56" s="1">
        <f t="shared" si="14"/>
        <v>4.6491559417795965E-4</v>
      </c>
      <c r="Q56" s="1">
        <f t="shared" si="15"/>
        <v>4.8316448751059525E-2</v>
      </c>
      <c r="R56" s="1">
        <f t="shared" si="11"/>
        <v>2.2463070479667775E-5</v>
      </c>
    </row>
    <row r="57" spans="9:23" x14ac:dyDescent="0.3">
      <c r="I57" s="1">
        <v>53</v>
      </c>
      <c r="J57" s="1">
        <v>92887.739333198697</v>
      </c>
      <c r="L57" s="1">
        <v>53</v>
      </c>
      <c r="M57" s="1">
        <v>95350.181824804036</v>
      </c>
      <c r="O57" s="1">
        <f t="shared" si="10"/>
        <v>53</v>
      </c>
      <c r="P57" s="1">
        <f t="shared" si="14"/>
        <v>2.3511246513173599E-4</v>
      </c>
      <c r="Q57" s="1">
        <f t="shared" si="15"/>
        <v>4.5581555425527859E-2</v>
      </c>
      <c r="R57" s="1">
        <f t="shared" si="11"/>
        <v>1.071679186063471E-5</v>
      </c>
    </row>
    <row r="58" spans="9:23" x14ac:dyDescent="0.3">
      <c r="I58" s="1">
        <v>54</v>
      </c>
      <c r="J58" s="1">
        <v>92268.178111846268</v>
      </c>
      <c r="L58" s="1">
        <v>54</v>
      </c>
      <c r="M58" s="1">
        <v>94965.920592050083</v>
      </c>
      <c r="O58" s="1">
        <f t="shared" si="10"/>
        <v>54</v>
      </c>
      <c r="P58" s="1">
        <f t="shared" si="14"/>
        <v>1.1175600805106808E-4</v>
      </c>
      <c r="Q58" s="1">
        <f t="shared" si="15"/>
        <v>4.300146738257344E-2</v>
      </c>
      <c r="R58" s="1">
        <f t="shared" si="11"/>
        <v>4.8056723350146186E-6</v>
      </c>
    </row>
    <row r="59" spans="9:23" x14ac:dyDescent="0.3">
      <c r="I59" s="1">
        <v>55</v>
      </c>
      <c r="J59" s="1">
        <v>91597.388456973145</v>
      </c>
      <c r="L59" s="1">
        <v>55</v>
      </c>
      <c r="M59" s="1">
        <v>94546.17122303322</v>
      </c>
      <c r="O59" s="1">
        <f t="shared" si="10"/>
        <v>55</v>
      </c>
      <c r="P59" s="1">
        <f t="shared" si="14"/>
        <v>4.947103208396631E-5</v>
      </c>
      <c r="Q59" s="1">
        <f t="shared" si="15"/>
        <v>4.0567422059031535E-2</v>
      </c>
      <c r="R59" s="1">
        <f t="shared" si="11"/>
        <v>2.0069122382461519E-6</v>
      </c>
    </row>
    <row r="60" spans="9:23" x14ac:dyDescent="0.3">
      <c r="I60" s="1">
        <v>56</v>
      </c>
      <c r="J60" s="1">
        <v>90874.685062047633</v>
      </c>
      <c r="L60" s="1">
        <v>56</v>
      </c>
      <c r="M60" s="1">
        <v>94089.513216025967</v>
      </c>
      <c r="O60" s="1">
        <f t="shared" si="10"/>
        <v>56</v>
      </c>
      <c r="P60" s="1">
        <f t="shared" si="14"/>
        <v>2.0162413836141311E-5</v>
      </c>
      <c r="Q60" s="1">
        <f t="shared" si="15"/>
        <v>3.8271152885878811E-2</v>
      </c>
      <c r="R60" s="1">
        <f t="shared" si="11"/>
        <v>7.7163882247132233E-7</v>
      </c>
    </row>
    <row r="61" spans="9:23" x14ac:dyDescent="0.3">
      <c r="I61" s="1">
        <v>57</v>
      </c>
      <c r="J61" s="1">
        <v>90104.976479572084</v>
      </c>
      <c r="L61" s="1">
        <v>57</v>
      </c>
      <c r="M61" s="1">
        <v>93596.484166773982</v>
      </c>
    </row>
    <row r="62" spans="9:23" x14ac:dyDescent="0.3">
      <c r="I62" s="1">
        <v>58</v>
      </c>
      <c r="J62" s="1">
        <v>89295.833790785531</v>
      </c>
      <c r="L62" s="1">
        <v>58</v>
      </c>
      <c r="M62" s="1">
        <v>93069.535960915047</v>
      </c>
    </row>
    <row r="63" spans="9:23" x14ac:dyDescent="0.3">
      <c r="I63" s="1">
        <v>59</v>
      </c>
      <c r="J63" s="1">
        <v>88457.345911490047</v>
      </c>
      <c r="L63" s="1">
        <v>59</v>
      </c>
      <c r="M63" s="1">
        <v>92510.188049789955</v>
      </c>
    </row>
    <row r="64" spans="9:23" x14ac:dyDescent="0.3">
      <c r="I64" s="1">
        <v>60</v>
      </c>
      <c r="J64" s="1">
        <v>87598.425082689486</v>
      </c>
      <c r="L64" s="1">
        <v>60</v>
      </c>
      <c r="M64" s="1">
        <v>91921.823253793293</v>
      </c>
    </row>
    <row r="65" spans="9:13" x14ac:dyDescent="0.3">
      <c r="I65" s="1">
        <v>61</v>
      </c>
      <c r="J65" s="1">
        <v>86723.316816113409</v>
      </c>
      <c r="L65" s="1">
        <v>61</v>
      </c>
      <c r="M65" s="1">
        <v>91305.027819760347</v>
      </c>
    </row>
    <row r="66" spans="9:13" x14ac:dyDescent="0.3">
      <c r="I66" s="1">
        <v>62</v>
      </c>
      <c r="J66" s="1">
        <v>85835.270051916406</v>
      </c>
      <c r="L66" s="1">
        <v>62</v>
      </c>
      <c r="M66" s="1">
        <v>90659.501273074638</v>
      </c>
    </row>
    <row r="67" spans="9:13" x14ac:dyDescent="0.3">
      <c r="I67" s="1">
        <v>63</v>
      </c>
      <c r="J67" s="1">
        <v>84937.433127173354</v>
      </c>
      <c r="L67" s="1">
        <v>63</v>
      </c>
      <c r="M67" s="1">
        <v>89983.181393577499</v>
      </c>
    </row>
    <row r="68" spans="9:13" x14ac:dyDescent="0.3">
      <c r="I68" s="1">
        <v>64</v>
      </c>
      <c r="J68" s="1">
        <v>84027.753218381331</v>
      </c>
      <c r="L68" s="1">
        <v>64</v>
      </c>
      <c r="M68" s="1">
        <v>89274.113924196106</v>
      </c>
    </row>
    <row r="69" spans="9:13" x14ac:dyDescent="0.3">
      <c r="I69" s="1">
        <v>65</v>
      </c>
      <c r="J69" s="1">
        <v>83100.086822850397</v>
      </c>
      <c r="L69" s="1">
        <v>65</v>
      </c>
      <c r="M69" s="1">
        <v>88530.460555207552</v>
      </c>
    </row>
    <row r="70" spans="9:13" x14ac:dyDescent="0.3">
      <c r="I70" s="1">
        <v>66</v>
      </c>
      <c r="J70" s="1">
        <v>82147.759827860529</v>
      </c>
      <c r="L70" s="1">
        <v>66</v>
      </c>
      <c r="M70" s="1">
        <v>87748.736588505068</v>
      </c>
    </row>
    <row r="71" spans="9:13" x14ac:dyDescent="0.3">
      <c r="I71" s="1">
        <v>67</v>
      </c>
      <c r="J71" s="1">
        <v>81162.808187524482</v>
      </c>
      <c r="L71" s="1">
        <v>67</v>
      </c>
      <c r="M71" s="1">
        <v>86923.898464573125</v>
      </c>
    </row>
    <row r="72" spans="9:13" x14ac:dyDescent="0.3">
      <c r="I72" s="1">
        <v>68</v>
      </c>
      <c r="J72" s="1">
        <v>80140.156804361672</v>
      </c>
      <c r="L72" s="1">
        <v>68</v>
      </c>
      <c r="M72" s="1">
        <v>86050.313285004158</v>
      </c>
    </row>
    <row r="73" spans="9:13" x14ac:dyDescent="0.3">
      <c r="I73" s="1">
        <v>69</v>
      </c>
      <c r="J73" s="1">
        <v>79075.094120431706</v>
      </c>
      <c r="L73" s="1">
        <v>69</v>
      </c>
      <c r="M73" s="1">
        <v>85124.41191405752</v>
      </c>
    </row>
    <row r="74" spans="9:13" x14ac:dyDescent="0.3">
      <c r="I74" s="1">
        <v>70</v>
      </c>
      <c r="J74" s="1">
        <v>77964.089048039634</v>
      </c>
      <c r="L74" s="1">
        <v>70</v>
      </c>
      <c r="M74" s="1">
        <v>84145.481177045862</v>
      </c>
    </row>
    <row r="75" spans="9:13" x14ac:dyDescent="0.3">
      <c r="I75" s="1">
        <v>71</v>
      </c>
      <c r="J75" s="1">
        <v>76806.322325676243</v>
      </c>
      <c r="L75" s="1">
        <v>71</v>
      </c>
      <c r="M75" s="1">
        <v>83111.33321337997</v>
      </c>
    </row>
    <row r="76" spans="9:13" x14ac:dyDescent="0.3">
      <c r="I76" s="1">
        <v>72</v>
      </c>
      <c r="J76" s="1">
        <v>75597.390812270096</v>
      </c>
      <c r="L76" s="1">
        <v>72</v>
      </c>
      <c r="M76" s="1">
        <v>82019.25029495616</v>
      </c>
    </row>
    <row r="77" spans="9:13" x14ac:dyDescent="0.3">
      <c r="I77" s="1">
        <v>73</v>
      </c>
      <c r="J77" s="1">
        <v>74334.914385705182</v>
      </c>
      <c r="L77" s="1">
        <v>73</v>
      </c>
      <c r="M77" s="1">
        <v>80866.059635809084</v>
      </c>
    </row>
    <row r="78" spans="9:13" x14ac:dyDescent="0.3">
      <c r="I78" s="1">
        <v>74</v>
      </c>
      <c r="J78" s="1">
        <v>73013.982957071203</v>
      </c>
      <c r="L78" s="1">
        <v>74</v>
      </c>
      <c r="M78" s="1">
        <v>79646.599456501091</v>
      </c>
    </row>
    <row r="79" spans="9:13" x14ac:dyDescent="0.3">
      <c r="I79" s="1">
        <v>75</v>
      </c>
      <c r="J79" s="1">
        <v>71630.367980034702</v>
      </c>
      <c r="L79" s="1">
        <v>75</v>
      </c>
      <c r="M79" s="1">
        <v>78356.324545305775</v>
      </c>
    </row>
    <row r="80" spans="9:13" x14ac:dyDescent="0.3">
      <c r="I80" s="1">
        <v>76</v>
      </c>
      <c r="J80" s="1">
        <v>70179.136724759199</v>
      </c>
      <c r="L80" s="1">
        <v>76</v>
      </c>
      <c r="M80" s="1">
        <v>76990.573808481087</v>
      </c>
    </row>
    <row r="81" spans="9:13" x14ac:dyDescent="0.3">
      <c r="I81" s="1">
        <v>77</v>
      </c>
      <c r="J81" s="1">
        <v>68516.592975749649</v>
      </c>
      <c r="L81" s="1">
        <v>77</v>
      </c>
      <c r="M81" s="1">
        <v>75543.920926619729</v>
      </c>
    </row>
    <row r="82" spans="9:13" x14ac:dyDescent="0.3">
      <c r="I82" s="1">
        <v>78</v>
      </c>
      <c r="J82" s="1">
        <v>66640.608660073631</v>
      </c>
      <c r="L82" s="1">
        <v>78</v>
      </c>
      <c r="M82" s="1">
        <v>74010.379331809352</v>
      </c>
    </row>
    <row r="83" spans="9:13" x14ac:dyDescent="0.3">
      <c r="I83" s="1">
        <v>79</v>
      </c>
      <c r="J83" s="1">
        <v>64554.75760901333</v>
      </c>
      <c r="L83" s="1">
        <v>79</v>
      </c>
      <c r="M83" s="1">
        <v>72288.897908551473</v>
      </c>
    </row>
    <row r="84" spans="9:13" x14ac:dyDescent="0.3">
      <c r="I84" s="1">
        <v>80</v>
      </c>
      <c r="J84" s="1">
        <v>62170.750410512468</v>
      </c>
      <c r="L84" s="1">
        <v>80</v>
      </c>
      <c r="M84" s="1">
        <v>70206.977648785192</v>
      </c>
    </row>
    <row r="85" spans="9:13" x14ac:dyDescent="0.3">
      <c r="I85" s="1">
        <v>81</v>
      </c>
      <c r="J85" s="1">
        <v>59361.875906965513</v>
      </c>
      <c r="L85" s="1">
        <v>81</v>
      </c>
      <c r="M85" s="1">
        <v>67701.290616500046</v>
      </c>
    </row>
    <row r="86" spans="9:13" x14ac:dyDescent="0.3">
      <c r="I86" s="1">
        <v>82</v>
      </c>
      <c r="J86" s="1">
        <v>56080.945025587527</v>
      </c>
      <c r="L86" s="1">
        <v>82</v>
      </c>
      <c r="M86" s="1">
        <v>64852.420307357723</v>
      </c>
    </row>
    <row r="87" spans="9:13" x14ac:dyDescent="0.3">
      <c r="I87" s="1">
        <v>83</v>
      </c>
      <c r="J87" s="1">
        <v>52305.575806464971</v>
      </c>
      <c r="L87" s="1">
        <v>83</v>
      </c>
      <c r="M87" s="1">
        <v>61670.112042875684</v>
      </c>
    </row>
    <row r="88" spans="9:13" x14ac:dyDescent="0.3">
      <c r="I88" s="1">
        <v>84</v>
      </c>
      <c r="J88" s="1">
        <v>48001.873029109032</v>
      </c>
      <c r="L88" s="1">
        <v>84</v>
      </c>
      <c r="M88" s="1">
        <v>58265.921858108944</v>
      </c>
    </row>
    <row r="89" spans="9:13" x14ac:dyDescent="0.3">
      <c r="I89" s="1">
        <v>85</v>
      </c>
      <c r="J89" s="1">
        <v>43452.255503410081</v>
      </c>
      <c r="L89" s="1">
        <v>85</v>
      </c>
      <c r="M89" s="1">
        <v>54719.857853824433</v>
      </c>
    </row>
    <row r="90" spans="9:13" x14ac:dyDescent="0.3">
      <c r="I90" s="1">
        <v>86</v>
      </c>
      <c r="J90" s="1">
        <v>38904.976964978217</v>
      </c>
      <c r="L90" s="1">
        <v>86</v>
      </c>
      <c r="M90" s="1">
        <v>51045.419398940117</v>
      </c>
    </row>
    <row r="91" spans="9:13" x14ac:dyDescent="0.3">
      <c r="I91" s="1">
        <v>87</v>
      </c>
      <c r="J91" s="1">
        <v>34418.065971607277</v>
      </c>
      <c r="L91" s="1">
        <v>87</v>
      </c>
      <c r="M91" s="1">
        <v>47309.915607325682</v>
      </c>
    </row>
    <row r="92" spans="9:13" x14ac:dyDescent="0.3">
      <c r="I92" s="1">
        <v>88</v>
      </c>
      <c r="J92" s="1">
        <v>30047.659954532584</v>
      </c>
      <c r="L92" s="1">
        <v>88</v>
      </c>
      <c r="M92" s="1">
        <v>43451.79198954827</v>
      </c>
    </row>
    <row r="93" spans="9:13" x14ac:dyDescent="0.3">
      <c r="I93" s="1">
        <v>89</v>
      </c>
      <c r="J93" s="1">
        <v>25856.912820673926</v>
      </c>
      <c r="L93" s="1">
        <v>89</v>
      </c>
      <c r="M93" s="1">
        <v>39521.57740409363</v>
      </c>
    </row>
    <row r="94" spans="9:13" x14ac:dyDescent="0.3">
      <c r="I94" s="1">
        <v>90</v>
      </c>
      <c r="J94" s="1">
        <v>21908.30366382881</v>
      </c>
      <c r="L94" s="1">
        <v>90</v>
      </c>
      <c r="M94" s="1">
        <v>35569.024447910226</v>
      </c>
    </row>
    <row r="95" spans="9:13" x14ac:dyDescent="0.3">
      <c r="I95" s="1">
        <v>91</v>
      </c>
      <c r="J95" s="1">
        <v>18258.599356471568</v>
      </c>
      <c r="L95" s="1">
        <v>91</v>
      </c>
      <c r="M95" s="1">
        <v>31687.376809909783</v>
      </c>
    </row>
    <row r="96" spans="9:13" x14ac:dyDescent="0.3">
      <c r="I96" s="1">
        <v>92</v>
      </c>
      <c r="J96" s="1">
        <v>14973.694746248768</v>
      </c>
      <c r="L96" s="1">
        <v>92</v>
      </c>
      <c r="M96" s="1">
        <v>28036.674127640075</v>
      </c>
    </row>
    <row r="97" spans="9:13" x14ac:dyDescent="0.3">
      <c r="I97" s="1">
        <v>93</v>
      </c>
      <c r="J97" s="1">
        <v>12070.295334951132</v>
      </c>
      <c r="L97" s="1">
        <v>93</v>
      </c>
      <c r="M97" s="1">
        <v>24532.370228426342</v>
      </c>
    </row>
    <row r="98" spans="9:13" x14ac:dyDescent="0.3">
      <c r="I98" s="1">
        <v>94</v>
      </c>
      <c r="J98" s="1">
        <v>9550.7418867334327</v>
      </c>
      <c r="L98" s="1">
        <v>94</v>
      </c>
      <c r="M98" s="1">
        <v>21140.524720644116</v>
      </c>
    </row>
    <row r="99" spans="9:13" x14ac:dyDescent="0.3">
      <c r="I99" s="1">
        <v>95</v>
      </c>
      <c r="J99" s="1">
        <v>7406.5048257429098</v>
      </c>
      <c r="L99" s="1">
        <v>95</v>
      </c>
      <c r="M99" s="1">
        <v>17874.102246057395</v>
      </c>
    </row>
    <row r="100" spans="9:13" x14ac:dyDescent="0.3">
      <c r="I100" s="1">
        <v>96</v>
      </c>
      <c r="J100" s="1">
        <v>5619.6114714841751</v>
      </c>
      <c r="L100" s="1">
        <v>96</v>
      </c>
      <c r="M100" s="1">
        <v>14758.82496559205</v>
      </c>
    </row>
    <row r="101" spans="9:13" x14ac:dyDescent="0.3">
      <c r="I101" s="1">
        <v>97</v>
      </c>
      <c r="J101" s="1">
        <v>4174.5283815920193</v>
      </c>
      <c r="L101" s="1">
        <v>97</v>
      </c>
      <c r="M101" s="1">
        <v>11931.772043432893</v>
      </c>
    </row>
    <row r="102" spans="9:13" x14ac:dyDescent="0.3">
      <c r="I102" s="1">
        <v>98</v>
      </c>
      <c r="J102" s="1">
        <v>3029.9144446433038</v>
      </c>
      <c r="L102" s="1">
        <v>98</v>
      </c>
      <c r="M102" s="1">
        <v>9474.3042733674538</v>
      </c>
    </row>
    <row r="103" spans="9:13" x14ac:dyDescent="0.3">
      <c r="I103" s="1">
        <v>99</v>
      </c>
      <c r="J103" s="1">
        <v>2143.6947687295838</v>
      </c>
      <c r="L103" s="1">
        <v>99</v>
      </c>
      <c r="M103" s="1">
        <v>7368.4506625260701</v>
      </c>
    </row>
    <row r="104" spans="9:13" x14ac:dyDescent="0.3">
      <c r="I104" s="1">
        <v>100</v>
      </c>
      <c r="J104" s="1">
        <v>1474.5404466706443</v>
      </c>
      <c r="L104" s="1">
        <v>100</v>
      </c>
      <c r="M104" s="1">
        <v>5619.4752132688818</v>
      </c>
    </row>
    <row r="105" spans="9:13" x14ac:dyDescent="0.3">
      <c r="I105" s="1">
        <v>101</v>
      </c>
      <c r="J105" s="1">
        <v>983.06137039085183</v>
      </c>
      <c r="L105" s="1">
        <v>101</v>
      </c>
      <c r="M105" s="1">
        <v>4169.0886607241837</v>
      </c>
    </row>
    <row r="106" spans="9:13" x14ac:dyDescent="0.3">
      <c r="I106" s="1">
        <v>102</v>
      </c>
      <c r="J106" s="1">
        <v>637.38750072031655</v>
      </c>
      <c r="L106" s="1">
        <v>102</v>
      </c>
      <c r="M106" s="1">
        <v>2998.9088554321197</v>
      </c>
    </row>
    <row r="107" spans="9:13" x14ac:dyDescent="0.3">
      <c r="I107" s="1">
        <v>103</v>
      </c>
      <c r="J107" s="1">
        <v>400.71277395284864</v>
      </c>
      <c r="L107" s="1">
        <v>103</v>
      </c>
      <c r="M107" s="1">
        <v>2082.3823310349553</v>
      </c>
    </row>
    <row r="108" spans="9:13" x14ac:dyDescent="0.3">
      <c r="I108" s="1">
        <v>104</v>
      </c>
      <c r="J108" s="1">
        <v>243.43301017635551</v>
      </c>
      <c r="L108" s="1">
        <v>104</v>
      </c>
      <c r="M108" s="1">
        <v>1388.6366574506599</v>
      </c>
    </row>
    <row r="109" spans="9:13" x14ac:dyDescent="0.3">
      <c r="I109" s="1">
        <v>105</v>
      </c>
      <c r="J109" s="1">
        <v>142.34258404042035</v>
      </c>
      <c r="L109" s="1">
        <v>105</v>
      </c>
      <c r="M109" s="1">
        <v>883.6033915024293</v>
      </c>
    </row>
    <row r="110" spans="9:13" x14ac:dyDescent="0.3">
      <c r="I110" s="1">
        <v>106</v>
      </c>
      <c r="J110" s="1">
        <v>79.750279560326319</v>
      </c>
      <c r="L110" s="1">
        <v>106</v>
      </c>
      <c r="M110" s="1">
        <v>536.18821003150413</v>
      </c>
    </row>
    <row r="111" spans="9:13" x14ac:dyDescent="0.3">
      <c r="I111" s="1">
        <v>107</v>
      </c>
      <c r="J111" s="1">
        <v>42.585054279623051</v>
      </c>
      <c r="L111" s="1">
        <v>107</v>
      </c>
      <c r="M111" s="1">
        <v>306.25461992369418</v>
      </c>
    </row>
    <row r="112" spans="9:13" x14ac:dyDescent="0.3">
      <c r="I112" s="1">
        <v>108</v>
      </c>
      <c r="J112" s="1">
        <v>21.535687799748175</v>
      </c>
      <c r="L112" s="1">
        <v>108</v>
      </c>
      <c r="M112" s="1">
        <v>163.52771685445575</v>
      </c>
    </row>
    <row r="113" spans="9:13" x14ac:dyDescent="0.3">
      <c r="I113" s="1">
        <v>109</v>
      </c>
      <c r="J113" s="1">
        <v>10.236558481854301</v>
      </c>
      <c r="L113" s="1">
        <v>109</v>
      </c>
      <c r="M113" s="1">
        <v>81.065595076259342</v>
      </c>
    </row>
    <row r="114" spans="9:13" x14ac:dyDescent="0.3">
      <c r="I114" s="1">
        <v>110</v>
      </c>
      <c r="J114" s="1">
        <v>4.5314173431624436</v>
      </c>
      <c r="L114" s="1">
        <v>110</v>
      </c>
      <c r="M114" s="1">
        <v>36.903490846565539</v>
      </c>
    </row>
    <row r="115" spans="9:13" x14ac:dyDescent="0.3">
      <c r="I115" s="1">
        <v>111</v>
      </c>
      <c r="J115" s="1">
        <v>1.8468244523792856</v>
      </c>
      <c r="L115" s="1">
        <v>111</v>
      </c>
      <c r="M115" s="1">
        <v>15.240403649814636</v>
      </c>
    </row>
  </sheetData>
  <mergeCells count="5">
    <mergeCell ref="T1:W2"/>
    <mergeCell ref="A1:G2"/>
    <mergeCell ref="I1:J2"/>
    <mergeCell ref="L1:M2"/>
    <mergeCell ref="O1:R2"/>
  </mergeCells>
  <pageMargins left="0.7" right="0.7" top="0.75" bottom="0.75" header="0.3" footer="0.3"/>
  <ignoredErrors>
    <ignoredError sqref="A4:C4 E4 O4 T4" calculatedColumn="1"/>
  </ignoredErrors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500B-74BE-4B9A-AE5D-00A4024AF665}">
  <dimension ref="A1:E12"/>
  <sheetViews>
    <sheetView workbookViewId="0">
      <selection activeCell="H6" sqref="H6"/>
    </sheetView>
  </sheetViews>
  <sheetFormatPr defaultRowHeight="14.4" x14ac:dyDescent="0.3"/>
  <cols>
    <col min="1" max="1" width="18.44140625" style="1" customWidth="1"/>
    <col min="2" max="2" width="17.21875" style="1" customWidth="1"/>
    <col min="3" max="3" width="8.88671875" style="1"/>
    <col min="4" max="4" width="18.44140625" style="1" customWidth="1"/>
    <col min="5" max="5" width="19.77734375" style="1" customWidth="1"/>
    <col min="6" max="16384" width="8.88671875" style="1"/>
  </cols>
  <sheetData>
    <row r="1" spans="1:5" ht="38.4" customHeight="1" x14ac:dyDescent="0.3">
      <c r="A1" s="13" t="s">
        <v>61</v>
      </c>
      <c r="B1" s="13"/>
      <c r="D1" s="13" t="s">
        <v>61</v>
      </c>
      <c r="E1" s="13"/>
    </row>
    <row r="2" spans="1:5" ht="17.399999999999999" customHeight="1" x14ac:dyDescent="0.3">
      <c r="A2" s="19" t="s">
        <v>62</v>
      </c>
      <c r="B2" s="19"/>
      <c r="D2" s="19" t="s">
        <v>63</v>
      </c>
      <c r="E2" s="19"/>
    </row>
    <row r="3" spans="1:5" x14ac:dyDescent="0.3">
      <c r="A3" s="11" t="s">
        <v>10</v>
      </c>
      <c r="B3" s="11" t="s">
        <v>35</v>
      </c>
      <c r="D3" s="11" t="s">
        <v>10</v>
      </c>
      <c r="E3" s="11" t="s">
        <v>36</v>
      </c>
    </row>
    <row r="4" spans="1:5" x14ac:dyDescent="0.3">
      <c r="A4" s="1">
        <v>0</v>
      </c>
      <c r="B4" s="1">
        <v>1</v>
      </c>
      <c r="D4" s="1">
        <v>0</v>
      </c>
      <c r="E4" s="1">
        <v>0</v>
      </c>
    </row>
    <row r="5" spans="1:5" x14ac:dyDescent="0.3">
      <c r="A5" s="1">
        <v>1</v>
      </c>
      <c r="B5" s="1">
        <v>2</v>
      </c>
      <c r="D5" s="1">
        <v>3</v>
      </c>
      <c r="E5" s="1">
        <v>2</v>
      </c>
    </row>
    <row r="6" spans="1:5" x14ac:dyDescent="0.3">
      <c r="A6" s="1">
        <v>2</v>
      </c>
      <c r="B6" s="1">
        <v>3</v>
      </c>
      <c r="D6" s="1">
        <v>6</v>
      </c>
      <c r="E6" s="1">
        <v>3</v>
      </c>
    </row>
    <row r="7" spans="1:5" x14ac:dyDescent="0.3">
      <c r="A7" s="1">
        <v>3</v>
      </c>
      <c r="B7" s="1">
        <v>4</v>
      </c>
      <c r="D7" s="1">
        <v>9</v>
      </c>
      <c r="E7" s="1">
        <v>4</v>
      </c>
    </row>
    <row r="8" spans="1:5" x14ac:dyDescent="0.3">
      <c r="A8" s="1">
        <v>4</v>
      </c>
      <c r="B8" s="1">
        <v>5</v>
      </c>
      <c r="D8" s="1">
        <v>12</v>
      </c>
      <c r="E8" s="1">
        <v>5</v>
      </c>
    </row>
    <row r="9" spans="1:5" x14ac:dyDescent="0.3">
      <c r="A9" s="1">
        <v>5</v>
      </c>
      <c r="B9" s="1">
        <v>6</v>
      </c>
      <c r="D9" s="1">
        <v>15</v>
      </c>
      <c r="E9" s="1">
        <v>6</v>
      </c>
    </row>
    <row r="10" spans="1:5" x14ac:dyDescent="0.3">
      <c r="A10" s="1">
        <v>6</v>
      </c>
      <c r="B10" s="1">
        <v>7</v>
      </c>
      <c r="D10" s="1">
        <v>18</v>
      </c>
      <c r="E10" s="1">
        <v>7</v>
      </c>
    </row>
    <row r="11" spans="1:5" x14ac:dyDescent="0.3">
      <c r="A11" s="1">
        <v>7</v>
      </c>
      <c r="B11" s="1">
        <v>8</v>
      </c>
      <c r="D11" s="1">
        <v>21</v>
      </c>
      <c r="E11" s="1">
        <v>8</v>
      </c>
    </row>
    <row r="12" spans="1:5" x14ac:dyDescent="0.3">
      <c r="A12" s="1">
        <v>8</v>
      </c>
      <c r="B12" s="1">
        <v>9</v>
      </c>
      <c r="D12" s="1">
        <v>24</v>
      </c>
      <c r="E12" s="1">
        <v>10</v>
      </c>
    </row>
  </sheetData>
  <mergeCells count="2">
    <mergeCell ref="A2:B2"/>
    <mergeCell ref="D2:E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Dashboard</vt:lpstr>
      <vt:lpstr>Proyeksi Tahunan</vt:lpstr>
      <vt:lpstr>Referensi</vt:lpstr>
      <vt:lpstr>a_55</vt:lpstr>
      <vt:lpstr>a_60</vt:lpstr>
      <vt:lpstr>Batas_Atas_Manfaat_JP</vt:lpstr>
      <vt:lpstr>dana_lump_sum</vt:lpstr>
      <vt:lpstr>Gaji_Akhir</vt:lpstr>
      <vt:lpstr>Gaji_Awal</vt:lpstr>
      <vt:lpstr>Gender</vt:lpstr>
      <vt:lpstr>Imbal_Hasil</vt:lpstr>
      <vt:lpstr>Informasi</vt:lpstr>
      <vt:lpstr>Kenaikan_Gaji</vt:lpstr>
      <vt:lpstr>lump_sum_jp</vt:lpstr>
      <vt:lpstr>Manfaat_JP_Final</vt:lpstr>
      <vt:lpstr>Masa_Iuran_JP</vt:lpstr>
      <vt:lpstr>Masa_Kerja</vt:lpstr>
      <vt:lpstr>pv_manfaat_jp</vt:lpstr>
      <vt:lpstr>Rate_Iuran_JHT</vt:lpstr>
      <vt:lpstr>Target_IRR</vt:lpstr>
      <vt:lpstr>total_akumulasi_dana_jht</vt:lpstr>
      <vt:lpstr>uang_pesangon_final</vt:lpstr>
      <vt:lpstr>Usia_Awal</vt:lpstr>
      <vt:lpstr>Usia_Mulai_Iuran_JP</vt:lpstr>
      <vt:lpstr>Usia_Pensiun</vt:lpstr>
      <vt:lpstr>Usia_Pensiun_JP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Zaki Zulhamlizar</dc:creator>
  <cp:lastModifiedBy>Muhammad Zaki Zulhamlizar</cp:lastModifiedBy>
  <dcterms:created xsi:type="dcterms:W3CDTF">2025-10-03T03:01:41Z</dcterms:created>
  <dcterms:modified xsi:type="dcterms:W3CDTF">2025-10-03T04:31:24Z</dcterms:modified>
</cp:coreProperties>
</file>