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bsi80086\Documents\FY 2021\Rakamin Academy\KPI (key performance indicator)\"/>
    </mc:Choice>
  </mc:AlternateContent>
  <xr:revisionPtr revIDLastSave="0" documentId="13_ncr:1_{EBC765FF-7B6E-4ABC-BDB4-E06DD747405C}" xr6:coauthVersionLast="44" xr6:coauthVersionMax="47" xr10:uidLastSave="{00000000-0000-0000-0000-000000000000}"/>
  <bookViews>
    <workbookView xWindow="-110" yWindow="-110" windowWidth="19420" windowHeight="10420" firstSheet="2" activeTab="8" xr2:uid="{00000000-000D-0000-FFFF-FFFF00000000}"/>
  </bookViews>
  <sheets>
    <sheet name="OTOBOS" sheetId="23" r:id="rId1"/>
    <sheet name="Formula" sheetId="14" r:id="rId2"/>
    <sheet name="Fulfillment" sheetId="24" r:id="rId3"/>
    <sheet name="Dashboard" sheetId="22" r:id="rId4"/>
    <sheet name="Score" sheetId="8" r:id="rId5"/>
    <sheet name="Max" sheetId="21" r:id="rId6"/>
    <sheet name="Project" sheetId="5" r:id="rId7"/>
    <sheet name="Min T=0" sheetId="12" r:id="rId8"/>
    <sheet name="Stabilize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4" l="1"/>
  <c r="I18" i="14"/>
  <c r="I19" i="14"/>
  <c r="I16" i="14"/>
  <c r="H13" i="14" l="1"/>
  <c r="G13" i="14"/>
  <c r="I13" i="14" l="1"/>
  <c r="J13" i="14" s="1"/>
  <c r="F15" i="24"/>
  <c r="F17" i="24" s="1"/>
  <c r="F16" i="24"/>
  <c r="F14" i="24"/>
  <c r="F7" i="24"/>
  <c r="F8" i="24"/>
  <c r="F6" i="24"/>
  <c r="J14" i="23"/>
  <c r="J13" i="23"/>
  <c r="J12" i="23"/>
  <c r="J11" i="23"/>
  <c r="J10" i="23"/>
  <c r="J9" i="23"/>
  <c r="J8" i="23"/>
  <c r="J7" i="23"/>
  <c r="J6" i="23"/>
  <c r="J5" i="23"/>
  <c r="G14" i="23"/>
  <c r="G13" i="23"/>
  <c r="G12" i="23"/>
  <c r="G11" i="23"/>
  <c r="G10" i="23"/>
  <c r="G9" i="23"/>
  <c r="G8" i="23"/>
  <c r="G6" i="23"/>
  <c r="G5" i="23"/>
  <c r="G7" i="23"/>
  <c r="H15" i="23"/>
  <c r="D12" i="23" s="1"/>
  <c r="L12" i="23" l="1"/>
  <c r="F9" i="24"/>
  <c r="D5" i="23"/>
  <c r="L5" i="23" s="1"/>
  <c r="D7" i="23"/>
  <c r="L7" i="23" s="1"/>
  <c r="D10" i="23"/>
  <c r="L10" i="23" s="1"/>
  <c r="D9" i="23"/>
  <c r="L9" i="23" s="1"/>
  <c r="D11" i="23"/>
  <c r="L11" i="23" s="1"/>
  <c r="D13" i="23"/>
  <c r="L13" i="23" s="1"/>
  <c r="D6" i="23"/>
  <c r="L6" i="23" s="1"/>
  <c r="D8" i="23"/>
  <c r="L8" i="23" s="1"/>
  <c r="D14" i="23"/>
  <c r="L14" i="23" s="1"/>
  <c r="I10" i="14"/>
  <c r="J10" i="14" s="1"/>
  <c r="N9" i="21"/>
  <c r="N10" i="21"/>
  <c r="N11" i="21"/>
  <c r="N12" i="21"/>
  <c r="N13" i="21"/>
  <c r="N8" i="21"/>
  <c r="H21" i="5"/>
  <c r="Q32" i="21"/>
  <c r="Q34" i="21"/>
  <c r="Q33" i="21"/>
  <c r="G40" i="22"/>
  <c r="F40" i="22"/>
  <c r="G33" i="22"/>
  <c r="F33" i="22"/>
  <c r="H45" i="22"/>
  <c r="I45" i="22" s="1"/>
  <c r="H44" i="22"/>
  <c r="I44" i="22" s="1"/>
  <c r="H43" i="22"/>
  <c r="I43" i="22" s="1"/>
  <c r="H42" i="22"/>
  <c r="I42" i="22" s="1"/>
  <c r="H41" i="22"/>
  <c r="I41" i="22" s="1"/>
  <c r="H38" i="22"/>
  <c r="I38" i="22" s="1"/>
  <c r="H37" i="22"/>
  <c r="I37" i="22" s="1"/>
  <c r="H36" i="22"/>
  <c r="I36" i="22" s="1"/>
  <c r="H35" i="22"/>
  <c r="I35" i="22" s="1"/>
  <c r="H34" i="22"/>
  <c r="I34" i="22" s="1"/>
  <c r="H23" i="22"/>
  <c r="H24" i="22"/>
  <c r="H25" i="22"/>
  <c r="H22" i="22"/>
  <c r="H19" i="22"/>
  <c r="H21" i="22"/>
  <c r="H27" i="22"/>
  <c r="H28" i="22"/>
  <c r="H29" i="22"/>
  <c r="H18" i="22"/>
  <c r="H20" i="22"/>
  <c r="H26" i="22"/>
  <c r="F17" i="22"/>
  <c r="L15" i="23" l="1"/>
  <c r="H33" i="22"/>
  <c r="I33" i="22" s="1"/>
  <c r="H40" i="22"/>
  <c r="I40" i="22" s="1"/>
  <c r="G17" i="22"/>
  <c r="H17" i="22" s="1"/>
  <c r="I17" i="22" s="1"/>
  <c r="I29" i="22"/>
  <c r="I27" i="22"/>
  <c r="I25" i="22"/>
  <c r="I23" i="22"/>
  <c r="I21" i="22"/>
  <c r="I19" i="22"/>
  <c r="I28" i="22"/>
  <c r="I26" i="22"/>
  <c r="I24" i="22"/>
  <c r="I18" i="22"/>
  <c r="I22" i="22"/>
  <c r="I20" i="22"/>
  <c r="G3" i="22"/>
  <c r="H3" i="22" s="1"/>
  <c r="I3" i="22" s="1"/>
  <c r="F3" i="22"/>
  <c r="H5" i="22"/>
  <c r="I5" i="22" s="1"/>
  <c r="H6" i="22"/>
  <c r="I6" i="22" s="1"/>
  <c r="H7" i="22"/>
  <c r="I7" i="22" s="1"/>
  <c r="H8" i="22"/>
  <c r="I8" i="22" s="1"/>
  <c r="H9" i="22"/>
  <c r="I9" i="22" s="1"/>
  <c r="H10" i="22"/>
  <c r="I10" i="22" s="1"/>
  <c r="H11" i="22"/>
  <c r="I11" i="22" s="1"/>
  <c r="H12" i="22"/>
  <c r="I12" i="22" s="1"/>
  <c r="H13" i="22"/>
  <c r="I13" i="22" s="1"/>
  <c r="H14" i="22"/>
  <c r="I14" i="22" s="1"/>
  <c r="H15" i="22"/>
  <c r="I15" i="22" s="1"/>
  <c r="H4" i="22"/>
  <c r="I4" i="22" s="1"/>
  <c r="E9" i="21"/>
  <c r="E10" i="21"/>
  <c r="E11" i="21"/>
  <c r="E12" i="21"/>
  <c r="E13" i="21"/>
  <c r="E8" i="21"/>
  <c r="F6" i="11"/>
  <c r="F7" i="11"/>
  <c r="F8" i="11"/>
  <c r="F9" i="11"/>
  <c r="F10" i="11"/>
  <c r="F11" i="11"/>
  <c r="F12" i="11"/>
  <c r="F13" i="11"/>
  <c r="F14" i="11"/>
  <c r="F15" i="11"/>
  <c r="F5" i="11"/>
  <c r="E5" i="11"/>
  <c r="E11" i="11"/>
  <c r="E12" i="11"/>
  <c r="E13" i="11"/>
  <c r="E14" i="11"/>
  <c r="E15" i="11"/>
  <c r="E6" i="11"/>
  <c r="E7" i="11"/>
  <c r="E8" i="11"/>
  <c r="E9" i="11"/>
  <c r="E10" i="11"/>
  <c r="D15" i="5"/>
  <c r="E15" i="5" s="1"/>
  <c r="I14" i="5"/>
  <c r="I13" i="5"/>
  <c r="I12" i="5"/>
  <c r="I11" i="5"/>
  <c r="E11" i="5"/>
  <c r="I10" i="5"/>
  <c r="I9" i="5"/>
  <c r="I8" i="5"/>
  <c r="I7" i="5"/>
  <c r="E7" i="5"/>
  <c r="I6" i="5"/>
  <c r="I5" i="5"/>
  <c r="D46" i="21"/>
  <c r="E46" i="21"/>
  <c r="B47" i="21"/>
  <c r="C47" i="21"/>
  <c r="B48" i="21"/>
  <c r="B49" i="21" s="1"/>
  <c r="E32" i="21"/>
  <c r="E33" i="21"/>
  <c r="E34" i="21"/>
  <c r="E35" i="21"/>
  <c r="E36" i="21"/>
  <c r="E37" i="21"/>
  <c r="E38" i="21"/>
  <c r="E39" i="21"/>
  <c r="E40" i="21"/>
  <c r="E31" i="21"/>
  <c r="D32" i="21"/>
  <c r="D33" i="21"/>
  <c r="D34" i="21"/>
  <c r="D35" i="21"/>
  <c r="D36" i="21"/>
  <c r="D37" i="21"/>
  <c r="D38" i="21"/>
  <c r="D39" i="21"/>
  <c r="D40" i="21"/>
  <c r="D31" i="21"/>
  <c r="D12" i="21"/>
  <c r="D13" i="21"/>
  <c r="D19" i="21"/>
  <c r="E19" i="21"/>
  <c r="B20" i="21"/>
  <c r="D20" i="21" s="1"/>
  <c r="D8" i="21"/>
  <c r="D9" i="21"/>
  <c r="D10" i="21"/>
  <c r="D11" i="21"/>
  <c r="I6" i="14"/>
  <c r="J6" i="14" s="1"/>
  <c r="I12" i="14"/>
  <c r="J12" i="14" s="1"/>
  <c r="I5" i="14"/>
  <c r="J5" i="14" s="1"/>
  <c r="I4" i="14"/>
  <c r="J4" i="14" s="1"/>
  <c r="J11" i="5" l="1"/>
  <c r="J7" i="5"/>
  <c r="E5" i="5"/>
  <c r="J5" i="5" s="1"/>
  <c r="E9" i="5"/>
  <c r="J9" i="5" s="1"/>
  <c r="E13" i="5"/>
  <c r="J13" i="5" s="1"/>
  <c r="I15" i="5"/>
  <c r="E20" i="21"/>
  <c r="E6" i="5"/>
  <c r="J6" i="5" s="1"/>
  <c r="E8" i="5"/>
  <c r="J8" i="5" s="1"/>
  <c r="E10" i="5"/>
  <c r="J10" i="5" s="1"/>
  <c r="E12" i="5"/>
  <c r="J12" i="5" s="1"/>
  <c r="E14" i="5"/>
  <c r="J14" i="5" s="1"/>
  <c r="D47" i="21"/>
  <c r="B50" i="21"/>
  <c r="C48" i="21"/>
  <c r="E48" i="21" s="1"/>
  <c r="E47" i="21"/>
  <c r="B21" i="21"/>
  <c r="D21" i="21" s="1"/>
  <c r="E21" i="21"/>
  <c r="I3" i="14"/>
  <c r="J3" i="14" s="1"/>
  <c r="J15" i="5" l="1"/>
  <c r="B22" i="21"/>
  <c r="B23" i="21" s="1"/>
  <c r="D48" i="21"/>
  <c r="C49" i="21"/>
  <c r="B51" i="21"/>
  <c r="D22" i="21"/>
  <c r="E22" i="21"/>
  <c r="I7" i="14"/>
  <c r="J7" i="14" s="1"/>
  <c r="B52" i="21" l="1"/>
  <c r="D49" i="21"/>
  <c r="C50" i="21"/>
  <c r="E49" i="21"/>
  <c r="D23" i="21"/>
  <c r="B24" i="21"/>
  <c r="E23" i="21"/>
  <c r="I8" i="14"/>
  <c r="J8" i="14" s="1"/>
  <c r="D50" i="21" l="1"/>
  <c r="C51" i="21"/>
  <c r="E50" i="21"/>
  <c r="B53" i="21"/>
  <c r="E24" i="21"/>
  <c r="D24" i="21"/>
  <c r="B25" i="21"/>
  <c r="B54" i="21" l="1"/>
  <c r="D51" i="21"/>
  <c r="C52" i="21"/>
  <c r="E51" i="21"/>
  <c r="D25" i="21"/>
  <c r="E25" i="21"/>
  <c r="D52" i="21" l="1"/>
  <c r="C53" i="21"/>
  <c r="E52" i="21"/>
  <c r="B55" i="21"/>
  <c r="I11" i="14"/>
  <c r="J11" i="14" s="1"/>
  <c r="I9" i="14"/>
  <c r="J9" i="14" s="1"/>
  <c r="B56" i="21" l="1"/>
  <c r="D53" i="21"/>
  <c r="C54" i="21"/>
  <c r="E53" i="21"/>
  <c r="D54" i="21" l="1"/>
  <c r="C55" i="21"/>
  <c r="E54" i="21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6" i="12"/>
  <c r="D55" i="21" l="1"/>
  <c r="C56" i="21"/>
  <c r="E55" i="21"/>
  <c r="D56" i="21" l="1"/>
  <c r="E56" i="21"/>
</calcChain>
</file>

<file path=xl/sharedStrings.xml><?xml version="1.0" encoding="utf-8"?>
<sst xmlns="http://schemas.openxmlformats.org/spreadsheetml/2006/main" count="318" uniqueCount="196">
  <si>
    <t>No</t>
  </si>
  <si>
    <t>Target</t>
  </si>
  <si>
    <t>Actual</t>
  </si>
  <si>
    <t>Ach</t>
  </si>
  <si>
    <t>Score</t>
  </si>
  <si>
    <t>A/T</t>
  </si>
  <si>
    <t>Poor</t>
  </si>
  <si>
    <t>Fair</t>
  </si>
  <si>
    <t>Good</t>
  </si>
  <si>
    <t>Excellent</t>
  </si>
  <si>
    <t>IF(A=0, 100%, 0%)</t>
  </si>
  <si>
    <t>Project Name</t>
  </si>
  <si>
    <t>ACHIEVEMENT</t>
  </si>
  <si>
    <t>SCORING SYSTEM for KPI</t>
  </si>
  <si>
    <t>SCORE</t>
  </si>
  <si>
    <t>Category</t>
  </si>
  <si>
    <t>Colour</t>
  </si>
  <si>
    <t>Score = 4</t>
  </si>
  <si>
    <t>BLUE</t>
  </si>
  <si>
    <t>GREEN</t>
  </si>
  <si>
    <t>YELLOW</t>
  </si>
  <si>
    <t>RED</t>
  </si>
  <si>
    <t>Score = 1</t>
  </si>
  <si>
    <r>
      <t xml:space="preserve">3 </t>
    </r>
    <r>
      <rPr>
        <u/>
        <sz val="10"/>
        <color indexed="8"/>
        <rFont val="Arial"/>
        <family val="2"/>
      </rPr>
      <t>&lt;</t>
    </r>
    <r>
      <rPr>
        <sz val="10"/>
        <color indexed="8"/>
        <rFont val="Arial"/>
        <family val="2"/>
      </rPr>
      <t xml:space="preserve"> Score &lt; 4</t>
    </r>
  </si>
  <si>
    <r>
      <t xml:space="preserve">2 </t>
    </r>
    <r>
      <rPr>
        <u/>
        <sz val="10"/>
        <color indexed="8"/>
        <rFont val="Arial"/>
        <family val="2"/>
      </rPr>
      <t>&lt;</t>
    </r>
    <r>
      <rPr>
        <sz val="10"/>
        <color indexed="8"/>
        <rFont val="Arial"/>
        <family val="2"/>
      </rPr>
      <t xml:space="preserve"> Score &lt; 3</t>
    </r>
  </si>
  <si>
    <r>
      <t xml:space="preserve">1 </t>
    </r>
    <r>
      <rPr>
        <u/>
        <sz val="10"/>
        <color indexed="8"/>
        <rFont val="Arial"/>
        <family val="2"/>
      </rPr>
      <t>&lt;</t>
    </r>
    <r>
      <rPr>
        <sz val="10"/>
        <color indexed="8"/>
        <rFont val="Arial"/>
        <family val="2"/>
      </rPr>
      <t xml:space="preserve"> Score &lt; 2</t>
    </r>
  </si>
  <si>
    <t>Polarization</t>
  </si>
  <si>
    <t>Minimize w/ target=0</t>
  </si>
  <si>
    <t>Fatality, Tank top, Strike</t>
  </si>
  <si>
    <t>Minimize yes or no</t>
  </si>
  <si>
    <t>Stabilize</t>
  </si>
  <si>
    <t>Maximize Uptime</t>
  </si>
  <si>
    <t>Uptime IT</t>
  </si>
  <si>
    <t>Survey rank 1-4</t>
  </si>
  <si>
    <t>Downtime, damage</t>
  </si>
  <si>
    <t>Example KPI</t>
  </si>
  <si>
    <t>Achievement</t>
  </si>
  <si>
    <t>Losses, Delay, Deviation</t>
  </si>
  <si>
    <t>K</t>
  </si>
  <si>
    <t>200% - A/T</t>
  </si>
  <si>
    <r>
      <t xml:space="preserve">e  </t>
    </r>
    <r>
      <rPr>
        <b/>
        <vertAlign val="superscript"/>
        <sz val="14"/>
        <color rgb="FFFF0000"/>
        <rFont val="Arial"/>
        <family val="2"/>
      </rPr>
      <t>-K</t>
    </r>
    <r>
      <rPr>
        <b/>
        <vertAlign val="superscript"/>
        <sz val="14"/>
        <rFont val="Arial"/>
        <family val="2"/>
      </rPr>
      <t>.A</t>
    </r>
  </si>
  <si>
    <t>Budget ($)</t>
  </si>
  <si>
    <t>Weight</t>
  </si>
  <si>
    <t>Maximize Project</t>
  </si>
  <si>
    <t>TABLE OTOBOS</t>
  </si>
  <si>
    <t>Production, Revenue, Profit</t>
  </si>
  <si>
    <t xml:space="preserve">K = </t>
  </si>
  <si>
    <t>Maximize Survey</t>
  </si>
  <si>
    <t>Survey rank 1-100</t>
  </si>
  <si>
    <t>Otobos Project</t>
  </si>
  <si>
    <t>A/T*115%</t>
  </si>
  <si>
    <t>Maximize Standard</t>
  </si>
  <si>
    <t>Minimize Standard</t>
  </si>
  <si>
    <t>Budget spending, C&amp;B Percentile</t>
  </si>
  <si>
    <t>Standard</t>
  </si>
  <si>
    <t>Calibrated</t>
  </si>
  <si>
    <t>Minimize with Target=0</t>
  </si>
  <si>
    <t>Achievement to Score</t>
  </si>
  <si>
    <t>Maximize Index 4</t>
  </si>
  <si>
    <t>Achiev &gt; 115%</t>
  </si>
  <si>
    <t>100% &lt; Achiev &lt; 115%</t>
  </si>
  <si>
    <t xml:space="preserve"> 85% &lt; Achiev &lt; 100%</t>
  </si>
  <si>
    <t xml:space="preserve"> 70% &lt; Achiev &lt; 85%</t>
  </si>
  <si>
    <t>Achiev &lt; 70%</t>
  </si>
  <si>
    <r>
      <t>A/T + ((A-50) / 100) ^</t>
    </r>
    <r>
      <rPr>
        <b/>
        <sz val="10"/>
        <color rgb="FFFF0000"/>
        <rFont val="Arial"/>
        <family val="2"/>
      </rPr>
      <t>K</t>
    </r>
  </si>
  <si>
    <t>FORMULA Achievement based on polarization</t>
  </si>
  <si>
    <t>Otobos</t>
  </si>
  <si>
    <t>100%+(A-T)/(4-T)*15%</t>
  </si>
  <si>
    <t>100%+(A-T)/(1-T)*15%</t>
  </si>
  <si>
    <t>On budget</t>
  </si>
  <si>
    <t>On spec</t>
  </si>
  <si>
    <t>On time</t>
  </si>
  <si>
    <t>Achievement = ∑ (Otobos * Weight * 115%)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</si>
  <si>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</si>
  <si>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</si>
  <si>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</si>
  <si>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</si>
  <si>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</si>
  <si>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</si>
  <si>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</si>
  <si>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</si>
  <si>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</si>
  <si>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</si>
  <si>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Maximize Index-10</t>
  </si>
  <si>
    <t>Maximize Index-4</t>
  </si>
  <si>
    <t>Survey scale=10, Target=8.696</t>
  </si>
  <si>
    <t>Project Performance</t>
  </si>
  <si>
    <t xml:space="preserve">faktor K </t>
  </si>
  <si>
    <t xml:space="preserve">Maximize Uptime ; </t>
  </si>
  <si>
    <t>Formula Achievement = 100%+(A-T)/(1-T)*15%</t>
  </si>
  <si>
    <t>Formula Achievement = 100%+(A-T)/(4-T)*15%</t>
  </si>
  <si>
    <t>Maximize Index 5</t>
  </si>
  <si>
    <t>Formula Achievement = 100%+(A-T)/(5-T)*15%</t>
  </si>
  <si>
    <t>Maximize Survey 100</t>
  </si>
  <si>
    <t>100%+(K- ABS((A-T)/T)) * (15%/K)</t>
  </si>
  <si>
    <r>
      <t xml:space="preserve">Formula Achievement = e  </t>
    </r>
    <r>
      <rPr>
        <b/>
        <vertAlign val="superscript"/>
        <sz val="12"/>
        <color rgb="FFFF0000"/>
        <rFont val="Arial"/>
        <family val="2"/>
      </rPr>
      <t>-K</t>
    </r>
    <r>
      <rPr>
        <b/>
        <vertAlign val="superscript"/>
        <sz val="12"/>
        <rFont val="Arial"/>
        <family val="2"/>
      </rPr>
      <t>.A</t>
    </r>
  </si>
  <si>
    <t>Formula Achievement = A/T x 100%</t>
  </si>
  <si>
    <t>Formula Achievement = A/T + ((A-50) / 100) ^K</t>
  </si>
  <si>
    <t>Formula Achievement = 100%+(K- ABS((A-T)/T)) * (15%/K)</t>
  </si>
  <si>
    <t>Strategic Objective</t>
  </si>
  <si>
    <t>KPI</t>
  </si>
  <si>
    <t>Meningkatkan produksi</t>
  </si>
  <si>
    <t>Volume produksi</t>
  </si>
  <si>
    <t>YTD Target</t>
  </si>
  <si>
    <t>YTD Actual</t>
  </si>
  <si>
    <t>UOM</t>
  </si>
  <si>
    <t>Ton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</si>
  <si>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</si>
  <si>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</si>
  <si>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</si>
  <si>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</si>
  <si>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</si>
  <si>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</si>
  <si>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</si>
  <si>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</si>
  <si>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</si>
  <si>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</si>
  <si>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</si>
  <si>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</si>
  <si>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Achieve ment</t>
  </si>
  <si>
    <t>Rejection Rate</t>
  </si>
  <si>
    <t>%</t>
  </si>
  <si>
    <t>Annual Target</t>
  </si>
  <si>
    <t>Actual KPI OTOBOS dihitung sebagai berikut:</t>
  </si>
  <si>
    <r>
      <rPr>
        <b/>
        <sz val="12"/>
        <color rgb="FFFF0000"/>
        <rFont val="Arial"/>
        <family val="2"/>
      </rPr>
      <t>P</t>
    </r>
    <r>
      <rPr>
        <b/>
        <sz val="10"/>
        <rFont val="Arial"/>
        <family val="2"/>
      </rPr>
      <t>lan Durasi (Days)</t>
    </r>
  </si>
  <si>
    <t>ACTUAL KPI OTOBOS</t>
  </si>
  <si>
    <r>
      <t>ON TIME 
(2-</t>
    </r>
    <r>
      <rPr>
        <b/>
        <sz val="12"/>
        <color rgb="FFFF000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>/</t>
    </r>
    <r>
      <rPr>
        <b/>
        <sz val="12"/>
        <color rgb="FFFF0000"/>
        <rFont val="Calibri"/>
        <family val="2"/>
        <scheme val="minor"/>
      </rPr>
      <t>P</t>
    </r>
    <r>
      <rPr>
        <b/>
        <sz val="10"/>
        <rFont val="Calibri"/>
        <family val="2"/>
        <scheme val="minor"/>
      </rPr>
      <t>)</t>
    </r>
  </si>
  <si>
    <r>
      <t>ON BUDGET 
(2-</t>
    </r>
    <r>
      <rPr>
        <b/>
        <sz val="12"/>
        <color rgb="FFFF000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>/</t>
    </r>
    <r>
      <rPr>
        <b/>
        <sz val="12"/>
        <color rgb="FFFF0000"/>
        <rFont val="Calibri"/>
        <family val="2"/>
        <scheme val="minor"/>
      </rPr>
      <t>B</t>
    </r>
    <r>
      <rPr>
        <b/>
        <sz val="10"/>
        <rFont val="Calibri"/>
        <family val="2"/>
        <scheme val="minor"/>
      </rPr>
      <t>)</t>
    </r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</si>
  <si>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</si>
  <si>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</si>
  <si>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</si>
  <si>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</si>
  <si>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</si>
  <si>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</si>
  <si>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</si>
  <si>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</si>
  <si>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</si>
  <si>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</si>
  <si>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Formula</t>
  </si>
  <si>
    <t>(e+h+i)/3*b*115%</t>
  </si>
  <si>
    <t>ON SPEC</t>
  </si>
  <si>
    <t>Target KPI OTOBOS harus di set = 100%</t>
  </si>
  <si>
    <r>
      <rPr>
        <b/>
        <sz val="12"/>
        <color rgb="FFFF0000"/>
        <rFont val="Arial"/>
        <family val="2"/>
      </rPr>
      <t>B</t>
    </r>
    <r>
      <rPr>
        <b/>
        <sz val="10"/>
        <rFont val="Arial"/>
        <family val="2"/>
      </rPr>
      <t>udget 
(Rp)</t>
    </r>
  </si>
  <si>
    <r>
      <rPr>
        <b/>
        <sz val="12"/>
        <color rgb="FFFF0000"/>
        <rFont val="Arial"/>
        <family val="2"/>
      </rPr>
      <t>R</t>
    </r>
    <r>
      <rPr>
        <b/>
        <sz val="10"/>
        <rFont val="Arial"/>
        <family val="2"/>
      </rPr>
      <t>ealisasi Biaya 
(Rp)</t>
    </r>
  </si>
  <si>
    <r>
      <rPr>
        <b/>
        <sz val="12"/>
        <color rgb="FFFF0000"/>
        <rFont val="Arial"/>
        <family val="2"/>
      </rPr>
      <t>R</t>
    </r>
    <r>
      <rPr>
        <b/>
        <sz val="10"/>
        <rFont val="Arial"/>
        <family val="2"/>
      </rPr>
      <t>ealisasi Durasi 
(Days)</t>
    </r>
  </si>
  <si>
    <t>Formula 
Actual KPI 
OTOBOS</t>
  </si>
  <si>
    <t>TOTAL</t>
  </si>
  <si>
    <t>Catatan:</t>
  </si>
  <si>
    <t>Dalam contoh ini KPI Actual OTOBOS adalah 112%</t>
  </si>
  <si>
    <t>Weight atau Bobot biasanya ditentukan berdasarkan porsi Budget setiap Proyek</t>
  </si>
  <si>
    <t>KPI Fulfillment of …………..  Hanya diberlakukan untuk perhitungan agregasi apabila terdapat beberapa produk/ jasa yang dimensinya berbeda</t>
  </si>
  <si>
    <t>Contoh 1</t>
  </si>
  <si>
    <t>Produk A</t>
  </si>
  <si>
    <t>Fulfillment</t>
  </si>
  <si>
    <t>Satuan</t>
  </si>
  <si>
    <t>Produk B</t>
  </si>
  <si>
    <t>M3</t>
  </si>
  <si>
    <t>Produk C</t>
  </si>
  <si>
    <t>Box</t>
  </si>
  <si>
    <t>Fulfillment of Sales Volume</t>
  </si>
  <si>
    <t>Fulfillment of Sales Volume Produk A,B,C</t>
  </si>
  <si>
    <t>Contoh 2</t>
  </si>
  <si>
    <t>Fulfillment of Standard Unit Cost</t>
  </si>
  <si>
    <t>Rp/Ton</t>
  </si>
  <si>
    <t>Rp/M3</t>
  </si>
  <si>
    <t>Rp/Box</t>
  </si>
  <si>
    <t>2 - A/T</t>
  </si>
  <si>
    <t>Produk</t>
  </si>
  <si>
    <t>Likelihood</t>
  </si>
  <si>
    <t>Probability</t>
  </si>
  <si>
    <t xml:space="preserve">Very  Likely </t>
  </si>
  <si>
    <t xml:space="preserve">Likely  </t>
  </si>
  <si>
    <t>Moderate</t>
  </si>
  <si>
    <t xml:space="preserve">Unlikely </t>
  </si>
  <si>
    <t xml:space="preserve">Very Unlikely </t>
  </si>
  <si>
    <r>
      <t xml:space="preserve">80% &lt; Prob </t>
    </r>
    <r>
      <rPr>
        <u/>
        <sz val="10"/>
        <color indexed="8"/>
        <rFont val="Arial"/>
        <family val="2"/>
      </rPr>
      <t>&lt;</t>
    </r>
    <r>
      <rPr>
        <sz val="10"/>
        <color indexed="8"/>
        <rFont val="Arial"/>
        <family val="2"/>
      </rPr>
      <t xml:space="preserve"> 100%</t>
    </r>
  </si>
  <si>
    <r>
      <t xml:space="preserve">60% &lt; Prob </t>
    </r>
    <r>
      <rPr>
        <u/>
        <sz val="10"/>
        <color indexed="8"/>
        <rFont val="Arial"/>
        <family val="2"/>
      </rPr>
      <t>&lt;</t>
    </r>
    <r>
      <rPr>
        <sz val="10"/>
        <color indexed="8"/>
        <rFont val="Arial"/>
        <family val="2"/>
      </rPr>
      <t xml:space="preserve"> 80%</t>
    </r>
  </si>
  <si>
    <r>
      <t xml:space="preserve">40% &lt; Prob </t>
    </r>
    <r>
      <rPr>
        <u/>
        <sz val="10"/>
        <color indexed="8"/>
        <rFont val="Arial"/>
        <family val="2"/>
      </rPr>
      <t>&lt;</t>
    </r>
    <r>
      <rPr>
        <sz val="10"/>
        <color indexed="8"/>
        <rFont val="Arial"/>
        <family val="2"/>
      </rPr>
      <t xml:space="preserve"> 60%</t>
    </r>
  </si>
  <si>
    <r>
      <t xml:space="preserve">20% &lt; Prob </t>
    </r>
    <r>
      <rPr>
        <u/>
        <sz val="10"/>
        <color indexed="8"/>
        <rFont val="Arial"/>
        <family val="2"/>
      </rPr>
      <t>&lt;</t>
    </r>
    <r>
      <rPr>
        <sz val="10"/>
        <color indexed="8"/>
        <rFont val="Arial"/>
        <family val="2"/>
      </rPr>
      <t xml:space="preserve"> 40%</t>
    </r>
  </si>
  <si>
    <r>
      <t xml:space="preserve">Prob </t>
    </r>
    <r>
      <rPr>
        <u/>
        <sz val="10"/>
        <color indexed="8"/>
        <rFont val="Arial"/>
        <family val="2"/>
      </rPr>
      <t>&lt;</t>
    </r>
    <r>
      <rPr>
        <sz val="10"/>
        <color indexed="8"/>
        <rFont val="Arial"/>
        <family val="2"/>
      </rPr>
      <t xml:space="preserve"> 20%</t>
    </r>
  </si>
  <si>
    <t>Probability to Likelihood</t>
  </si>
  <si>
    <t>Stabilize1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</si>
  <si>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</si>
  <si>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</si>
  <si>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</si>
  <si>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</si>
  <si>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</si>
  <si>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</si>
  <si>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</si>
  <si>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</si>
  <si>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</si>
  <si>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(note : jika index max 5, maka simply ganti angka 4 di formula di samping, menjadi 5)</t>
  </si>
  <si>
    <t>% Produk cacat</t>
  </si>
  <si>
    <t>% Electrical losses</t>
  </si>
  <si>
    <t>% Keterlambatan</t>
  </si>
  <si>
    <t>Aktual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</si>
</sst>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%"/>
    <numFmt numFmtId="165" formatCode="#,##0.0"/>
    <numFmt numFmtId="166" formatCode="0.0"/>
    <numFmt numFmtId="167" formatCode="_(* #,##0_);_(* \(#,##0\);_(* &quot;-&quot;??_);_(@_)"/>
    <numFmt numFmtId="168" formatCode="0.00000000000000000000"/>
    <numFmt numFmtId="169" formatCode="0.0000000000000000000000000%"/>
    <numFmt numFmtId="170" formatCode="_(* #,##0.000000000000000000000000000000000_);_(* \(#,##0.000000000000000000000000000000000\);_(* &quot;-&quot;??_);_(@_)"/>
    <numFmt numFmtId="171" formatCode="0.000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2"/>
      <name val="Trebuchet MS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rgb="FFFF0000"/>
      <name val="Arial"/>
      <family val="2"/>
    </font>
    <font>
      <b/>
      <vertAlign val="superscript"/>
      <sz val="14"/>
      <color rgb="FFFF0000"/>
      <name val="Arial"/>
      <family val="2"/>
    </font>
    <font>
      <b/>
      <sz val="14"/>
      <name val="Arial"/>
      <family val="2"/>
    </font>
    <font>
      <b/>
      <vertAlign val="superscript"/>
      <sz val="14"/>
      <name val="Arial"/>
      <family val="2"/>
    </font>
    <font>
      <b/>
      <sz val="14"/>
      <name val="Calibri"/>
      <family val="2"/>
      <scheme val="minor"/>
    </font>
    <font>
      <b/>
      <sz val="18"/>
      <name val="Arial"/>
      <family val="2"/>
    </font>
    <font>
      <b/>
      <sz val="14"/>
      <color rgb="FF0000CC"/>
      <name val="Arial"/>
      <family val="2"/>
    </font>
    <font>
      <b/>
      <sz val="12"/>
      <name val="Calibri"/>
      <family val="2"/>
      <scheme val="minor"/>
    </font>
    <font>
      <sz val="14"/>
      <name val="Arial Black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vertAlign val="superscript"/>
      <sz val="12"/>
      <color rgb="FFFF0000"/>
      <name val="Arial"/>
      <family val="2"/>
    </font>
    <font>
      <b/>
      <vertAlign val="superscript"/>
      <sz val="12"/>
      <name val="Arial"/>
      <family val="2"/>
    </font>
    <font>
      <sz val="12"/>
      <name val="Arial"/>
      <family val="2"/>
    </font>
    <font>
      <b/>
      <sz val="10"/>
      <name val="Calibri"/>
      <family val="2"/>
      <scheme val="minor"/>
    </font>
    <font>
      <b/>
      <sz val="12"/>
      <color rgb="FFFF0000"/>
      <name val="Arial"/>
      <family val="2"/>
    </font>
    <font>
      <b/>
      <sz val="11"/>
      <name val="Arial"/>
      <family val="2"/>
    </font>
    <font>
      <b/>
      <sz val="12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i/>
      <sz val="10"/>
      <color theme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2">
    <xf numFmtId="0" fontId="0" fillId="0" borderId="0" xfId="0"/>
    <xf numFmtId="9" fontId="7" fillId="0" borderId="1" xfId="3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3" applyFont="1"/>
    <xf numFmtId="9" fontId="0" fillId="0" borderId="0" xfId="0" applyNumberForma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2"/>
    <xf numFmtId="0" fontId="11" fillId="0" borderId="0" xfId="2" applyAlignment="1">
      <alignment vertical="center"/>
    </xf>
    <xf numFmtId="0" fontId="12" fillId="0" borderId="3" xfId="2" applyFont="1" applyFill="1" applyBorder="1" applyAlignment="1">
      <alignment horizontal="center" vertical="center"/>
    </xf>
    <xf numFmtId="0" fontId="12" fillId="0" borderId="2" xfId="2" applyFont="1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4" fillId="4" borderId="4" xfId="2" applyFont="1" applyFill="1" applyBorder="1" applyAlignment="1">
      <alignment horizontal="center" vertical="center"/>
    </xf>
    <xf numFmtId="0" fontId="12" fillId="0" borderId="5" xfId="2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4" fillId="5" borderId="6" xfId="2" applyFont="1" applyFill="1" applyBorder="1" applyAlignment="1">
      <alignment horizontal="center" vertical="center"/>
    </xf>
    <xf numFmtId="0" fontId="12" fillId="2" borderId="6" xfId="2" applyFont="1" applyFill="1" applyBorder="1" applyAlignment="1">
      <alignment horizontal="center" vertical="center"/>
    </xf>
    <xf numFmtId="0" fontId="12" fillId="3" borderId="1" xfId="2" applyFont="1" applyFill="1" applyBorder="1" applyAlignment="1">
      <alignment horizontal="center" vertical="center"/>
    </xf>
    <xf numFmtId="0" fontId="14" fillId="6" borderId="6" xfId="2" applyFont="1" applyFill="1" applyBorder="1" applyAlignment="1">
      <alignment horizontal="center" vertical="center"/>
    </xf>
    <xf numFmtId="0" fontId="12" fillId="0" borderId="7" xfId="2" applyFont="1" applyFill="1" applyBorder="1" applyAlignment="1">
      <alignment horizontal="center" vertical="center"/>
    </xf>
    <xf numFmtId="0" fontId="12" fillId="0" borderId="8" xfId="2" applyFont="1" applyFill="1" applyBorder="1" applyAlignment="1">
      <alignment horizontal="center" vertical="center"/>
    </xf>
    <xf numFmtId="0" fontId="12" fillId="3" borderId="8" xfId="2" applyFont="1" applyFill="1" applyBorder="1" applyAlignment="1">
      <alignment horizontal="center" vertical="center"/>
    </xf>
    <xf numFmtId="0" fontId="14" fillId="6" borderId="9" xfId="2" applyFont="1" applyFill="1" applyBorder="1" applyAlignment="1">
      <alignment horizontal="center" vertical="center"/>
    </xf>
    <xf numFmtId="0" fontId="10" fillId="0" borderId="0" xfId="2" applyFont="1"/>
    <xf numFmtId="0" fontId="6" fillId="0" borderId="0" xfId="2" applyFont="1"/>
    <xf numFmtId="0" fontId="10" fillId="7" borderId="10" xfId="2" applyFont="1" applyFill="1" applyBorder="1" applyAlignment="1">
      <alignment horizontal="center" vertical="center"/>
    </xf>
    <xf numFmtId="0" fontId="10" fillId="7" borderId="11" xfId="2" applyFont="1" applyFill="1" applyBorder="1" applyAlignment="1">
      <alignment horizontal="center" vertical="center"/>
    </xf>
    <xf numFmtId="0" fontId="10" fillId="7" borderId="12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5" fillId="3" borderId="0" xfId="2" applyFont="1" applyFill="1" applyBorder="1" applyAlignment="1">
      <alignment horizontal="center" vertical="center"/>
    </xf>
    <xf numFmtId="0" fontId="16" fillId="0" borderId="0" xfId="2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9" fontId="7" fillId="0" borderId="1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0" fillId="0" borderId="0" xfId="0" applyBorder="1"/>
    <xf numFmtId="0" fontId="4" fillId="8" borderId="1" xfId="0" applyFont="1" applyFill="1" applyBorder="1" applyAlignment="1">
      <alignment horizontal="center" vertical="center" wrapText="1"/>
    </xf>
    <xf numFmtId="9" fontId="6" fillId="0" borderId="1" xfId="3" applyNumberFormat="1" applyFont="1" applyFill="1" applyBorder="1" applyAlignment="1">
      <alignment horizontal="center" vertical="center"/>
    </xf>
    <xf numFmtId="10" fontId="10" fillId="0" borderId="1" xfId="3" applyNumberFormat="1" applyFont="1" applyFill="1" applyBorder="1" applyAlignment="1">
      <alignment horizontal="center" vertical="center"/>
    </xf>
    <xf numFmtId="10" fontId="10" fillId="0" borderId="1" xfId="3" quotePrefix="1" applyNumberFormat="1" applyFont="1" applyFill="1" applyBorder="1" applyAlignment="1">
      <alignment horizontal="center" vertical="center"/>
    </xf>
    <xf numFmtId="9" fontId="6" fillId="0" borderId="0" xfId="3" applyNumberFormat="1" applyFont="1" applyFill="1" applyBorder="1" applyAlignment="1">
      <alignment horizontal="center" vertical="center"/>
    </xf>
    <xf numFmtId="4" fontId="6" fillId="0" borderId="0" xfId="1" applyNumberFormat="1" applyFont="1" applyFill="1" applyBorder="1" applyAlignment="1">
      <alignment horizontal="right" vertical="center"/>
    </xf>
    <xf numFmtId="9" fontId="0" fillId="0" borderId="0" xfId="0" applyNumberFormat="1" applyBorder="1" applyAlignment="1">
      <alignment horizontal="center"/>
    </xf>
    <xf numFmtId="4" fontId="6" fillId="0" borderId="1" xfId="1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165" fontId="6" fillId="0" borderId="1" xfId="1" applyNumberFormat="1" applyFont="1" applyFill="1" applyBorder="1" applyAlignment="1">
      <alignment horizontal="center" vertical="center"/>
    </xf>
    <xf numFmtId="164" fontId="6" fillId="0" borderId="1" xfId="3" applyNumberFormat="1" applyFont="1" applyFill="1" applyBorder="1" applyAlignment="1">
      <alignment horizontal="center" vertical="center"/>
    </xf>
    <xf numFmtId="166" fontId="6" fillId="0" borderId="1" xfId="3" applyNumberFormat="1" applyFont="1" applyFill="1" applyBorder="1" applyAlignment="1">
      <alignment horizontal="center" vertical="center"/>
    </xf>
    <xf numFmtId="10" fontId="21" fillId="0" borderId="0" xfId="3" quotePrefix="1" applyNumberFormat="1" applyFont="1" applyFill="1" applyBorder="1" applyAlignment="1">
      <alignment horizontal="left" vertical="center"/>
    </xf>
    <xf numFmtId="168" fontId="0" fillId="0" borderId="0" xfId="0" applyNumberFormat="1"/>
    <xf numFmtId="0" fontId="10" fillId="0" borderId="0" xfId="0" applyFont="1" applyAlignment="1">
      <alignment vertical="center"/>
    </xf>
    <xf numFmtId="169" fontId="0" fillId="0" borderId="0" xfId="3" applyNumberFormat="1" applyFont="1"/>
    <xf numFmtId="10" fontId="0" fillId="0" borderId="0" xfId="3" applyNumberFormat="1" applyFont="1" applyBorder="1" applyAlignment="1">
      <alignment horizontal="center"/>
    </xf>
    <xf numFmtId="10" fontId="4" fillId="8" borderId="1" xfId="3" applyNumberFormat="1" applyFont="1" applyFill="1" applyBorder="1" applyAlignment="1">
      <alignment horizontal="center" vertical="center" wrapText="1"/>
    </xf>
    <xf numFmtId="10" fontId="6" fillId="0" borderId="1" xfId="3" applyNumberFormat="1" applyFont="1" applyFill="1" applyBorder="1" applyAlignment="1">
      <alignment horizontal="center" vertical="center"/>
    </xf>
    <xf numFmtId="10" fontId="0" fillId="0" borderId="0" xfId="3" applyNumberFormat="1" applyFont="1" applyAlignment="1">
      <alignment horizontal="center"/>
    </xf>
    <xf numFmtId="166" fontId="7" fillId="0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0" fontId="22" fillId="0" borderId="0" xfId="0" applyFont="1" applyFill="1" applyBorder="1" applyAlignment="1">
      <alignment vertical="center"/>
    </xf>
    <xf numFmtId="3" fontId="6" fillId="0" borderId="1" xfId="1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8" fillId="0" borderId="0" xfId="2" applyFont="1"/>
    <xf numFmtId="0" fontId="9" fillId="8" borderId="1" xfId="0" applyFont="1" applyFill="1" applyBorder="1" applyAlignment="1">
      <alignment horizontal="center" vertical="center" wrapText="1"/>
    </xf>
    <xf numFmtId="0" fontId="24" fillId="8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0" fillId="10" borderId="2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10" fontId="10" fillId="10" borderId="1" xfId="3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5" fillId="0" borderId="0" xfId="0" applyFont="1"/>
    <xf numFmtId="171" fontId="6" fillId="0" borderId="1" xfId="3" applyNumberFormat="1" applyFont="1" applyFill="1" applyBorder="1" applyAlignment="1">
      <alignment horizontal="center" vertical="center"/>
    </xf>
    <xf numFmtId="0" fontId="9" fillId="0" borderId="0" xfId="2" applyFont="1"/>
    <xf numFmtId="0" fontId="27" fillId="0" borderId="1" xfId="0" applyFont="1" applyBorder="1" applyAlignment="1">
      <alignment vertical="center"/>
    </xf>
    <xf numFmtId="167" fontId="27" fillId="0" borderId="1" xfId="1" applyNumberFormat="1" applyFont="1" applyBorder="1" applyAlignment="1">
      <alignment vertical="center"/>
    </xf>
    <xf numFmtId="164" fontId="27" fillId="0" borderId="1" xfId="3" applyNumberFormat="1" applyFont="1" applyBorder="1" applyAlignment="1">
      <alignment vertical="center"/>
    </xf>
    <xf numFmtId="9" fontId="27" fillId="11" borderId="1" xfId="3" applyFont="1" applyFill="1" applyBorder="1" applyAlignment="1">
      <alignment horizontal="center" vertical="center"/>
    </xf>
    <xf numFmtId="9" fontId="27" fillId="0" borderId="1" xfId="3" applyFont="1" applyBorder="1" applyAlignment="1">
      <alignment horizontal="center" vertical="center"/>
    </xf>
    <xf numFmtId="10" fontId="27" fillId="0" borderId="1" xfId="3" applyNumberFormat="1" applyFont="1" applyBorder="1" applyAlignment="1">
      <alignment horizontal="right" vertical="center"/>
    </xf>
    <xf numFmtId="0" fontId="27" fillId="8" borderId="1" xfId="0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vertical="center"/>
    </xf>
    <xf numFmtId="9" fontId="27" fillId="8" borderId="1" xfId="0" applyNumberFormat="1" applyFont="1" applyFill="1" applyBorder="1" applyAlignment="1">
      <alignment horizontal="center" vertical="center"/>
    </xf>
    <xf numFmtId="167" fontId="27" fillId="8" borderId="1" xfId="0" applyNumberFormat="1" applyFont="1" applyFill="1" applyBorder="1" applyAlignment="1">
      <alignment vertical="center"/>
    </xf>
    <xf numFmtId="164" fontId="27" fillId="8" borderId="1" xfId="3" applyNumberFormat="1" applyFont="1" applyFill="1" applyBorder="1" applyAlignment="1">
      <alignment vertical="center"/>
    </xf>
    <xf numFmtId="10" fontId="27" fillId="8" borderId="1" xfId="0" applyNumberFormat="1" applyFont="1" applyFill="1" applyBorder="1" applyAlignment="1">
      <alignment horizontal="right" vertical="center"/>
    </xf>
    <xf numFmtId="2" fontId="0" fillId="0" borderId="1" xfId="0" applyNumberFormat="1" applyBorder="1" applyAlignment="1">
      <alignment vertical="center"/>
    </xf>
    <xf numFmtId="9" fontId="0" fillId="0" borderId="1" xfId="3" applyFont="1" applyBorder="1" applyAlignment="1">
      <alignment vertical="center"/>
    </xf>
    <xf numFmtId="9" fontId="6" fillId="0" borderId="1" xfId="3" applyFont="1" applyFill="1" applyBorder="1" applyAlignment="1">
      <alignment horizontal="center" vertical="center"/>
    </xf>
    <xf numFmtId="9" fontId="2" fillId="0" borderId="1" xfId="3" applyNumberFormat="1" applyFont="1" applyFill="1" applyBorder="1" applyAlignment="1">
      <alignment horizontal="center" vertical="center"/>
    </xf>
    <xf numFmtId="9" fontId="2" fillId="0" borderId="1" xfId="3" quotePrefix="1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9" fontId="2" fillId="0" borderId="1" xfId="0" applyNumberFormat="1" applyFont="1" applyBorder="1" applyAlignment="1">
      <alignment horizontal="center" vertical="center"/>
    </xf>
    <xf numFmtId="166" fontId="2" fillId="0" borderId="1" xfId="3" applyNumberFormat="1" applyFont="1" applyFill="1" applyBorder="1" applyAlignment="1">
      <alignment horizontal="center" vertical="center"/>
    </xf>
    <xf numFmtId="9" fontId="26" fillId="0" borderId="1" xfId="3" applyFont="1" applyBorder="1" applyAlignment="1">
      <alignment horizontal="center" vertical="center"/>
    </xf>
    <xf numFmtId="166" fontId="26" fillId="0" borderId="1" xfId="4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9" fillId="10" borderId="14" xfId="0" applyFont="1" applyFill="1" applyBorder="1" applyAlignment="1">
      <alignment horizontal="right" vertical="center"/>
    </xf>
    <xf numFmtId="2" fontId="23" fillId="10" borderId="13" xfId="1" applyNumberFormat="1" applyFont="1" applyFill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9" fontId="26" fillId="9" borderId="1" xfId="3" quotePrefix="1" applyFont="1" applyFill="1" applyBorder="1" applyAlignment="1">
      <alignment horizontal="center" vertical="center"/>
    </xf>
    <xf numFmtId="9" fontId="26" fillId="9" borderId="1" xfId="3" applyFont="1" applyFill="1" applyBorder="1" applyAlignment="1">
      <alignment horizontal="center" vertical="center"/>
    </xf>
    <xf numFmtId="0" fontId="9" fillId="9" borderId="0" xfId="0" applyFont="1" applyFill="1" applyBorder="1" applyAlignment="1">
      <alignment horizontal="left" vertical="center"/>
    </xf>
    <xf numFmtId="0" fontId="22" fillId="0" borderId="0" xfId="0" applyFont="1" applyAlignment="1">
      <alignment vertical="center"/>
    </xf>
    <xf numFmtId="1" fontId="2" fillId="0" borderId="1" xfId="3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9" fontId="2" fillId="0" borderId="0" xfId="3" applyFont="1" applyAlignment="1">
      <alignment horizontal="center" vertical="center"/>
    </xf>
    <xf numFmtId="9" fontId="0" fillId="0" borderId="0" xfId="3" applyFont="1" applyAlignment="1">
      <alignment horizontal="center"/>
    </xf>
    <xf numFmtId="0" fontId="10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10" fillId="8" borderId="0" xfId="0" applyFont="1" applyFill="1" applyBorder="1" applyAlignment="1">
      <alignment horizontal="center" vertical="center" wrapText="1"/>
    </xf>
    <xf numFmtId="10" fontId="10" fillId="8" borderId="0" xfId="3" applyNumberFormat="1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horizontal="center" vertical="center"/>
    </xf>
    <xf numFmtId="3" fontId="6" fillId="9" borderId="0" xfId="1" applyNumberFormat="1" applyFont="1" applyFill="1" applyBorder="1" applyAlignment="1">
      <alignment horizontal="center" vertical="center"/>
    </xf>
    <xf numFmtId="165" fontId="6" fillId="9" borderId="0" xfId="1" applyNumberFormat="1" applyFont="1" applyFill="1" applyBorder="1" applyAlignment="1">
      <alignment horizontal="center" vertical="center"/>
    </xf>
    <xf numFmtId="9" fontId="6" fillId="9" borderId="0" xfId="3" applyNumberFormat="1" applyFont="1" applyFill="1" applyBorder="1" applyAlignment="1">
      <alignment horizontal="center" vertical="center"/>
    </xf>
    <xf numFmtId="43" fontId="6" fillId="9" borderId="0" xfId="1" applyNumberFormat="1" applyFont="1" applyFill="1" applyBorder="1" applyAlignment="1">
      <alignment horizontal="center" vertical="center"/>
    </xf>
    <xf numFmtId="0" fontId="6" fillId="9" borderId="0" xfId="0" applyFont="1" applyFill="1" applyBorder="1" applyAlignment="1">
      <alignment vertical="center"/>
    </xf>
    <xf numFmtId="3" fontId="2" fillId="9" borderId="0" xfId="1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9" fontId="2" fillId="0" borderId="0" xfId="3" applyNumberFormat="1" applyFont="1" applyFill="1" applyBorder="1" applyAlignment="1">
      <alignment horizontal="center" vertical="center"/>
    </xf>
    <xf numFmtId="166" fontId="2" fillId="0" borderId="0" xfId="0" applyNumberFormat="1" applyFont="1" applyBorder="1" applyAlignment="1">
      <alignment vertical="center"/>
    </xf>
    <xf numFmtId="9" fontId="10" fillId="10" borderId="1" xfId="0" applyNumberFormat="1" applyFont="1" applyFill="1" applyBorder="1" applyAlignment="1">
      <alignment horizontal="center" vertical="center"/>
    </xf>
    <xf numFmtId="43" fontId="0" fillId="0" borderId="0" xfId="1" applyFont="1"/>
    <xf numFmtId="43" fontId="0" fillId="0" borderId="0" xfId="1" applyFont="1" applyAlignment="1">
      <alignment horizontal="right"/>
    </xf>
    <xf numFmtId="9" fontId="2" fillId="0" borderId="0" xfId="3" applyFont="1" applyAlignment="1">
      <alignment vertical="center"/>
    </xf>
    <xf numFmtId="43" fontId="2" fillId="9" borderId="1" xfId="1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2" fillId="0" borderId="0" xfId="0" applyFont="1"/>
    <xf numFmtId="0" fontId="10" fillId="12" borderId="1" xfId="0" applyFont="1" applyFill="1" applyBorder="1" applyAlignment="1">
      <alignment horizontal="center" vertical="center" wrapText="1"/>
    </xf>
    <xf numFmtId="0" fontId="31" fillId="12" borderId="1" xfId="0" applyFont="1" applyFill="1" applyBorder="1" applyAlignment="1">
      <alignment horizontal="center" vertical="center" wrapText="1"/>
    </xf>
    <xf numFmtId="1" fontId="27" fillId="12" borderId="1" xfId="3" applyNumberFormat="1" applyFont="1" applyFill="1" applyBorder="1" applyAlignment="1">
      <alignment horizontal="center" vertical="center"/>
    </xf>
    <xf numFmtId="9" fontId="27" fillId="12" borderId="1" xfId="3" applyFont="1" applyFill="1" applyBorder="1" applyAlignment="1">
      <alignment horizontal="center" vertical="center"/>
    </xf>
    <xf numFmtId="3" fontId="27" fillId="11" borderId="1" xfId="3" applyNumberFormat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31" fillId="11" borderId="1" xfId="0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center" vertical="center" wrapText="1"/>
    </xf>
    <xf numFmtId="9" fontId="27" fillId="13" borderId="1" xfId="3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14" borderId="1" xfId="0" applyFont="1" applyFill="1" applyBorder="1" applyAlignment="1">
      <alignment horizontal="center" vertical="center" wrapText="1"/>
    </xf>
    <xf numFmtId="0" fontId="31" fillId="14" borderId="1" xfId="0" applyFont="1" applyFill="1" applyBorder="1" applyAlignment="1">
      <alignment horizontal="center" vertical="center" wrapText="1"/>
    </xf>
    <xf numFmtId="164" fontId="27" fillId="0" borderId="1" xfId="3" quotePrefix="1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164" fontId="27" fillId="0" borderId="1" xfId="3" applyNumberFormat="1" applyFont="1" applyBorder="1" applyAlignment="1">
      <alignment horizontal="right" vertical="center"/>
    </xf>
    <xf numFmtId="0" fontId="10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7" fontId="27" fillId="11" borderId="1" xfId="1" applyNumberFormat="1" applyFont="1" applyFill="1" applyBorder="1" applyAlignment="1">
      <alignment horizontal="center" vertical="center"/>
    </xf>
    <xf numFmtId="43" fontId="0" fillId="0" borderId="0" xfId="1" applyFont="1" applyAlignment="1">
      <alignment horizontal="center"/>
    </xf>
    <xf numFmtId="0" fontId="33" fillId="14" borderId="1" xfId="0" applyFont="1" applyFill="1" applyBorder="1" applyAlignment="1">
      <alignment vertical="center"/>
    </xf>
    <xf numFmtId="164" fontId="33" fillId="14" borderId="1" xfId="3" applyNumberFormat="1" applyFont="1" applyFill="1" applyBorder="1" applyAlignment="1">
      <alignment horizontal="right" vertical="center"/>
    </xf>
    <xf numFmtId="164" fontId="33" fillId="14" borderId="1" xfId="3" applyNumberFormat="1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167" fontId="33" fillId="14" borderId="1" xfId="0" applyNumberFormat="1" applyFont="1" applyFill="1" applyBorder="1" applyAlignment="1">
      <alignment horizontal="center" vertical="center"/>
    </xf>
    <xf numFmtId="3" fontId="33" fillId="14" borderId="1" xfId="0" applyNumberFormat="1" applyFont="1" applyFill="1" applyBorder="1" applyAlignment="1">
      <alignment horizontal="center" vertical="center"/>
    </xf>
    <xf numFmtId="9" fontId="33" fillId="14" borderId="1" xfId="0" applyNumberFormat="1" applyFont="1" applyFill="1" applyBorder="1" applyAlignment="1">
      <alignment horizontal="center" vertical="center"/>
    </xf>
    <xf numFmtId="9" fontId="9" fillId="14" borderId="1" xfId="0" applyNumberFormat="1" applyFont="1" applyFill="1" applyBorder="1" applyAlignment="1">
      <alignment horizontal="center" vertical="center"/>
    </xf>
    <xf numFmtId="0" fontId="0" fillId="0" borderId="15" xfId="0" applyBorder="1"/>
    <xf numFmtId="0" fontId="30" fillId="0" borderId="0" xfId="0" applyFont="1"/>
    <xf numFmtId="0" fontId="30" fillId="0" borderId="15" xfId="0" applyFont="1" applyBorder="1"/>
    <xf numFmtId="0" fontId="30" fillId="0" borderId="15" xfId="0" applyFont="1" applyBorder="1" applyAlignment="1">
      <alignment horizontal="center"/>
    </xf>
    <xf numFmtId="0" fontId="30" fillId="0" borderId="0" xfId="0" applyFont="1" applyAlignment="1">
      <alignment horizontal="center"/>
    </xf>
    <xf numFmtId="9" fontId="30" fillId="0" borderId="0" xfId="3" applyFont="1" applyAlignment="1">
      <alignment horizontal="center"/>
    </xf>
    <xf numFmtId="9" fontId="30" fillId="0" borderId="15" xfId="3" applyFont="1" applyBorder="1" applyAlignment="1">
      <alignment horizontal="center"/>
    </xf>
    <xf numFmtId="0" fontId="30" fillId="0" borderId="16" xfId="0" applyFont="1" applyFill="1" applyBorder="1"/>
    <xf numFmtId="0" fontId="30" fillId="0" borderId="16" xfId="0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3" fontId="30" fillId="0" borderId="0" xfId="0" applyNumberFormat="1" applyFont="1" applyAlignment="1">
      <alignment horizontal="center"/>
    </xf>
    <xf numFmtId="3" fontId="30" fillId="0" borderId="15" xfId="0" applyNumberFormat="1" applyFont="1" applyBorder="1" applyAlignment="1">
      <alignment horizontal="center"/>
    </xf>
    <xf numFmtId="9" fontId="9" fillId="0" borderId="16" xfId="0" applyNumberFormat="1" applyFont="1" applyBorder="1" applyAlignment="1">
      <alignment horizontal="center"/>
    </xf>
    <xf numFmtId="0" fontId="9" fillId="0" borderId="15" xfId="0" applyFont="1" applyBorder="1"/>
    <xf numFmtId="0" fontId="9" fillId="12" borderId="15" xfId="0" applyFont="1" applyFill="1" applyBorder="1"/>
    <xf numFmtId="0" fontId="9" fillId="12" borderId="15" xfId="0" applyFont="1" applyFill="1" applyBorder="1" applyAlignment="1">
      <alignment horizontal="center"/>
    </xf>
    <xf numFmtId="0" fontId="11" fillId="0" borderId="0" xfId="2" applyAlignment="1">
      <alignment horizontal="center"/>
    </xf>
    <xf numFmtId="0" fontId="26" fillId="0" borderId="0" xfId="2" applyFont="1"/>
    <xf numFmtId="0" fontId="35" fillId="0" borderId="0" xfId="2" applyFont="1" applyFill="1" applyBorder="1" applyAlignment="1">
      <alignment horizontal="center" vertical="center"/>
    </xf>
    <xf numFmtId="0" fontId="35" fillId="0" borderId="0" xfId="2" applyFont="1"/>
    <xf numFmtId="0" fontId="14" fillId="5" borderId="9" xfId="2" applyFont="1" applyFill="1" applyBorder="1" applyAlignment="1">
      <alignment horizontal="center" vertical="center"/>
    </xf>
    <xf numFmtId="0" fontId="10" fillId="0" borderId="0" xfId="2" applyFont="1" applyBorder="1" applyAlignment="1">
      <alignment horizontal="center"/>
    </xf>
    <xf numFmtId="166" fontId="26" fillId="0" borderId="0" xfId="2" applyNumberFormat="1" applyFont="1" applyBorder="1" applyAlignment="1">
      <alignment horizontal="center"/>
    </xf>
    <xf numFmtId="9" fontId="26" fillId="0" borderId="17" xfId="2" applyNumberFormat="1" applyFont="1" applyBorder="1" applyAlignment="1">
      <alignment horizontal="center"/>
    </xf>
    <xf numFmtId="166" fontId="26" fillId="0" borderId="18" xfId="2" applyNumberFormat="1" applyFont="1" applyBorder="1" applyAlignment="1">
      <alignment horizontal="center"/>
    </xf>
    <xf numFmtId="9" fontId="26" fillId="0" borderId="5" xfId="2" applyNumberFormat="1" applyFont="1" applyBorder="1" applyAlignment="1">
      <alignment horizontal="center"/>
    </xf>
    <xf numFmtId="166" fontId="26" fillId="0" borderId="6" xfId="2" applyNumberFormat="1" applyFont="1" applyBorder="1" applyAlignment="1">
      <alignment horizontal="center"/>
    </xf>
    <xf numFmtId="9" fontId="26" fillId="0" borderId="7" xfId="2" applyNumberFormat="1" applyFont="1" applyBorder="1" applyAlignment="1">
      <alignment horizontal="center"/>
    </xf>
    <xf numFmtId="166" fontId="26" fillId="0" borderId="9" xfId="2" applyNumberFormat="1" applyFont="1" applyBorder="1" applyAlignment="1">
      <alignment horizontal="center"/>
    </xf>
    <xf numFmtId="164" fontId="7" fillId="0" borderId="1" xfId="0" applyNumberFormat="1" applyFont="1" applyFill="1" applyBorder="1" applyAlignment="1">
      <alignment horizontal="center" vertical="center"/>
    </xf>
    <xf numFmtId="9" fontId="0" fillId="0" borderId="0" xfId="3" applyNumberFormat="1" applyFont="1" applyAlignment="1">
      <alignment horizontal="center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vertical="center"/>
    </xf>
    <xf numFmtId="10" fontId="10" fillId="9" borderId="1" xfId="3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165" fontId="6" fillId="9" borderId="1" xfId="1" applyNumberFormat="1" applyFont="1" applyFill="1" applyBorder="1" applyAlignment="1">
      <alignment horizontal="center" vertical="center" wrapText="1"/>
    </xf>
    <xf numFmtId="10" fontId="6" fillId="9" borderId="1" xfId="3" applyNumberFormat="1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9" fontId="7" fillId="9" borderId="1" xfId="3" applyNumberFormat="1" applyFont="1" applyFill="1" applyBorder="1" applyAlignment="1">
      <alignment horizontal="center" vertical="center"/>
    </xf>
    <xf numFmtId="4" fontId="6" fillId="9" borderId="1" xfId="1" applyNumberFormat="1" applyFont="1" applyFill="1" applyBorder="1" applyAlignment="1">
      <alignment horizontal="center" vertical="center"/>
    </xf>
    <xf numFmtId="43" fontId="7" fillId="9" borderId="1" xfId="1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vertical="center"/>
    </xf>
    <xf numFmtId="0" fontId="10" fillId="10" borderId="1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30" fillId="10" borderId="1" xfId="0" applyFont="1" applyFill="1" applyBorder="1" applyAlignment="1">
      <alignment vertical="center"/>
    </xf>
    <xf numFmtId="0" fontId="19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4" fillId="10" borderId="14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0" fillId="0" borderId="1" xfId="0" applyBorder="1"/>
    <xf numFmtId="0" fontId="36" fillId="15" borderId="1" xfId="0" applyFont="1" applyFill="1" applyBorder="1" applyAlignment="1">
      <alignment horizontal="center"/>
    </xf>
    <xf numFmtId="0" fontId="37" fillId="15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7">
    <cellStyle name="Comma" xfId="1" builtinId="3"/>
    <cellStyle name="Comma 2" xfId="6" xr:uid="{00000000-0005-0000-0000-000001000000}"/>
    <cellStyle name="Normal" xfId="0" builtinId="0"/>
    <cellStyle name="Normal 2" xfId="4" xr:uid="{00000000-0005-0000-0000-000003000000}"/>
    <cellStyle name="Normal_Scoring System rev4" xfId="2" xr:uid="{00000000-0005-0000-0000-000004000000}"/>
    <cellStyle name="Percent" xfId="3" builtinId="5"/>
    <cellStyle name="Percent 2" xfId="5" xr:uid="{00000000-0005-0000-0000-000006000000}"/>
  </cellStyles>
  <dxfs count="0"/>
  <tableStyles count="0" defaultTableStyle="TableStyleMedium2" defaultPivotStyle="PivotStyleLight16"/>
  <colors>
    <mruColors>
      <color rgb="FF99FF99"/>
      <color rgb="FF339966"/>
      <color rgb="FF0000CC"/>
      <color rgb="FF0033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91558830634149"/>
          <c:y val="7.0376535820865824E-2"/>
          <c:w val="0.86443736283196215"/>
          <c:h val="0.73767293611284035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Score!$B$2:$B$7</c:f>
              <c:numCache>
                <c:formatCode>0%</c:formatCode>
                <c:ptCount val="6"/>
                <c:pt idx="0">
                  <c:v>0</c:v>
                </c:pt>
                <c:pt idx="1">
                  <c:v>0.7</c:v>
                </c:pt>
                <c:pt idx="2">
                  <c:v>0.85</c:v>
                </c:pt>
                <c:pt idx="3">
                  <c:v>1</c:v>
                </c:pt>
                <c:pt idx="4">
                  <c:v>1.1499999999999999</c:v>
                </c:pt>
              </c:numCache>
            </c:numRef>
          </c:cat>
          <c:val>
            <c:numRef>
              <c:f>Score!$C$2:$C$7</c:f>
              <c:numCache>
                <c:formatCode>0.0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A-4773-89DE-F10FFB338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marker val="1"/>
        <c:smooth val="0"/>
        <c:axId val="1618436176"/>
        <c:axId val="1618443248"/>
      </c:lineChart>
      <c:catAx>
        <c:axId val="161843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Achievement (%)</a:t>
                </a:r>
              </a:p>
            </c:rich>
          </c:tx>
          <c:layout>
            <c:manualLayout>
              <c:xMode val="edge"/>
              <c:yMode val="edge"/>
              <c:x val="0.34683135558759376"/>
              <c:y val="0.8978328173374613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8443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8443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 (scale 1-4)</a:t>
                </a:r>
              </a:p>
            </c:rich>
          </c:tx>
          <c:layout>
            <c:manualLayout>
              <c:xMode val="edge"/>
              <c:yMode val="edge"/>
              <c:x val="8.8028169014085084E-3"/>
              <c:y val="0.2724458204334362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8436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34420697412824"/>
          <c:y val="7.0376535820865824E-2"/>
          <c:w val="0.8430088113985752"/>
          <c:h val="0.73767293611284035"/>
        </c:manualLayout>
      </c:layout>
      <c:lineChart>
        <c:grouping val="standard"/>
        <c:varyColors val="0"/>
        <c:ser>
          <c:idx val="0"/>
          <c:order val="0"/>
          <c:tx>
            <c:strRef>
              <c:f>Score!$C$14</c:f>
              <c:strCache>
                <c:ptCount val="1"/>
                <c:pt idx="0">
                  <c:v>Likelihood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Score!$B$15:$B$20</c:f>
              <c:numCache>
                <c:formatCode>0%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Score!$C$15:$C$20</c:f>
              <c:numCache>
                <c:formatCode>0.0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1-4AD8-95F9-72A49FB87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marker val="1"/>
        <c:smooth val="0"/>
        <c:axId val="1618439440"/>
        <c:axId val="1618436720"/>
      </c:lineChart>
      <c:catAx>
        <c:axId val="161843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 (%)</a:t>
                </a:r>
              </a:p>
            </c:rich>
          </c:tx>
          <c:layout>
            <c:manualLayout>
              <c:xMode val="edge"/>
              <c:yMode val="edge"/>
              <c:x val="0.34683135558759376"/>
              <c:y val="0.8978328173374613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843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843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Likelihood (scale 1-5)</a:t>
                </a:r>
              </a:p>
            </c:rich>
          </c:tx>
          <c:layout>
            <c:manualLayout>
              <c:xMode val="edge"/>
              <c:yMode val="edge"/>
              <c:x val="8.8028169014085084E-3"/>
              <c:y val="0.2724458204334362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8439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KPI Uptime Polarisasi</a:t>
            </a:r>
            <a:r>
              <a:rPr lang="en-US" sz="1400" baseline="0"/>
              <a:t> </a:t>
            </a:r>
            <a:r>
              <a:rPr lang="en-US" sz="1400"/>
              <a:t>Positif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6510966348027"/>
          <c:y val="0.23996080488539129"/>
          <c:w val="0.713603089166014"/>
          <c:h val="0.55983977493009462"/>
        </c:manualLayout>
      </c:layout>
      <c:lineChart>
        <c:grouping val="standard"/>
        <c:varyColors val="0"/>
        <c:ser>
          <c:idx val="1"/>
          <c:order val="0"/>
          <c:tx>
            <c:strRef>
              <c:f>Max!$D$7</c:f>
              <c:strCache>
                <c:ptCount val="1"/>
                <c:pt idx="0">
                  <c:v>Standard</c:v>
                </c:pt>
              </c:strCache>
            </c:strRef>
          </c:tx>
          <c:marker>
            <c:symbol val="none"/>
          </c:marker>
          <c:cat>
            <c:numRef>
              <c:f>Max!$C$8:$C$13</c:f>
              <c:numCache>
                <c:formatCode>0</c:formatCode>
                <c:ptCount val="6"/>
                <c:pt idx="0">
                  <c:v>90</c:v>
                </c:pt>
                <c:pt idx="1">
                  <c:v>92</c:v>
                </c:pt>
                <c:pt idx="2">
                  <c:v>94</c:v>
                </c:pt>
                <c:pt idx="3">
                  <c:v>96</c:v>
                </c:pt>
                <c:pt idx="4">
                  <c:v>98</c:v>
                </c:pt>
                <c:pt idx="5">
                  <c:v>100</c:v>
                </c:pt>
              </c:numCache>
            </c:numRef>
          </c:cat>
          <c:val>
            <c:numRef>
              <c:f>Max!$D$8:$D$13</c:f>
              <c:numCache>
                <c:formatCode>0%</c:formatCode>
                <c:ptCount val="6"/>
                <c:pt idx="0">
                  <c:v>0.95744680851063835</c:v>
                </c:pt>
                <c:pt idx="1">
                  <c:v>0.97872340425531912</c:v>
                </c:pt>
                <c:pt idx="2">
                  <c:v>1</c:v>
                </c:pt>
                <c:pt idx="3">
                  <c:v>1.0212765957446808</c:v>
                </c:pt>
                <c:pt idx="4">
                  <c:v>1.0425531914893618</c:v>
                </c:pt>
                <c:pt idx="5">
                  <c:v>1.0638297872340425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9-4A93-A21D-26FF6611D3B3}"/>
            </c:ext>
          </c:extLst>
        </c:ser>
        <c:ser>
          <c:idx val="0"/>
          <c:order val="1"/>
          <c:tx>
            <c:strRef>
              <c:f>Max!$E$7</c:f>
              <c:strCache>
                <c:ptCount val="1"/>
                <c:pt idx="0">
                  <c:v>Calibrated</c:v>
                </c:pt>
              </c:strCache>
            </c:strRef>
          </c:tx>
          <c:spPr>
            <a:ln w="3175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Max!$C$8:$C$13</c:f>
              <c:numCache>
                <c:formatCode>0</c:formatCode>
                <c:ptCount val="6"/>
                <c:pt idx="0">
                  <c:v>90</c:v>
                </c:pt>
                <c:pt idx="1">
                  <c:v>92</c:v>
                </c:pt>
                <c:pt idx="2">
                  <c:v>94</c:v>
                </c:pt>
                <c:pt idx="3">
                  <c:v>96</c:v>
                </c:pt>
                <c:pt idx="4">
                  <c:v>98</c:v>
                </c:pt>
                <c:pt idx="5">
                  <c:v>100</c:v>
                </c:pt>
              </c:numCache>
            </c:numRef>
          </c:cat>
          <c:val>
            <c:numRef>
              <c:f>Max!$E$8:$E$13</c:f>
              <c:numCache>
                <c:formatCode>0%</c:formatCode>
                <c:ptCount val="6"/>
                <c:pt idx="0">
                  <c:v>0.9</c:v>
                </c:pt>
                <c:pt idx="1">
                  <c:v>0.95</c:v>
                </c:pt>
                <c:pt idx="2">
                  <c:v>1</c:v>
                </c:pt>
                <c:pt idx="3">
                  <c:v>1.05</c:v>
                </c:pt>
                <c:pt idx="4">
                  <c:v>1.1000000000000001</c:v>
                </c:pt>
                <c:pt idx="5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9-4A93-A21D-26FF6611D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1618430192"/>
        <c:axId val="1618444880"/>
      </c:lineChart>
      <c:catAx>
        <c:axId val="161843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/>
                  <a:t>KPI Actual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618444880"/>
        <c:crosses val="autoZero"/>
        <c:auto val="1"/>
        <c:lblAlgn val="ctr"/>
        <c:lblOffset val="100"/>
        <c:tickMarkSkip val="2"/>
        <c:noMultiLvlLbl val="0"/>
      </c:catAx>
      <c:valAx>
        <c:axId val="1618444880"/>
        <c:scaling>
          <c:orientation val="minMax"/>
          <c:max val="1.2"/>
          <c:min val="0.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Achievement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618430192"/>
        <c:crosses val="autoZero"/>
        <c:crossBetween val="midCat"/>
        <c:majorUnit val="0.05"/>
      </c:valAx>
    </c:plotArea>
    <c:legend>
      <c:legendPos val="r"/>
      <c:layout>
        <c:manualLayout>
          <c:xMode val="edge"/>
          <c:yMode val="edge"/>
          <c:x val="1.4921876743904822E-2"/>
          <c:y val="0.13527240913067684"/>
          <c:w val="0.9695017954477384"/>
          <c:h val="8.5894376839258768E-2"/>
        </c:manualLayout>
      </c:layout>
      <c:overlay val="0"/>
    </c:legend>
    <c:plotVisOnly val="1"/>
    <c:dispBlanksAs val="gap"/>
    <c:showDLblsOverMax val="0"/>
  </c:chart>
  <c:spPr>
    <a:solidFill>
      <a:schemeClr val="accent3">
        <a:lumMod val="60000"/>
        <a:lumOff val="40000"/>
      </a:schemeClr>
    </a:solidFill>
  </c:spPr>
  <c:txPr>
    <a:bodyPr/>
    <a:lstStyle/>
    <a:p>
      <a:pPr>
        <a:defRPr sz="1200"/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KPI Index-4 Polarisasi Positif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88812517186086"/>
          <c:y val="0.24809711286089256"/>
          <c:w val="0.70562800932813585"/>
          <c:h val="0.51007448393275157"/>
        </c:manualLayout>
      </c:layout>
      <c:lineChart>
        <c:grouping val="standard"/>
        <c:varyColors val="0"/>
        <c:ser>
          <c:idx val="1"/>
          <c:order val="0"/>
          <c:tx>
            <c:strRef>
              <c:f>Max!$D$18</c:f>
              <c:strCache>
                <c:ptCount val="1"/>
                <c:pt idx="0">
                  <c:v>Standard</c:v>
                </c:pt>
              </c:strCache>
            </c:strRef>
          </c:tx>
          <c:marker>
            <c:symbol val="none"/>
          </c:marker>
          <c:cat>
            <c:numRef>
              <c:f>Max!$C$19:$C$25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Max!$D$19:$D$25</c:f>
              <c:numCache>
                <c:formatCode>0%</c:formatCode>
                <c:ptCount val="7"/>
                <c:pt idx="0">
                  <c:v>0.33333333333333331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1</c:v>
                </c:pt>
                <c:pt idx="5">
                  <c:v>1.1666666666666667</c:v>
                </c:pt>
                <c:pt idx="6">
                  <c:v>1.3333333333333333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C-4E97-BE53-8A3B3E6E78A4}"/>
            </c:ext>
          </c:extLst>
        </c:ser>
        <c:ser>
          <c:idx val="0"/>
          <c:order val="1"/>
          <c:tx>
            <c:strRef>
              <c:f>Max!$E$18</c:f>
              <c:strCache>
                <c:ptCount val="1"/>
                <c:pt idx="0">
                  <c:v>Calibrated</c:v>
                </c:pt>
              </c:strCache>
            </c:strRef>
          </c:tx>
          <c:spPr>
            <a:ln w="3175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Max!$C$19:$C$25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Max!$E$19:$E$25</c:f>
              <c:numCache>
                <c:formatCode>0%</c:formatCode>
                <c:ptCount val="7"/>
                <c:pt idx="0">
                  <c:v>0.7</c:v>
                </c:pt>
                <c:pt idx="1">
                  <c:v>0.77500000000000002</c:v>
                </c:pt>
                <c:pt idx="2">
                  <c:v>0.85</c:v>
                </c:pt>
                <c:pt idx="3">
                  <c:v>0.92500000000000004</c:v>
                </c:pt>
                <c:pt idx="4">
                  <c:v>1</c:v>
                </c:pt>
                <c:pt idx="5">
                  <c:v>1.075</c:v>
                </c:pt>
                <c:pt idx="6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C-4E97-BE53-8A3B3E6E7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1618441616"/>
        <c:axId val="1618430736"/>
      </c:lineChart>
      <c:catAx>
        <c:axId val="161844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KPI Actual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618430736"/>
        <c:crosses val="autoZero"/>
        <c:auto val="1"/>
        <c:lblAlgn val="ctr"/>
        <c:lblOffset val="100"/>
        <c:tickMarkSkip val="2"/>
        <c:noMultiLvlLbl val="0"/>
      </c:catAx>
      <c:valAx>
        <c:axId val="1618430736"/>
        <c:scaling>
          <c:orientation val="minMax"/>
          <c:max val="1.35"/>
          <c:min val="0.6000000000000006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Achievement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61844161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8.3486664087783179E-3"/>
          <c:y val="0.14146201319429683"/>
          <c:w val="0.98853606802955007"/>
          <c:h val="5.4801021493934898E-2"/>
        </c:manualLayout>
      </c:layout>
      <c:overlay val="0"/>
    </c:legend>
    <c:plotVisOnly val="1"/>
    <c:dispBlanksAs val="gap"/>
    <c:showDLblsOverMax val="0"/>
  </c:chart>
  <c:spPr>
    <a:solidFill>
      <a:schemeClr val="accent3">
        <a:lumMod val="60000"/>
        <a:lumOff val="40000"/>
      </a:schemeClr>
    </a:solidFill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KPI</a:t>
            </a:r>
            <a:r>
              <a:rPr lang="en-US" sz="1400" baseline="0"/>
              <a:t> Index-5 Polarisasi Positif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88812517186086"/>
          <c:y val="0.17596862189979076"/>
          <c:w val="0.71912495869820203"/>
          <c:h val="0.62210180188150677"/>
        </c:manualLayout>
      </c:layout>
      <c:lineChart>
        <c:grouping val="standard"/>
        <c:varyColors val="0"/>
        <c:ser>
          <c:idx val="1"/>
          <c:order val="0"/>
          <c:tx>
            <c:strRef>
              <c:f>Max!$D$30</c:f>
              <c:strCache>
                <c:ptCount val="1"/>
                <c:pt idx="0">
                  <c:v>Standard</c:v>
                </c:pt>
              </c:strCache>
            </c:strRef>
          </c:tx>
          <c:marker>
            <c:symbol val="none"/>
          </c:marker>
          <c:cat>
            <c:numRef>
              <c:f>Max!$C$31:$C$40</c:f>
              <c:numCache>
                <c:formatCode>0.00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Max!$D$31:$D$40</c:f>
              <c:numCache>
                <c:formatCode>0%</c:formatCode>
                <c:ptCount val="10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5-43EE-B1CA-9468A0C966E7}"/>
            </c:ext>
          </c:extLst>
        </c:ser>
        <c:ser>
          <c:idx val="0"/>
          <c:order val="1"/>
          <c:tx>
            <c:strRef>
              <c:f>Max!$E$30</c:f>
              <c:strCache>
                <c:ptCount val="1"/>
                <c:pt idx="0">
                  <c:v>Calibrated</c:v>
                </c:pt>
              </c:strCache>
            </c:strRef>
          </c:tx>
          <c:spPr>
            <a:ln w="3175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Max!$C$31:$C$40</c:f>
              <c:numCache>
                <c:formatCode>0.00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Max!$E$31:$E$40</c:f>
              <c:numCache>
                <c:formatCode>0%</c:formatCode>
                <c:ptCount val="10"/>
                <c:pt idx="0">
                  <c:v>0.47499999999999998</c:v>
                </c:pt>
                <c:pt idx="1">
                  <c:v>0.55000000000000004</c:v>
                </c:pt>
                <c:pt idx="2">
                  <c:v>0.625</c:v>
                </c:pt>
                <c:pt idx="3">
                  <c:v>0.7</c:v>
                </c:pt>
                <c:pt idx="4">
                  <c:v>0.77500000000000002</c:v>
                </c:pt>
                <c:pt idx="5">
                  <c:v>0.85</c:v>
                </c:pt>
                <c:pt idx="6">
                  <c:v>0.92500000000000004</c:v>
                </c:pt>
                <c:pt idx="7">
                  <c:v>1</c:v>
                </c:pt>
                <c:pt idx="8">
                  <c:v>1.075</c:v>
                </c:pt>
                <c:pt idx="9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5-43EE-B1CA-9468A0C96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1618433456"/>
        <c:axId val="1618435088"/>
      </c:lineChart>
      <c:catAx>
        <c:axId val="161843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KPI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618435088"/>
        <c:crosses val="autoZero"/>
        <c:auto val="0"/>
        <c:lblAlgn val="ctr"/>
        <c:lblOffset val="100"/>
        <c:tickMarkSkip val="2"/>
        <c:noMultiLvlLbl val="0"/>
      </c:catAx>
      <c:valAx>
        <c:axId val="1618435088"/>
        <c:scaling>
          <c:orientation val="minMax"/>
          <c:max val="1.3"/>
          <c:min val="0.7000000000000006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Achievement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618433456"/>
        <c:crosses val="autoZero"/>
        <c:crossBetween val="midCat"/>
        <c:majorUnit val="0.05"/>
      </c:valAx>
    </c:plotArea>
    <c:legend>
      <c:legendPos val="r"/>
      <c:layout>
        <c:manualLayout>
          <c:xMode val="edge"/>
          <c:yMode val="edge"/>
          <c:x val="0.11738296106727528"/>
          <c:y val="9.6932377834793124E-2"/>
          <c:w val="0.80162013432926982"/>
          <c:h val="5.8536493679977972E-2"/>
        </c:manualLayout>
      </c:layout>
      <c:overlay val="0"/>
    </c:legend>
    <c:plotVisOnly val="1"/>
    <c:dispBlanksAs val="gap"/>
    <c:showDLblsOverMax val="0"/>
  </c:chart>
  <c:spPr>
    <a:solidFill>
      <a:schemeClr val="accent3">
        <a:lumMod val="60000"/>
        <a:lumOff val="40000"/>
      </a:schemeClr>
    </a:solidFill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KPI Index-100</a:t>
            </a:r>
            <a:r>
              <a:rPr lang="en-US" sz="1400" baseline="0"/>
              <a:t> Polarisasi Positif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550753578483111"/>
          <c:y val="0.22424869881470993"/>
          <c:w val="0.72847882674459563"/>
          <c:h val="0.56886913624600222"/>
        </c:manualLayout>
      </c:layout>
      <c:lineChart>
        <c:grouping val="standard"/>
        <c:varyColors val="0"/>
        <c:ser>
          <c:idx val="0"/>
          <c:order val="0"/>
          <c:tx>
            <c:strRef>
              <c:f>Max!$D$45</c:f>
              <c:strCache>
                <c:ptCount val="1"/>
                <c:pt idx="0">
                  <c:v>Standard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dPt>
            <c:idx val="10"/>
            <c:bubble3D val="0"/>
            <c:spPr>
              <a:ln>
                <a:solidFill>
                  <a:srgbClr val="C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EFF-448C-B184-BEAE190DDA3A}"/>
              </c:ext>
            </c:extLst>
          </c:dPt>
          <c:cat>
            <c:numRef>
              <c:f>Max!$C$46:$C$56</c:f>
              <c:numCache>
                <c:formatCode>General</c:formatCode>
                <c:ptCount val="1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numCache>
            </c:numRef>
          </c:cat>
          <c:val>
            <c:numRef>
              <c:f>Max!$D$46:$D$56</c:f>
              <c:numCache>
                <c:formatCode>0%</c:formatCode>
                <c:ptCount val="11"/>
                <c:pt idx="0">
                  <c:v>0.57471264367816088</c:v>
                </c:pt>
                <c:pt idx="1">
                  <c:v>0.63218390804597702</c:v>
                </c:pt>
                <c:pt idx="2">
                  <c:v>0.68965517241379315</c:v>
                </c:pt>
                <c:pt idx="3">
                  <c:v>0.74712643678160917</c:v>
                </c:pt>
                <c:pt idx="4">
                  <c:v>0.8045977011494253</c:v>
                </c:pt>
                <c:pt idx="5">
                  <c:v>0.86206896551724133</c:v>
                </c:pt>
                <c:pt idx="6">
                  <c:v>0.91954022988505746</c:v>
                </c:pt>
                <c:pt idx="7">
                  <c:v>0.97701149425287359</c:v>
                </c:pt>
                <c:pt idx="8">
                  <c:v>1.0344827586206897</c:v>
                </c:pt>
                <c:pt idx="9">
                  <c:v>1.0919540229885059</c:v>
                </c:pt>
                <c:pt idx="10">
                  <c:v>1.1494252873563218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EFF-448C-B184-BEAE190DDA3A}"/>
            </c:ext>
          </c:extLst>
        </c:ser>
        <c:ser>
          <c:idx val="1"/>
          <c:order val="1"/>
          <c:tx>
            <c:strRef>
              <c:f>Max!$E$45</c:f>
              <c:strCache>
                <c:ptCount val="1"/>
                <c:pt idx="0">
                  <c:v>Calibrated</c:v>
                </c:pt>
              </c:strCache>
            </c:strRef>
          </c:tx>
          <c:spPr>
            <a:ln w="31750"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Max!$E$46:$E$56</c:f>
              <c:numCache>
                <c:formatCode>0%</c:formatCode>
                <c:ptCount val="11"/>
                <c:pt idx="0">
                  <c:v>0.57471264367816088</c:v>
                </c:pt>
                <c:pt idx="1">
                  <c:v>0.63293818008804514</c:v>
                </c:pt>
                <c:pt idx="2">
                  <c:v>0.69363624411932812</c:v>
                </c:pt>
                <c:pt idx="3">
                  <c:v>0.7576610603517131</c:v>
                </c:pt>
                <c:pt idx="4">
                  <c:v>0.82560992358465546</c:v>
                </c:pt>
                <c:pt idx="5">
                  <c:v>0.89796578911089864</c:v>
                </c:pt>
                <c:pt idx="6">
                  <c:v>0.97514230643612454</c:v>
                </c:pt>
                <c:pt idx="7">
                  <c:v>1.0575054566380435</c:v>
                </c:pt>
                <c:pt idx="8">
                  <c:v>1.1453859335255132</c:v>
                </c:pt>
                <c:pt idx="9">
                  <c:v>1.2390870036296782</c:v>
                </c:pt>
                <c:pt idx="10">
                  <c:v>1.3388898581701216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EFF-448C-B184-BEAE190D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1462318784"/>
        <c:axId val="1462319328"/>
      </c:lineChart>
      <c:catAx>
        <c:axId val="146231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KPI Actual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2319328"/>
        <c:crosses val="autoZero"/>
        <c:auto val="1"/>
        <c:lblAlgn val="ctr"/>
        <c:lblOffset val="100"/>
        <c:noMultiLvlLbl val="0"/>
      </c:catAx>
      <c:valAx>
        <c:axId val="1462319328"/>
        <c:scaling>
          <c:orientation val="minMax"/>
          <c:max val="1.2"/>
          <c:min val="0.7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Achievement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462318784"/>
        <c:crosses val="autoZero"/>
        <c:crossBetween val="midCat"/>
        <c:majorUnit val="5.0000000000000024E-2"/>
      </c:valAx>
    </c:plotArea>
    <c:legend>
      <c:legendPos val="r"/>
      <c:layout>
        <c:manualLayout>
          <c:xMode val="edge"/>
          <c:yMode val="edge"/>
          <c:x val="3.417182130584194E-2"/>
          <c:y val="0.11064376091021839"/>
          <c:w val="0.93558762886597902"/>
          <c:h val="5.8442510109541421E-2"/>
        </c:manualLayout>
      </c:layout>
      <c:overlay val="0"/>
    </c:legend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>
      <a:solidFill>
        <a:srgbClr val="339966"/>
      </a:solidFill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Project!$F$4</c:f>
              <c:strCache>
                <c:ptCount val="1"/>
                <c:pt idx="0">
                  <c:v>On time</c:v>
                </c:pt>
              </c:strCache>
            </c:strRef>
          </c:tx>
          <c:marker>
            <c:symbol val="none"/>
          </c:marker>
          <c:val>
            <c:numRef>
              <c:f>Project!$F$5:$F$14</c:f>
              <c:numCache>
                <c:formatCode>0%</c:formatCode>
                <c:ptCount val="10"/>
                <c:pt idx="0">
                  <c:v>1</c:v>
                </c:pt>
                <c:pt idx="1">
                  <c:v>0.8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B-429B-B2B4-378329852793}"/>
            </c:ext>
          </c:extLst>
        </c:ser>
        <c:ser>
          <c:idx val="1"/>
          <c:order val="1"/>
          <c:tx>
            <c:strRef>
              <c:f>Project!$G$4</c:f>
              <c:strCache>
                <c:ptCount val="1"/>
                <c:pt idx="0">
                  <c:v>On budget</c:v>
                </c:pt>
              </c:strCache>
            </c:strRef>
          </c:tx>
          <c:marker>
            <c:symbol val="none"/>
          </c:marker>
          <c:val>
            <c:numRef>
              <c:f>Project!$G$5:$G$14</c:f>
              <c:numCache>
                <c:formatCode>0%</c:formatCode>
                <c:ptCount val="10"/>
                <c:pt idx="0">
                  <c:v>1</c:v>
                </c:pt>
                <c:pt idx="1">
                  <c:v>1.1100000000000001</c:v>
                </c:pt>
                <c:pt idx="2">
                  <c:v>1</c:v>
                </c:pt>
                <c:pt idx="3">
                  <c:v>1.2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B-429B-B2B4-378329852793}"/>
            </c:ext>
          </c:extLst>
        </c:ser>
        <c:ser>
          <c:idx val="2"/>
          <c:order val="2"/>
          <c:tx>
            <c:strRef>
              <c:f>Project!$H$4</c:f>
              <c:strCache>
                <c:ptCount val="1"/>
                <c:pt idx="0">
                  <c:v>On spec</c:v>
                </c:pt>
              </c:strCache>
            </c:strRef>
          </c:tx>
          <c:marker>
            <c:symbol val="none"/>
          </c:marker>
          <c:val>
            <c:numRef>
              <c:f>Project!$H$5:$H$14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BB-429B-B2B4-378329852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556080"/>
        <c:axId val="1305552816"/>
      </c:lineChart>
      <c:catAx>
        <c:axId val="130555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05552816"/>
        <c:crosses val="autoZero"/>
        <c:auto val="1"/>
        <c:lblAlgn val="ctr"/>
        <c:lblOffset val="100"/>
        <c:noMultiLvlLbl val="0"/>
      </c:catAx>
      <c:valAx>
        <c:axId val="13055528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0555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KPI Target=0 Polarisasi Negatif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364401355163"/>
          <c:y val="0.20600628673061938"/>
          <c:w val="0.72007581873044091"/>
          <c:h val="0.60061817910573911"/>
        </c:manualLayout>
      </c:layout>
      <c:lineChart>
        <c:grouping val="standard"/>
        <c:varyColors val="0"/>
        <c:ser>
          <c:idx val="0"/>
          <c:order val="0"/>
          <c:tx>
            <c:v>K=20%</c:v>
          </c:tx>
          <c:spPr>
            <a:ln w="3175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'Min T=0'!$B$6:$B$19</c:f>
              <c:numCache>
                <c:formatCode>#,##0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'Min T=0'!$C$6:$C$19</c:f>
              <c:numCache>
                <c:formatCode>0%</c:formatCode>
                <c:ptCount val="14"/>
                <c:pt idx="0">
                  <c:v>1</c:v>
                </c:pt>
                <c:pt idx="1">
                  <c:v>0.74081822068171788</c:v>
                </c:pt>
                <c:pt idx="2">
                  <c:v>0.54881163609402639</c:v>
                </c:pt>
                <c:pt idx="3">
                  <c:v>0.40656965974059917</c:v>
                </c:pt>
                <c:pt idx="4">
                  <c:v>0.30119421191220214</c:v>
                </c:pt>
                <c:pt idx="5">
                  <c:v>0.22313016014842982</c:v>
                </c:pt>
                <c:pt idx="6">
                  <c:v>0.16529888822158656</c:v>
                </c:pt>
                <c:pt idx="7">
                  <c:v>0.12245642825298191</c:v>
                </c:pt>
                <c:pt idx="8">
                  <c:v>9.0717953289412512E-2</c:v>
                </c:pt>
                <c:pt idx="9">
                  <c:v>6.7205512739749784E-2</c:v>
                </c:pt>
                <c:pt idx="10">
                  <c:v>4.9787068367863944E-2</c:v>
                </c:pt>
                <c:pt idx="11">
                  <c:v>3.6883167401240015E-2</c:v>
                </c:pt>
                <c:pt idx="12">
                  <c:v>2.7323722447292569E-2</c:v>
                </c:pt>
                <c:pt idx="13">
                  <c:v>2.0241911445804391E-2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2-42B2-9590-DD3B29412E38}"/>
            </c:ext>
          </c:extLst>
        </c:ser>
        <c:ser>
          <c:idx val="1"/>
          <c:order val="1"/>
          <c:tx>
            <c:v>K=10%</c:v>
          </c:tx>
          <c:marker>
            <c:symbol val="none"/>
          </c:marker>
          <c:cat>
            <c:numRef>
              <c:f>'Min T=0'!$B$6:$B$19</c:f>
              <c:numCache>
                <c:formatCode>#,##0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'Min T=0'!$D$6:$D$19</c:f>
              <c:numCache>
                <c:formatCode>0%</c:formatCode>
                <c:ptCount val="14"/>
                <c:pt idx="0">
                  <c:v>1</c:v>
                </c:pt>
                <c:pt idx="1">
                  <c:v>0.90483741803595952</c:v>
                </c:pt>
                <c:pt idx="2">
                  <c:v>0.81873075307798182</c:v>
                </c:pt>
                <c:pt idx="3">
                  <c:v>0.74081822068171788</c:v>
                </c:pt>
                <c:pt idx="4">
                  <c:v>0.67032004603563933</c:v>
                </c:pt>
                <c:pt idx="5">
                  <c:v>0.60653065971263342</c:v>
                </c:pt>
                <c:pt idx="6">
                  <c:v>0.54881163609402639</c:v>
                </c:pt>
                <c:pt idx="7">
                  <c:v>0.49658530379140947</c:v>
                </c:pt>
                <c:pt idx="8">
                  <c:v>0.44932896411722156</c:v>
                </c:pt>
                <c:pt idx="9">
                  <c:v>0.40656965974059911</c:v>
                </c:pt>
                <c:pt idx="10">
                  <c:v>0.36787944117144233</c:v>
                </c:pt>
                <c:pt idx="11">
                  <c:v>0.33287108369807955</c:v>
                </c:pt>
                <c:pt idx="12">
                  <c:v>0.30119421191220203</c:v>
                </c:pt>
                <c:pt idx="13">
                  <c:v>0.27253179303401259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2-42B2-9590-DD3B29412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1625226016"/>
        <c:axId val="1625223296"/>
      </c:lineChart>
      <c:catAx>
        <c:axId val="162522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KPI Actual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625223296"/>
        <c:crosses val="autoZero"/>
        <c:auto val="1"/>
        <c:lblAlgn val="ctr"/>
        <c:lblOffset val="100"/>
        <c:noMultiLvlLbl val="0"/>
      </c:catAx>
      <c:valAx>
        <c:axId val="1625223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Achievement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625226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3.9479952750933772E-2"/>
          <c:y val="0.11445162413825478"/>
          <c:w val="0.91957515520494859"/>
          <c:h val="5.4626997999625108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KPI Standard</a:t>
            </a:r>
            <a:r>
              <a:rPr lang="en-US" sz="1400" baseline="0"/>
              <a:t> Polarisasi Stabil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526753385520997"/>
          <c:y val="0.17692972503175183"/>
          <c:w val="0.79121220379527657"/>
          <c:h val="0.66578990829844786"/>
        </c:manualLayout>
      </c:layout>
      <c:lineChart>
        <c:grouping val="standard"/>
        <c:varyColors val="0"/>
        <c:ser>
          <c:idx val="0"/>
          <c:order val="0"/>
          <c:cat>
            <c:numRef>
              <c:f>Stabilize!$C$5:$C$15</c:f>
              <c:numCache>
                <c:formatCode>0%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cat>
          <c:val>
            <c:numRef>
              <c:f>Stabilize!$D$30:$D$39</c:f>
            </c:numRef>
          </c:val>
          <c:smooth val="0"/>
          <c:extLst>
            <c:ext xmlns:c16="http://schemas.microsoft.com/office/drawing/2014/chart" uri="{C3380CC4-5D6E-409C-BE32-E72D297353CC}">
              <c16:uniqueId val="{00000000-36F2-45B7-8291-F0A4BD8A772A}"/>
            </c:ext>
          </c:extLst>
        </c:ser>
        <c:ser>
          <c:idx val="1"/>
          <c:order val="1"/>
          <c:tx>
            <c:strRef>
              <c:f>Stabilize!$E$4</c:f>
              <c:strCache>
                <c:ptCount val="1"/>
                <c:pt idx="0">
                  <c:v>5%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Stabilize!$C$5:$C$15</c:f>
              <c:numCache>
                <c:formatCode>0%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cat>
          <c:val>
            <c:numRef>
              <c:f>Stabilize!$E$5:$E$15</c:f>
              <c:numCache>
                <c:formatCode>0%</c:formatCode>
                <c:ptCount val="11"/>
                <c:pt idx="0">
                  <c:v>0.15000000000000013</c:v>
                </c:pt>
                <c:pt idx="1">
                  <c:v>0.3500000000000002</c:v>
                </c:pt>
                <c:pt idx="2">
                  <c:v>0.55000000000000004</c:v>
                </c:pt>
                <c:pt idx="3">
                  <c:v>0.75000000000000011</c:v>
                </c:pt>
                <c:pt idx="4">
                  <c:v>0.94999999999999984</c:v>
                </c:pt>
                <c:pt idx="5">
                  <c:v>1.1499999999999999</c:v>
                </c:pt>
                <c:pt idx="6">
                  <c:v>0.94999999999999984</c:v>
                </c:pt>
                <c:pt idx="7">
                  <c:v>0.75000000000000011</c:v>
                </c:pt>
                <c:pt idx="8">
                  <c:v>0.55000000000000004</c:v>
                </c:pt>
                <c:pt idx="9">
                  <c:v>0.3500000000000002</c:v>
                </c:pt>
                <c:pt idx="10">
                  <c:v>0.15000000000000013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2-45B7-8291-F0A4BD8A772A}"/>
            </c:ext>
          </c:extLst>
        </c:ser>
        <c:ser>
          <c:idx val="2"/>
          <c:order val="2"/>
          <c:tx>
            <c:strRef>
              <c:f>Stabilize!$F$4</c:f>
              <c:strCache>
                <c:ptCount val="1"/>
                <c:pt idx="0">
                  <c:v>10%</c:v>
                </c:pt>
              </c:strCache>
            </c:strRef>
          </c:tx>
          <c:spPr>
            <a:ln w="3175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Stabilize!$C$5:$C$15</c:f>
              <c:numCache>
                <c:formatCode>0%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cat>
          <c:val>
            <c:numRef>
              <c:f>Stabilize!$F$5:$F$15</c:f>
              <c:numCache>
                <c:formatCode>0%</c:formatCode>
                <c:ptCount val="11"/>
                <c:pt idx="0">
                  <c:v>0.65000000000000013</c:v>
                </c:pt>
                <c:pt idx="1">
                  <c:v>0.75000000000000011</c:v>
                </c:pt>
                <c:pt idx="2">
                  <c:v>0.85</c:v>
                </c:pt>
                <c:pt idx="3">
                  <c:v>0.95000000000000007</c:v>
                </c:pt>
                <c:pt idx="4">
                  <c:v>1.0499999999999998</c:v>
                </c:pt>
                <c:pt idx="5">
                  <c:v>1.1499999999999999</c:v>
                </c:pt>
                <c:pt idx="6">
                  <c:v>1.0499999999999998</c:v>
                </c:pt>
                <c:pt idx="7">
                  <c:v>0.95000000000000007</c:v>
                </c:pt>
                <c:pt idx="8">
                  <c:v>0.85</c:v>
                </c:pt>
                <c:pt idx="9">
                  <c:v>0.75000000000000011</c:v>
                </c:pt>
                <c:pt idx="10">
                  <c:v>0.65000000000000013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F2-45B7-8291-F0A4BD8A7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1625223840"/>
        <c:axId val="1625228192"/>
      </c:lineChart>
      <c:catAx>
        <c:axId val="162522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KPI Actual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625228192"/>
        <c:crosses val="autoZero"/>
        <c:auto val="1"/>
        <c:lblAlgn val="ctr"/>
        <c:lblOffset val="100"/>
        <c:tickMarkSkip val="2"/>
        <c:noMultiLvlLbl val="0"/>
      </c:catAx>
      <c:valAx>
        <c:axId val="1625228192"/>
        <c:scaling>
          <c:orientation val="minMax"/>
          <c:max val="1.2"/>
          <c:min val="0.7000000000000006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Achievement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625223840"/>
        <c:crosses val="autoZero"/>
        <c:crossBetween val="midCat"/>
        <c:majorUnit val="0.05"/>
      </c:valAx>
    </c:plotArea>
    <c:legend>
      <c:legendPos val="r"/>
      <c:layout>
        <c:manualLayout>
          <c:xMode val="edge"/>
          <c:yMode val="edge"/>
          <c:x val="4.4267678334848924E-2"/>
          <c:y val="0.10081056709004065"/>
          <c:w val="0.90277280711673868"/>
          <c:h val="5.3103885392302666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40000"/>
        <a:lumOff val="60000"/>
      </a:schemeClr>
    </a:solidFill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1</xdr:row>
      <xdr:rowOff>12701</xdr:rowOff>
    </xdr:from>
    <xdr:to>
      <xdr:col>7</xdr:col>
      <xdr:colOff>615950</xdr:colOff>
      <xdr:row>12</xdr:row>
      <xdr:rowOff>69850</xdr:rowOff>
    </xdr:to>
    <xdr:graphicFrame macro="">
      <xdr:nvGraphicFramePr>
        <xdr:cNvPr id="1027" name="Chart 1">
          <a:extLst>
            <a:ext uri="{FF2B5EF4-FFF2-40B4-BE49-F238E27FC236}">
              <a16:creationId xmlns:a16="http://schemas.microsoft.com/office/drawing/2014/main" id="{00000000-0008-0000-04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</xdr:colOff>
      <xdr:row>14</xdr:row>
      <xdr:rowOff>12701</xdr:rowOff>
    </xdr:from>
    <xdr:to>
      <xdr:col>7</xdr:col>
      <xdr:colOff>615950</xdr:colOff>
      <xdr:row>25</xdr:row>
      <xdr:rowOff>69850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412750</xdr:colOff>
      <xdr:row>4</xdr:row>
      <xdr:rowOff>6350</xdr:rowOff>
    </xdr:from>
    <xdr:to>
      <xdr:col>14</xdr:col>
      <xdr:colOff>190499</xdr:colOff>
      <xdr:row>13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12</xdr:col>
      <xdr:colOff>419099</xdr:colOff>
      <xdr:row>24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12</xdr:col>
      <xdr:colOff>419099</xdr:colOff>
      <xdr:row>39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66675</xdr:colOff>
      <xdr:row>43</xdr:row>
      <xdr:rowOff>114300</xdr:rowOff>
    </xdr:from>
    <xdr:to>
      <xdr:col>13</xdr:col>
      <xdr:colOff>419100</xdr:colOff>
      <xdr:row>53</xdr:row>
      <xdr:rowOff>269874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268287</xdr:colOff>
      <xdr:row>2</xdr:row>
      <xdr:rowOff>236536</xdr:rowOff>
    </xdr:from>
    <xdr:to>
      <xdr:col>19</xdr:col>
      <xdr:colOff>485775</xdr:colOff>
      <xdr:row>15</xdr:row>
      <xdr:rowOff>107949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82551</xdr:colOff>
      <xdr:row>2</xdr:row>
      <xdr:rowOff>11112</xdr:rowOff>
    </xdr:from>
    <xdr:to>
      <xdr:col>10</xdr:col>
      <xdr:colOff>457200</xdr:colOff>
      <xdr:row>17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2</xdr:row>
      <xdr:rowOff>1</xdr:rowOff>
    </xdr:from>
    <xdr:to>
      <xdr:col>12</xdr:col>
      <xdr:colOff>542924</xdr:colOff>
      <xdr:row>13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21"/>
  <sheetViews>
    <sheetView showGridLines="0" workbookViewId="0">
      <selection activeCell="G5" sqref="G5"/>
    </sheetView>
  </sheetViews>
  <sheetFormatPr defaultRowHeight="12.5" x14ac:dyDescent="0.25"/>
  <cols>
    <col min="1" max="1" width="1.26953125" customWidth="1"/>
    <col min="2" max="2" width="1.81640625" customWidth="1"/>
    <col min="3" max="3" width="10.453125" customWidth="1"/>
    <col min="4" max="4" width="8" style="150" customWidth="1"/>
    <col min="5" max="5" width="11.7265625" style="4" customWidth="1"/>
    <col min="6" max="6" width="12.7265625" style="4" customWidth="1"/>
    <col min="7" max="7" width="9.26953125" style="4" customWidth="1"/>
    <col min="8" max="8" width="12" style="4" customWidth="1"/>
    <col min="9" max="9" width="10.26953125" style="4" customWidth="1"/>
    <col min="10" max="10" width="10.1796875" style="4" customWidth="1"/>
    <col min="11" max="11" width="9.26953125" style="4" customWidth="1"/>
    <col min="12" max="12" width="12.1796875" style="4" customWidth="1"/>
    <col min="13" max="13" width="20.1796875" customWidth="1"/>
  </cols>
  <sheetData>
    <row r="1" spans="3:16" ht="20" x14ac:dyDescent="0.25">
      <c r="C1" s="67" t="s">
        <v>141</v>
      </c>
    </row>
    <row r="2" spans="3:16" ht="20" x14ac:dyDescent="0.25">
      <c r="C2" s="67" t="s">
        <v>123</v>
      </c>
    </row>
    <row r="3" spans="3:16" s="153" customFormat="1" ht="41.5" x14ac:dyDescent="0.25">
      <c r="C3" s="135" t="s">
        <v>11</v>
      </c>
      <c r="D3" s="135" t="s">
        <v>42</v>
      </c>
      <c r="E3" s="137" t="s">
        <v>124</v>
      </c>
      <c r="F3" s="137" t="s">
        <v>144</v>
      </c>
      <c r="G3" s="138" t="s">
        <v>126</v>
      </c>
      <c r="H3" s="142" t="s">
        <v>142</v>
      </c>
      <c r="I3" s="142" t="s">
        <v>143</v>
      </c>
      <c r="J3" s="143" t="s">
        <v>127</v>
      </c>
      <c r="K3" s="144" t="s">
        <v>140</v>
      </c>
      <c r="L3" s="135" t="s">
        <v>125</v>
      </c>
      <c r="M3" s="135" t="s">
        <v>145</v>
      </c>
    </row>
    <row r="4" spans="3:16" s="153" customFormat="1" ht="13" x14ac:dyDescent="0.25">
      <c r="C4" s="147" t="s">
        <v>128</v>
      </c>
      <c r="D4" s="147" t="s">
        <v>129</v>
      </c>
      <c r="E4" s="147" t="s">
        <v>130</v>
      </c>
      <c r="F4" s="147" t="s">
        <v>131</v>
      </c>
      <c r="G4" s="148" t="s">
        <v>132</v>
      </c>
      <c r="H4" s="147" t="s">
        <v>133</v>
      </c>
      <c r="I4" s="147" t="s">
        <v>134</v>
      </c>
      <c r="J4" s="148" t="s">
        <v>135</v>
      </c>
      <c r="K4" s="148" t="s">
        <v>136</v>
      </c>
      <c r="L4" s="147" t="s">
        <v>137</v>
      </c>
      <c r="M4" s="147" t="s">
        <v>137</v>
      </c>
    </row>
    <row r="5" spans="3:16" ht="24" customHeight="1" x14ac:dyDescent="0.65">
      <c r="C5" s="77" t="s">
        <v>73</v>
      </c>
      <c r="D5" s="151">
        <f t="shared" ref="D5:D14" si="0">H5/$H$15</f>
        <v>4.1237113402061855E-2</v>
      </c>
      <c r="E5" s="139">
        <v>120</v>
      </c>
      <c r="F5" s="139">
        <v>110</v>
      </c>
      <c r="G5" s="140">
        <f t="shared" ref="G5:J6" si="1">2-F5/E5</f>
        <v>1.0833333333333335</v>
      </c>
      <c r="H5" s="154">
        <v>100000</v>
      </c>
      <c r="I5" s="141">
        <v>150000</v>
      </c>
      <c r="J5" s="80">
        <f t="shared" si="1"/>
        <v>0.5</v>
      </c>
      <c r="K5" s="145">
        <v>1</v>
      </c>
      <c r="L5" s="149">
        <f>(G5+J5+K5)/3*D5*115%</f>
        <v>4.0836197021764026E-2</v>
      </c>
      <c r="M5" s="149" t="s">
        <v>139</v>
      </c>
      <c r="P5" s="74"/>
    </row>
    <row r="6" spans="3:16" ht="24" customHeight="1" x14ac:dyDescent="0.25">
      <c r="C6" s="77" t="s">
        <v>74</v>
      </c>
      <c r="D6" s="151">
        <f t="shared" si="0"/>
        <v>0.12371134020618557</v>
      </c>
      <c r="E6" s="139">
        <v>100</v>
      </c>
      <c r="F6" s="139">
        <v>100</v>
      </c>
      <c r="G6" s="140">
        <f t="shared" si="1"/>
        <v>1</v>
      </c>
      <c r="H6" s="154">
        <v>300000</v>
      </c>
      <c r="I6" s="141">
        <v>325000</v>
      </c>
      <c r="J6" s="80">
        <f t="shared" si="1"/>
        <v>0.91666666666666674</v>
      </c>
      <c r="K6" s="145">
        <v>1</v>
      </c>
      <c r="L6" s="149">
        <f t="shared" ref="L6:L14" si="2">(G6+J6+K6)/3*D6*115%</f>
        <v>0.13831615120274915</v>
      </c>
      <c r="M6" s="149" t="s">
        <v>139</v>
      </c>
    </row>
    <row r="7" spans="3:16" ht="24" customHeight="1" x14ac:dyDescent="0.25">
      <c r="C7" s="77" t="s">
        <v>75</v>
      </c>
      <c r="D7" s="151">
        <f t="shared" si="0"/>
        <v>8.247422680412371E-2</v>
      </c>
      <c r="E7" s="139">
        <v>300</v>
      </c>
      <c r="F7" s="139">
        <v>320</v>
      </c>
      <c r="G7" s="140">
        <f>2-F7/E7</f>
        <v>0.93333333333333335</v>
      </c>
      <c r="H7" s="154">
        <v>200000</v>
      </c>
      <c r="I7" s="141">
        <v>1900000</v>
      </c>
      <c r="J7" s="80">
        <f>2-I7/H7</f>
        <v>-7.5</v>
      </c>
      <c r="K7" s="145">
        <v>1</v>
      </c>
      <c r="L7" s="149">
        <f t="shared" si="2"/>
        <v>-0.17599083619702174</v>
      </c>
      <c r="M7" s="149" t="s">
        <v>139</v>
      </c>
    </row>
    <row r="8" spans="3:16" ht="24" customHeight="1" x14ac:dyDescent="0.25">
      <c r="C8" s="77" t="s">
        <v>76</v>
      </c>
      <c r="D8" s="151">
        <f t="shared" si="0"/>
        <v>2.0618556701030927E-2</v>
      </c>
      <c r="E8" s="139">
        <v>60</v>
      </c>
      <c r="F8" s="139">
        <v>70</v>
      </c>
      <c r="G8" s="140">
        <f t="shared" ref="G8:G14" si="3">2-F8/E8</f>
        <v>0.83333333333333326</v>
      </c>
      <c r="H8" s="154">
        <v>50000</v>
      </c>
      <c r="I8" s="141">
        <v>70000</v>
      </c>
      <c r="J8" s="80">
        <f t="shared" ref="J8:J14" si="4">2-I8/H8</f>
        <v>0.60000000000000009</v>
      </c>
      <c r="K8" s="145">
        <v>1</v>
      </c>
      <c r="L8" s="149">
        <f t="shared" si="2"/>
        <v>1.923253150057274E-2</v>
      </c>
      <c r="M8" s="149" t="s">
        <v>139</v>
      </c>
    </row>
    <row r="9" spans="3:16" ht="24" customHeight="1" x14ac:dyDescent="0.25">
      <c r="C9" s="77" t="s">
        <v>77</v>
      </c>
      <c r="D9" s="151">
        <f t="shared" si="0"/>
        <v>0.20618556701030927</v>
      </c>
      <c r="E9" s="139">
        <v>80</v>
      </c>
      <c r="F9" s="139">
        <v>90</v>
      </c>
      <c r="G9" s="140">
        <f t="shared" si="3"/>
        <v>0.875</v>
      </c>
      <c r="H9" s="154">
        <v>500000</v>
      </c>
      <c r="I9" s="141">
        <v>500000</v>
      </c>
      <c r="J9" s="80">
        <f t="shared" si="4"/>
        <v>1</v>
      </c>
      <c r="K9" s="145">
        <v>1</v>
      </c>
      <c r="L9" s="149">
        <f t="shared" si="2"/>
        <v>0.22723367697594499</v>
      </c>
      <c r="M9" s="149" t="s">
        <v>139</v>
      </c>
    </row>
    <row r="10" spans="3:16" ht="24" customHeight="1" x14ac:dyDescent="0.25">
      <c r="C10" s="77" t="s">
        <v>78</v>
      </c>
      <c r="D10" s="151">
        <f t="shared" si="0"/>
        <v>4.1237113402061855E-2</v>
      </c>
      <c r="E10" s="139">
        <v>100</v>
      </c>
      <c r="F10" s="139">
        <v>90</v>
      </c>
      <c r="G10" s="140">
        <f t="shared" si="3"/>
        <v>1.1000000000000001</v>
      </c>
      <c r="H10" s="154">
        <v>100000</v>
      </c>
      <c r="I10" s="141">
        <v>90000</v>
      </c>
      <c r="J10" s="80">
        <f t="shared" si="4"/>
        <v>1.1000000000000001</v>
      </c>
      <c r="K10" s="145">
        <v>1</v>
      </c>
      <c r="L10" s="149">
        <f t="shared" si="2"/>
        <v>5.0584192439862535E-2</v>
      </c>
      <c r="M10" s="149" t="s">
        <v>139</v>
      </c>
    </row>
    <row r="11" spans="3:16" ht="24" customHeight="1" x14ac:dyDescent="0.25">
      <c r="C11" s="77" t="s">
        <v>79</v>
      </c>
      <c r="D11" s="151">
        <f t="shared" si="0"/>
        <v>0.12371134020618557</v>
      </c>
      <c r="E11" s="139">
        <v>130</v>
      </c>
      <c r="F11" s="139">
        <v>100</v>
      </c>
      <c r="G11" s="140">
        <f t="shared" si="3"/>
        <v>1.2307692307692308</v>
      </c>
      <c r="H11" s="154">
        <v>300000</v>
      </c>
      <c r="I11" s="141">
        <v>290000</v>
      </c>
      <c r="J11" s="80">
        <f t="shared" si="4"/>
        <v>1.0333333333333332</v>
      </c>
      <c r="K11" s="145">
        <v>1</v>
      </c>
      <c r="L11" s="149">
        <f t="shared" si="2"/>
        <v>0.15479249273063705</v>
      </c>
      <c r="M11" s="149" t="s">
        <v>139</v>
      </c>
    </row>
    <row r="12" spans="3:16" ht="24" customHeight="1" x14ac:dyDescent="0.25">
      <c r="C12" s="77" t="s">
        <v>80</v>
      </c>
      <c r="D12" s="151">
        <f t="shared" si="0"/>
        <v>8.247422680412371E-2</v>
      </c>
      <c r="E12" s="139">
        <v>90</v>
      </c>
      <c r="F12" s="139">
        <v>60</v>
      </c>
      <c r="G12" s="140">
        <f t="shared" si="3"/>
        <v>1.3333333333333335</v>
      </c>
      <c r="H12" s="154">
        <v>200000</v>
      </c>
      <c r="I12" s="141">
        <v>200000</v>
      </c>
      <c r="J12" s="80">
        <f t="shared" si="4"/>
        <v>1</v>
      </c>
      <c r="K12" s="145">
        <v>1</v>
      </c>
      <c r="L12" s="149">
        <f t="shared" si="2"/>
        <v>0.10538373424971363</v>
      </c>
      <c r="M12" s="149" t="s">
        <v>139</v>
      </c>
    </row>
    <row r="13" spans="3:16" ht="24" customHeight="1" x14ac:dyDescent="0.25">
      <c r="C13" s="77" t="s">
        <v>81</v>
      </c>
      <c r="D13" s="151">
        <f t="shared" si="0"/>
        <v>0.24742268041237114</v>
      </c>
      <c r="E13" s="139">
        <v>50</v>
      </c>
      <c r="F13" s="139">
        <v>50</v>
      </c>
      <c r="G13" s="140">
        <f t="shared" si="3"/>
        <v>1</v>
      </c>
      <c r="H13" s="154">
        <v>600000</v>
      </c>
      <c r="I13" s="141">
        <v>650000</v>
      </c>
      <c r="J13" s="80">
        <f t="shared" si="4"/>
        <v>0.91666666666666674</v>
      </c>
      <c r="K13" s="145">
        <v>1</v>
      </c>
      <c r="L13" s="149">
        <f t="shared" si="2"/>
        <v>0.2766323024054983</v>
      </c>
      <c r="M13" s="149" t="s">
        <v>139</v>
      </c>
    </row>
    <row r="14" spans="3:16" ht="24" customHeight="1" x14ac:dyDescent="0.25">
      <c r="C14" s="77" t="s">
        <v>82</v>
      </c>
      <c r="D14" s="151">
        <f t="shared" si="0"/>
        <v>3.0927835051546393E-2</v>
      </c>
      <c r="E14" s="139">
        <v>30</v>
      </c>
      <c r="F14" s="139">
        <v>28</v>
      </c>
      <c r="G14" s="140">
        <f t="shared" si="3"/>
        <v>1.0666666666666667</v>
      </c>
      <c r="H14" s="154">
        <v>75000</v>
      </c>
      <c r="I14" s="141">
        <v>75000</v>
      </c>
      <c r="J14" s="80">
        <f t="shared" si="4"/>
        <v>1</v>
      </c>
      <c r="K14" s="145">
        <v>1</v>
      </c>
      <c r="L14" s="149">
        <f t="shared" si="2"/>
        <v>3.63573883161512E-2</v>
      </c>
      <c r="M14" s="149" t="s">
        <v>139</v>
      </c>
    </row>
    <row r="15" spans="3:16" ht="24" customHeight="1" x14ac:dyDescent="0.25">
      <c r="C15" s="156" t="s">
        <v>146</v>
      </c>
      <c r="D15" s="157"/>
      <c r="E15" s="158"/>
      <c r="F15" s="158"/>
      <c r="G15" s="159"/>
      <c r="H15" s="160">
        <f>SUM(H5:H14)</f>
        <v>2425000</v>
      </c>
      <c r="I15" s="161"/>
      <c r="J15" s="159"/>
      <c r="K15" s="159"/>
      <c r="L15" s="163">
        <f>SUM(L5:L14)</f>
        <v>0.87337783064587193</v>
      </c>
      <c r="M15" s="162"/>
    </row>
    <row r="16" spans="3:16" ht="13" x14ac:dyDescent="0.3">
      <c r="C16" s="7" t="s">
        <v>147</v>
      </c>
      <c r="D16" s="152"/>
      <c r="E16" s="146"/>
      <c r="F16" s="146"/>
      <c r="H16" s="146"/>
    </row>
    <row r="17" spans="3:12" ht="13" x14ac:dyDescent="0.3">
      <c r="C17" s="7" t="s">
        <v>149</v>
      </c>
      <c r="D17" s="152"/>
      <c r="E17" s="146"/>
      <c r="F17" s="146"/>
      <c r="H17" s="146"/>
    </row>
    <row r="18" spans="3:12" ht="13" x14ac:dyDescent="0.3">
      <c r="C18" s="7" t="s">
        <v>148</v>
      </c>
      <c r="D18" s="152"/>
      <c r="E18" s="146"/>
      <c r="F18" s="146"/>
      <c r="H18" s="146"/>
      <c r="K18" s="113"/>
      <c r="L18" s="113"/>
    </row>
    <row r="19" spans="3:12" ht="13" x14ac:dyDescent="0.3">
      <c r="C19" s="7"/>
      <c r="D19" s="152"/>
      <c r="E19" s="146"/>
      <c r="F19" s="146"/>
      <c r="H19" s="146"/>
      <c r="K19" s="155"/>
      <c r="L19" s="113"/>
    </row>
    <row r="20" spans="3:12" ht="13" x14ac:dyDescent="0.3">
      <c r="C20" s="7"/>
      <c r="D20" s="152"/>
      <c r="E20" s="146"/>
      <c r="F20" s="146"/>
      <c r="H20" s="146"/>
      <c r="K20" s="155"/>
      <c r="L20" s="3"/>
    </row>
    <row r="21" spans="3:12" x14ac:dyDescent="0.25">
      <c r="C21" s="4"/>
      <c r="K21" s="113"/>
    </row>
  </sheetData>
  <pageMargins left="0.75" right="0.75" top="1" bottom="1" header="0.5" footer="0.5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19"/>
  <sheetViews>
    <sheetView showGridLines="0" zoomScale="106" zoomScaleNormal="106" workbookViewId="0">
      <pane ySplit="2" topLeftCell="A6" activePane="bottomLeft" state="frozen"/>
      <selection activeCell="D1" sqref="D1"/>
      <selection pane="bottomLeft" activeCell="D10" sqref="D10"/>
    </sheetView>
  </sheetViews>
  <sheetFormatPr defaultRowHeight="12.5" x14ac:dyDescent="0.25"/>
  <cols>
    <col min="1" max="1" width="2" customWidth="1"/>
    <col min="2" max="2" width="4.7265625" customWidth="1"/>
    <col min="3" max="3" width="20.26953125" bestFit="1" customWidth="1"/>
    <col min="4" max="4" width="27.54296875" bestFit="1" customWidth="1"/>
    <col min="5" max="5" width="29.81640625" bestFit="1" customWidth="1"/>
    <col min="6" max="6" width="6" customWidth="1"/>
    <col min="7" max="7" width="8.453125" bestFit="1" customWidth="1"/>
    <col min="8" max="8" width="8.1796875" bestFit="1" customWidth="1"/>
    <col min="9" max="9" width="10.54296875" style="58" customWidth="1"/>
    <col min="10" max="10" width="9.453125" customWidth="1"/>
    <col min="11" max="11" width="8" customWidth="1"/>
    <col min="12" max="12" width="23" bestFit="1" customWidth="1"/>
  </cols>
  <sheetData>
    <row r="1" spans="2:12" ht="20" x14ac:dyDescent="0.25">
      <c r="B1" s="36" t="s">
        <v>65</v>
      </c>
      <c r="C1" s="2"/>
      <c r="D1" s="2"/>
      <c r="E1" s="37"/>
      <c r="F1" s="2"/>
      <c r="G1" s="2"/>
      <c r="H1" s="2"/>
      <c r="I1" s="55"/>
      <c r="J1" s="37"/>
    </row>
    <row r="2" spans="2:12" ht="31" x14ac:dyDescent="0.25">
      <c r="B2" s="38" t="s">
        <v>0</v>
      </c>
      <c r="C2" s="38" t="s">
        <v>26</v>
      </c>
      <c r="D2" s="38" t="s">
        <v>35</v>
      </c>
      <c r="E2" s="38" t="s">
        <v>36</v>
      </c>
      <c r="F2" s="38" t="s">
        <v>38</v>
      </c>
      <c r="G2" s="38" t="s">
        <v>103</v>
      </c>
      <c r="H2" s="38" t="s">
        <v>104</v>
      </c>
      <c r="I2" s="56" t="s">
        <v>3</v>
      </c>
      <c r="J2" s="38" t="s">
        <v>4</v>
      </c>
    </row>
    <row r="3" spans="2:12" ht="30" customHeight="1" x14ac:dyDescent="0.25">
      <c r="B3" s="46" t="s">
        <v>182</v>
      </c>
      <c r="C3" s="47" t="s">
        <v>51</v>
      </c>
      <c r="D3" s="34" t="s">
        <v>45</v>
      </c>
      <c r="E3" s="40" t="s">
        <v>5</v>
      </c>
      <c r="F3" s="33"/>
      <c r="G3" s="48">
        <v>100</v>
      </c>
      <c r="H3" s="48">
        <v>105</v>
      </c>
      <c r="I3" s="57">
        <f>H3/G3</f>
        <v>1.05</v>
      </c>
      <c r="J3" s="134">
        <f t="shared" ref="J3:J12" si="0">IF(I3&lt;70%,1,IF(I3&gt;115%,4,(I3-70%)/15%+1))</f>
        <v>3.3333333333333339</v>
      </c>
    </row>
    <row r="4" spans="2:12" ht="30" customHeight="1" x14ac:dyDescent="0.25">
      <c r="B4" s="46" t="s">
        <v>183</v>
      </c>
      <c r="C4" s="47" t="s">
        <v>31</v>
      </c>
      <c r="D4" s="34" t="s">
        <v>32</v>
      </c>
      <c r="E4" s="41" t="s">
        <v>68</v>
      </c>
      <c r="F4" s="35"/>
      <c r="G4" s="49">
        <v>0.96</v>
      </c>
      <c r="H4" s="49">
        <v>1</v>
      </c>
      <c r="I4" s="39">
        <f>100%+(H4-G4)/(1-G4)*15%</f>
        <v>1.1499999999999999</v>
      </c>
      <c r="J4" s="134">
        <f t="shared" si="0"/>
        <v>4</v>
      </c>
      <c r="K4" s="60"/>
    </row>
    <row r="5" spans="2:12" ht="30" customHeight="1" x14ac:dyDescent="0.25">
      <c r="B5" s="46" t="s">
        <v>184</v>
      </c>
      <c r="C5" s="47" t="s">
        <v>84</v>
      </c>
      <c r="D5" s="34" t="s">
        <v>33</v>
      </c>
      <c r="E5" s="41" t="s">
        <v>67</v>
      </c>
      <c r="F5" s="35"/>
      <c r="G5" s="50">
        <v>3</v>
      </c>
      <c r="H5" s="50">
        <v>2</v>
      </c>
      <c r="I5" s="39">
        <f>1+(H5-G5)/(4-G5)*15%</f>
        <v>0.85</v>
      </c>
      <c r="J5" s="134">
        <f t="shared" si="0"/>
        <v>2</v>
      </c>
    </row>
    <row r="6" spans="2:12" ht="30" customHeight="1" x14ac:dyDescent="0.25">
      <c r="B6" s="46" t="s">
        <v>185</v>
      </c>
      <c r="C6" s="47" t="s">
        <v>83</v>
      </c>
      <c r="D6" s="34" t="s">
        <v>85</v>
      </c>
      <c r="E6" s="40" t="s">
        <v>5</v>
      </c>
      <c r="F6" s="35"/>
      <c r="G6" s="75">
        <v>3</v>
      </c>
      <c r="H6" s="75">
        <v>2</v>
      </c>
      <c r="I6" s="57">
        <f>H6/G6</f>
        <v>0.66666666666666663</v>
      </c>
      <c r="J6" s="134">
        <f t="shared" si="0"/>
        <v>1</v>
      </c>
    </row>
    <row r="7" spans="2:12" ht="29.25" customHeight="1" x14ac:dyDescent="0.25">
      <c r="B7" s="46" t="s">
        <v>186</v>
      </c>
      <c r="C7" s="47" t="s">
        <v>43</v>
      </c>
      <c r="D7" s="34" t="s">
        <v>49</v>
      </c>
      <c r="E7" s="40" t="s">
        <v>50</v>
      </c>
      <c r="F7" s="35"/>
      <c r="G7" s="50">
        <v>100</v>
      </c>
      <c r="H7" s="50">
        <v>76</v>
      </c>
      <c r="I7" s="57">
        <f>H7/G7*115%</f>
        <v>0.87399999999999989</v>
      </c>
      <c r="J7" s="134">
        <f t="shared" si="0"/>
        <v>2.1599999999999997</v>
      </c>
    </row>
    <row r="8" spans="2:12" ht="29.25" customHeight="1" x14ac:dyDescent="0.25">
      <c r="B8" s="46" t="s">
        <v>187</v>
      </c>
      <c r="C8" s="47" t="s">
        <v>47</v>
      </c>
      <c r="D8" s="34" t="s">
        <v>48</v>
      </c>
      <c r="E8" s="41" t="s">
        <v>64</v>
      </c>
      <c r="F8" s="59">
        <v>2.4</v>
      </c>
      <c r="G8" s="50">
        <v>87</v>
      </c>
      <c r="H8" s="50">
        <v>90.26</v>
      </c>
      <c r="I8" s="57">
        <f>H8/G8+((H8-50)/100)^F8</f>
        <v>1.1501124075241913</v>
      </c>
      <c r="J8" s="134">
        <f t="shared" si="0"/>
        <v>4</v>
      </c>
    </row>
    <row r="9" spans="2:12" ht="30" customHeight="1" x14ac:dyDescent="0.25">
      <c r="B9" s="195" t="s">
        <v>188</v>
      </c>
      <c r="C9" s="196" t="s">
        <v>52</v>
      </c>
      <c r="D9" s="197" t="s">
        <v>37</v>
      </c>
      <c r="E9" s="198" t="s">
        <v>39</v>
      </c>
      <c r="F9" s="199"/>
      <c r="G9" s="200">
        <v>5</v>
      </c>
      <c r="H9" s="200">
        <v>10</v>
      </c>
      <c r="I9" s="201">
        <f t="shared" ref="I9" si="1">IF(H9&gt;(2*G9),0,2-(H9/G9))</f>
        <v>0</v>
      </c>
      <c r="J9" s="134">
        <f t="shared" si="0"/>
        <v>1</v>
      </c>
    </row>
    <row r="10" spans="2:12" ht="30" customHeight="1" x14ac:dyDescent="0.25">
      <c r="B10" s="195" t="s">
        <v>189</v>
      </c>
      <c r="C10" s="196" t="s">
        <v>27</v>
      </c>
      <c r="D10" s="197" t="s">
        <v>34</v>
      </c>
      <c r="E10" s="202" t="s">
        <v>40</v>
      </c>
      <c r="F10" s="203">
        <v>1.4999999999999999E-2</v>
      </c>
      <c r="G10" s="204">
        <v>0</v>
      </c>
      <c r="H10" s="204">
        <v>10</v>
      </c>
      <c r="I10" s="201">
        <f>EXP(-H10*F10)*1.15</f>
        <v>0.98981417288881646</v>
      </c>
      <c r="J10" s="134">
        <f t="shared" si="0"/>
        <v>2.9320944859254432</v>
      </c>
    </row>
    <row r="11" spans="2:12" ht="30" customHeight="1" x14ac:dyDescent="0.25">
      <c r="B11" s="195" t="s">
        <v>190</v>
      </c>
      <c r="C11" s="196" t="s">
        <v>29</v>
      </c>
      <c r="D11" s="197" t="s">
        <v>28</v>
      </c>
      <c r="E11" s="198" t="s">
        <v>10</v>
      </c>
      <c r="F11" s="205"/>
      <c r="G11" s="204">
        <v>0</v>
      </c>
      <c r="H11" s="204">
        <v>2</v>
      </c>
      <c r="I11" s="201">
        <f>IF(H11=0,100%,0)</f>
        <v>0</v>
      </c>
      <c r="J11" s="134">
        <f t="shared" si="0"/>
        <v>1</v>
      </c>
    </row>
    <row r="12" spans="2:12" ht="30" customHeight="1" x14ac:dyDescent="0.25">
      <c r="B12" s="46">
        <v>3</v>
      </c>
      <c r="C12" s="47" t="s">
        <v>181</v>
      </c>
      <c r="D12" s="34" t="s">
        <v>53</v>
      </c>
      <c r="E12" s="41" t="s">
        <v>94</v>
      </c>
      <c r="F12" s="193">
        <v>0.1</v>
      </c>
      <c r="G12" s="45">
        <v>50</v>
      </c>
      <c r="H12" s="45">
        <v>59</v>
      </c>
      <c r="I12" s="39">
        <f t="shared" ref="I12" si="2">100%+(F12-ABS((G12-H12)/G12))*(15%/F12)</f>
        <v>0.88</v>
      </c>
      <c r="J12" s="134">
        <f t="shared" si="0"/>
        <v>2.2000000000000002</v>
      </c>
      <c r="K12" s="54"/>
      <c r="L12" s="52"/>
    </row>
    <row r="13" spans="2:12" x14ac:dyDescent="0.25">
      <c r="F13" s="193">
        <v>0.1</v>
      </c>
      <c r="G13" s="45">
        <f>G12/2</f>
        <v>25</v>
      </c>
      <c r="H13" s="45">
        <f>H12/2</f>
        <v>29.5</v>
      </c>
      <c r="I13" s="39">
        <f t="shared" ref="I13" si="3">100%+(F13-ABS((G13-H13)/G13))*(15%/F13)</f>
        <v>0.88</v>
      </c>
      <c r="J13" s="134">
        <f t="shared" ref="J13" si="4">IF(I13&lt;70%,1,IF(I13&gt;115%,4,(I13-70%)/15%+1))</f>
        <v>2.2000000000000002</v>
      </c>
    </row>
    <row r="16" spans="2:12" x14ac:dyDescent="0.25">
      <c r="H16">
        <v>1</v>
      </c>
      <c r="I16" s="194">
        <f>70%+(H16-1)*15%</f>
        <v>0.7</v>
      </c>
    </row>
    <row r="17" spans="8:9" x14ac:dyDescent="0.25">
      <c r="H17">
        <v>2</v>
      </c>
      <c r="I17" s="194">
        <f t="shared" ref="I17:I19" si="5">70%+(H17-1)*15%</f>
        <v>0.85</v>
      </c>
    </row>
    <row r="18" spans="8:9" x14ac:dyDescent="0.25">
      <c r="H18">
        <v>3</v>
      </c>
      <c r="I18" s="194">
        <f t="shared" si="5"/>
        <v>1</v>
      </c>
    </row>
    <row r="19" spans="8:9" x14ac:dyDescent="0.25">
      <c r="H19">
        <v>4</v>
      </c>
      <c r="I19" s="194">
        <f t="shared" si="5"/>
        <v>1.1499999999999999</v>
      </c>
    </row>
  </sheetData>
  <conditionalFormatting sqref="J3:J12">
    <cfRule type="iconSet" priority="6">
      <iconSet>
        <cfvo type="percent" val="0"/>
        <cfvo type="num" val="2"/>
        <cfvo type="num" val="3"/>
      </iconSet>
    </cfRule>
  </conditionalFormatting>
  <conditionalFormatting sqref="J13">
    <cfRule type="iconSet" priority="1">
      <iconSet>
        <cfvo type="percent" val="0"/>
        <cfvo type="num" val="2"/>
        <cfvo type="num" val="3"/>
      </iconSet>
    </cfRule>
  </conditionalFormatting>
  <pageMargins left="0.75" right="0.75" top="1" bottom="1" header="0.5" footer="0.5"/>
  <pageSetup paperSize="9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99D87CCC-A7A2-4979-81F6-085C03C259FE}">
            <x14:iconSet iconSet="4TrafficLights" custom="1">
              <x14:cfvo type="percent">
                <xm:f>0</xm:f>
              </x14:cfvo>
              <x14:cfvo type="formula">
                <xm:f>2</xm:f>
              </x14:cfvo>
              <x14:cfvo type="formula">
                <xm:f>3</xm:f>
              </x14:cfvo>
              <x14:cfvo type="formula">
                <xm:f>4</xm:f>
              </x14:cfvo>
              <x14:cfIcon iconSet="3TrafficLights2" iconId="0"/>
              <x14:cfIcon iconSet="3TrafficLights2" iconId="1"/>
              <x14:cfIcon iconSet="3TrafficLights2" iconId="2"/>
              <x14:cfIcon iconSet="3Flags" iconId="2"/>
            </x14:iconSet>
          </x14:cfRule>
          <xm:sqref>K3:K12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7"/>
  <sheetViews>
    <sheetView showGridLines="0" topLeftCell="A3" workbookViewId="0">
      <selection activeCell="F14" sqref="F14"/>
    </sheetView>
  </sheetViews>
  <sheetFormatPr defaultRowHeight="12.5" x14ac:dyDescent="0.25"/>
  <cols>
    <col min="2" max="7" width="14.7265625" customWidth="1"/>
  </cols>
  <sheetData>
    <row r="2" spans="2:7" x14ac:dyDescent="0.25">
      <c r="B2" s="136" t="s">
        <v>150</v>
      </c>
    </row>
    <row r="4" spans="2:7" ht="18" customHeight="1" x14ac:dyDescent="0.35">
      <c r="B4" s="177" t="s">
        <v>151</v>
      </c>
      <c r="C4" s="177" t="s">
        <v>159</v>
      </c>
      <c r="D4" s="166"/>
      <c r="E4" s="166"/>
      <c r="F4" s="166"/>
      <c r="G4" s="164"/>
    </row>
    <row r="5" spans="2:7" ht="18" customHeight="1" x14ac:dyDescent="0.35">
      <c r="B5" s="178" t="s">
        <v>167</v>
      </c>
      <c r="C5" s="179" t="s">
        <v>154</v>
      </c>
      <c r="D5" s="179" t="s">
        <v>1</v>
      </c>
      <c r="E5" s="179" t="s">
        <v>2</v>
      </c>
      <c r="F5" s="179" t="s">
        <v>153</v>
      </c>
      <c r="G5" s="179" t="s">
        <v>138</v>
      </c>
    </row>
    <row r="6" spans="2:7" ht="18" customHeight="1" x14ac:dyDescent="0.35">
      <c r="B6" s="165" t="s">
        <v>152</v>
      </c>
      <c r="C6" s="168" t="s">
        <v>106</v>
      </c>
      <c r="D6" s="168">
        <v>1000</v>
      </c>
      <c r="E6" s="168">
        <v>900</v>
      </c>
      <c r="F6" s="169">
        <f>E6/D6</f>
        <v>0.9</v>
      </c>
      <c r="G6" s="169" t="s">
        <v>5</v>
      </c>
    </row>
    <row r="7" spans="2:7" ht="18" customHeight="1" x14ac:dyDescent="0.35">
      <c r="B7" s="165" t="s">
        <v>155</v>
      </c>
      <c r="C7" s="168" t="s">
        <v>156</v>
      </c>
      <c r="D7" s="168">
        <v>800</v>
      </c>
      <c r="E7" s="168">
        <v>900</v>
      </c>
      <c r="F7" s="169">
        <f t="shared" ref="F7:F8" si="0">E7/D7</f>
        <v>1.125</v>
      </c>
      <c r="G7" s="169" t="s">
        <v>5</v>
      </c>
    </row>
    <row r="8" spans="2:7" ht="18" customHeight="1" x14ac:dyDescent="0.35">
      <c r="B8" s="166" t="s">
        <v>157</v>
      </c>
      <c r="C8" s="167" t="s">
        <v>158</v>
      </c>
      <c r="D8" s="167">
        <v>600</v>
      </c>
      <c r="E8" s="167">
        <v>700</v>
      </c>
      <c r="F8" s="170">
        <f t="shared" si="0"/>
        <v>1.1666666666666667</v>
      </c>
      <c r="G8" s="170" t="s">
        <v>5</v>
      </c>
    </row>
    <row r="9" spans="2:7" ht="18" customHeight="1" x14ac:dyDescent="0.35">
      <c r="B9" s="171" t="s">
        <v>160</v>
      </c>
      <c r="C9" s="172"/>
      <c r="D9" s="172"/>
      <c r="E9" s="172"/>
      <c r="F9" s="176">
        <f>AVERAGE(F6:F8)</f>
        <v>1.0638888888888889</v>
      </c>
      <c r="G9" s="173"/>
    </row>
    <row r="10" spans="2:7" ht="18" customHeight="1" x14ac:dyDescent="0.35">
      <c r="B10" s="165"/>
      <c r="C10" s="165"/>
      <c r="D10" s="165"/>
      <c r="E10" s="165"/>
      <c r="F10" s="165"/>
      <c r="G10" s="165"/>
    </row>
    <row r="11" spans="2:7" ht="18" customHeight="1" x14ac:dyDescent="0.35">
      <c r="B11" s="165"/>
      <c r="C11" s="165"/>
      <c r="D11" s="165"/>
      <c r="E11" s="165"/>
      <c r="F11" s="165"/>
      <c r="G11" s="165"/>
    </row>
    <row r="12" spans="2:7" ht="18" customHeight="1" x14ac:dyDescent="0.35">
      <c r="B12" s="177" t="s">
        <v>161</v>
      </c>
      <c r="C12" s="177" t="s">
        <v>162</v>
      </c>
      <c r="D12" s="166"/>
      <c r="E12" s="166"/>
      <c r="F12" s="166"/>
      <c r="G12" s="166"/>
    </row>
    <row r="13" spans="2:7" ht="18" customHeight="1" x14ac:dyDescent="0.35">
      <c r="B13" s="178" t="s">
        <v>167</v>
      </c>
      <c r="C13" s="179" t="s">
        <v>154</v>
      </c>
      <c r="D13" s="179" t="s">
        <v>1</v>
      </c>
      <c r="E13" s="179" t="s">
        <v>2</v>
      </c>
      <c r="F13" s="179" t="s">
        <v>153</v>
      </c>
      <c r="G13" s="179" t="s">
        <v>138</v>
      </c>
    </row>
    <row r="14" spans="2:7" ht="18" customHeight="1" x14ac:dyDescent="0.35">
      <c r="B14" s="165" t="s">
        <v>152</v>
      </c>
      <c r="C14" s="168" t="s">
        <v>163</v>
      </c>
      <c r="D14" s="174">
        <v>3000</v>
      </c>
      <c r="E14" s="174">
        <v>3200</v>
      </c>
      <c r="F14" s="169">
        <f>2-E14/D14</f>
        <v>0.93333333333333335</v>
      </c>
      <c r="G14" s="169" t="s">
        <v>166</v>
      </c>
    </row>
    <row r="15" spans="2:7" ht="18" customHeight="1" x14ac:dyDescent="0.35">
      <c r="B15" s="165" t="s">
        <v>155</v>
      </c>
      <c r="C15" s="168" t="s">
        <v>164</v>
      </c>
      <c r="D15" s="174">
        <v>5000</v>
      </c>
      <c r="E15" s="174">
        <v>4900</v>
      </c>
      <c r="F15" s="169">
        <f t="shared" ref="F15:F16" si="1">2-E15/D15</f>
        <v>1.02</v>
      </c>
      <c r="G15" s="169" t="s">
        <v>166</v>
      </c>
    </row>
    <row r="16" spans="2:7" ht="18" customHeight="1" x14ac:dyDescent="0.35">
      <c r="B16" s="166" t="s">
        <v>157</v>
      </c>
      <c r="C16" s="167" t="s">
        <v>165</v>
      </c>
      <c r="D16" s="175">
        <v>7000</v>
      </c>
      <c r="E16" s="175">
        <v>7000</v>
      </c>
      <c r="F16" s="169">
        <f t="shared" si="1"/>
        <v>1</v>
      </c>
      <c r="G16" s="170" t="s">
        <v>166</v>
      </c>
    </row>
    <row r="17" spans="2:7" ht="18" customHeight="1" x14ac:dyDescent="0.35">
      <c r="B17" s="171" t="s">
        <v>162</v>
      </c>
      <c r="C17" s="172"/>
      <c r="D17" s="172"/>
      <c r="E17" s="172"/>
      <c r="F17" s="176">
        <f>AVERAGE(F14:F16)</f>
        <v>0.98444444444444434</v>
      </c>
      <c r="G17" s="17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52"/>
  <sheetViews>
    <sheetView showGridLines="0" topLeftCell="A38" workbookViewId="0">
      <selection activeCell="C17" sqref="C17"/>
    </sheetView>
  </sheetViews>
  <sheetFormatPr defaultRowHeight="12.5" x14ac:dyDescent="0.25"/>
  <cols>
    <col min="1" max="1" width="2" customWidth="1"/>
    <col min="2" max="2" width="20.453125" bestFit="1" customWidth="1"/>
    <col min="3" max="3" width="15" bestFit="1" customWidth="1"/>
    <col min="4" max="4" width="6.1796875" bestFit="1" customWidth="1"/>
    <col min="5" max="5" width="7.81640625" customWidth="1"/>
    <col min="6" max="6" width="8.453125" customWidth="1"/>
    <col min="7" max="7" width="8.1796875" bestFit="1" customWidth="1"/>
    <col min="8" max="8" width="10.54296875" style="58" customWidth="1"/>
    <col min="9" max="9" width="9.453125" style="4" customWidth="1"/>
    <col min="10" max="10" width="8" customWidth="1"/>
    <col min="11" max="11" width="23" bestFit="1" customWidth="1"/>
  </cols>
  <sheetData>
    <row r="1" spans="2:12" x14ac:dyDescent="0.25">
      <c r="B1" s="2"/>
      <c r="C1" s="2"/>
      <c r="D1" s="2"/>
      <c r="E1" s="2"/>
      <c r="F1" s="2"/>
      <c r="G1" s="2"/>
      <c r="H1" s="55"/>
      <c r="I1" s="116"/>
    </row>
    <row r="2" spans="2:12" ht="26" x14ac:dyDescent="0.25">
      <c r="B2" s="117" t="s">
        <v>99</v>
      </c>
      <c r="C2" s="117" t="s">
        <v>100</v>
      </c>
      <c r="D2" s="117" t="s">
        <v>105</v>
      </c>
      <c r="E2" s="117" t="s">
        <v>122</v>
      </c>
      <c r="F2" s="117" t="s">
        <v>103</v>
      </c>
      <c r="G2" s="117" t="s">
        <v>104</v>
      </c>
      <c r="H2" s="118" t="s">
        <v>119</v>
      </c>
      <c r="I2" s="117" t="s">
        <v>4</v>
      </c>
    </row>
    <row r="3" spans="2:12" x14ac:dyDescent="0.25">
      <c r="B3" s="119" t="s">
        <v>101</v>
      </c>
      <c r="C3" s="119" t="s">
        <v>102</v>
      </c>
      <c r="D3" s="120" t="s">
        <v>106</v>
      </c>
      <c r="E3" s="121">
        <v>1200</v>
      </c>
      <c r="F3" s="121">
        <f>F15</f>
        <v>1200</v>
      </c>
      <c r="G3" s="121">
        <f>G15</f>
        <v>1300</v>
      </c>
      <c r="H3" s="123">
        <f>G3/E3</f>
        <v>1.0833333333333333</v>
      </c>
      <c r="I3" s="124">
        <f t="shared" ref="I3:I15" si="0">IF(H3&lt;70%,1,IF(H3&gt;115%,4,(H3-70%)/15%+1))</f>
        <v>3.5555555555555554</v>
      </c>
    </row>
    <row r="4" spans="2:12" x14ac:dyDescent="0.25">
      <c r="B4" s="119"/>
      <c r="C4" s="125"/>
      <c r="D4" s="120"/>
      <c r="E4" s="126" t="s">
        <v>107</v>
      </c>
      <c r="F4" s="121">
        <v>100</v>
      </c>
      <c r="G4" s="121">
        <v>50</v>
      </c>
      <c r="H4" s="123">
        <f t="shared" ref="H4:H15" si="1">G4/F4</f>
        <v>0.5</v>
      </c>
      <c r="I4" s="124">
        <f t="shared" si="0"/>
        <v>1</v>
      </c>
      <c r="L4" s="37"/>
    </row>
    <row r="5" spans="2:12" x14ac:dyDescent="0.25">
      <c r="B5" s="119"/>
      <c r="C5" s="125"/>
      <c r="D5" s="120"/>
      <c r="E5" s="126" t="s">
        <v>108</v>
      </c>
      <c r="F5" s="121">
        <v>200</v>
      </c>
      <c r="G5" s="121">
        <v>100</v>
      </c>
      <c r="H5" s="123">
        <f t="shared" si="1"/>
        <v>0.5</v>
      </c>
      <c r="I5" s="124">
        <f t="shared" si="0"/>
        <v>1</v>
      </c>
    </row>
    <row r="6" spans="2:12" x14ac:dyDescent="0.25">
      <c r="B6" s="119"/>
      <c r="C6" s="125"/>
      <c r="D6" s="120"/>
      <c r="E6" s="126" t="s">
        <v>109</v>
      </c>
      <c r="F6" s="121">
        <v>300</v>
      </c>
      <c r="G6" s="121">
        <v>200</v>
      </c>
      <c r="H6" s="123">
        <f t="shared" si="1"/>
        <v>0.66666666666666663</v>
      </c>
      <c r="I6" s="124">
        <f t="shared" si="0"/>
        <v>1</v>
      </c>
      <c r="K6" s="37"/>
    </row>
    <row r="7" spans="2:12" x14ac:dyDescent="0.25">
      <c r="B7" s="119"/>
      <c r="C7" s="125"/>
      <c r="D7" s="120"/>
      <c r="E7" s="126" t="s">
        <v>110</v>
      </c>
      <c r="F7" s="121">
        <v>400</v>
      </c>
      <c r="G7" s="121">
        <v>200</v>
      </c>
      <c r="H7" s="123">
        <f t="shared" si="1"/>
        <v>0.5</v>
      </c>
      <c r="I7" s="124">
        <f t="shared" si="0"/>
        <v>1</v>
      </c>
    </row>
    <row r="8" spans="2:12" x14ac:dyDescent="0.25">
      <c r="B8" s="119"/>
      <c r="C8" s="125"/>
      <c r="D8" s="120"/>
      <c r="E8" s="126" t="s">
        <v>111</v>
      </c>
      <c r="F8" s="121">
        <v>500</v>
      </c>
      <c r="G8" s="121">
        <v>450</v>
      </c>
      <c r="H8" s="123">
        <f t="shared" si="1"/>
        <v>0.9</v>
      </c>
      <c r="I8" s="124">
        <f t="shared" si="0"/>
        <v>2.3333333333333339</v>
      </c>
    </row>
    <row r="9" spans="2:12" x14ac:dyDescent="0.25">
      <c r="B9" s="119"/>
      <c r="C9" s="125"/>
      <c r="D9" s="120"/>
      <c r="E9" s="126" t="s">
        <v>112</v>
      </c>
      <c r="F9" s="121">
        <v>600</v>
      </c>
      <c r="G9" s="121">
        <v>580</v>
      </c>
      <c r="H9" s="123">
        <f t="shared" si="1"/>
        <v>0.96666666666666667</v>
      </c>
      <c r="I9" s="124">
        <f t="shared" si="0"/>
        <v>2.7777777777777781</v>
      </c>
    </row>
    <row r="10" spans="2:12" x14ac:dyDescent="0.25">
      <c r="B10" s="119"/>
      <c r="C10" s="125"/>
      <c r="D10" s="120"/>
      <c r="E10" s="126" t="s">
        <v>113</v>
      </c>
      <c r="F10" s="121">
        <v>700</v>
      </c>
      <c r="G10" s="121">
        <v>690</v>
      </c>
      <c r="H10" s="123">
        <f t="shared" si="1"/>
        <v>0.98571428571428577</v>
      </c>
      <c r="I10" s="124">
        <f t="shared" si="0"/>
        <v>2.9047619047619055</v>
      </c>
    </row>
    <row r="11" spans="2:12" x14ac:dyDescent="0.25">
      <c r="B11" s="119"/>
      <c r="C11" s="125"/>
      <c r="D11" s="120"/>
      <c r="E11" s="126" t="s">
        <v>114</v>
      </c>
      <c r="F11" s="121">
        <v>800</v>
      </c>
      <c r="G11" s="121">
        <v>850</v>
      </c>
      <c r="H11" s="123">
        <f t="shared" si="1"/>
        <v>1.0625</v>
      </c>
      <c r="I11" s="124">
        <f t="shared" si="0"/>
        <v>3.416666666666667</v>
      </c>
    </row>
    <row r="12" spans="2:12" x14ac:dyDescent="0.25">
      <c r="B12" s="119"/>
      <c r="C12" s="125"/>
      <c r="D12" s="120"/>
      <c r="E12" s="126" t="s">
        <v>115</v>
      </c>
      <c r="F12" s="121">
        <v>900</v>
      </c>
      <c r="G12" s="121">
        <v>950</v>
      </c>
      <c r="H12" s="123">
        <f t="shared" si="1"/>
        <v>1.0555555555555556</v>
      </c>
      <c r="I12" s="124">
        <f t="shared" si="0"/>
        <v>3.3703703703703711</v>
      </c>
    </row>
    <row r="13" spans="2:12" x14ac:dyDescent="0.25">
      <c r="B13" s="119"/>
      <c r="C13" s="125"/>
      <c r="D13" s="120"/>
      <c r="E13" s="126" t="s">
        <v>116</v>
      </c>
      <c r="F13" s="121">
        <v>1000</v>
      </c>
      <c r="G13" s="121">
        <v>1100</v>
      </c>
      <c r="H13" s="123">
        <f t="shared" si="1"/>
        <v>1.1000000000000001</v>
      </c>
      <c r="I13" s="124">
        <f t="shared" si="0"/>
        <v>3.6666666666666679</v>
      </c>
    </row>
    <row r="14" spans="2:12" x14ac:dyDescent="0.25">
      <c r="B14" s="119"/>
      <c r="C14" s="125"/>
      <c r="D14" s="120"/>
      <c r="E14" s="126" t="s">
        <v>117</v>
      </c>
      <c r="F14" s="121">
        <v>1100</v>
      </c>
      <c r="G14" s="121">
        <v>1200</v>
      </c>
      <c r="H14" s="123">
        <f t="shared" si="1"/>
        <v>1.0909090909090908</v>
      </c>
      <c r="I14" s="124">
        <f t="shared" si="0"/>
        <v>3.606060606060606</v>
      </c>
    </row>
    <row r="15" spans="2:12" x14ac:dyDescent="0.25">
      <c r="B15" s="119"/>
      <c r="C15" s="125"/>
      <c r="D15" s="120"/>
      <c r="E15" s="126" t="s">
        <v>118</v>
      </c>
      <c r="F15" s="121">
        <v>1200</v>
      </c>
      <c r="G15" s="121">
        <v>1300</v>
      </c>
      <c r="H15" s="123">
        <f t="shared" si="1"/>
        <v>1.0833333333333333</v>
      </c>
      <c r="I15" s="124">
        <f t="shared" si="0"/>
        <v>3.5555555555555554</v>
      </c>
    </row>
    <row r="16" spans="2:12" x14ac:dyDescent="0.25">
      <c r="B16" s="119"/>
      <c r="C16" s="125"/>
      <c r="D16" s="120"/>
      <c r="E16" s="126"/>
      <c r="F16" s="121"/>
      <c r="G16" s="121"/>
      <c r="H16" s="123"/>
      <c r="I16" s="124"/>
    </row>
    <row r="17" spans="2:9" x14ac:dyDescent="0.25">
      <c r="B17" s="119"/>
      <c r="C17" s="119" t="s">
        <v>120</v>
      </c>
      <c r="D17" s="120" t="s">
        <v>121</v>
      </c>
      <c r="E17" s="121">
        <v>5</v>
      </c>
      <c r="F17" s="121">
        <f>F29</f>
        <v>5</v>
      </c>
      <c r="G17" s="121">
        <f>G29</f>
        <v>4.4000000000000004</v>
      </c>
      <c r="H17" s="123">
        <f t="shared" ref="H17:H29" si="2">MAX(2-G17/F17,0)</f>
        <v>1.1199999999999999</v>
      </c>
      <c r="I17" s="124">
        <f t="shared" ref="I17:I29" si="3">IF(H17&lt;70%,1,IF(H17&gt;115%,4,(H17-70%)/15%+1))</f>
        <v>3.8</v>
      </c>
    </row>
    <row r="18" spans="2:9" x14ac:dyDescent="0.25">
      <c r="B18" s="119"/>
      <c r="C18" s="125"/>
      <c r="D18" s="120"/>
      <c r="E18" s="126" t="s">
        <v>107</v>
      </c>
      <c r="F18" s="121">
        <v>5</v>
      </c>
      <c r="G18" s="122">
        <v>10</v>
      </c>
      <c r="H18" s="123">
        <f t="shared" si="2"/>
        <v>0</v>
      </c>
      <c r="I18" s="124">
        <f t="shared" si="3"/>
        <v>1</v>
      </c>
    </row>
    <row r="19" spans="2:9" x14ac:dyDescent="0.25">
      <c r="B19" s="119"/>
      <c r="C19" s="125"/>
      <c r="D19" s="120"/>
      <c r="E19" s="126" t="s">
        <v>108</v>
      </c>
      <c r="F19" s="121">
        <v>5</v>
      </c>
      <c r="G19" s="122">
        <v>9</v>
      </c>
      <c r="H19" s="123">
        <f t="shared" si="2"/>
        <v>0.19999999999999996</v>
      </c>
      <c r="I19" s="124">
        <f t="shared" si="3"/>
        <v>1</v>
      </c>
    </row>
    <row r="20" spans="2:9" x14ac:dyDescent="0.25">
      <c r="B20" s="119"/>
      <c r="C20" s="125"/>
      <c r="D20" s="120"/>
      <c r="E20" s="126" t="s">
        <v>109</v>
      </c>
      <c r="F20" s="121">
        <v>5</v>
      </c>
      <c r="G20" s="122">
        <v>7</v>
      </c>
      <c r="H20" s="123">
        <f t="shared" si="2"/>
        <v>0.60000000000000009</v>
      </c>
      <c r="I20" s="124">
        <f t="shared" si="3"/>
        <v>1</v>
      </c>
    </row>
    <row r="21" spans="2:9" x14ac:dyDescent="0.25">
      <c r="B21" s="119"/>
      <c r="C21" s="125"/>
      <c r="D21" s="120"/>
      <c r="E21" s="126" t="s">
        <v>110</v>
      </c>
      <c r="F21" s="121">
        <v>5</v>
      </c>
      <c r="G21" s="122">
        <v>6</v>
      </c>
      <c r="H21" s="123">
        <f t="shared" si="2"/>
        <v>0.8</v>
      </c>
      <c r="I21" s="124">
        <f t="shared" si="3"/>
        <v>1.6666666666666674</v>
      </c>
    </row>
    <row r="22" spans="2:9" x14ac:dyDescent="0.25">
      <c r="B22" s="119"/>
      <c r="C22" s="125"/>
      <c r="D22" s="120"/>
      <c r="E22" s="126" t="s">
        <v>111</v>
      </c>
      <c r="F22" s="121">
        <v>5</v>
      </c>
      <c r="G22" s="122">
        <v>5.6</v>
      </c>
      <c r="H22" s="123">
        <f t="shared" si="2"/>
        <v>0.88000000000000012</v>
      </c>
      <c r="I22" s="124">
        <f t="shared" si="3"/>
        <v>2.2000000000000011</v>
      </c>
    </row>
    <row r="23" spans="2:9" x14ac:dyDescent="0.25">
      <c r="B23" s="119"/>
      <c r="C23" s="125"/>
      <c r="D23" s="120"/>
      <c r="E23" s="126" t="s">
        <v>112</v>
      </c>
      <c r="F23" s="121">
        <v>5</v>
      </c>
      <c r="G23" s="122">
        <v>5.5</v>
      </c>
      <c r="H23" s="123">
        <f t="shared" si="2"/>
        <v>0.89999999999999991</v>
      </c>
      <c r="I23" s="124">
        <f t="shared" si="3"/>
        <v>2.333333333333333</v>
      </c>
    </row>
    <row r="24" spans="2:9" x14ac:dyDescent="0.25">
      <c r="B24" s="119"/>
      <c r="C24" s="125"/>
      <c r="D24" s="120"/>
      <c r="E24" s="126" t="s">
        <v>113</v>
      </c>
      <c r="F24" s="121">
        <v>5</v>
      </c>
      <c r="G24" s="122">
        <v>5.3</v>
      </c>
      <c r="H24" s="123">
        <f t="shared" si="2"/>
        <v>0.94</v>
      </c>
      <c r="I24" s="124">
        <f t="shared" si="3"/>
        <v>2.6</v>
      </c>
    </row>
    <row r="25" spans="2:9" x14ac:dyDescent="0.25">
      <c r="B25" s="119"/>
      <c r="C25" s="125"/>
      <c r="D25" s="120"/>
      <c r="E25" s="126" t="s">
        <v>114</v>
      </c>
      <c r="F25" s="121">
        <v>5</v>
      </c>
      <c r="G25" s="122">
        <v>5.2</v>
      </c>
      <c r="H25" s="123">
        <f t="shared" si="2"/>
        <v>0.96</v>
      </c>
      <c r="I25" s="124">
        <f t="shared" si="3"/>
        <v>2.7333333333333334</v>
      </c>
    </row>
    <row r="26" spans="2:9" x14ac:dyDescent="0.25">
      <c r="B26" s="119"/>
      <c r="C26" s="125"/>
      <c r="D26" s="120"/>
      <c r="E26" s="126" t="s">
        <v>115</v>
      </c>
      <c r="F26" s="121">
        <v>5</v>
      </c>
      <c r="G26" s="122">
        <v>5</v>
      </c>
      <c r="H26" s="123">
        <f t="shared" si="2"/>
        <v>1</v>
      </c>
      <c r="I26" s="124">
        <f t="shared" si="3"/>
        <v>3.0000000000000004</v>
      </c>
    </row>
    <row r="27" spans="2:9" x14ac:dyDescent="0.25">
      <c r="B27" s="119"/>
      <c r="C27" s="125"/>
      <c r="D27" s="120"/>
      <c r="E27" s="126" t="s">
        <v>116</v>
      </c>
      <c r="F27" s="121">
        <v>5</v>
      </c>
      <c r="G27" s="122">
        <v>4.5999999999999996</v>
      </c>
      <c r="H27" s="123">
        <f t="shared" si="2"/>
        <v>1.08</v>
      </c>
      <c r="I27" s="124">
        <f t="shared" si="3"/>
        <v>3.5333333333333341</v>
      </c>
    </row>
    <row r="28" spans="2:9" x14ac:dyDescent="0.25">
      <c r="B28" s="119"/>
      <c r="C28" s="125"/>
      <c r="D28" s="120"/>
      <c r="E28" s="126" t="s">
        <v>117</v>
      </c>
      <c r="F28" s="121">
        <v>5</v>
      </c>
      <c r="G28" s="122">
        <v>4.5</v>
      </c>
      <c r="H28" s="123">
        <f t="shared" si="2"/>
        <v>1.1000000000000001</v>
      </c>
      <c r="I28" s="124">
        <f t="shared" si="3"/>
        <v>3.6666666666666679</v>
      </c>
    </row>
    <row r="29" spans="2:9" x14ac:dyDescent="0.25">
      <c r="B29" s="119"/>
      <c r="C29" s="125"/>
      <c r="D29" s="120"/>
      <c r="E29" s="126" t="s">
        <v>118</v>
      </c>
      <c r="F29" s="121">
        <v>5</v>
      </c>
      <c r="G29" s="122">
        <v>4.4000000000000004</v>
      </c>
      <c r="H29" s="123">
        <f t="shared" si="2"/>
        <v>1.1199999999999999</v>
      </c>
      <c r="I29" s="124">
        <f t="shared" si="3"/>
        <v>3.8</v>
      </c>
    </row>
    <row r="32" spans="2:9" ht="26" x14ac:dyDescent="0.25">
      <c r="B32" s="117" t="s">
        <v>99</v>
      </c>
      <c r="C32" s="117" t="s">
        <v>100</v>
      </c>
      <c r="D32" s="117" t="s">
        <v>105</v>
      </c>
      <c r="E32" s="117" t="s">
        <v>122</v>
      </c>
      <c r="F32" s="117" t="s">
        <v>103</v>
      </c>
      <c r="G32" s="117" t="s">
        <v>104</v>
      </c>
      <c r="H32" s="118" t="s">
        <v>119</v>
      </c>
      <c r="I32" s="117" t="s">
        <v>4</v>
      </c>
    </row>
    <row r="33" spans="2:9" x14ac:dyDescent="0.25">
      <c r="B33" s="119" t="s">
        <v>101</v>
      </c>
      <c r="C33" s="119" t="s">
        <v>102</v>
      </c>
      <c r="D33" s="120" t="s">
        <v>106</v>
      </c>
      <c r="E33" s="121">
        <v>1200</v>
      </c>
      <c r="F33" s="121">
        <f>F38</f>
        <v>500</v>
      </c>
      <c r="G33" s="121">
        <f>G38</f>
        <v>450</v>
      </c>
      <c r="H33" s="123">
        <f>H38</f>
        <v>0.9</v>
      </c>
      <c r="I33" s="124">
        <f t="shared" ref="I33:I38" si="4">IF(H33&lt;70%,1,IF(H33&gt;115%,4,(H33-70%)/15%+1))</f>
        <v>2.3333333333333339</v>
      </c>
    </row>
    <row r="34" spans="2:9" x14ac:dyDescent="0.25">
      <c r="B34" s="119"/>
      <c r="C34" s="125"/>
      <c r="D34" s="120"/>
      <c r="E34" s="126" t="s">
        <v>107</v>
      </c>
      <c r="F34" s="121">
        <v>100</v>
      </c>
      <c r="G34" s="121">
        <v>50</v>
      </c>
      <c r="H34" s="123">
        <f>G34/F34</f>
        <v>0.5</v>
      </c>
      <c r="I34" s="124">
        <f t="shared" si="4"/>
        <v>1</v>
      </c>
    </row>
    <row r="35" spans="2:9" x14ac:dyDescent="0.25">
      <c r="B35" s="119"/>
      <c r="C35" s="125"/>
      <c r="D35" s="120"/>
      <c r="E35" s="126" t="s">
        <v>108</v>
      </c>
      <c r="F35" s="121">
        <v>200</v>
      </c>
      <c r="G35" s="121">
        <v>100</v>
      </c>
      <c r="H35" s="123">
        <f>G35/F35</f>
        <v>0.5</v>
      </c>
      <c r="I35" s="124">
        <f t="shared" si="4"/>
        <v>1</v>
      </c>
    </row>
    <row r="36" spans="2:9" x14ac:dyDescent="0.25">
      <c r="B36" s="119"/>
      <c r="C36" s="125"/>
      <c r="D36" s="120"/>
      <c r="E36" s="126" t="s">
        <v>109</v>
      </c>
      <c r="F36" s="121">
        <v>300</v>
      </c>
      <c r="G36" s="121">
        <v>200</v>
      </c>
      <c r="H36" s="123">
        <f>G36/F36</f>
        <v>0.66666666666666663</v>
      </c>
      <c r="I36" s="124">
        <f t="shared" si="4"/>
        <v>1</v>
      </c>
    </row>
    <row r="37" spans="2:9" x14ac:dyDescent="0.25">
      <c r="B37" s="119"/>
      <c r="C37" s="125"/>
      <c r="D37" s="120"/>
      <c r="E37" s="126" t="s">
        <v>110</v>
      </c>
      <c r="F37" s="121">
        <v>400</v>
      </c>
      <c r="G37" s="121">
        <v>350</v>
      </c>
      <c r="H37" s="123">
        <f>G37/F37</f>
        <v>0.875</v>
      </c>
      <c r="I37" s="124">
        <f t="shared" si="4"/>
        <v>2.166666666666667</v>
      </c>
    </row>
    <row r="38" spans="2:9" x14ac:dyDescent="0.25">
      <c r="B38" s="119"/>
      <c r="C38" s="125"/>
      <c r="D38" s="120"/>
      <c r="E38" s="126" t="s">
        <v>111</v>
      </c>
      <c r="F38" s="121">
        <v>500</v>
      </c>
      <c r="G38" s="121">
        <v>450</v>
      </c>
      <c r="H38" s="123">
        <f>G38/F38</f>
        <v>0.9</v>
      </c>
      <c r="I38" s="124">
        <f t="shared" si="4"/>
        <v>2.3333333333333339</v>
      </c>
    </row>
    <row r="39" spans="2:9" x14ac:dyDescent="0.25">
      <c r="B39" s="119"/>
      <c r="C39" s="125"/>
      <c r="D39" s="120"/>
      <c r="E39" s="126"/>
      <c r="F39" s="121"/>
      <c r="G39" s="121"/>
      <c r="H39" s="123"/>
      <c r="I39" s="124"/>
    </row>
    <row r="40" spans="2:9" x14ac:dyDescent="0.25">
      <c r="B40" s="119"/>
      <c r="C40" s="119" t="s">
        <v>120</v>
      </c>
      <c r="D40" s="120" t="s">
        <v>121</v>
      </c>
      <c r="E40" s="121">
        <v>5</v>
      </c>
      <c r="F40" s="121">
        <f>F45</f>
        <v>5</v>
      </c>
      <c r="G40" s="121">
        <f>G45</f>
        <v>5.6</v>
      </c>
      <c r="H40" s="123">
        <f>MAX(2-G40/F40,0)</f>
        <v>0.88000000000000012</v>
      </c>
      <c r="I40" s="124">
        <f t="shared" ref="I40:I45" si="5">IF(H40&lt;70%,1,IF(H40&gt;115%,4,(H40-70%)/15%+1))</f>
        <v>2.2000000000000011</v>
      </c>
    </row>
    <row r="41" spans="2:9" x14ac:dyDescent="0.25">
      <c r="B41" s="119"/>
      <c r="C41" s="125"/>
      <c r="D41" s="120"/>
      <c r="E41" s="126" t="s">
        <v>107</v>
      </c>
      <c r="F41" s="121">
        <v>5</v>
      </c>
      <c r="G41" s="122">
        <v>10</v>
      </c>
      <c r="H41" s="123">
        <f t="shared" ref="H41:H45" si="6">MAX(2-G41/F41,0)</f>
        <v>0</v>
      </c>
      <c r="I41" s="124">
        <f t="shared" si="5"/>
        <v>1</v>
      </c>
    </row>
    <row r="42" spans="2:9" x14ac:dyDescent="0.25">
      <c r="B42" s="119"/>
      <c r="C42" s="125"/>
      <c r="D42" s="120"/>
      <c r="E42" s="126" t="s">
        <v>108</v>
      </c>
      <c r="F42" s="121">
        <v>5</v>
      </c>
      <c r="G42" s="122">
        <v>9</v>
      </c>
      <c r="H42" s="123">
        <f t="shared" si="6"/>
        <v>0.19999999999999996</v>
      </c>
      <c r="I42" s="124">
        <f t="shared" si="5"/>
        <v>1</v>
      </c>
    </row>
    <row r="43" spans="2:9" x14ac:dyDescent="0.25">
      <c r="B43" s="119"/>
      <c r="C43" s="125"/>
      <c r="D43" s="120"/>
      <c r="E43" s="126" t="s">
        <v>109</v>
      </c>
      <c r="F43" s="121">
        <v>5</v>
      </c>
      <c r="G43" s="122">
        <v>7</v>
      </c>
      <c r="H43" s="123">
        <f t="shared" si="6"/>
        <v>0.60000000000000009</v>
      </c>
      <c r="I43" s="124">
        <f t="shared" si="5"/>
        <v>1</v>
      </c>
    </row>
    <row r="44" spans="2:9" x14ac:dyDescent="0.25">
      <c r="B44" s="119"/>
      <c r="C44" s="125"/>
      <c r="D44" s="120"/>
      <c r="E44" s="126" t="s">
        <v>110</v>
      </c>
      <c r="F44" s="121">
        <v>5</v>
      </c>
      <c r="G44" s="122">
        <v>6</v>
      </c>
      <c r="H44" s="123">
        <f t="shared" si="6"/>
        <v>0.8</v>
      </c>
      <c r="I44" s="124">
        <f t="shared" si="5"/>
        <v>1.6666666666666674</v>
      </c>
    </row>
    <row r="45" spans="2:9" x14ac:dyDescent="0.25">
      <c r="B45" s="119"/>
      <c r="C45" s="125"/>
      <c r="D45" s="120"/>
      <c r="E45" s="126" t="s">
        <v>111</v>
      </c>
      <c r="F45" s="121">
        <v>5</v>
      </c>
      <c r="G45" s="122">
        <v>5.6</v>
      </c>
      <c r="H45" s="123">
        <f t="shared" si="6"/>
        <v>0.88000000000000012</v>
      </c>
      <c r="I45" s="124">
        <f t="shared" si="5"/>
        <v>2.2000000000000011</v>
      </c>
    </row>
    <row r="46" spans="2:9" x14ac:dyDescent="0.25">
      <c r="B46" s="119"/>
      <c r="C46" s="125"/>
      <c r="D46" s="120"/>
      <c r="E46" s="126"/>
      <c r="F46" s="121"/>
      <c r="G46" s="122"/>
      <c r="H46" s="123"/>
      <c r="I46" s="124"/>
    </row>
    <row r="47" spans="2:9" x14ac:dyDescent="0.25">
      <c r="B47" s="119"/>
      <c r="C47" s="125"/>
      <c r="D47" s="120"/>
      <c r="E47" s="126"/>
      <c r="F47" s="121"/>
      <c r="G47" s="122"/>
      <c r="H47" s="123"/>
      <c r="I47" s="124"/>
    </row>
    <row r="48" spans="2:9" x14ac:dyDescent="0.25">
      <c r="B48" s="119"/>
      <c r="C48" s="125"/>
      <c r="D48" s="120"/>
      <c r="E48" s="126"/>
      <c r="F48" s="121"/>
      <c r="G48" s="122"/>
      <c r="H48" s="123"/>
      <c r="I48" s="124"/>
    </row>
    <row r="49" spans="2:9" x14ac:dyDescent="0.25">
      <c r="B49" s="119"/>
      <c r="C49" s="125"/>
      <c r="D49" s="120"/>
      <c r="E49" s="126"/>
      <c r="F49" s="121"/>
      <c r="G49" s="122"/>
      <c r="H49" s="123"/>
      <c r="I49" s="124"/>
    </row>
    <row r="50" spans="2:9" x14ac:dyDescent="0.25">
      <c r="B50" s="119"/>
      <c r="C50" s="125"/>
      <c r="D50" s="120"/>
      <c r="E50" s="126"/>
      <c r="F50" s="121"/>
      <c r="G50" s="122"/>
      <c r="H50" s="123"/>
      <c r="I50" s="124"/>
    </row>
    <row r="51" spans="2:9" x14ac:dyDescent="0.25">
      <c r="B51" s="119"/>
      <c r="C51" s="125"/>
      <c r="D51" s="120"/>
      <c r="E51" s="126"/>
      <c r="F51" s="121"/>
      <c r="G51" s="122"/>
      <c r="H51" s="123"/>
      <c r="I51" s="124"/>
    </row>
    <row r="52" spans="2:9" x14ac:dyDescent="0.25">
      <c r="B52" s="119"/>
      <c r="C52" s="125"/>
      <c r="D52" s="120"/>
      <c r="E52" s="126"/>
      <c r="F52" s="121"/>
      <c r="G52" s="122"/>
      <c r="H52" s="123"/>
      <c r="I52" s="124"/>
    </row>
  </sheetData>
  <conditionalFormatting sqref="I4:I16">
    <cfRule type="iconSet" priority="8">
      <iconSet>
        <cfvo type="percent" val="0"/>
        <cfvo type="num" val="2"/>
        <cfvo type="num" val="3"/>
      </iconSet>
    </cfRule>
  </conditionalFormatting>
  <conditionalFormatting sqref="I3">
    <cfRule type="iconSet" priority="7">
      <iconSet>
        <cfvo type="percent" val="0"/>
        <cfvo type="num" val="2"/>
        <cfvo type="num" val="3"/>
      </iconSet>
    </cfRule>
  </conditionalFormatting>
  <conditionalFormatting sqref="I18:I29">
    <cfRule type="iconSet" priority="6">
      <iconSet>
        <cfvo type="percent" val="0"/>
        <cfvo type="num" val="2"/>
        <cfvo type="num" val="3"/>
      </iconSet>
    </cfRule>
  </conditionalFormatting>
  <conditionalFormatting sqref="I17">
    <cfRule type="iconSet" priority="5">
      <iconSet>
        <cfvo type="percent" val="0"/>
        <cfvo type="num" val="2"/>
        <cfvo type="num" val="3"/>
      </iconSet>
    </cfRule>
  </conditionalFormatting>
  <conditionalFormatting sqref="I33">
    <cfRule type="iconSet" priority="3">
      <iconSet>
        <cfvo type="percent" val="0"/>
        <cfvo type="num" val="2"/>
        <cfvo type="num" val="3"/>
      </iconSet>
    </cfRule>
  </conditionalFormatting>
  <conditionalFormatting sqref="I41:I52">
    <cfRule type="iconSet" priority="2">
      <iconSet>
        <cfvo type="percent" val="0"/>
        <cfvo type="num" val="2"/>
        <cfvo type="num" val="3"/>
      </iconSet>
    </cfRule>
  </conditionalFormatting>
  <conditionalFormatting sqref="I40">
    <cfRule type="iconSet" priority="1">
      <iconSet>
        <cfvo type="percent" val="0"/>
        <cfvo type="num" val="2"/>
        <cfvo type="num" val="3"/>
      </iconSet>
    </cfRule>
  </conditionalFormatting>
  <conditionalFormatting sqref="I34:I39">
    <cfRule type="iconSet" priority="13">
      <iconSet>
        <cfvo type="percent" val="0"/>
        <cfvo type="num" val="2"/>
        <cfvo type="num" val="3"/>
      </iconSet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P27"/>
  <sheetViews>
    <sheetView showGridLines="0" topLeftCell="A11" zoomScale="80" zoomScaleNormal="80" workbookViewId="0">
      <selection activeCell="J11" sqref="J11"/>
    </sheetView>
  </sheetViews>
  <sheetFormatPr defaultColWidth="9.1796875" defaultRowHeight="25" customHeight="1" x14ac:dyDescent="0.25"/>
  <cols>
    <col min="1" max="1" width="2.1796875" style="8" customWidth="1"/>
    <col min="2" max="2" width="12.81640625" style="180" bestFit="1" customWidth="1"/>
    <col min="3" max="3" width="10.54296875" style="180" bestFit="1" customWidth="1"/>
    <col min="4" max="4" width="3.54296875" style="180" customWidth="1"/>
    <col min="5" max="5" width="31.26953125" style="8" customWidth="1"/>
    <col min="6" max="6" width="26" style="8" customWidth="1"/>
    <col min="7" max="7" width="14.1796875" style="8" customWidth="1"/>
    <col min="8" max="8" width="9.7265625" style="8" customWidth="1"/>
    <col min="9" max="9" width="2.26953125" style="8" customWidth="1"/>
    <col min="10" max="10" width="21" style="8" customWidth="1"/>
    <col min="11" max="11" width="16.81640625" style="8" customWidth="1"/>
    <col min="12" max="12" width="15" style="8" customWidth="1"/>
    <col min="13" max="13" width="12.7265625" style="8" customWidth="1"/>
    <col min="14" max="14" width="2.81640625" style="8" customWidth="1"/>
    <col min="17" max="16384" width="9.1796875" style="8"/>
  </cols>
  <sheetData>
    <row r="1" spans="2:14" ht="25" customHeight="1" thickBot="1" x14ac:dyDescent="0.45">
      <c r="B1" s="185" t="s">
        <v>36</v>
      </c>
      <c r="C1" s="185" t="s">
        <v>4</v>
      </c>
      <c r="D1" s="185"/>
      <c r="E1" s="64" t="s">
        <v>57</v>
      </c>
      <c r="J1" s="76" t="s">
        <v>13</v>
      </c>
      <c r="K1" s="25"/>
      <c r="L1" s="25"/>
      <c r="M1" s="26"/>
    </row>
    <row r="2" spans="2:14" s="9" customFormat="1" ht="25" customHeight="1" thickBot="1" x14ac:dyDescent="0.3">
      <c r="B2" s="187">
        <v>0</v>
      </c>
      <c r="C2" s="188">
        <v>1</v>
      </c>
      <c r="D2" s="186"/>
      <c r="J2" s="27" t="s">
        <v>12</v>
      </c>
      <c r="K2" s="28" t="s">
        <v>14</v>
      </c>
      <c r="L2" s="28" t="s">
        <v>15</v>
      </c>
      <c r="M2" s="29" t="s">
        <v>16</v>
      </c>
    </row>
    <row r="3" spans="2:14" ht="25" customHeight="1" x14ac:dyDescent="0.25">
      <c r="B3" s="189">
        <v>0.7</v>
      </c>
      <c r="C3" s="190">
        <v>1</v>
      </c>
      <c r="D3" s="186"/>
      <c r="J3" s="10" t="s">
        <v>59</v>
      </c>
      <c r="K3" s="11" t="s">
        <v>17</v>
      </c>
      <c r="L3" s="12" t="s">
        <v>9</v>
      </c>
      <c r="M3" s="13" t="s">
        <v>18</v>
      </c>
    </row>
    <row r="4" spans="2:14" ht="25" customHeight="1" x14ac:dyDescent="0.25">
      <c r="B4" s="189">
        <v>0.85</v>
      </c>
      <c r="C4" s="190">
        <v>2</v>
      </c>
      <c r="D4" s="186"/>
      <c r="J4" s="14" t="s">
        <v>60</v>
      </c>
      <c r="K4" s="15" t="s">
        <v>23</v>
      </c>
      <c r="L4" s="16" t="s">
        <v>8</v>
      </c>
      <c r="M4" s="17" t="s">
        <v>19</v>
      </c>
    </row>
    <row r="5" spans="2:14" ht="25" customHeight="1" x14ac:dyDescent="0.25">
      <c r="B5" s="189">
        <v>1</v>
      </c>
      <c r="C5" s="190">
        <v>3</v>
      </c>
      <c r="D5" s="186"/>
      <c r="J5" s="14" t="s">
        <v>61</v>
      </c>
      <c r="K5" s="15" t="s">
        <v>24</v>
      </c>
      <c r="L5" s="16" t="s">
        <v>7</v>
      </c>
      <c r="M5" s="18" t="s">
        <v>20</v>
      </c>
    </row>
    <row r="6" spans="2:14" ht="25" customHeight="1" x14ac:dyDescent="0.25">
      <c r="B6" s="189">
        <v>1.1499999999999999</v>
      </c>
      <c r="C6" s="190">
        <v>4</v>
      </c>
      <c r="D6" s="186"/>
      <c r="J6" s="14" t="s">
        <v>62</v>
      </c>
      <c r="K6" s="15" t="s">
        <v>25</v>
      </c>
      <c r="L6" s="19" t="s">
        <v>6</v>
      </c>
      <c r="M6" s="20" t="s">
        <v>21</v>
      </c>
    </row>
    <row r="7" spans="2:14" ht="25" customHeight="1" thickBot="1" x14ac:dyDescent="0.3">
      <c r="B7" s="191"/>
      <c r="C7" s="192">
        <v>4</v>
      </c>
      <c r="D7" s="186"/>
      <c r="J7" s="21" t="s">
        <v>63</v>
      </c>
      <c r="K7" s="22" t="s">
        <v>22</v>
      </c>
      <c r="L7" s="23" t="s">
        <v>6</v>
      </c>
      <c r="M7" s="24" t="s">
        <v>21</v>
      </c>
    </row>
    <row r="10" spans="2:14" ht="25" customHeight="1" x14ac:dyDescent="0.25">
      <c r="J10" s="30"/>
      <c r="K10" s="30"/>
      <c r="L10" s="31"/>
      <c r="M10" s="32"/>
    </row>
    <row r="11" spans="2:14" ht="25" customHeight="1" x14ac:dyDescent="0.25">
      <c r="J11" s="30"/>
      <c r="K11" s="30"/>
      <c r="L11" s="31"/>
      <c r="M11" s="32"/>
    </row>
    <row r="12" spans="2:14" ht="25" customHeight="1" x14ac:dyDescent="0.25">
      <c r="J12" s="30"/>
      <c r="K12" s="30"/>
      <c r="L12" s="31"/>
      <c r="M12" s="32"/>
    </row>
    <row r="13" spans="2:14" ht="25" customHeight="1" x14ac:dyDescent="0.25">
      <c r="J13" s="30"/>
      <c r="K13" s="30"/>
      <c r="L13" s="31"/>
      <c r="M13" s="32"/>
    </row>
    <row r="14" spans="2:14" ht="25" customHeight="1" thickBot="1" x14ac:dyDescent="0.45">
      <c r="B14" s="185" t="s">
        <v>169</v>
      </c>
      <c r="C14" s="185" t="s">
        <v>168</v>
      </c>
      <c r="D14" s="185"/>
      <c r="E14" s="64" t="s">
        <v>180</v>
      </c>
      <c r="J14" s="76"/>
      <c r="K14" s="25"/>
      <c r="L14" s="25"/>
      <c r="M14" s="26"/>
    </row>
    <row r="15" spans="2:14" ht="25" customHeight="1" thickBot="1" x14ac:dyDescent="0.3">
      <c r="B15" s="187">
        <v>0</v>
      </c>
      <c r="C15" s="188">
        <v>1</v>
      </c>
      <c r="D15" s="186"/>
      <c r="E15" s="9"/>
      <c r="F15" s="9"/>
      <c r="G15" s="9"/>
      <c r="H15" s="9"/>
      <c r="I15" s="9"/>
      <c r="J15" s="27" t="s">
        <v>169</v>
      </c>
      <c r="K15" s="28" t="s">
        <v>168</v>
      </c>
      <c r="L15" s="28" t="s">
        <v>15</v>
      </c>
      <c r="M15" s="29" t="s">
        <v>16</v>
      </c>
      <c r="N15" s="9"/>
    </row>
    <row r="16" spans="2:14" ht="25" customHeight="1" x14ac:dyDescent="0.25">
      <c r="B16" s="189">
        <v>0.2</v>
      </c>
      <c r="C16" s="190">
        <v>1</v>
      </c>
      <c r="D16" s="186"/>
      <c r="J16" s="14" t="s">
        <v>175</v>
      </c>
      <c r="K16" s="11">
        <v>5</v>
      </c>
      <c r="L16" s="12" t="s">
        <v>170</v>
      </c>
      <c r="M16" s="20" t="s">
        <v>21</v>
      </c>
    </row>
    <row r="17" spans="2:13" ht="25" customHeight="1" x14ac:dyDescent="0.25">
      <c r="B17" s="189">
        <v>0.4</v>
      </c>
      <c r="C17" s="190">
        <v>2</v>
      </c>
      <c r="D17" s="186"/>
      <c r="J17" s="14" t="s">
        <v>176</v>
      </c>
      <c r="K17" s="15">
        <v>4</v>
      </c>
      <c r="L17" s="16" t="s">
        <v>171</v>
      </c>
      <c r="M17" s="18" t="s">
        <v>20</v>
      </c>
    </row>
    <row r="18" spans="2:13" ht="25" customHeight="1" x14ac:dyDescent="0.25">
      <c r="B18" s="189">
        <v>0.6</v>
      </c>
      <c r="C18" s="190">
        <v>3</v>
      </c>
      <c r="D18" s="186"/>
      <c r="J18" s="14" t="s">
        <v>177</v>
      </c>
      <c r="K18" s="15">
        <v>3</v>
      </c>
      <c r="L18" s="16" t="s">
        <v>172</v>
      </c>
      <c r="M18" s="17" t="s">
        <v>19</v>
      </c>
    </row>
    <row r="19" spans="2:13" ht="25" customHeight="1" x14ac:dyDescent="0.25">
      <c r="B19" s="189">
        <v>0.8</v>
      </c>
      <c r="C19" s="190">
        <v>4</v>
      </c>
      <c r="D19" s="186"/>
      <c r="J19" s="14" t="s">
        <v>178</v>
      </c>
      <c r="K19" s="15">
        <v>2</v>
      </c>
      <c r="L19" s="19" t="s">
        <v>173</v>
      </c>
      <c r="M19" s="17" t="s">
        <v>19</v>
      </c>
    </row>
    <row r="20" spans="2:13" ht="25" customHeight="1" thickBot="1" x14ac:dyDescent="0.3">
      <c r="B20" s="191">
        <v>1</v>
      </c>
      <c r="C20" s="192">
        <v>5</v>
      </c>
      <c r="D20" s="186"/>
      <c r="J20" s="21" t="s">
        <v>179</v>
      </c>
      <c r="K20" s="22">
        <v>1</v>
      </c>
      <c r="L20" s="23" t="s">
        <v>174</v>
      </c>
      <c r="M20" s="184" t="s">
        <v>19</v>
      </c>
    </row>
    <row r="22" spans="2:13" ht="25" customHeight="1" x14ac:dyDescent="0.3">
      <c r="M22" s="183"/>
    </row>
    <row r="23" spans="2:13" ht="25" customHeight="1" x14ac:dyDescent="0.25">
      <c r="J23" s="30"/>
      <c r="K23" s="30"/>
      <c r="L23" s="31"/>
      <c r="M23" s="182"/>
    </row>
    <row r="24" spans="2:13" ht="25" customHeight="1" x14ac:dyDescent="0.25">
      <c r="J24" s="30"/>
      <c r="K24" s="30"/>
      <c r="L24" s="31"/>
      <c r="M24" s="182"/>
    </row>
    <row r="25" spans="2:13" ht="25" customHeight="1" x14ac:dyDescent="0.25">
      <c r="J25" s="30"/>
      <c r="K25" s="30"/>
      <c r="L25" s="31"/>
      <c r="M25" s="182"/>
    </row>
    <row r="26" spans="2:13" ht="25" customHeight="1" x14ac:dyDescent="0.25">
      <c r="J26" s="30"/>
      <c r="K26" s="30"/>
      <c r="L26" s="31"/>
      <c r="M26" s="182"/>
    </row>
    <row r="27" spans="2:13" ht="25" customHeight="1" x14ac:dyDescent="0.25">
      <c r="M27" s="181"/>
    </row>
  </sheetData>
  <phoneticPr fontId="3" type="noConversion"/>
  <pageMargins left="0.75" right="0.75" top="0.37" bottom="0.37" header="0.33" footer="0.31"/>
  <pageSetup scale="83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7"/>
  <sheetViews>
    <sheetView topLeftCell="A47" workbookViewId="0">
      <selection activeCell="B44" sqref="B44:E56"/>
    </sheetView>
  </sheetViews>
  <sheetFormatPr defaultColWidth="9.1796875" defaultRowHeight="25" customHeight="1" x14ac:dyDescent="0.25"/>
  <cols>
    <col min="1" max="1" width="4.7265625" style="99" customWidth="1"/>
    <col min="2" max="2" width="9.26953125" style="100" customWidth="1"/>
    <col min="3" max="3" width="6.7265625" style="100" bestFit="1" customWidth="1"/>
    <col min="4" max="4" width="9.26953125" style="100" bestFit="1" customWidth="1"/>
    <col min="5" max="5" width="10.453125" style="100" bestFit="1" customWidth="1"/>
    <col min="6" max="6" width="2.26953125" style="100" customWidth="1"/>
    <col min="7" max="7" width="10.81640625" style="100" customWidth="1"/>
    <col min="8" max="8" width="9.1796875" style="100"/>
    <col min="9" max="9" width="10.1796875" style="100" bestFit="1" customWidth="1"/>
    <col min="10" max="13" width="9.1796875" style="100"/>
    <col min="14" max="14" width="12.453125" style="100" customWidth="1"/>
    <col min="15" max="16384" width="9.1796875" style="100"/>
  </cols>
  <sheetData>
    <row r="1" spans="1:14" ht="25" customHeight="1" x14ac:dyDescent="0.25">
      <c r="A1" s="99">
        <v>1</v>
      </c>
      <c r="B1" s="108" t="s">
        <v>51</v>
      </c>
    </row>
    <row r="2" spans="1:14" ht="25" customHeight="1" x14ac:dyDescent="0.25">
      <c r="B2" s="94" t="s">
        <v>96</v>
      </c>
    </row>
    <row r="3" spans="1:14" ht="25" customHeight="1" x14ac:dyDescent="0.25">
      <c r="B3" s="53"/>
    </row>
    <row r="4" spans="1:14" ht="25" customHeight="1" x14ac:dyDescent="0.25">
      <c r="A4" s="99">
        <v>2</v>
      </c>
      <c r="B4" s="108" t="s">
        <v>88</v>
      </c>
    </row>
    <row r="5" spans="1:14" ht="25" customHeight="1" x14ac:dyDescent="0.25">
      <c r="B5" s="94" t="s">
        <v>89</v>
      </c>
    </row>
    <row r="6" spans="1:14" ht="25" customHeight="1" x14ac:dyDescent="0.25">
      <c r="B6" s="210" t="s">
        <v>1</v>
      </c>
      <c r="C6" s="210" t="s">
        <v>2</v>
      </c>
      <c r="D6" s="207" t="s">
        <v>36</v>
      </c>
      <c r="E6" s="208"/>
    </row>
    <row r="7" spans="1:14" ht="25" customHeight="1" x14ac:dyDescent="0.25">
      <c r="B7" s="211"/>
      <c r="C7" s="211"/>
      <c r="D7" s="71" t="s">
        <v>54</v>
      </c>
      <c r="E7" s="72" t="s">
        <v>55</v>
      </c>
    </row>
    <row r="8" spans="1:14" ht="25" customHeight="1" x14ac:dyDescent="0.25">
      <c r="A8" s="101">
        <v>1</v>
      </c>
      <c r="B8" s="109">
        <v>94</v>
      </c>
      <c r="C8" s="109">
        <v>90</v>
      </c>
      <c r="D8" s="95">
        <f>C8/B8</f>
        <v>0.95744680851063835</v>
      </c>
      <c r="E8" s="92">
        <f>100%+(C8-B8)/(100-B8)*15%</f>
        <v>0.9</v>
      </c>
      <c r="N8" s="133">
        <f>C8/B8*115%</f>
        <v>1.1010638297872339</v>
      </c>
    </row>
    <row r="9" spans="1:14" ht="25" customHeight="1" x14ac:dyDescent="0.25">
      <c r="A9" s="101">
        <v>2</v>
      </c>
      <c r="B9" s="109">
        <v>94</v>
      </c>
      <c r="C9" s="110">
        <v>92</v>
      </c>
      <c r="D9" s="95">
        <f>C9/B9</f>
        <v>0.97872340425531912</v>
      </c>
      <c r="E9" s="92">
        <f t="shared" ref="E9:E13" si="0">100%+(C9-B9)/(100-B9)*15%</f>
        <v>0.95</v>
      </c>
      <c r="N9" s="133">
        <f t="shared" ref="N9:N13" si="1">C9/B9*115%</f>
        <v>1.1255319148936169</v>
      </c>
    </row>
    <row r="10" spans="1:14" ht="25" customHeight="1" x14ac:dyDescent="0.25">
      <c r="A10" s="101">
        <v>3</v>
      </c>
      <c r="B10" s="109">
        <v>94</v>
      </c>
      <c r="C10" s="109">
        <v>94</v>
      </c>
      <c r="D10" s="95">
        <f>C10/B10</f>
        <v>1</v>
      </c>
      <c r="E10" s="92">
        <f t="shared" si="0"/>
        <v>1</v>
      </c>
      <c r="N10" s="133">
        <f t="shared" si="1"/>
        <v>1.1499999999999999</v>
      </c>
    </row>
    <row r="11" spans="1:14" ht="25" customHeight="1" x14ac:dyDescent="0.25">
      <c r="A11" s="101">
        <v>4</v>
      </c>
      <c r="B11" s="109">
        <v>94</v>
      </c>
      <c r="C11" s="110">
        <v>96</v>
      </c>
      <c r="D11" s="95">
        <f>C11/B11</f>
        <v>1.0212765957446808</v>
      </c>
      <c r="E11" s="92">
        <f t="shared" si="0"/>
        <v>1.05</v>
      </c>
      <c r="N11" s="133">
        <f t="shared" si="1"/>
        <v>1.1744680851063829</v>
      </c>
    </row>
    <row r="12" spans="1:14" ht="25" customHeight="1" x14ac:dyDescent="0.25">
      <c r="A12" s="101">
        <v>5</v>
      </c>
      <c r="B12" s="109">
        <v>94</v>
      </c>
      <c r="C12" s="109">
        <v>98</v>
      </c>
      <c r="D12" s="95">
        <f t="shared" ref="D12:D13" si="2">C12/B12</f>
        <v>1.0425531914893618</v>
      </c>
      <c r="E12" s="92">
        <f t="shared" si="0"/>
        <v>1.1000000000000001</v>
      </c>
      <c r="N12" s="133">
        <f t="shared" si="1"/>
        <v>1.1989361702127659</v>
      </c>
    </row>
    <row r="13" spans="1:14" ht="25" customHeight="1" x14ac:dyDescent="0.25">
      <c r="A13" s="101">
        <v>6</v>
      </c>
      <c r="B13" s="109">
        <v>94</v>
      </c>
      <c r="C13" s="110">
        <v>100</v>
      </c>
      <c r="D13" s="95">
        <f t="shared" si="2"/>
        <v>1.0638297872340425</v>
      </c>
      <c r="E13" s="92">
        <f t="shared" si="0"/>
        <v>1.1499999999999999</v>
      </c>
      <c r="N13" s="133">
        <f t="shared" si="1"/>
        <v>1.2234042553191489</v>
      </c>
    </row>
    <row r="15" spans="1:14" ht="25" customHeight="1" x14ac:dyDescent="0.25">
      <c r="B15" s="61" t="s">
        <v>58</v>
      </c>
    </row>
    <row r="16" spans="1:14" ht="25" customHeight="1" x14ac:dyDescent="0.25">
      <c r="B16" s="94" t="s">
        <v>90</v>
      </c>
      <c r="H16" s="100" t="s">
        <v>191</v>
      </c>
    </row>
    <row r="17" spans="2:17" ht="25" customHeight="1" x14ac:dyDescent="0.25">
      <c r="B17" s="210" t="s">
        <v>1</v>
      </c>
      <c r="C17" s="210" t="s">
        <v>2</v>
      </c>
      <c r="D17" s="207" t="s">
        <v>36</v>
      </c>
      <c r="E17" s="208"/>
    </row>
    <row r="18" spans="2:17" ht="25" customHeight="1" x14ac:dyDescent="0.25">
      <c r="B18" s="211"/>
      <c r="C18" s="211"/>
      <c r="D18" s="71" t="s">
        <v>54</v>
      </c>
      <c r="E18" s="72" t="s">
        <v>55</v>
      </c>
    </row>
    <row r="19" spans="2:17" ht="25" customHeight="1" x14ac:dyDescent="0.25">
      <c r="B19" s="96">
        <v>3</v>
      </c>
      <c r="C19" s="96">
        <v>1</v>
      </c>
      <c r="D19" s="97">
        <f>C19/B19</f>
        <v>0.33333333333333331</v>
      </c>
      <c r="E19" s="92">
        <f>1+(C19-B19)/(4-B19)*15%</f>
        <v>0.7</v>
      </c>
    </row>
    <row r="20" spans="2:17" ht="25" customHeight="1" x14ac:dyDescent="0.25">
      <c r="B20" s="96">
        <f>B19</f>
        <v>3</v>
      </c>
      <c r="C20" s="98">
        <v>1.5</v>
      </c>
      <c r="D20" s="97">
        <f>C20/B20</f>
        <v>0.5</v>
      </c>
      <c r="E20" s="92">
        <f>1+(C20-B20)/(4-B20)*15%</f>
        <v>0.77500000000000002</v>
      </c>
    </row>
    <row r="21" spans="2:17" ht="25" customHeight="1" x14ac:dyDescent="0.25">
      <c r="B21" s="96">
        <f>B20</f>
        <v>3</v>
      </c>
      <c r="C21" s="98">
        <v>2</v>
      </c>
      <c r="D21" s="97">
        <f>C21/B21</f>
        <v>0.66666666666666663</v>
      </c>
      <c r="E21" s="92">
        <f>1+(C21-B21)/(4-B21)*15%</f>
        <v>0.85</v>
      </c>
    </row>
    <row r="22" spans="2:17" ht="25" customHeight="1" x14ac:dyDescent="0.25">
      <c r="B22" s="96">
        <f t="shared" ref="B22:B25" si="3">B21</f>
        <v>3</v>
      </c>
      <c r="C22" s="96">
        <v>2.5</v>
      </c>
      <c r="D22" s="97">
        <f t="shared" ref="D22:D25" si="4">C22/B22</f>
        <v>0.83333333333333337</v>
      </c>
      <c r="E22" s="92">
        <f t="shared" ref="E22:E25" si="5">1+(C22-B22)/(4-B22)*15%</f>
        <v>0.92500000000000004</v>
      </c>
      <c r="O22" s="111">
        <v>3</v>
      </c>
      <c r="P22" s="111">
        <v>2</v>
      </c>
      <c r="Q22" s="112">
        <v>0.85</v>
      </c>
    </row>
    <row r="23" spans="2:17" ht="25" customHeight="1" x14ac:dyDescent="0.25">
      <c r="B23" s="96">
        <f t="shared" si="3"/>
        <v>3</v>
      </c>
      <c r="C23" s="98">
        <v>3</v>
      </c>
      <c r="D23" s="97">
        <f t="shared" si="4"/>
        <v>1</v>
      </c>
      <c r="E23" s="92">
        <f t="shared" si="5"/>
        <v>1</v>
      </c>
      <c r="O23" s="111">
        <v>3</v>
      </c>
      <c r="P23" s="111">
        <v>3</v>
      </c>
      <c r="Q23" s="112">
        <v>1</v>
      </c>
    </row>
    <row r="24" spans="2:17" ht="25" customHeight="1" x14ac:dyDescent="0.25">
      <c r="B24" s="96">
        <f t="shared" si="3"/>
        <v>3</v>
      </c>
      <c r="C24" s="98">
        <v>3.5</v>
      </c>
      <c r="D24" s="97">
        <f t="shared" si="4"/>
        <v>1.1666666666666667</v>
      </c>
      <c r="E24" s="92">
        <f t="shared" si="5"/>
        <v>1.075</v>
      </c>
      <c r="O24" s="111">
        <v>3</v>
      </c>
      <c r="P24" s="111">
        <v>4</v>
      </c>
      <c r="Q24" s="112">
        <v>1.1499999999999999</v>
      </c>
    </row>
    <row r="25" spans="2:17" ht="25" customHeight="1" x14ac:dyDescent="0.25">
      <c r="B25" s="96">
        <f t="shared" si="3"/>
        <v>3</v>
      </c>
      <c r="C25" s="96">
        <v>4</v>
      </c>
      <c r="D25" s="97">
        <f t="shared" si="4"/>
        <v>1.3333333333333333</v>
      </c>
      <c r="E25" s="92">
        <f t="shared" si="5"/>
        <v>1.1499999999999999</v>
      </c>
    </row>
    <row r="27" spans="2:17" ht="25" customHeight="1" x14ac:dyDescent="0.25">
      <c r="B27" s="61" t="s">
        <v>91</v>
      </c>
    </row>
    <row r="28" spans="2:17" ht="25" customHeight="1" x14ac:dyDescent="0.25">
      <c r="B28" s="94" t="s">
        <v>92</v>
      </c>
    </row>
    <row r="29" spans="2:17" ht="19.5" customHeight="1" x14ac:dyDescent="0.25">
      <c r="B29" s="209" t="s">
        <v>100</v>
      </c>
      <c r="C29" s="206"/>
      <c r="D29" s="207" t="s">
        <v>12</v>
      </c>
      <c r="E29" s="208"/>
    </row>
    <row r="30" spans="2:17" ht="25" customHeight="1" x14ac:dyDescent="0.25">
      <c r="B30" s="71" t="s">
        <v>1</v>
      </c>
      <c r="C30" s="71" t="s">
        <v>2</v>
      </c>
      <c r="D30" s="71" t="s">
        <v>54</v>
      </c>
      <c r="E30" s="72" t="s">
        <v>55</v>
      </c>
    </row>
    <row r="31" spans="2:17" ht="25" customHeight="1" x14ac:dyDescent="0.25">
      <c r="B31" s="89">
        <v>4</v>
      </c>
      <c r="C31" s="89">
        <v>0.5</v>
      </c>
      <c r="D31" s="90">
        <f>C31/B31</f>
        <v>0.125</v>
      </c>
      <c r="E31" s="92">
        <f>1+(C31-B31)/(5-B31)*15%</f>
        <v>0.47499999999999998</v>
      </c>
    </row>
    <row r="32" spans="2:17" ht="25" customHeight="1" x14ac:dyDescent="0.25">
      <c r="B32" s="89">
        <v>4</v>
      </c>
      <c r="C32" s="89">
        <v>1</v>
      </c>
      <c r="D32" s="90">
        <f t="shared" ref="D32:D40" si="6">C32/B32</f>
        <v>0.25</v>
      </c>
      <c r="E32" s="92">
        <f t="shared" ref="E32:E40" si="7">1+(C32-B32)/(5-B32)*15%</f>
        <v>0.55000000000000004</v>
      </c>
      <c r="O32" s="127">
        <v>3.5</v>
      </c>
      <c r="P32" s="127">
        <v>3</v>
      </c>
      <c r="Q32" s="128">
        <f>1+(P32-O32)/(5-O32)*15%</f>
        <v>0.95</v>
      </c>
    </row>
    <row r="33" spans="2:17" ht="25" customHeight="1" x14ac:dyDescent="0.25">
      <c r="B33" s="89">
        <v>4</v>
      </c>
      <c r="C33" s="89">
        <v>1.5</v>
      </c>
      <c r="D33" s="90">
        <f t="shared" si="6"/>
        <v>0.375</v>
      </c>
      <c r="E33" s="92">
        <f t="shared" si="7"/>
        <v>0.625</v>
      </c>
      <c r="O33" s="129">
        <v>4</v>
      </c>
      <c r="P33" s="127">
        <v>4</v>
      </c>
      <c r="Q33" s="128">
        <f>1+(P33-O33)/(5-O33)*15%</f>
        <v>1</v>
      </c>
    </row>
    <row r="34" spans="2:17" ht="25" customHeight="1" x14ac:dyDescent="0.25">
      <c r="B34" s="89">
        <v>4</v>
      </c>
      <c r="C34" s="89">
        <v>2</v>
      </c>
      <c r="D34" s="90">
        <f t="shared" si="6"/>
        <v>0.5</v>
      </c>
      <c r="E34" s="92">
        <f t="shared" si="7"/>
        <v>0.7</v>
      </c>
      <c r="O34" s="127">
        <v>4.5</v>
      </c>
      <c r="P34" s="127">
        <v>5</v>
      </c>
      <c r="Q34" s="128">
        <f>1+(P34-O34)/(5-O34)*15%</f>
        <v>1.1499999999999999</v>
      </c>
    </row>
    <row r="35" spans="2:17" ht="25" customHeight="1" x14ac:dyDescent="0.25">
      <c r="B35" s="89">
        <v>4</v>
      </c>
      <c r="C35" s="89">
        <v>2.5</v>
      </c>
      <c r="D35" s="90">
        <f t="shared" si="6"/>
        <v>0.625</v>
      </c>
      <c r="E35" s="92">
        <f t="shared" si="7"/>
        <v>0.77500000000000002</v>
      </c>
    </row>
    <row r="36" spans="2:17" ht="25" customHeight="1" x14ac:dyDescent="0.25">
      <c r="B36" s="89">
        <v>4</v>
      </c>
      <c r="C36" s="89">
        <v>3</v>
      </c>
      <c r="D36" s="90">
        <f t="shared" si="6"/>
        <v>0.75</v>
      </c>
      <c r="E36" s="92">
        <f t="shared" si="7"/>
        <v>0.85</v>
      </c>
    </row>
    <row r="37" spans="2:17" ht="25" customHeight="1" x14ac:dyDescent="0.25">
      <c r="B37" s="89">
        <v>4</v>
      </c>
      <c r="C37" s="89">
        <v>3.5</v>
      </c>
      <c r="D37" s="90">
        <f t="shared" si="6"/>
        <v>0.875</v>
      </c>
      <c r="E37" s="92">
        <f t="shared" si="7"/>
        <v>0.92500000000000004</v>
      </c>
    </row>
    <row r="38" spans="2:17" ht="25" customHeight="1" x14ac:dyDescent="0.25">
      <c r="B38" s="89">
        <v>4</v>
      </c>
      <c r="C38" s="89">
        <v>4</v>
      </c>
      <c r="D38" s="90">
        <f t="shared" si="6"/>
        <v>1</v>
      </c>
      <c r="E38" s="92">
        <f t="shared" si="7"/>
        <v>1</v>
      </c>
    </row>
    <row r="39" spans="2:17" ht="25" customHeight="1" x14ac:dyDescent="0.25">
      <c r="B39" s="89">
        <v>4</v>
      </c>
      <c r="C39" s="89">
        <v>4.5</v>
      </c>
      <c r="D39" s="90">
        <f t="shared" si="6"/>
        <v>1.125</v>
      </c>
      <c r="E39" s="92">
        <f t="shared" si="7"/>
        <v>1.075</v>
      </c>
    </row>
    <row r="40" spans="2:17" ht="25" customHeight="1" x14ac:dyDescent="0.25">
      <c r="B40" s="89">
        <v>4</v>
      </c>
      <c r="C40" s="89">
        <v>5</v>
      </c>
      <c r="D40" s="90">
        <f t="shared" si="6"/>
        <v>1.25</v>
      </c>
      <c r="E40" s="92">
        <f t="shared" si="7"/>
        <v>1.1499999999999999</v>
      </c>
    </row>
    <row r="42" spans="2:17" ht="25" customHeight="1" x14ac:dyDescent="0.25">
      <c r="B42" s="108" t="s">
        <v>93</v>
      </c>
    </row>
    <row r="43" spans="2:17" ht="25" customHeight="1" x14ac:dyDescent="0.25">
      <c r="B43" s="94" t="s">
        <v>97</v>
      </c>
    </row>
    <row r="44" spans="2:17" ht="25" customHeight="1" x14ac:dyDescent="0.25">
      <c r="B44" s="102" t="s">
        <v>46</v>
      </c>
      <c r="C44" s="103">
        <v>2.4</v>
      </c>
      <c r="D44" s="206" t="s">
        <v>36</v>
      </c>
      <c r="E44" s="207"/>
    </row>
    <row r="45" spans="2:17" ht="25" customHeight="1" x14ac:dyDescent="0.25">
      <c r="B45" s="70" t="s">
        <v>1</v>
      </c>
      <c r="C45" s="70" t="s">
        <v>2</v>
      </c>
      <c r="D45" s="71" t="s">
        <v>54</v>
      </c>
      <c r="E45" s="72" t="s">
        <v>55</v>
      </c>
    </row>
    <row r="46" spans="2:17" ht="25" customHeight="1" x14ac:dyDescent="0.25">
      <c r="B46" s="104">
        <v>87</v>
      </c>
      <c r="C46" s="104">
        <v>50</v>
      </c>
      <c r="D46" s="105">
        <f t="shared" ref="D46:D56" si="8">(C46/B46)</f>
        <v>0.57471264367816088</v>
      </c>
      <c r="E46" s="106">
        <f t="shared" ref="E46:E56" si="9">C46/B46+((C46-50)/100)^$C$44</f>
        <v>0.57471264367816088</v>
      </c>
    </row>
    <row r="47" spans="2:17" ht="25" customHeight="1" x14ac:dyDescent="0.25">
      <c r="B47" s="104">
        <f t="shared" ref="B47:B56" si="10">B46</f>
        <v>87</v>
      </c>
      <c r="C47" s="104">
        <f t="shared" ref="C47:C56" si="11">C46+5</f>
        <v>55</v>
      </c>
      <c r="D47" s="105">
        <f t="shared" si="8"/>
        <v>0.63218390804597702</v>
      </c>
      <c r="E47" s="106">
        <f t="shared" si="9"/>
        <v>0.63293818008804514</v>
      </c>
    </row>
    <row r="48" spans="2:17" ht="25" customHeight="1" x14ac:dyDescent="0.25">
      <c r="B48" s="104">
        <f t="shared" si="10"/>
        <v>87</v>
      </c>
      <c r="C48" s="104">
        <f t="shared" si="11"/>
        <v>60</v>
      </c>
      <c r="D48" s="105">
        <f t="shared" si="8"/>
        <v>0.68965517241379315</v>
      </c>
      <c r="E48" s="106">
        <f t="shared" si="9"/>
        <v>0.69363624411932812</v>
      </c>
    </row>
    <row r="49" spans="2:5" ht="25" customHeight="1" x14ac:dyDescent="0.25">
      <c r="B49" s="104">
        <f t="shared" si="10"/>
        <v>87</v>
      </c>
      <c r="C49" s="104">
        <f t="shared" si="11"/>
        <v>65</v>
      </c>
      <c r="D49" s="105">
        <f t="shared" si="8"/>
        <v>0.74712643678160917</v>
      </c>
      <c r="E49" s="106">
        <f t="shared" si="9"/>
        <v>0.7576610603517131</v>
      </c>
    </row>
    <row r="50" spans="2:5" ht="25" customHeight="1" x14ac:dyDescent="0.25">
      <c r="B50" s="104">
        <f t="shared" si="10"/>
        <v>87</v>
      </c>
      <c r="C50" s="104">
        <f t="shared" si="11"/>
        <v>70</v>
      </c>
      <c r="D50" s="105">
        <f t="shared" si="8"/>
        <v>0.8045977011494253</v>
      </c>
      <c r="E50" s="106">
        <f t="shared" si="9"/>
        <v>0.82560992358465546</v>
      </c>
    </row>
    <row r="51" spans="2:5" ht="25" customHeight="1" x14ac:dyDescent="0.25">
      <c r="B51" s="104">
        <f t="shared" si="10"/>
        <v>87</v>
      </c>
      <c r="C51" s="104">
        <f t="shared" si="11"/>
        <v>75</v>
      </c>
      <c r="D51" s="105">
        <f t="shared" si="8"/>
        <v>0.86206896551724133</v>
      </c>
      <c r="E51" s="106">
        <f t="shared" si="9"/>
        <v>0.89796578911089864</v>
      </c>
    </row>
    <row r="52" spans="2:5" ht="25" customHeight="1" x14ac:dyDescent="0.25">
      <c r="B52" s="104">
        <f t="shared" si="10"/>
        <v>87</v>
      </c>
      <c r="C52" s="104">
        <f t="shared" si="11"/>
        <v>80</v>
      </c>
      <c r="D52" s="105">
        <f t="shared" si="8"/>
        <v>0.91954022988505746</v>
      </c>
      <c r="E52" s="106">
        <f t="shared" si="9"/>
        <v>0.97514230643612454</v>
      </c>
    </row>
    <row r="53" spans="2:5" ht="25" customHeight="1" x14ac:dyDescent="0.25">
      <c r="B53" s="104">
        <f t="shared" si="10"/>
        <v>87</v>
      </c>
      <c r="C53" s="104">
        <f t="shared" si="11"/>
        <v>85</v>
      </c>
      <c r="D53" s="105">
        <f t="shared" si="8"/>
        <v>0.97701149425287359</v>
      </c>
      <c r="E53" s="106">
        <f t="shared" si="9"/>
        <v>1.0575054566380435</v>
      </c>
    </row>
    <row r="54" spans="2:5" ht="25" customHeight="1" x14ac:dyDescent="0.25">
      <c r="B54" s="104">
        <f t="shared" si="10"/>
        <v>87</v>
      </c>
      <c r="C54" s="104">
        <f t="shared" si="11"/>
        <v>90</v>
      </c>
      <c r="D54" s="105">
        <f t="shared" si="8"/>
        <v>1.0344827586206897</v>
      </c>
      <c r="E54" s="106">
        <f t="shared" si="9"/>
        <v>1.1453859335255132</v>
      </c>
    </row>
    <row r="55" spans="2:5" ht="25" customHeight="1" x14ac:dyDescent="0.25">
      <c r="B55" s="104">
        <f t="shared" si="10"/>
        <v>87</v>
      </c>
      <c r="C55" s="104">
        <f t="shared" si="11"/>
        <v>95</v>
      </c>
      <c r="D55" s="105">
        <f t="shared" si="8"/>
        <v>1.0919540229885059</v>
      </c>
      <c r="E55" s="106">
        <f t="shared" si="9"/>
        <v>1.2390870036296782</v>
      </c>
    </row>
    <row r="56" spans="2:5" ht="25" customHeight="1" x14ac:dyDescent="0.25">
      <c r="B56" s="104">
        <f t="shared" si="10"/>
        <v>87</v>
      </c>
      <c r="C56" s="104">
        <f t="shared" si="11"/>
        <v>100</v>
      </c>
      <c r="D56" s="105">
        <f t="shared" si="8"/>
        <v>1.1494252873563218</v>
      </c>
      <c r="E56" s="106">
        <f t="shared" si="9"/>
        <v>1.3388898581701216</v>
      </c>
    </row>
    <row r="57" spans="2:5" ht="25" customHeight="1" x14ac:dyDescent="0.25">
      <c r="D57" s="68"/>
      <c r="E57" s="68"/>
    </row>
  </sheetData>
  <mergeCells count="9">
    <mergeCell ref="D44:E44"/>
    <mergeCell ref="D6:E6"/>
    <mergeCell ref="D17:E17"/>
    <mergeCell ref="D29:E29"/>
    <mergeCell ref="B29:C29"/>
    <mergeCell ref="B6:B7"/>
    <mergeCell ref="C6:C7"/>
    <mergeCell ref="B17:B18"/>
    <mergeCell ref="C17:C18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N21"/>
  <sheetViews>
    <sheetView showGridLines="0" workbookViewId="0">
      <selection activeCell="C4" sqref="C4:J15"/>
    </sheetView>
  </sheetViews>
  <sheetFormatPr defaultRowHeight="12.5" x14ac:dyDescent="0.25"/>
  <cols>
    <col min="1" max="1" width="1.26953125" customWidth="1"/>
    <col min="2" max="2" width="6" customWidth="1"/>
    <col min="3" max="3" width="12.54296875" customWidth="1"/>
    <col min="4" max="4" width="14.81640625" customWidth="1"/>
    <col min="5" max="5" width="11.1796875" customWidth="1"/>
    <col min="6" max="6" width="10.7265625" customWidth="1"/>
    <col min="7" max="7" width="13.1796875" customWidth="1"/>
    <col min="8" max="8" width="10.1796875" customWidth="1"/>
    <col min="9" max="9" width="9.81640625" customWidth="1"/>
    <col min="10" max="10" width="10.26953125" bestFit="1" customWidth="1"/>
  </cols>
  <sheetData>
    <row r="1" spans="3:14" ht="20" x14ac:dyDescent="0.25">
      <c r="C1" s="67" t="s">
        <v>86</v>
      </c>
    </row>
    <row r="2" spans="3:14" ht="20" x14ac:dyDescent="0.25">
      <c r="C2" s="67" t="s">
        <v>44</v>
      </c>
      <c r="D2" s="68"/>
      <c r="E2" s="68"/>
      <c r="F2" s="68"/>
      <c r="G2" s="68"/>
      <c r="H2" s="68"/>
      <c r="I2" s="68"/>
      <c r="J2" s="68"/>
    </row>
    <row r="3" spans="3:14" ht="18.5" x14ac:dyDescent="0.25">
      <c r="C3" s="51" t="s">
        <v>72</v>
      </c>
      <c r="D3" s="68"/>
      <c r="E3" s="68"/>
      <c r="F3" s="68"/>
      <c r="G3" s="68"/>
      <c r="H3" s="68"/>
      <c r="I3" s="68"/>
      <c r="J3" s="68"/>
    </row>
    <row r="4" spans="3:14" ht="34.5" customHeight="1" x14ac:dyDescent="0.25">
      <c r="C4" s="65" t="s">
        <v>11</v>
      </c>
      <c r="D4" s="65" t="s">
        <v>41</v>
      </c>
      <c r="E4" s="65" t="s">
        <v>42</v>
      </c>
      <c r="F4" s="66" t="s">
        <v>71</v>
      </c>
      <c r="G4" s="66" t="s">
        <v>69</v>
      </c>
      <c r="H4" s="66" t="s">
        <v>70</v>
      </c>
      <c r="I4" s="65" t="s">
        <v>66</v>
      </c>
      <c r="J4" s="65" t="s">
        <v>36</v>
      </c>
    </row>
    <row r="5" spans="3:14" ht="24" customHeight="1" x14ac:dyDescent="0.65">
      <c r="C5" s="77" t="s">
        <v>73</v>
      </c>
      <c r="D5" s="78">
        <v>100000</v>
      </c>
      <c r="E5" s="79">
        <f t="shared" ref="E5:E15" si="0">D5/$D$15</f>
        <v>2.3668639053254437E-2</v>
      </c>
      <c r="F5" s="80">
        <v>1</v>
      </c>
      <c r="G5" s="80">
        <v>1</v>
      </c>
      <c r="H5" s="80">
        <v>1</v>
      </c>
      <c r="I5" s="81">
        <f t="shared" ref="I5:I14" si="1">SUM(F5:H5)/3</f>
        <v>1</v>
      </c>
      <c r="J5" s="82">
        <f t="shared" ref="J5:J14" si="2">I5*E5*1.15</f>
        <v>2.7218934911242602E-2</v>
      </c>
      <c r="N5" s="74"/>
    </row>
    <row r="6" spans="3:14" ht="24" customHeight="1" x14ac:dyDescent="0.25">
      <c r="C6" s="77" t="s">
        <v>74</v>
      </c>
      <c r="D6" s="78">
        <v>300000</v>
      </c>
      <c r="E6" s="79">
        <f t="shared" si="0"/>
        <v>7.1005917159763315E-2</v>
      </c>
      <c r="F6" s="80">
        <v>0.8</v>
      </c>
      <c r="G6" s="80">
        <v>1.1100000000000001</v>
      </c>
      <c r="H6" s="80">
        <v>1</v>
      </c>
      <c r="I6" s="81">
        <f t="shared" si="1"/>
        <v>0.97000000000000008</v>
      </c>
      <c r="J6" s="82">
        <f t="shared" si="2"/>
        <v>7.920710059171597E-2</v>
      </c>
    </row>
    <row r="7" spans="3:14" ht="24" customHeight="1" x14ac:dyDescent="0.25">
      <c r="C7" s="77" t="s">
        <v>75</v>
      </c>
      <c r="D7" s="78">
        <v>2000000</v>
      </c>
      <c r="E7" s="79">
        <f t="shared" si="0"/>
        <v>0.47337278106508873</v>
      </c>
      <c r="F7" s="80">
        <v>1</v>
      </c>
      <c r="G7" s="80">
        <v>1</v>
      </c>
      <c r="H7" s="80">
        <v>1</v>
      </c>
      <c r="I7" s="81">
        <f t="shared" si="1"/>
        <v>1</v>
      </c>
      <c r="J7" s="82">
        <f t="shared" si="2"/>
        <v>0.54437869822485196</v>
      </c>
    </row>
    <row r="8" spans="3:14" ht="24" customHeight="1" x14ac:dyDescent="0.25">
      <c r="C8" s="77" t="s">
        <v>76</v>
      </c>
      <c r="D8" s="78">
        <v>50000</v>
      </c>
      <c r="E8" s="79">
        <f t="shared" si="0"/>
        <v>1.1834319526627219E-2</v>
      </c>
      <c r="F8" s="80">
        <v>1</v>
      </c>
      <c r="G8" s="80">
        <v>1.2</v>
      </c>
      <c r="H8" s="80">
        <v>1</v>
      </c>
      <c r="I8" s="81">
        <f t="shared" si="1"/>
        <v>1.0666666666666667</v>
      </c>
      <c r="J8" s="82">
        <f t="shared" si="2"/>
        <v>1.4516765285996054E-2</v>
      </c>
    </row>
    <row r="9" spans="3:14" ht="24" customHeight="1" x14ac:dyDescent="0.25">
      <c r="C9" s="77" t="s">
        <v>77</v>
      </c>
      <c r="D9" s="78">
        <v>500000</v>
      </c>
      <c r="E9" s="79">
        <f t="shared" si="0"/>
        <v>0.11834319526627218</v>
      </c>
      <c r="F9" s="80">
        <v>1</v>
      </c>
      <c r="G9" s="80">
        <v>1</v>
      </c>
      <c r="H9" s="80">
        <v>1</v>
      </c>
      <c r="I9" s="81">
        <f t="shared" si="1"/>
        <v>1</v>
      </c>
      <c r="J9" s="82">
        <f t="shared" si="2"/>
        <v>0.13609467455621299</v>
      </c>
    </row>
    <row r="10" spans="3:14" ht="24" customHeight="1" x14ac:dyDescent="0.25">
      <c r="C10" s="77" t="s">
        <v>78</v>
      </c>
      <c r="D10" s="78">
        <v>100000</v>
      </c>
      <c r="E10" s="79">
        <f t="shared" si="0"/>
        <v>2.3668639053254437E-2</v>
      </c>
      <c r="F10" s="80">
        <v>1</v>
      </c>
      <c r="G10" s="80">
        <v>1</v>
      </c>
      <c r="H10" s="80">
        <v>0.86</v>
      </c>
      <c r="I10" s="81">
        <f t="shared" si="1"/>
        <v>0.95333333333333325</v>
      </c>
      <c r="J10" s="82">
        <f t="shared" si="2"/>
        <v>2.5948717948717944E-2</v>
      </c>
    </row>
    <row r="11" spans="3:14" ht="24" customHeight="1" x14ac:dyDescent="0.25">
      <c r="C11" s="77" t="s">
        <v>79</v>
      </c>
      <c r="D11" s="78">
        <v>300000</v>
      </c>
      <c r="E11" s="79">
        <f t="shared" si="0"/>
        <v>7.1005917159763315E-2</v>
      </c>
      <c r="F11" s="80">
        <v>0.87</v>
      </c>
      <c r="G11" s="80">
        <v>0.8</v>
      </c>
      <c r="H11" s="80">
        <v>1</v>
      </c>
      <c r="I11" s="81">
        <f t="shared" si="1"/>
        <v>0.89</v>
      </c>
      <c r="J11" s="82">
        <f t="shared" si="2"/>
        <v>7.2674556213017757E-2</v>
      </c>
    </row>
    <row r="12" spans="3:14" ht="24" customHeight="1" x14ac:dyDescent="0.25">
      <c r="C12" s="77" t="s">
        <v>80</v>
      </c>
      <c r="D12" s="78">
        <v>200000</v>
      </c>
      <c r="E12" s="79">
        <f t="shared" si="0"/>
        <v>4.7337278106508875E-2</v>
      </c>
      <c r="F12" s="80">
        <v>1</v>
      </c>
      <c r="G12" s="80">
        <v>1</v>
      </c>
      <c r="H12" s="80">
        <v>1</v>
      </c>
      <c r="I12" s="81">
        <f t="shared" si="1"/>
        <v>1</v>
      </c>
      <c r="J12" s="82">
        <f t="shared" si="2"/>
        <v>5.4437869822485205E-2</v>
      </c>
    </row>
    <row r="13" spans="3:14" ht="24" customHeight="1" x14ac:dyDescent="0.25">
      <c r="C13" s="77" t="s">
        <v>81</v>
      </c>
      <c r="D13" s="78">
        <v>600000</v>
      </c>
      <c r="E13" s="79">
        <f t="shared" si="0"/>
        <v>0.14201183431952663</v>
      </c>
      <c r="F13" s="80">
        <v>1</v>
      </c>
      <c r="G13" s="80">
        <v>1</v>
      </c>
      <c r="H13" s="80">
        <v>1</v>
      </c>
      <c r="I13" s="81">
        <f t="shared" si="1"/>
        <v>1</v>
      </c>
      <c r="J13" s="82">
        <f t="shared" si="2"/>
        <v>0.1633136094674556</v>
      </c>
    </row>
    <row r="14" spans="3:14" ht="24" customHeight="1" x14ac:dyDescent="0.25">
      <c r="C14" s="77" t="s">
        <v>82</v>
      </c>
      <c r="D14" s="78">
        <v>75000</v>
      </c>
      <c r="E14" s="79">
        <f t="shared" si="0"/>
        <v>1.7751479289940829E-2</v>
      </c>
      <c r="F14" s="80">
        <v>1</v>
      </c>
      <c r="G14" s="80">
        <v>1</v>
      </c>
      <c r="H14" s="80">
        <v>1</v>
      </c>
      <c r="I14" s="81">
        <f t="shared" si="1"/>
        <v>1</v>
      </c>
      <c r="J14" s="82">
        <f t="shared" si="2"/>
        <v>2.041420118343195E-2</v>
      </c>
    </row>
    <row r="15" spans="3:14" ht="24" customHeight="1" x14ac:dyDescent="0.25">
      <c r="C15" s="84"/>
      <c r="D15" s="86">
        <f>SUM(D5:D14)</f>
        <v>4225000</v>
      </c>
      <c r="E15" s="87">
        <f t="shared" si="0"/>
        <v>1</v>
      </c>
      <c r="F15" s="83"/>
      <c r="G15" s="83"/>
      <c r="H15" s="83"/>
      <c r="I15" s="85">
        <f>AVERAGE(I5:I14)</f>
        <v>0.98799999999999988</v>
      </c>
      <c r="J15" s="88">
        <f>SUM(J5:J14)</f>
        <v>1.138205128205128</v>
      </c>
    </row>
    <row r="16" spans="3:14" ht="13" x14ac:dyDescent="0.3">
      <c r="C16" s="7"/>
      <c r="D16" s="7"/>
      <c r="E16" s="7"/>
      <c r="J16" s="3"/>
    </row>
    <row r="17" spans="3:10" ht="13" x14ac:dyDescent="0.3">
      <c r="C17" s="7"/>
      <c r="D17" s="7"/>
      <c r="E17" s="7"/>
      <c r="J17" s="3"/>
    </row>
    <row r="18" spans="3:10" ht="13" x14ac:dyDescent="0.3">
      <c r="C18" s="7"/>
      <c r="D18" s="7"/>
      <c r="E18" s="7"/>
      <c r="H18" s="5"/>
      <c r="I18" s="5"/>
      <c r="J18" s="3"/>
    </row>
    <row r="19" spans="3:10" ht="13" x14ac:dyDescent="0.3">
      <c r="C19" s="7"/>
      <c r="D19" s="7"/>
      <c r="E19" s="7"/>
      <c r="H19" s="131">
        <v>50</v>
      </c>
      <c r="I19" s="5"/>
      <c r="J19" s="3"/>
    </row>
    <row r="20" spans="3:10" ht="13" x14ac:dyDescent="0.3">
      <c r="C20" s="7"/>
      <c r="D20" s="7"/>
      <c r="E20" s="7"/>
      <c r="H20" s="132">
        <v>40</v>
      </c>
      <c r="I20" s="6"/>
      <c r="J20" s="3"/>
    </row>
    <row r="21" spans="3:10" x14ac:dyDescent="0.25">
      <c r="C21" s="4"/>
      <c r="D21" s="4"/>
      <c r="E21" s="4"/>
      <c r="H21" s="5">
        <f>2-H20/H19</f>
        <v>1.2</v>
      </c>
      <c r="J21" s="3"/>
    </row>
  </sheetData>
  <phoneticPr fontId="5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7"/>
  <sheetViews>
    <sheetView showGridLines="0" topLeftCell="A12" workbookViewId="0">
      <selection activeCell="F24" sqref="F24:I27"/>
    </sheetView>
  </sheetViews>
  <sheetFormatPr defaultRowHeight="12.5" x14ac:dyDescent="0.25"/>
  <cols>
    <col min="1" max="1" width="11.26953125" customWidth="1"/>
    <col min="2" max="2" width="11.7265625" customWidth="1"/>
    <col min="3" max="3" width="10.81640625" customWidth="1"/>
    <col min="4" max="4" width="12.81640625" customWidth="1"/>
    <col min="6" max="6" width="16" bestFit="1" customWidth="1"/>
    <col min="9" max="9" width="11.81640625" bestFit="1" customWidth="1"/>
  </cols>
  <sheetData>
    <row r="1" spans="1:4" ht="23" x14ac:dyDescent="0.25">
      <c r="B1" s="61" t="s">
        <v>56</v>
      </c>
    </row>
    <row r="2" spans="1:4" ht="25.5" customHeight="1" x14ac:dyDescent="0.25">
      <c r="A2" s="43"/>
      <c r="B2" s="107" t="s">
        <v>95</v>
      </c>
    </row>
    <row r="3" spans="1:4" ht="15.5" x14ac:dyDescent="0.25">
      <c r="A3" s="216" t="s">
        <v>100</v>
      </c>
      <c r="B3" s="217"/>
      <c r="C3" s="212" t="s">
        <v>36</v>
      </c>
      <c r="D3" s="213"/>
    </row>
    <row r="4" spans="1:4" ht="21" x14ac:dyDescent="0.25">
      <c r="A4" s="63" t="s">
        <v>1</v>
      </c>
      <c r="B4" s="63" t="s">
        <v>2</v>
      </c>
      <c r="C4" s="214" t="s">
        <v>40</v>
      </c>
      <c r="D4" s="215"/>
    </row>
    <row r="5" spans="1:4" ht="16" customHeight="1" x14ac:dyDescent="0.25">
      <c r="A5" s="69"/>
      <c r="B5" s="69"/>
      <c r="C5" s="1">
        <v>0.3</v>
      </c>
      <c r="D5" s="1">
        <v>0.1</v>
      </c>
    </row>
    <row r="6" spans="1:4" ht="16" customHeight="1" x14ac:dyDescent="0.25">
      <c r="A6" s="62">
        <v>0</v>
      </c>
      <c r="B6" s="62">
        <v>0</v>
      </c>
      <c r="C6" s="39">
        <f t="shared" ref="C6:C19" si="0">EXP(-B6*$C$5)</f>
        <v>1</v>
      </c>
      <c r="D6" s="39">
        <f t="shared" ref="D6:D19" si="1">EXP(-B6*$D$5)</f>
        <v>1</v>
      </c>
    </row>
    <row r="7" spans="1:4" ht="16" customHeight="1" x14ac:dyDescent="0.25">
      <c r="A7" s="62">
        <v>0</v>
      </c>
      <c r="B7" s="73">
        <v>1</v>
      </c>
      <c r="C7" s="39">
        <f t="shared" si="0"/>
        <v>0.74081822068171788</v>
      </c>
      <c r="D7" s="39">
        <f t="shared" si="1"/>
        <v>0.90483741803595952</v>
      </c>
    </row>
    <row r="8" spans="1:4" ht="16" customHeight="1" x14ac:dyDescent="0.25">
      <c r="A8" s="62">
        <v>0</v>
      </c>
      <c r="B8" s="73">
        <v>2</v>
      </c>
      <c r="C8" s="39">
        <f t="shared" si="0"/>
        <v>0.54881163609402639</v>
      </c>
      <c r="D8" s="39">
        <f t="shared" si="1"/>
        <v>0.81873075307798182</v>
      </c>
    </row>
    <row r="9" spans="1:4" ht="16" customHeight="1" x14ac:dyDescent="0.25">
      <c r="A9" s="62">
        <v>0</v>
      </c>
      <c r="B9" s="73">
        <v>3</v>
      </c>
      <c r="C9" s="39">
        <f t="shared" si="0"/>
        <v>0.40656965974059917</v>
      </c>
      <c r="D9" s="39">
        <f t="shared" si="1"/>
        <v>0.74081822068171788</v>
      </c>
    </row>
    <row r="10" spans="1:4" ht="16" customHeight="1" x14ac:dyDescent="0.25">
      <c r="A10" s="62">
        <v>0</v>
      </c>
      <c r="B10" s="73">
        <v>4</v>
      </c>
      <c r="C10" s="39">
        <f t="shared" si="0"/>
        <v>0.30119421191220214</v>
      </c>
      <c r="D10" s="39">
        <f t="shared" si="1"/>
        <v>0.67032004603563933</v>
      </c>
    </row>
    <row r="11" spans="1:4" ht="16" customHeight="1" x14ac:dyDescent="0.25">
      <c r="A11" s="62">
        <v>0</v>
      </c>
      <c r="B11" s="73">
        <v>5</v>
      </c>
      <c r="C11" s="39">
        <f t="shared" si="0"/>
        <v>0.22313016014842982</v>
      </c>
      <c r="D11" s="39">
        <f t="shared" si="1"/>
        <v>0.60653065971263342</v>
      </c>
    </row>
    <row r="12" spans="1:4" ht="16" customHeight="1" x14ac:dyDescent="0.25">
      <c r="A12" s="62">
        <v>0</v>
      </c>
      <c r="B12" s="73">
        <v>6</v>
      </c>
      <c r="C12" s="39">
        <f t="shared" si="0"/>
        <v>0.16529888822158656</v>
      </c>
      <c r="D12" s="39">
        <f t="shared" si="1"/>
        <v>0.54881163609402639</v>
      </c>
    </row>
    <row r="13" spans="1:4" ht="16" customHeight="1" x14ac:dyDescent="0.25">
      <c r="A13" s="62">
        <v>0</v>
      </c>
      <c r="B13" s="73">
        <v>7</v>
      </c>
      <c r="C13" s="39">
        <f t="shared" si="0"/>
        <v>0.12245642825298191</v>
      </c>
      <c r="D13" s="39">
        <f t="shared" si="1"/>
        <v>0.49658530379140947</v>
      </c>
    </row>
    <row r="14" spans="1:4" ht="16" customHeight="1" x14ac:dyDescent="0.25">
      <c r="A14" s="62">
        <v>0</v>
      </c>
      <c r="B14" s="73">
        <v>8</v>
      </c>
      <c r="C14" s="39">
        <f t="shared" si="0"/>
        <v>9.0717953289412512E-2</v>
      </c>
      <c r="D14" s="39">
        <f t="shared" si="1"/>
        <v>0.44932896411722156</v>
      </c>
    </row>
    <row r="15" spans="1:4" ht="16" customHeight="1" x14ac:dyDescent="0.25">
      <c r="A15" s="62">
        <v>0</v>
      </c>
      <c r="B15" s="73">
        <v>9</v>
      </c>
      <c r="C15" s="39">
        <f t="shared" si="0"/>
        <v>6.7205512739749784E-2</v>
      </c>
      <c r="D15" s="39">
        <f t="shared" si="1"/>
        <v>0.40656965974059911</v>
      </c>
    </row>
    <row r="16" spans="1:4" ht="16" customHeight="1" x14ac:dyDescent="0.25">
      <c r="A16" s="62">
        <v>0</v>
      </c>
      <c r="B16" s="73">
        <v>10</v>
      </c>
      <c r="C16" s="39">
        <f t="shared" si="0"/>
        <v>4.9787068367863944E-2</v>
      </c>
      <c r="D16" s="39">
        <f t="shared" si="1"/>
        <v>0.36787944117144233</v>
      </c>
    </row>
    <row r="17" spans="1:9" ht="16" customHeight="1" x14ac:dyDescent="0.25">
      <c r="A17" s="62">
        <v>0</v>
      </c>
      <c r="B17" s="73">
        <v>11</v>
      </c>
      <c r="C17" s="39">
        <f t="shared" si="0"/>
        <v>3.6883167401240015E-2</v>
      </c>
      <c r="D17" s="39">
        <f t="shared" si="1"/>
        <v>0.33287108369807955</v>
      </c>
    </row>
    <row r="18" spans="1:9" ht="16" customHeight="1" x14ac:dyDescent="0.25">
      <c r="A18" s="62">
        <v>0</v>
      </c>
      <c r="B18" s="73">
        <v>12</v>
      </c>
      <c r="C18" s="39">
        <f t="shared" si="0"/>
        <v>2.7323722447292569E-2</v>
      </c>
      <c r="D18" s="39">
        <f t="shared" si="1"/>
        <v>0.30119421191220203</v>
      </c>
    </row>
    <row r="19" spans="1:9" ht="16" customHeight="1" x14ac:dyDescent="0.25">
      <c r="A19" s="62">
        <v>0</v>
      </c>
      <c r="B19" s="73">
        <v>13</v>
      </c>
      <c r="C19" s="39">
        <f t="shared" si="0"/>
        <v>2.0241911445804391E-2</v>
      </c>
      <c r="D19" s="39">
        <f t="shared" si="1"/>
        <v>0.27253179303401259</v>
      </c>
    </row>
    <row r="24" spans="1:9" ht="13" x14ac:dyDescent="0.3">
      <c r="F24" s="219" t="s">
        <v>100</v>
      </c>
      <c r="G24" s="219" t="s">
        <v>1</v>
      </c>
      <c r="H24" s="219" t="s">
        <v>195</v>
      </c>
      <c r="I24" s="220" t="s">
        <v>36</v>
      </c>
    </row>
    <row r="25" spans="1:9" x14ac:dyDescent="0.25">
      <c r="F25" s="218" t="s">
        <v>192</v>
      </c>
      <c r="G25" s="221">
        <v>0.05</v>
      </c>
      <c r="H25" s="221">
        <v>0.1</v>
      </c>
      <c r="I25" s="221">
        <v>0</v>
      </c>
    </row>
    <row r="26" spans="1:9" x14ac:dyDescent="0.25">
      <c r="F26" s="218" t="s">
        <v>193</v>
      </c>
      <c r="G26" s="221">
        <v>0.1</v>
      </c>
      <c r="H26" s="221">
        <v>0.1</v>
      </c>
      <c r="I26" s="221">
        <v>1</v>
      </c>
    </row>
    <row r="27" spans="1:9" x14ac:dyDescent="0.25">
      <c r="F27" s="218" t="s">
        <v>194</v>
      </c>
      <c r="G27" s="221">
        <v>0.1</v>
      </c>
      <c r="H27" s="221">
        <v>0.09</v>
      </c>
      <c r="I27" s="221">
        <v>1.1000000000000001</v>
      </c>
    </row>
    <row r="35" spans="2:4" x14ac:dyDescent="0.25">
      <c r="B35" s="4"/>
      <c r="C35" s="4"/>
      <c r="D35" s="113"/>
    </row>
    <row r="36" spans="2:4" x14ac:dyDescent="0.25">
      <c r="B36" s="4"/>
      <c r="C36" s="4"/>
      <c r="D36" s="113"/>
    </row>
    <row r="37" spans="2:4" x14ac:dyDescent="0.25">
      <c r="B37" s="4"/>
      <c r="C37" s="4"/>
      <c r="D37" s="113"/>
    </row>
  </sheetData>
  <mergeCells count="3">
    <mergeCell ref="C3:D3"/>
    <mergeCell ref="C4:D4"/>
    <mergeCell ref="A3:B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2"/>
  <sheetViews>
    <sheetView showGridLines="0" tabSelected="1" workbookViewId="0">
      <selection activeCell="B2" sqref="B2:H2"/>
    </sheetView>
  </sheetViews>
  <sheetFormatPr defaultRowHeight="25" customHeight="1" x14ac:dyDescent="0.25"/>
  <cols>
    <col min="1" max="1" width="7" customWidth="1"/>
    <col min="2" max="2" width="9.54296875" customWidth="1"/>
    <col min="3" max="3" width="10.54296875" customWidth="1"/>
    <col min="4" max="4" width="10.54296875" hidden="1" customWidth="1"/>
    <col min="5" max="5" width="12.453125" customWidth="1"/>
    <col min="6" max="6" width="13" customWidth="1"/>
  </cols>
  <sheetData>
    <row r="1" spans="2:6" ht="25" customHeight="1" x14ac:dyDescent="0.25">
      <c r="B1" s="61" t="s">
        <v>30</v>
      </c>
    </row>
    <row r="2" spans="2:6" ht="25" customHeight="1" x14ac:dyDescent="0.25">
      <c r="B2" s="94" t="s">
        <v>98</v>
      </c>
      <c r="C2" s="37"/>
      <c r="D2" s="37"/>
      <c r="E2" s="37"/>
      <c r="F2" s="37"/>
    </row>
    <row r="3" spans="2:6" ht="25" customHeight="1" x14ac:dyDescent="0.25">
      <c r="B3" s="209" t="s">
        <v>100</v>
      </c>
      <c r="C3" s="206"/>
      <c r="D3" s="114"/>
      <c r="E3" s="207" t="s">
        <v>87</v>
      </c>
      <c r="F3" s="207"/>
    </row>
    <row r="4" spans="2:6" ht="25" customHeight="1" x14ac:dyDescent="0.25">
      <c r="B4" s="114" t="s">
        <v>1</v>
      </c>
      <c r="C4" s="114" t="s">
        <v>2</v>
      </c>
      <c r="D4" s="115"/>
      <c r="E4" s="130">
        <v>0.05</v>
      </c>
      <c r="F4" s="130">
        <v>0.1</v>
      </c>
    </row>
    <row r="5" spans="2:6" ht="25" customHeight="1" x14ac:dyDescent="0.25">
      <c r="B5" s="91">
        <v>0.75</v>
      </c>
      <c r="C5" s="91">
        <v>0.5</v>
      </c>
      <c r="D5" s="62"/>
      <c r="E5" s="93">
        <f>100%+($E$4-ABS((B5-C5)/B5))*(15%/$E$4)</f>
        <v>0.15000000000000013</v>
      </c>
      <c r="F5" s="93">
        <f>100%+($F$4-ABS((B5-C5)/B5))*(15%/$F$4)</f>
        <v>0.65000000000000013</v>
      </c>
    </row>
    <row r="6" spans="2:6" ht="25" customHeight="1" x14ac:dyDescent="0.25">
      <c r="B6" s="91">
        <v>0.75</v>
      </c>
      <c r="C6" s="91">
        <v>0.55000000000000004</v>
      </c>
      <c r="D6" s="73"/>
      <c r="E6" s="39">
        <f t="shared" ref="E6:E15" si="0">100%+($E$4-ABS((B6-C6)/B6))*(15%/$E$4)</f>
        <v>0.3500000000000002</v>
      </c>
      <c r="F6" s="93">
        <f t="shared" ref="F6:F15" si="1">100%+($F$4-ABS((B6-C6)/B6))*(15%/$F$4)</f>
        <v>0.75000000000000011</v>
      </c>
    </row>
    <row r="7" spans="2:6" ht="25" customHeight="1" x14ac:dyDescent="0.25">
      <c r="B7" s="91">
        <v>0.75</v>
      </c>
      <c r="C7" s="91">
        <v>0.6</v>
      </c>
      <c r="D7" s="62"/>
      <c r="E7" s="39">
        <f t="shared" si="0"/>
        <v>0.55000000000000004</v>
      </c>
      <c r="F7" s="93">
        <f t="shared" si="1"/>
        <v>0.85</v>
      </c>
    </row>
    <row r="8" spans="2:6" ht="25" customHeight="1" x14ac:dyDescent="0.25">
      <c r="B8" s="91">
        <v>0.75</v>
      </c>
      <c r="C8" s="91">
        <v>0.65</v>
      </c>
      <c r="D8" s="73"/>
      <c r="E8" s="39">
        <f t="shared" si="0"/>
        <v>0.75000000000000011</v>
      </c>
      <c r="F8" s="93">
        <f t="shared" si="1"/>
        <v>0.95000000000000007</v>
      </c>
    </row>
    <row r="9" spans="2:6" ht="25" customHeight="1" x14ac:dyDescent="0.25">
      <c r="B9" s="91">
        <v>0.75</v>
      </c>
      <c r="C9" s="91">
        <v>0.7</v>
      </c>
      <c r="D9" s="62"/>
      <c r="E9" s="39">
        <f t="shared" si="0"/>
        <v>0.94999999999999984</v>
      </c>
      <c r="F9" s="93">
        <f t="shared" si="1"/>
        <v>1.0499999999999998</v>
      </c>
    </row>
    <row r="10" spans="2:6" ht="25" customHeight="1" x14ac:dyDescent="0.25">
      <c r="B10" s="91">
        <v>0.75</v>
      </c>
      <c r="C10" s="91">
        <v>0.75</v>
      </c>
      <c r="D10" s="73"/>
      <c r="E10" s="39">
        <f>100%+($E$4-ABS((B10-C10)/B10))*(15%/$E$4)</f>
        <v>1.1499999999999999</v>
      </c>
      <c r="F10" s="93">
        <f t="shared" si="1"/>
        <v>1.1499999999999999</v>
      </c>
    </row>
    <row r="11" spans="2:6" ht="25" customHeight="1" x14ac:dyDescent="0.25">
      <c r="B11" s="91">
        <v>0.75</v>
      </c>
      <c r="C11" s="91">
        <v>0.8</v>
      </c>
      <c r="D11" s="62"/>
      <c r="E11" s="39">
        <f t="shared" si="0"/>
        <v>0.94999999999999984</v>
      </c>
      <c r="F11" s="93">
        <f t="shared" si="1"/>
        <v>1.0499999999999998</v>
      </c>
    </row>
    <row r="12" spans="2:6" ht="25" customHeight="1" x14ac:dyDescent="0.25">
      <c r="B12" s="91">
        <v>0.75</v>
      </c>
      <c r="C12" s="91">
        <v>0.85</v>
      </c>
      <c r="D12" s="73"/>
      <c r="E12" s="39">
        <f t="shared" si="0"/>
        <v>0.75000000000000011</v>
      </c>
      <c r="F12" s="93">
        <f t="shared" si="1"/>
        <v>0.95000000000000007</v>
      </c>
    </row>
    <row r="13" spans="2:6" ht="25" customHeight="1" x14ac:dyDescent="0.25">
      <c r="B13" s="91">
        <v>0.75</v>
      </c>
      <c r="C13" s="91">
        <v>0.9</v>
      </c>
      <c r="D13" s="62"/>
      <c r="E13" s="39">
        <f t="shared" si="0"/>
        <v>0.55000000000000004</v>
      </c>
      <c r="F13" s="93">
        <f t="shared" si="1"/>
        <v>0.85</v>
      </c>
    </row>
    <row r="14" spans="2:6" ht="25" customHeight="1" x14ac:dyDescent="0.25">
      <c r="B14" s="91">
        <v>0.75</v>
      </c>
      <c r="C14" s="91">
        <v>0.95</v>
      </c>
      <c r="D14" s="73"/>
      <c r="E14" s="39">
        <f t="shared" si="0"/>
        <v>0.3500000000000002</v>
      </c>
      <c r="F14" s="93">
        <f t="shared" si="1"/>
        <v>0.75000000000000011</v>
      </c>
    </row>
    <row r="15" spans="2:6" ht="25" customHeight="1" x14ac:dyDescent="0.25">
      <c r="B15" s="91">
        <v>0.75</v>
      </c>
      <c r="C15" s="91">
        <v>1</v>
      </c>
      <c r="D15" s="62"/>
      <c r="E15" s="39">
        <f t="shared" si="0"/>
        <v>0.15000000000000013</v>
      </c>
      <c r="F15" s="93">
        <f t="shared" si="1"/>
        <v>0.65000000000000013</v>
      </c>
    </row>
    <row r="23" spans="1:5" ht="25" customHeight="1" x14ac:dyDescent="0.25">
      <c r="A23" s="44"/>
      <c r="B23" s="44"/>
      <c r="C23" s="44"/>
      <c r="D23" s="44"/>
      <c r="E23" s="42"/>
    </row>
    <row r="24" spans="1:5" ht="25" customHeight="1" x14ac:dyDescent="0.25">
      <c r="A24" s="44"/>
      <c r="B24" s="44"/>
      <c r="C24" s="42"/>
      <c r="D24" s="42"/>
      <c r="E24" s="42"/>
    </row>
    <row r="25" spans="1:5" ht="25" customHeight="1" x14ac:dyDescent="0.25">
      <c r="A25" s="44"/>
      <c r="B25" s="44"/>
      <c r="C25" s="44"/>
      <c r="D25" s="44"/>
      <c r="E25" s="42"/>
    </row>
    <row r="26" spans="1:5" ht="25" customHeight="1" x14ac:dyDescent="0.25">
      <c r="A26" s="44"/>
      <c r="B26" s="44"/>
      <c r="C26" s="42"/>
      <c r="D26" s="42"/>
      <c r="E26" s="42"/>
    </row>
    <row r="27" spans="1:5" ht="25" customHeight="1" x14ac:dyDescent="0.25">
      <c r="A27" s="44"/>
      <c r="B27" s="44"/>
      <c r="C27" s="44"/>
      <c r="D27" s="44"/>
      <c r="E27" s="42"/>
    </row>
    <row r="28" spans="1:5" ht="25" customHeight="1" x14ac:dyDescent="0.25">
      <c r="A28" s="44"/>
      <c r="B28" s="44"/>
      <c r="C28" s="42"/>
      <c r="D28" s="42"/>
      <c r="E28" s="42"/>
    </row>
    <row r="29" spans="1:5" ht="25" customHeight="1" x14ac:dyDescent="0.25">
      <c r="A29" s="44"/>
      <c r="B29" s="44"/>
      <c r="C29" s="44"/>
      <c r="D29" s="44"/>
      <c r="E29" s="42"/>
    </row>
    <row r="30" spans="1:5" ht="25" customHeight="1" x14ac:dyDescent="0.25">
      <c r="A30" s="44"/>
      <c r="B30" s="44"/>
      <c r="C30" s="42"/>
      <c r="D30" s="42"/>
      <c r="E30" s="42"/>
    </row>
    <row r="31" spans="1:5" ht="25" customHeight="1" x14ac:dyDescent="0.25">
      <c r="A31" s="44"/>
      <c r="B31" s="44"/>
      <c r="C31" s="44"/>
      <c r="D31" s="44"/>
      <c r="E31" s="42"/>
    </row>
    <row r="32" spans="1:5" ht="25" customHeight="1" x14ac:dyDescent="0.25">
      <c r="A32" s="44"/>
      <c r="B32" s="44"/>
      <c r="C32" s="42"/>
      <c r="D32" s="42"/>
      <c r="E32" s="42"/>
    </row>
  </sheetData>
  <mergeCells count="2">
    <mergeCell ref="E3:F3"/>
    <mergeCell ref="B3:C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OTOBOS</vt:lpstr>
      <vt:lpstr>Formula</vt:lpstr>
      <vt:lpstr>Fulfillment</vt:lpstr>
      <vt:lpstr>Dashboard</vt:lpstr>
      <vt:lpstr>Score</vt:lpstr>
      <vt:lpstr>Max</vt:lpstr>
      <vt:lpstr>Project</vt:lpstr>
      <vt:lpstr>Min T=0</vt:lpstr>
      <vt:lpstr>Stabilize</vt:lpstr>
    </vt:vector>
  </TitlesOfParts>
  <Company>CNOOC. SES.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CNOOC.SES.LTD</dc:creator>
  <cp:lastModifiedBy>Anugrah Muzakki Puar</cp:lastModifiedBy>
  <dcterms:created xsi:type="dcterms:W3CDTF">2010-02-05T02:21:25Z</dcterms:created>
  <dcterms:modified xsi:type="dcterms:W3CDTF">2022-04-11T16:05:53Z</dcterms:modified>
</cp:coreProperties>
</file>