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ECISION\Desktop\BME\4.félév\rezgéstan\2hf_rezg\"/>
    </mc:Choice>
  </mc:AlternateContent>
  <bookViews>
    <workbookView xWindow="0" yWindow="0" windowWidth="7470" windowHeight="2670"/>
  </bookViews>
  <sheets>
    <sheet name="Munka1" sheetId="1" r:id="rId1"/>
    <sheet name="Munka2" sheetId="2" r:id="rId2"/>
    <sheet name="Munka3" sheetId="3" r:id="rId3"/>
  </sheets>
  <calcPr calcId="162913"/>
  <extLst>
    <ext uri="GoogleSheetsCustomDataVersion1">
      <go:sheetsCustomData xmlns:go="http://customooxmlschemas.google.com/" r:id="rId7" roundtripDataSignature="AMtx7mh+8PaAVsTkEDPzZVGmxCxTdgP18A=="/>
    </ext>
  </extLst>
</workbook>
</file>

<file path=xl/calcChain.xml><?xml version="1.0" encoding="utf-8"?>
<calcChain xmlns="http://schemas.openxmlformats.org/spreadsheetml/2006/main">
  <c r="J20" i="1" l="1"/>
  <c r="F24" i="1"/>
  <c r="F23" i="1"/>
  <c r="F22" i="1"/>
  <c r="F21" i="1"/>
  <c r="B18" i="1"/>
  <c r="F25" i="1" s="1"/>
  <c r="K29" i="1"/>
  <c r="J29" i="1"/>
  <c r="K28" i="1"/>
  <c r="J28" i="1" s="1"/>
  <c r="K27" i="1"/>
  <c r="J27" i="1"/>
  <c r="G6" i="1" s="1"/>
  <c r="F9" i="1" s="1"/>
  <c r="F17" i="1"/>
  <c r="G16" i="1"/>
  <c r="F15" i="1"/>
  <c r="G14" i="1"/>
  <c r="F11" i="1"/>
  <c r="G12" i="1" s="1"/>
  <c r="G8" i="1"/>
  <c r="F7" i="1"/>
  <c r="F5" i="1"/>
  <c r="G4" i="1"/>
  <c r="L3" i="1"/>
  <c r="L15" i="1" s="1"/>
  <c r="K16" i="1" s="1"/>
  <c r="G3" i="1"/>
  <c r="L2" i="1"/>
  <c r="K5" i="1" s="1"/>
  <c r="K2" i="1"/>
  <c r="L5" i="1" s="1"/>
  <c r="F2" i="1"/>
  <c r="F14" i="1" s="1"/>
  <c r="G17" i="1" s="1"/>
  <c r="F31" i="1" l="1"/>
  <c r="F26" i="1"/>
  <c r="F28" i="1"/>
  <c r="F27" i="1"/>
  <c r="G7" i="1"/>
  <c r="F8" i="1" s="1"/>
  <c r="L6" i="1"/>
  <c r="K9" i="1" s="1"/>
  <c r="K6" i="1"/>
  <c r="L9" i="1" s="1"/>
  <c r="G15" i="1"/>
  <c r="F16" i="1" s="1"/>
  <c r="F4" i="1"/>
  <c r="P3" i="1"/>
  <c r="G10" i="1"/>
  <c r="F13" i="1" s="1"/>
  <c r="K10" i="1"/>
  <c r="F10" i="1"/>
  <c r="G13" i="1" s="1"/>
  <c r="L10" i="1"/>
  <c r="K13" i="1" s="1"/>
  <c r="K14" i="1"/>
  <c r="K4" i="1"/>
  <c r="L14" i="1"/>
  <c r="K17" i="1" s="1"/>
  <c r="L7" i="1"/>
  <c r="K8" i="1" s="1"/>
  <c r="G11" i="1"/>
  <c r="F12" i="1" s="1"/>
  <c r="K3" i="1"/>
  <c r="P4" i="1" s="1"/>
  <c r="F6" i="1"/>
  <c r="G9" i="1" s="1"/>
  <c r="L11" i="1"/>
  <c r="K12" i="1" s="1"/>
  <c r="G5" i="1"/>
  <c r="F48" i="1" l="1"/>
  <c r="Q3" i="1"/>
  <c r="P5" i="1"/>
  <c r="F32" i="1"/>
  <c r="F33" i="1" s="1"/>
  <c r="Q4" i="1"/>
  <c r="P7" i="1"/>
  <c r="P8" i="1"/>
  <c r="P39" i="1" s="1"/>
  <c r="K11" i="1"/>
  <c r="L12" i="1" s="1"/>
  <c r="L4" i="1"/>
  <c r="Q5" i="1" s="1"/>
  <c r="K15" i="1"/>
  <c r="L16" i="1" s="1"/>
  <c r="K7" i="1"/>
  <c r="L8" i="1" s="1"/>
  <c r="L13" i="1"/>
  <c r="F49" i="1"/>
  <c r="L17" i="1"/>
  <c r="F61" i="1" l="1"/>
  <c r="F62" i="1" s="1"/>
  <c r="F56" i="1"/>
  <c r="F60" i="1"/>
  <c r="F63" i="1" s="1"/>
  <c r="F51" i="1"/>
  <c r="F59" i="1"/>
  <c r="F52" i="1"/>
  <c r="F55" i="1" s="1"/>
  <c r="F40" i="1"/>
  <c r="F41" i="1" s="1"/>
  <c r="F36" i="1"/>
  <c r="F37" i="1" s="1"/>
  <c r="F44" i="1"/>
  <c r="F45" i="1" s="1"/>
  <c r="P22" i="1"/>
  <c r="J21" i="1"/>
  <c r="J22" i="1" s="1"/>
  <c r="J23" i="1" s="1"/>
  <c r="F35" i="1"/>
  <c r="F38" i="1" s="1"/>
  <c r="F34" i="1"/>
  <c r="F39" i="1"/>
  <c r="F43" i="1"/>
  <c r="F46" i="1" s="1"/>
  <c r="F42" i="1"/>
  <c r="F53" i="1"/>
  <c r="F54" i="1" s="1"/>
  <c r="F50" i="1"/>
  <c r="F57" i="1"/>
  <c r="F58" i="1" s="1"/>
  <c r="P14" i="1"/>
  <c r="P18" i="1"/>
  <c r="P20" i="1"/>
  <c r="P41" i="1"/>
  <c r="P37" i="1"/>
  <c r="P35" i="1"/>
  <c r="P29" i="1"/>
  <c r="P33" i="1"/>
  <c r="P43" i="1"/>
  <c r="P16" i="1"/>
  <c r="P26" i="1"/>
  <c r="P12" i="1"/>
  <c r="P24" i="1"/>
  <c r="P31" i="1"/>
</calcChain>
</file>

<file path=xl/comments1.xml><?xml version="1.0" encoding="utf-8"?>
<comments xmlns="http://schemas.openxmlformats.org/spreadsheetml/2006/main">
  <authors>
    <author/>
  </authors>
  <commentList>
    <comment ref="O40" authorId="0" shapeId="0">
      <text>
        <r>
          <rPr>
            <sz val="11"/>
            <color theme="1"/>
            <rFont val="Calibri"/>
            <scheme val="minor"/>
          </rPr>
          <t>======
ID#AAAAIVugiW0
Szerző    (2021-04-24 10:56:18)
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+wOKXCy6VhfgBuOb6Ow/K11hwDg=="/>
    </ext>
  </extLst>
</comments>
</file>

<file path=xl/sharedStrings.xml><?xml version="1.0" encoding="utf-8"?>
<sst xmlns="http://schemas.openxmlformats.org/spreadsheetml/2006/main" count="356" uniqueCount="125">
  <si>
    <t>Adatok</t>
  </si>
  <si>
    <r>
      <rPr>
        <u/>
        <sz val="11"/>
        <color theme="1"/>
        <rFont val="Calibri"/>
      </rPr>
      <t>M</t>
    </r>
    <r>
      <rPr>
        <sz val="11"/>
        <color theme="1"/>
        <rFont val="Calibri"/>
      </rPr>
      <t xml:space="preserve"> meghatározása</t>
    </r>
  </si>
  <si>
    <r>
      <rPr>
        <u/>
        <sz val="11"/>
        <color theme="1"/>
        <rFont val="Calibri"/>
      </rPr>
      <t>S</t>
    </r>
    <r>
      <rPr>
        <sz val="11"/>
        <color theme="1"/>
        <rFont val="Calibri"/>
      </rPr>
      <t xml:space="preserve"> meghatározása</t>
    </r>
  </si>
  <si>
    <t>saját körfrekvenciák</t>
  </si>
  <si>
    <t>m1</t>
  </si>
  <si>
    <t>[kg]</t>
  </si>
  <si>
    <t>M</t>
  </si>
  <si>
    <t>S</t>
  </si>
  <si>
    <t>[N/m]</t>
  </si>
  <si>
    <t>segédszámítás a másodfoku egyenletekhez</t>
  </si>
  <si>
    <t>m2</t>
  </si>
  <si>
    <t>q=[Yc;Yb]</t>
  </si>
  <si>
    <t>A</t>
  </si>
  <si>
    <t>m3</t>
  </si>
  <si>
    <t>B</t>
  </si>
  <si>
    <t>m4</t>
  </si>
  <si>
    <t>q=[Yb;Yc]</t>
  </si>
  <si>
    <t>C</t>
  </si>
  <si>
    <t>l1</t>
  </si>
  <si>
    <t>[m]</t>
  </si>
  <si>
    <t>[kgm]</t>
  </si>
  <si>
    <t>[Nm]</t>
  </si>
  <si>
    <t>l2</t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</si>
  <si>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Ψ</t>
    </r>
    <r>
      <rPr>
        <sz val="11"/>
        <color theme="1"/>
        <rFont val="Calibri"/>
      </rPr>
      <t>;Yb]</t>
    </r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</si>
  <si>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Ψ</t>
    </r>
    <r>
      <rPr>
        <sz val="11"/>
        <color theme="1"/>
        <rFont val="Calibri"/>
      </rPr>
      <t>;Yb]</t>
    </r>
  </si>
  <si>
    <t>α1</t>
  </si>
  <si>
    <t>[rad/s]</t>
  </si>
  <si>
    <t>R</t>
  </si>
  <si>
    <t>α2</t>
  </si>
  <si>
    <t>kt</t>
  </si>
  <si>
    <t>[Nm/rad]</t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</si>
  <si>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Ψ</t>
    </r>
    <r>
      <rPr>
        <sz val="11"/>
        <color theme="1"/>
        <rFont val="Calibri"/>
      </rPr>
      <t>]</t>
    </r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</si>
  <si>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Ψ</t>
    </r>
    <r>
      <rPr>
        <sz val="11"/>
        <color theme="1"/>
        <rFont val="Calibri"/>
      </rPr>
      <t>]</t>
    </r>
  </si>
  <si>
    <t>k2</t>
  </si>
  <si>
    <t>lengéskép</t>
  </si>
  <si>
    <t>k1</t>
  </si>
  <si>
    <t>q=[Xa;Yb]</t>
  </si>
  <si>
    <t>A1</t>
  </si>
  <si>
    <t>m0</t>
  </si>
  <si>
    <t>e</t>
  </si>
  <si>
    <t>q=[Yb;Xa]</t>
  </si>
  <si>
    <t>Fa0</t>
  </si>
  <si>
    <t>[N]</t>
  </si>
  <si>
    <t>Fb0</t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</si>
  <si>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ϕ</t>
    </r>
    <r>
      <rPr>
        <sz val="11"/>
        <color theme="1"/>
        <rFont val="Calibri"/>
      </rPr>
      <t>;Yb]</t>
    </r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</si>
  <si>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ϕ</t>
    </r>
    <r>
      <rPr>
        <sz val="11"/>
        <color theme="1"/>
        <rFont val="Calibri"/>
      </rPr>
      <t>;Yb]</t>
    </r>
  </si>
  <si>
    <t>[rad]</t>
  </si>
  <si>
    <t>M0</t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</si>
  <si>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Ψ</t>
    </r>
    <r>
      <rPr>
        <sz val="11"/>
        <color theme="1"/>
        <rFont val="Calibri"/>
      </rPr>
      <t>;Yb]</t>
    </r>
  </si>
  <si>
    <t>r0</t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</si>
  <si>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ϕ</t>
    </r>
    <r>
      <rPr>
        <sz val="11"/>
        <color theme="1"/>
        <rFont val="Calibri"/>
      </rPr>
      <t>]</t>
    </r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</si>
  <si>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ϕ</t>
    </r>
    <r>
      <rPr>
        <sz val="11"/>
        <color theme="1"/>
        <rFont val="Calibri"/>
      </rPr>
      <t>]</t>
    </r>
  </si>
  <si>
    <t>ε</t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</si>
  <si>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Ψ</t>
    </r>
    <r>
      <rPr>
        <sz val="11"/>
        <color theme="1"/>
        <rFont val="Calibri"/>
      </rPr>
      <t>]</t>
    </r>
  </si>
  <si>
    <t>ω</t>
  </si>
  <si>
    <t>partikuláris MO</t>
  </si>
  <si>
    <t>maximális rugóerő</t>
  </si>
  <si>
    <t>g</t>
  </si>
  <si>
    <t>[m/s^2]</t>
  </si>
  <si>
    <t>segédkonstansok</t>
  </si>
  <si>
    <t>Frst</t>
  </si>
  <si>
    <t>E</t>
  </si>
  <si>
    <t>koordináta független</t>
  </si>
  <si>
    <t>F</t>
  </si>
  <si>
    <t>frdin</t>
  </si>
  <si>
    <t>q</t>
  </si>
  <si>
    <t>Yc</t>
  </si>
  <si>
    <t>G</t>
  </si>
  <si>
    <t>Fr1max</t>
  </si>
  <si>
    <t>Yb</t>
  </si>
  <si>
    <t>H</t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</si>
  <si>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ϕ</t>
    </r>
    <r>
      <rPr>
        <sz val="11"/>
        <color theme="1"/>
        <rFont val="Calibri"/>
      </rPr>
      <t>;Yb]</t>
    </r>
  </si>
  <si>
    <t>Fc1</t>
  </si>
  <si>
    <t>Fc2</t>
  </si>
  <si>
    <t>koordináta transzformáció</t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</si>
  <si>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ϕ</t>
    </r>
    <r>
      <rPr>
        <sz val="11"/>
        <color theme="1"/>
        <rFont val="Calibri"/>
      </rPr>
      <t>]</t>
    </r>
  </si>
  <si>
    <t>Ψ</t>
  </si>
  <si>
    <t>Fs1</t>
  </si>
  <si>
    <t>Ψ-&gt; Yc</t>
  </si>
  <si>
    <t>Fs2</t>
  </si>
  <si>
    <t>Xa-&gt;Yc</t>
  </si>
  <si>
    <t>A2</t>
  </si>
  <si>
    <r>
      <rPr>
        <sz val="11"/>
        <color theme="1"/>
        <rFont val="Calibri"/>
      </rPr>
      <t>ϕ</t>
    </r>
    <r>
      <rPr>
        <sz val="11"/>
        <color theme="1"/>
        <rFont val="Calibri"/>
      </rPr>
      <t>-&gt;Yc</t>
    </r>
  </si>
  <si>
    <t>Xa</t>
  </si>
  <si>
    <t>L</t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</si>
  <si>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Ψ</t>
    </r>
    <r>
      <rPr>
        <sz val="11"/>
        <color theme="1"/>
        <rFont val="Calibri"/>
      </rPr>
      <t>;Yb]</t>
    </r>
  </si>
  <si>
    <t>ϕ</t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</si>
  <si>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Ψ</t>
    </r>
    <r>
      <rPr>
        <sz val="11"/>
        <color theme="1"/>
        <rFont val="Calibri"/>
      </rPr>
      <t>]</t>
    </r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</si>
  <si>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Ψ</t>
    </r>
    <r>
      <rPr>
        <sz val="11"/>
        <color theme="1"/>
        <rFont val="Calibri"/>
      </rPr>
      <t>;Yb]</t>
    </r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</si>
  <si>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Ψ</t>
    </r>
    <r>
      <rPr>
        <sz val="11"/>
        <color theme="1"/>
        <rFont val="Calibri"/>
      </rPr>
      <t>]</t>
    </r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</si>
  <si>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ϕ</t>
    </r>
    <r>
      <rPr>
        <sz val="11"/>
        <color theme="1"/>
        <rFont val="Calibri"/>
      </rPr>
      <t>;Yb]</t>
    </r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</si>
  <si>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ϕ</t>
    </r>
    <r>
      <rPr>
        <sz val="11"/>
        <color theme="1"/>
        <rFont val="Calibri"/>
      </rPr>
      <t>]</t>
    </r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</si>
  <si>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ϕ</t>
    </r>
    <r>
      <rPr>
        <sz val="11"/>
        <color theme="1"/>
        <rFont val="Calibri"/>
      </rPr>
      <t>;Yb]</t>
    </r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</si>
  <si>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ϕ</t>
    </r>
    <r>
      <rPr>
        <sz val="11"/>
        <color theme="1"/>
        <rFont val="Calibri"/>
      </rPr>
      <t>]</t>
    </r>
  </si>
  <si>
    <t>N</t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</si>
  <si>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Ψ</t>
    </r>
    <r>
      <rPr>
        <sz val="11"/>
        <color theme="1"/>
        <rFont val="Calibri"/>
      </rPr>
      <t>;Yb]</t>
    </r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</si>
  <si>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Ψ</t>
    </r>
    <r>
      <rPr>
        <sz val="11"/>
        <color theme="1"/>
        <rFont val="Calibri"/>
      </rPr>
      <t>]</t>
    </r>
  </si>
  <si>
    <r>
      <rPr>
        <sz val="11"/>
        <color theme="1"/>
        <rFont val="Calibri"/>
      </rPr>
      <t>q=[</t>
    </r>
    <r>
      <rPr>
        <sz val="11"/>
        <color theme="1"/>
        <rFont val="Calibri"/>
      </rPr>
      <t>ϕ</t>
    </r>
    <r>
      <rPr>
        <sz val="11"/>
        <color theme="1"/>
        <rFont val="Calibri"/>
      </rPr>
      <t>;Yb]</t>
    </r>
  </si>
  <si>
    <r>
      <rPr>
        <sz val="11"/>
        <color theme="1"/>
        <rFont val="Calibri"/>
      </rPr>
      <t>q=[Yb;</t>
    </r>
    <r>
      <rPr>
        <sz val="11"/>
        <color theme="1"/>
        <rFont val="Calibri"/>
      </rPr>
      <t>ϕ</t>
    </r>
    <r>
      <rPr>
        <sz val="11"/>
        <color theme="1"/>
        <rFont val="Calibri"/>
      </rPr>
      <t>]</t>
    </r>
  </si>
  <si>
    <r>
      <rPr>
        <i/>
        <sz val="12"/>
        <color theme="1"/>
        <rFont val="Times New Roman"/>
      </rPr>
      <t>m</t>
    </r>
    <r>
      <rPr>
        <i/>
        <vertAlign val="subscript"/>
        <sz val="8"/>
        <color theme="1"/>
        <rFont val="Times New Roman"/>
      </rPr>
      <t>11</t>
    </r>
  </si>
  <si>
    <t>=</t>
  </si>
  <si>
    <t>1.1917</t>
  </si>
  <si>
    <t>[SI]</t>
  </si>
  <si>
    <t>Jó!</t>
  </si>
  <si>
    <r>
      <rPr>
        <i/>
        <sz val="12"/>
        <color theme="1"/>
        <rFont val="Times New Roman"/>
      </rPr>
      <t>m</t>
    </r>
    <r>
      <rPr>
        <i/>
        <vertAlign val="subscript"/>
        <sz val="8"/>
        <color theme="1"/>
        <rFont val="Times New Roman"/>
      </rPr>
      <t>22</t>
    </r>
  </si>
  <si>
    <t>0.25</t>
  </si>
  <si>
    <r>
      <rPr>
        <i/>
        <sz val="12"/>
        <color theme="1"/>
        <rFont val="Times New Roman"/>
      </rPr>
      <t>s</t>
    </r>
    <r>
      <rPr>
        <i/>
        <vertAlign val="subscript"/>
        <sz val="8"/>
        <color theme="1"/>
        <rFont val="Times New Roman"/>
      </rPr>
      <t>11</t>
    </r>
  </si>
  <si>
    <r>
      <rPr>
        <i/>
        <sz val="12"/>
        <color theme="1"/>
        <rFont val="Times New Roman"/>
      </rPr>
      <t>s</t>
    </r>
    <r>
      <rPr>
        <i/>
        <vertAlign val="subscript"/>
        <sz val="8"/>
        <color theme="1"/>
        <rFont val="Times New Roman"/>
      </rPr>
      <t>12</t>
    </r>
  </si>
  <si>
    <r>
      <rPr>
        <i/>
        <sz val="12"/>
        <color theme="1"/>
        <rFont val="Times New Roman"/>
      </rPr>
      <t>s</t>
    </r>
    <r>
      <rPr>
        <i/>
        <vertAlign val="subscript"/>
        <sz val="8"/>
        <color theme="1"/>
        <rFont val="Times New Roman"/>
      </rPr>
      <t>22</t>
    </r>
  </si>
  <si>
    <t>35.742</t>
  </si>
  <si>
    <t>64.165</t>
  </si>
  <si>
    <r>
      <rPr>
        <i/>
        <sz val="12"/>
        <color theme="1"/>
        <rFont val="Times New Roman"/>
      </rPr>
      <t>A</t>
    </r>
    <r>
      <rPr>
        <i/>
        <vertAlign val="subscript"/>
        <sz val="8"/>
        <color theme="1"/>
        <rFont val="Times New Roman"/>
      </rPr>
      <t>12</t>
    </r>
  </si>
  <si>
    <t>-8.8619</t>
  </si>
  <si>
    <r>
      <rPr>
        <i/>
        <sz val="12"/>
        <color theme="1"/>
        <rFont val="Times New Roman"/>
      </rPr>
      <t>A</t>
    </r>
    <r>
      <rPr>
        <i/>
        <vertAlign val="subscript"/>
        <sz val="8"/>
        <color theme="1"/>
        <rFont val="Times New Roman"/>
      </rPr>
      <t>22</t>
    </r>
  </si>
  <si>
    <t>0.53788</t>
  </si>
  <si>
    <r>
      <rPr>
        <i/>
        <sz val="12"/>
        <color theme="1"/>
        <rFont val="Times New Roman"/>
      </rPr>
      <t>L</t>
    </r>
    <r>
      <rPr>
        <i/>
        <vertAlign val="subscript"/>
        <sz val="8"/>
        <color theme="1"/>
        <rFont val="Times New Roman"/>
      </rPr>
      <t>1</t>
    </r>
  </si>
  <si>
    <t>0.0015337</t>
  </si>
  <si>
    <r>
      <rPr>
        <i/>
        <sz val="12"/>
        <color theme="1"/>
        <rFont val="Times New Roman"/>
      </rPr>
      <t>L</t>
    </r>
    <r>
      <rPr>
        <i/>
        <vertAlign val="subscript"/>
        <sz val="8"/>
        <color theme="1"/>
        <rFont val="Times New Roman"/>
      </rPr>
      <t>2</t>
    </r>
  </si>
  <si>
    <t>-0.0077528</t>
  </si>
  <si>
    <r>
      <rPr>
        <i/>
        <sz val="12"/>
        <color theme="1"/>
        <rFont val="Times New Roman"/>
      </rPr>
      <t>N</t>
    </r>
    <r>
      <rPr>
        <i/>
        <vertAlign val="subscript"/>
        <sz val="8"/>
        <color theme="1"/>
        <rFont val="Times New Roman"/>
      </rPr>
      <t>1</t>
    </r>
  </si>
  <si>
    <t>0.0026519</t>
  </si>
  <si>
    <r>
      <rPr>
        <i/>
        <sz val="12"/>
        <color theme="1"/>
        <rFont val="Times New Roman"/>
      </rPr>
      <t>N</t>
    </r>
    <r>
      <rPr>
        <i/>
        <vertAlign val="subscript"/>
        <sz val="8"/>
        <color theme="1"/>
        <rFont val="Times New Roman"/>
      </rPr>
      <t>2</t>
    </r>
  </si>
  <si>
    <t>-0.0076017</t>
  </si>
  <si>
    <r>
      <rPr>
        <i/>
        <sz val="12"/>
        <color theme="1"/>
        <rFont val="Times New Roman"/>
      </rPr>
      <t>|F</t>
    </r>
    <r>
      <rPr>
        <i/>
        <vertAlign val="subscript"/>
        <sz val="8"/>
        <color theme="1"/>
        <rFont val="Times New Roman"/>
      </rPr>
      <t>r2max</t>
    </r>
    <r>
      <rPr>
        <i/>
        <sz val="12"/>
        <color theme="1"/>
        <rFont val="Times New Roman"/>
      </rPr>
      <t>|</t>
    </r>
  </si>
  <si>
    <t>5.3139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</si>
</sst>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i/>
      <sz val="12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i/>
      <vertAlign val="subscript"/>
      <sz val="8"/>
      <color theme="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rgb="FFFF0000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rgb="FF92D050"/>
      </patternFill>
    </fill>
    <fill>
      <patternFill patternType="solid">
        <fgColor rgb="FF95B3D7"/>
        <bgColor rgb="FF95B3D7"/>
      </patternFill>
    </fill>
    <fill>
      <patternFill patternType="solid">
        <fgColor rgb="FFB2A1C7"/>
        <bgColor rgb="FFB2A1C7"/>
      </patternFill>
    </fill>
    <fill>
      <patternFill patternType="solid">
        <fgColor rgb="FFD8D8D8"/>
        <bgColor rgb="FFD8D8D8"/>
      </patternFill>
    </fill>
    <fill>
      <patternFill patternType="solid">
        <fgColor rgb="FFFFDDAA"/>
        <bgColor rgb="FFFFDDAA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164" fontId="1" fillId="4" borderId="16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164" fontId="1" fillId="6" borderId="16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7" borderId="1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7" borderId="16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164" fontId="1" fillId="5" borderId="30" xfId="0" applyNumberFormat="1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1" fontId="1" fillId="9" borderId="16" xfId="0" applyNumberFormat="1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1" fontId="1" fillId="10" borderId="16" xfId="0" applyNumberFormat="1" applyFont="1" applyFill="1" applyBorder="1" applyAlignment="1">
      <alignment horizontal="center" vertical="center"/>
    </xf>
    <xf numFmtId="164" fontId="1" fillId="10" borderId="16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11" borderId="8" xfId="0" applyFont="1" applyFill="1" applyBorder="1" applyAlignment="1">
      <alignment wrapText="1"/>
    </xf>
    <xf numFmtId="0" fontId="21" fillId="11" borderId="8" xfId="0" applyFont="1" applyFill="1" applyBorder="1" applyAlignment="1">
      <alignment wrapText="1"/>
    </xf>
    <xf numFmtId="0" fontId="22" fillId="11" borderId="8" xfId="0" applyFont="1" applyFill="1" applyBorder="1" applyAlignment="1">
      <alignment wrapText="1"/>
    </xf>
    <xf numFmtId="0" fontId="23" fillId="11" borderId="8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1" fillId="5" borderId="26" xfId="0" applyFont="1" applyFill="1" applyBorder="1" applyAlignment="1">
      <alignment horizontal="center" vertical="center"/>
    </xf>
    <xf numFmtId="0" fontId="2" fillId="0" borderId="27" xfId="0" applyFont="1" applyBorder="1"/>
    <xf numFmtId="0" fontId="1" fillId="0" borderId="20" xfId="0" applyFont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2" fontId="21" fillId="11" borderId="8" xfId="0" applyNumberFormat="1" applyFont="1" applyFill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29</xdr:row>
      <xdr:rowOff>161925</xdr:rowOff>
    </xdr:from>
    <xdr:ext cx="4552950" cy="5162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219075" cy="142875"/>
    <xdr:pic>
      <xdr:nvPicPr>
        <xdr:cNvPr id="3" name="image2.png" descr="http://www.mm.bme.hu/~szazs/kindin/Fig/G_alpha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219075" cy="142875"/>
    <xdr:pic>
      <xdr:nvPicPr>
        <xdr:cNvPr id="4" name="image2.png" descr="http://www.mm.bme.hu/~szazs/kindin/Fig/G_alpha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topLeftCell="A13" workbookViewId="0">
      <selection activeCell="J20" sqref="J20"/>
    </sheetView>
  </sheetViews>
  <sheetFormatPr defaultColWidth="14.42578125" defaultRowHeight="15" customHeight="1" x14ac:dyDescent="0.25"/>
  <cols>
    <col min="1" max="1" width="9.140625" customWidth="1"/>
    <col min="2" max="2" width="12" customWidth="1"/>
    <col min="3" max="3" width="9.140625" customWidth="1"/>
    <col min="4" max="4" width="11.85546875" bestFit="1" customWidth="1"/>
    <col min="5" max="5" width="9.140625" customWidth="1"/>
    <col min="6" max="6" width="16.7109375" customWidth="1"/>
    <col min="7" max="7" width="12.7109375" customWidth="1"/>
    <col min="8" max="8" width="11" customWidth="1"/>
    <col min="9" max="9" width="9.140625" customWidth="1"/>
    <col min="10" max="10" width="11.5703125" customWidth="1"/>
    <col min="11" max="11" width="16.28515625" customWidth="1"/>
    <col min="12" max="12" width="9.140625" customWidth="1"/>
    <col min="13" max="13" width="14.28515625" customWidth="1"/>
    <col min="14" max="14" width="9.140625" customWidth="1"/>
    <col min="15" max="16" width="13" customWidth="1"/>
    <col min="17" max="17" width="12.42578125" customWidth="1"/>
    <col min="18" max="26" width="9.140625" customWidth="1"/>
  </cols>
  <sheetData>
    <row r="1" spans="1:26" x14ac:dyDescent="0.25">
      <c r="A1" s="92" t="s">
        <v>0</v>
      </c>
      <c r="B1" s="101"/>
      <c r="C1" s="93"/>
      <c r="D1" s="1"/>
      <c r="E1" s="102" t="s">
        <v>1</v>
      </c>
      <c r="F1" s="103"/>
      <c r="G1" s="103"/>
      <c r="H1" s="103"/>
      <c r="I1" s="1"/>
      <c r="J1" s="102" t="s">
        <v>2</v>
      </c>
      <c r="K1" s="103"/>
      <c r="L1" s="103"/>
      <c r="M1" s="103"/>
      <c r="N1" s="1"/>
      <c r="O1" s="102" t="s">
        <v>3</v>
      </c>
      <c r="P1" s="103"/>
      <c r="Q1" s="103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3">
        <v>0.35</v>
      </c>
      <c r="C2" s="4" t="s">
        <v>5</v>
      </c>
      <c r="D2" s="1"/>
      <c r="E2" s="5" t="s">
        <v>6</v>
      </c>
      <c r="F2" s="6">
        <f>1/3*(B2*(B6/B7)^2+B3)+3/2*B4*(B6/B7)^2</f>
        <v>0.7685185185185186</v>
      </c>
      <c r="G2" s="7">
        <v>0</v>
      </c>
      <c r="H2" s="1" t="s">
        <v>5</v>
      </c>
      <c r="I2" s="1"/>
      <c r="J2" s="8" t="s">
        <v>7</v>
      </c>
      <c r="K2" s="9">
        <f>B10+B11+B9*(B6/(B7*B8))^2-B2*B20*B6/(2*B7^2)</f>
        <v>2704.2435956790123</v>
      </c>
      <c r="L2" s="7">
        <f>-B11</f>
        <v>-340</v>
      </c>
      <c r="M2" s="1" t="s">
        <v>8</v>
      </c>
      <c r="N2" s="1"/>
      <c r="O2" s="102" t="s">
        <v>9</v>
      </c>
      <c r="P2" s="103"/>
      <c r="Q2" s="103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0" t="s">
        <v>10</v>
      </c>
      <c r="B3" s="11">
        <v>0.5</v>
      </c>
      <c r="C3" s="12" t="s">
        <v>5</v>
      </c>
      <c r="D3" s="1"/>
      <c r="E3" s="7" t="s">
        <v>11</v>
      </c>
      <c r="F3" s="6">
        <v>0</v>
      </c>
      <c r="G3" s="7">
        <f>B5+B12</f>
        <v>0.3</v>
      </c>
      <c r="H3" s="1" t="s">
        <v>5</v>
      </c>
      <c r="I3" s="1"/>
      <c r="J3" s="7" t="s">
        <v>11</v>
      </c>
      <c r="K3" s="9">
        <f t="shared" ref="K3:K4" si="0">L2</f>
        <v>-340</v>
      </c>
      <c r="L3" s="7">
        <f>B11</f>
        <v>340</v>
      </c>
      <c r="M3" s="1" t="s">
        <v>8</v>
      </c>
      <c r="N3" s="1"/>
      <c r="O3" s="1" t="s">
        <v>12</v>
      </c>
      <c r="P3" s="1">
        <f>F2*G3-F3*G2</f>
        <v>0.23055555555555557</v>
      </c>
      <c r="Q3" s="1">
        <f>F4*G5-G4*F5</f>
        <v>0.23055555555555557</v>
      </c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0" t="s">
        <v>13</v>
      </c>
      <c r="B4" s="11">
        <v>0.5</v>
      </c>
      <c r="C4" s="12" t="s">
        <v>5</v>
      </c>
      <c r="D4" s="1"/>
      <c r="E4" s="13" t="s">
        <v>6</v>
      </c>
      <c r="F4" s="14">
        <f>G3</f>
        <v>0.3</v>
      </c>
      <c r="G4" s="15">
        <f>F3</f>
        <v>0</v>
      </c>
      <c r="H4" s="1" t="s">
        <v>5</v>
      </c>
      <c r="I4" s="1"/>
      <c r="J4" s="16" t="s">
        <v>7</v>
      </c>
      <c r="K4" s="17">
        <f t="shared" si="0"/>
        <v>340</v>
      </c>
      <c r="L4" s="15">
        <f>K3</f>
        <v>-340</v>
      </c>
      <c r="M4" s="1" t="s">
        <v>8</v>
      </c>
      <c r="N4" s="1"/>
      <c r="O4" s="1" t="s">
        <v>14</v>
      </c>
      <c r="P4" s="1">
        <f>-F2*L3-G3*K2+2*K3*F3</f>
        <v>-1072.569375</v>
      </c>
      <c r="Q4" s="1">
        <f>-F4*L5-G5*K4+2*K5*F5</f>
        <v>-1072.569375</v>
      </c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0" t="s">
        <v>15</v>
      </c>
      <c r="B5" s="11">
        <v>0.3</v>
      </c>
      <c r="C5" s="12" t="s">
        <v>5</v>
      </c>
      <c r="D5" s="1"/>
      <c r="E5" s="15" t="s">
        <v>16</v>
      </c>
      <c r="F5" s="14">
        <f>G2</f>
        <v>0</v>
      </c>
      <c r="G5" s="15">
        <f>F2</f>
        <v>0.7685185185185186</v>
      </c>
      <c r="H5" s="1" t="s">
        <v>5</v>
      </c>
      <c r="I5" s="1"/>
      <c r="J5" s="15" t="s">
        <v>16</v>
      </c>
      <c r="K5" s="17">
        <f>L2</f>
        <v>-340</v>
      </c>
      <c r="L5" s="15">
        <f>K2</f>
        <v>2704.2435956790123</v>
      </c>
      <c r="M5" s="1" t="s">
        <v>8</v>
      </c>
      <c r="N5" s="1"/>
      <c r="O5" s="1" t="s">
        <v>17</v>
      </c>
      <c r="P5" s="1">
        <f>K2*L3-K3^2</f>
        <v>803842.82253086416</v>
      </c>
      <c r="Q5" s="1">
        <f>K4*L5-L4^2</f>
        <v>803842.82253086416</v>
      </c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0" t="s">
        <v>18</v>
      </c>
      <c r="B6" s="11">
        <v>0.25</v>
      </c>
      <c r="C6" s="12" t="s">
        <v>19</v>
      </c>
      <c r="D6" s="1"/>
      <c r="E6" s="18" t="s">
        <v>6</v>
      </c>
      <c r="F6" s="19">
        <f>F2*J27</f>
        <v>3.9839999999999997E-3</v>
      </c>
      <c r="G6" s="20">
        <f>G2*J27</f>
        <v>0</v>
      </c>
      <c r="H6" s="1" t="s">
        <v>20</v>
      </c>
      <c r="I6" s="1"/>
      <c r="J6" s="18" t="s">
        <v>7</v>
      </c>
      <c r="K6" s="19">
        <f t="shared" ref="K6:L6" si="1">K2*J27</f>
        <v>14.018798799999997</v>
      </c>
      <c r="L6" s="20">
        <f t="shared" si="1"/>
        <v>-24.479999999999997</v>
      </c>
      <c r="M6" s="1" t="s">
        <v>21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0" t="s">
        <v>22</v>
      </c>
      <c r="B7" s="11">
        <v>0.3</v>
      </c>
      <c r="C7" s="12" t="s">
        <v>19</v>
      </c>
      <c r="D7" s="1"/>
      <c r="E7" s="21" t="s">
        <v>23</v>
      </c>
      <c r="F7" s="19">
        <f t="shared" ref="F7:G7" si="2">F3</f>
        <v>0</v>
      </c>
      <c r="G7" s="20">
        <f t="shared" si="2"/>
        <v>0.3</v>
      </c>
      <c r="H7" s="1" t="s">
        <v>5</v>
      </c>
      <c r="I7" s="1"/>
      <c r="J7" s="21" t="s">
        <v>24</v>
      </c>
      <c r="K7" s="19">
        <f>K3*K27</f>
        <v>-24.479999999999997</v>
      </c>
      <c r="L7" s="20">
        <f>L3</f>
        <v>340</v>
      </c>
      <c r="M7" s="1" t="s">
        <v>8</v>
      </c>
      <c r="N7" s="1"/>
      <c r="O7" s="22" t="s">
        <v>25</v>
      </c>
      <c r="P7" s="23">
        <f>MIN(SQRT((-P4+SQRT(P4^2-4*P5*P3))/(2*P3)),SQRT((-P4-SQRT(P4^2-4*P5*P3))/(2*P3)))</f>
        <v>30.642746015658016</v>
      </c>
      <c r="Q7" s="1" t="s">
        <v>26</v>
      </c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0" t="s">
        <v>27</v>
      </c>
      <c r="B8" s="11">
        <v>0.06</v>
      </c>
      <c r="C8" s="12" t="s">
        <v>19</v>
      </c>
      <c r="D8" s="1"/>
      <c r="E8" s="24" t="s">
        <v>6</v>
      </c>
      <c r="F8" s="25">
        <f>G7</f>
        <v>0.3</v>
      </c>
      <c r="G8" s="26">
        <f>F7</f>
        <v>0</v>
      </c>
      <c r="H8" s="1" t="s">
        <v>5</v>
      </c>
      <c r="I8" s="1"/>
      <c r="J8" s="24" t="s">
        <v>7</v>
      </c>
      <c r="K8" s="25">
        <f>L7</f>
        <v>340</v>
      </c>
      <c r="L8" s="26">
        <f>K7</f>
        <v>-24.479999999999997</v>
      </c>
      <c r="M8" s="1" t="s">
        <v>8</v>
      </c>
      <c r="N8" s="1"/>
      <c r="O8" s="22" t="s">
        <v>28</v>
      </c>
      <c r="P8" s="23">
        <f>MAX(SQRT((-P4+SQRT(P4^2-4*P5*P3))/(2*P3)),SQRT((-P4-SQRT(P4^2-4*P5*P3))/(2*P3)))</f>
        <v>60.935459702458921</v>
      </c>
      <c r="Q8" s="1" t="s">
        <v>26</v>
      </c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0" t="s">
        <v>29</v>
      </c>
      <c r="B9" s="11">
        <v>10</v>
      </c>
      <c r="C9" s="12" t="s">
        <v>30</v>
      </c>
      <c r="D9" s="1"/>
      <c r="E9" s="27" t="s">
        <v>31</v>
      </c>
      <c r="F9" s="25">
        <f>G6</f>
        <v>0</v>
      </c>
      <c r="G9" s="26">
        <f>F6</f>
        <v>3.9839999999999997E-3</v>
      </c>
      <c r="H9" s="1" t="s">
        <v>20</v>
      </c>
      <c r="I9" s="1"/>
      <c r="J9" s="27" t="s">
        <v>32</v>
      </c>
      <c r="K9" s="25">
        <f>L6</f>
        <v>-24.479999999999997</v>
      </c>
      <c r="L9" s="26">
        <f>K6</f>
        <v>14.018798799999997</v>
      </c>
      <c r="M9" s="1" t="s">
        <v>21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0" t="s">
        <v>33</v>
      </c>
      <c r="B10" s="11">
        <v>440</v>
      </c>
      <c r="C10" s="12" t="s">
        <v>8</v>
      </c>
      <c r="D10" s="1"/>
      <c r="E10" s="28" t="s">
        <v>6</v>
      </c>
      <c r="F10" s="29">
        <f>F2*J28</f>
        <v>1.1066666666666667</v>
      </c>
      <c r="G10" s="30">
        <f>G2*J28</f>
        <v>0</v>
      </c>
      <c r="H10" s="1" t="s">
        <v>5</v>
      </c>
      <c r="I10" s="1"/>
      <c r="J10" s="28" t="s">
        <v>7</v>
      </c>
      <c r="K10" s="29">
        <f>J28*K2</f>
        <v>3894.1107777777775</v>
      </c>
      <c r="L10" s="30">
        <f>L2*K28</f>
        <v>408</v>
      </c>
      <c r="M10" s="1" t="s">
        <v>8</v>
      </c>
      <c r="N10" s="1"/>
      <c r="O10" s="102" t="s">
        <v>34</v>
      </c>
      <c r="P10" s="103"/>
      <c r="Q10" s="103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31" t="s">
        <v>35</v>
      </c>
      <c r="B11" s="32">
        <v>340</v>
      </c>
      <c r="C11" s="33" t="s">
        <v>8</v>
      </c>
      <c r="D11" s="1"/>
      <c r="E11" s="34" t="s">
        <v>36</v>
      </c>
      <c r="F11" s="29">
        <f t="shared" ref="F11:G11" si="3">F3</f>
        <v>0</v>
      </c>
      <c r="G11" s="30">
        <f t="shared" si="3"/>
        <v>0.3</v>
      </c>
      <c r="H11" s="1" t="s">
        <v>5</v>
      </c>
      <c r="I11" s="1"/>
      <c r="J11" s="34" t="s">
        <v>36</v>
      </c>
      <c r="K11" s="29">
        <f>K3*K28</f>
        <v>408</v>
      </c>
      <c r="L11" s="30">
        <f>L3</f>
        <v>340</v>
      </c>
      <c r="M11" s="1" t="s">
        <v>8</v>
      </c>
      <c r="N11" s="1"/>
      <c r="O11" s="8" t="s">
        <v>37</v>
      </c>
      <c r="P11" s="35">
        <v>1</v>
      </c>
      <c r="Q11" s="1" t="s">
        <v>19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2" t="s">
        <v>38</v>
      </c>
      <c r="B12" s="3">
        <v>0</v>
      </c>
      <c r="C12" s="4" t="s">
        <v>5</v>
      </c>
      <c r="D12" s="1"/>
      <c r="E12" s="36" t="s">
        <v>6</v>
      </c>
      <c r="F12" s="37">
        <f>G11</f>
        <v>0.3</v>
      </c>
      <c r="G12" s="38">
        <f>F11</f>
        <v>0</v>
      </c>
      <c r="H12" s="1" t="s">
        <v>5</v>
      </c>
      <c r="I12" s="1"/>
      <c r="J12" s="36" t="s">
        <v>7</v>
      </c>
      <c r="K12" s="37">
        <f>L11</f>
        <v>340</v>
      </c>
      <c r="L12" s="38">
        <f>K11</f>
        <v>408</v>
      </c>
      <c r="M12" s="1" t="s">
        <v>8</v>
      </c>
      <c r="N12" s="1"/>
      <c r="O12" s="7" t="s">
        <v>11</v>
      </c>
      <c r="P12" s="39">
        <f>(K2-P$7^2*F2)*P$11/(-L2+P$7^2*G2)</f>
        <v>5.8312403053590121</v>
      </c>
      <c r="Q12" s="1" t="s">
        <v>19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0" t="s">
        <v>39</v>
      </c>
      <c r="B13" s="11">
        <v>0</v>
      </c>
      <c r="C13" s="12" t="s">
        <v>19</v>
      </c>
      <c r="D13" s="1"/>
      <c r="E13" s="40" t="s">
        <v>40</v>
      </c>
      <c r="F13" s="37">
        <f>G10</f>
        <v>0</v>
      </c>
      <c r="G13" s="38">
        <f>F10</f>
        <v>1.1066666666666667</v>
      </c>
      <c r="H13" s="1" t="s">
        <v>5</v>
      </c>
      <c r="I13" s="1"/>
      <c r="J13" s="40" t="s">
        <v>40</v>
      </c>
      <c r="K13" s="37">
        <f>L10</f>
        <v>408</v>
      </c>
      <c r="L13" s="38">
        <f>K10</f>
        <v>3894.1107777777775</v>
      </c>
      <c r="M13" s="1" t="s">
        <v>8</v>
      </c>
      <c r="N13" s="1"/>
      <c r="O13" s="16" t="s">
        <v>37</v>
      </c>
      <c r="P13" s="41">
        <v>1</v>
      </c>
      <c r="Q13" s="1" t="s">
        <v>19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0" t="s">
        <v>41</v>
      </c>
      <c r="B14" s="11">
        <v>-30</v>
      </c>
      <c r="C14" s="12" t="s">
        <v>42</v>
      </c>
      <c r="D14" s="1"/>
      <c r="E14" s="42" t="s">
        <v>6</v>
      </c>
      <c r="F14" s="43">
        <f>F2*J29</f>
        <v>6.9166666666666668E-2</v>
      </c>
      <c r="G14" s="44">
        <f>G2</f>
        <v>0</v>
      </c>
      <c r="H14" s="1" t="s">
        <v>20</v>
      </c>
      <c r="I14" s="1"/>
      <c r="J14" s="42" t="s">
        <v>7</v>
      </c>
      <c r="K14" s="43">
        <f t="shared" ref="K14:L14" si="4">K2*J29</f>
        <v>243.38192361111109</v>
      </c>
      <c r="L14" s="44">
        <f t="shared" si="4"/>
        <v>-102</v>
      </c>
      <c r="M14" s="1" t="s">
        <v>21</v>
      </c>
      <c r="N14" s="1"/>
      <c r="O14" s="15" t="s">
        <v>16</v>
      </c>
      <c r="P14" s="45">
        <f>(K4-P$7^2*F4)*P$11/(-L4+P$7^2*G4)</f>
        <v>0.1714901028998895</v>
      </c>
      <c r="Q14" s="1" t="s">
        <v>19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0" t="s">
        <v>43</v>
      </c>
      <c r="B15" s="11">
        <v>-35</v>
      </c>
      <c r="C15" s="12" t="s">
        <v>42</v>
      </c>
      <c r="D15" s="1"/>
      <c r="E15" s="46" t="s">
        <v>44</v>
      </c>
      <c r="F15" s="43">
        <f t="shared" ref="F15:G15" si="5">F3</f>
        <v>0</v>
      </c>
      <c r="G15" s="44">
        <f t="shared" si="5"/>
        <v>0.3</v>
      </c>
      <c r="H15" s="1" t="s">
        <v>5</v>
      </c>
      <c r="I15" s="1"/>
      <c r="J15" s="46" t="s">
        <v>45</v>
      </c>
      <c r="K15" s="43">
        <f>K3*K29</f>
        <v>-102</v>
      </c>
      <c r="L15" s="44">
        <f>L3</f>
        <v>340</v>
      </c>
      <c r="M15" s="1" t="s">
        <v>8</v>
      </c>
      <c r="N15" s="1"/>
      <c r="O15" s="18" t="s">
        <v>37</v>
      </c>
      <c r="P15" s="47">
        <v>1</v>
      </c>
      <c r="Q15" s="1" t="s">
        <v>46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0" t="s">
        <v>47</v>
      </c>
      <c r="B16" s="11">
        <v>0</v>
      </c>
      <c r="C16" s="12" t="s">
        <v>21</v>
      </c>
      <c r="D16" s="1"/>
      <c r="E16" s="48" t="s">
        <v>6</v>
      </c>
      <c r="F16" s="49">
        <f>G15</f>
        <v>0.3</v>
      </c>
      <c r="G16" s="50">
        <f>F15</f>
        <v>0</v>
      </c>
      <c r="H16" s="1" t="s">
        <v>5</v>
      </c>
      <c r="I16" s="1"/>
      <c r="J16" s="48" t="s">
        <v>7</v>
      </c>
      <c r="K16" s="49">
        <f>L15</f>
        <v>340</v>
      </c>
      <c r="L16" s="50">
        <f>K15</f>
        <v>-102</v>
      </c>
      <c r="M16" s="1" t="s">
        <v>8</v>
      </c>
      <c r="N16" s="1"/>
      <c r="O16" s="21" t="s">
        <v>48</v>
      </c>
      <c r="P16" s="51">
        <f>(K6-P$7^2*F6)*P$11/(-L6+P$7^2*G6)</f>
        <v>0.4198493019858488</v>
      </c>
      <c r="Q16" s="1" t="s">
        <v>19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0" t="s">
        <v>49</v>
      </c>
      <c r="B17" s="11">
        <v>-0.02</v>
      </c>
      <c r="C17" s="12" t="s">
        <v>19</v>
      </c>
      <c r="D17" s="1"/>
      <c r="E17" s="52" t="s">
        <v>50</v>
      </c>
      <c r="F17" s="49">
        <f>G14</f>
        <v>0</v>
      </c>
      <c r="G17" s="50">
        <f>F14</f>
        <v>6.9166666666666668E-2</v>
      </c>
      <c r="H17" s="1" t="s">
        <v>20</v>
      </c>
      <c r="I17" s="1"/>
      <c r="J17" s="52" t="s">
        <v>51</v>
      </c>
      <c r="K17" s="49">
        <f>L14</f>
        <v>-102</v>
      </c>
      <c r="L17" s="50">
        <f>K14</f>
        <v>243.38192361111109</v>
      </c>
      <c r="M17" s="1" t="s">
        <v>21</v>
      </c>
      <c r="N17" s="1"/>
      <c r="O17" s="24" t="s">
        <v>37</v>
      </c>
      <c r="P17" s="53">
        <v>1</v>
      </c>
      <c r="Q17" s="1" t="s">
        <v>19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0" t="s">
        <v>52</v>
      </c>
      <c r="B18" s="11">
        <f>PI()/3</f>
        <v>1.0471975511965976</v>
      </c>
      <c r="C18" s="12" t="s">
        <v>46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7" t="s">
        <v>53</v>
      </c>
      <c r="P18" s="54">
        <f>(K8-P$7^2*F8)*P$11/(-L8+P$7^2*G8)</f>
        <v>2.3818069847206877</v>
      </c>
      <c r="Q18" s="1" t="s">
        <v>46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55" t="s">
        <v>54</v>
      </c>
      <c r="B19" s="56">
        <v>-100</v>
      </c>
      <c r="C19" s="57" t="s">
        <v>26</v>
      </c>
      <c r="D19" s="1"/>
      <c r="E19" s="92" t="s">
        <v>55</v>
      </c>
      <c r="F19" s="93"/>
      <c r="G19" s="58"/>
      <c r="H19" s="58"/>
      <c r="I19" s="98" t="s">
        <v>56</v>
      </c>
      <c r="J19" s="99"/>
      <c r="K19" s="100"/>
      <c r="L19" s="1"/>
      <c r="M19" s="1"/>
      <c r="N19" s="1"/>
      <c r="O19" s="28" t="s">
        <v>37</v>
      </c>
      <c r="P19" s="59">
        <v>1</v>
      </c>
      <c r="Q19" s="1" t="s">
        <v>19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57</v>
      </c>
      <c r="B20" s="1">
        <v>9.81</v>
      </c>
      <c r="C20" s="1" t="s">
        <v>58</v>
      </c>
      <c r="D20" s="1"/>
      <c r="E20" s="94" t="s">
        <v>59</v>
      </c>
      <c r="F20" s="95"/>
      <c r="G20" s="58"/>
      <c r="H20" s="58"/>
      <c r="I20" s="60" t="s">
        <v>60</v>
      </c>
      <c r="J20" s="61">
        <f>(B5+B12)*B20</f>
        <v>2.9430000000000001</v>
      </c>
      <c r="K20" s="62" t="s">
        <v>42</v>
      </c>
      <c r="L20" s="1"/>
      <c r="M20" s="1"/>
      <c r="N20" s="1"/>
      <c r="O20" s="34" t="s">
        <v>36</v>
      </c>
      <c r="P20" s="63">
        <f>(K10-P$7^2*F10)*P$11/(-L10+P$7^2*G10)</f>
        <v>-6.9974883664308143</v>
      </c>
      <c r="Q20" s="1" t="s">
        <v>19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64" t="s">
        <v>61</v>
      </c>
      <c r="F21" s="64">
        <f>-F2*B19^2+K2</f>
        <v>-4980.9415895061738</v>
      </c>
      <c r="G21" s="1"/>
      <c r="H21" s="1"/>
      <c r="I21" s="60" t="s">
        <v>12</v>
      </c>
      <c r="J21" s="61">
        <f>SQRT((F48-F49)^2+(F31-F32)^2)</f>
        <v>7.6645320049499545E-3</v>
      </c>
      <c r="K21" s="62" t="s">
        <v>19</v>
      </c>
      <c r="L21" s="1"/>
      <c r="M21" s="1"/>
      <c r="N21" s="1"/>
      <c r="O21" s="36" t="s">
        <v>37</v>
      </c>
      <c r="P21" s="65">
        <v>1</v>
      </c>
      <c r="Q21" s="1" t="s">
        <v>19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6" t="s">
        <v>62</v>
      </c>
      <c r="B22" s="97"/>
      <c r="C22" s="1"/>
      <c r="D22" s="1"/>
      <c r="E22" s="66" t="s">
        <v>63</v>
      </c>
      <c r="F22" s="66">
        <f>(-G2*B19^2+L2)</f>
        <v>-340</v>
      </c>
      <c r="G22" s="1"/>
      <c r="H22" s="1"/>
      <c r="I22" s="60" t="s">
        <v>64</v>
      </c>
      <c r="J22" s="61">
        <f>J21*B11</f>
        <v>2.6059408816829843</v>
      </c>
      <c r="K22" s="62" t="s">
        <v>42</v>
      </c>
      <c r="L22" s="1"/>
      <c r="M22" s="1"/>
      <c r="N22" s="1"/>
      <c r="O22" s="40" t="s">
        <v>40</v>
      </c>
      <c r="P22" s="67">
        <f>(K12-P$7^2*F12)*P$11/(-L12+P$7^2*G12)</f>
        <v>-0.14290841908324126</v>
      </c>
      <c r="Q22" s="1" t="s">
        <v>19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5" t="s">
        <v>65</v>
      </c>
      <c r="B23" s="35" t="s">
        <v>66</v>
      </c>
      <c r="C23" s="1"/>
      <c r="D23" s="1"/>
      <c r="E23" s="66" t="s">
        <v>67</v>
      </c>
      <c r="F23" s="66">
        <f>F22</f>
        <v>-340</v>
      </c>
      <c r="G23" s="1"/>
      <c r="H23" s="1"/>
      <c r="I23" s="68" t="s">
        <v>68</v>
      </c>
      <c r="J23" s="69">
        <f>J22+J20</f>
        <v>5.5489408816829844</v>
      </c>
      <c r="K23" s="70" t="s">
        <v>42</v>
      </c>
      <c r="L23" s="1"/>
      <c r="M23" s="1"/>
      <c r="N23" s="1"/>
      <c r="O23" s="42" t="s">
        <v>37</v>
      </c>
      <c r="P23" s="71">
        <v>1</v>
      </c>
      <c r="Q23" s="1" t="s">
        <v>46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7"/>
      <c r="B24" s="35" t="s">
        <v>69</v>
      </c>
      <c r="C24" s="1"/>
      <c r="D24" s="1"/>
      <c r="E24" s="66" t="s">
        <v>70</v>
      </c>
      <c r="F24" s="72">
        <f>(-G3*B19^2+L3)</f>
        <v>-2660</v>
      </c>
      <c r="G24" s="1"/>
      <c r="H24" s="1"/>
      <c r="I24" s="1"/>
      <c r="J24" s="1"/>
      <c r="K24" s="1"/>
      <c r="L24" s="1"/>
      <c r="M24" s="1"/>
      <c r="N24" s="1"/>
      <c r="O24" s="46" t="s">
        <v>71</v>
      </c>
      <c r="P24" s="73">
        <f>(K14-P$7^2*F14)*P$11/(-L14+P$7^2*G14)</f>
        <v>1.7493720916077036</v>
      </c>
      <c r="Q24" s="1" t="s">
        <v>19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3" t="s">
        <v>65</v>
      </c>
      <c r="B25" s="15" t="s">
        <v>69</v>
      </c>
      <c r="C25" s="1"/>
      <c r="D25" s="1"/>
      <c r="E25" s="64" t="s">
        <v>72</v>
      </c>
      <c r="F25" s="64">
        <f>B14*B6/B7*SIN(B18)+B16*B6/B7/B8*SIN(B18)</f>
        <v>-21.650635094610966</v>
      </c>
      <c r="G25" s="1"/>
      <c r="H25" s="1"/>
      <c r="I25" s="1"/>
      <c r="J25" s="1"/>
      <c r="K25" s="1"/>
      <c r="L25" s="1"/>
      <c r="M25" s="1"/>
      <c r="N25" s="1"/>
      <c r="O25" s="48" t="s">
        <v>37</v>
      </c>
      <c r="P25" s="74">
        <v>1</v>
      </c>
      <c r="Q25" s="1" t="s">
        <v>19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5"/>
      <c r="B26" s="15" t="s">
        <v>66</v>
      </c>
      <c r="C26" s="1"/>
      <c r="D26" s="1"/>
      <c r="E26" s="66" t="s">
        <v>73</v>
      </c>
      <c r="F26" s="66">
        <f>B15*SIN(B18)</f>
        <v>-30.310889132455351</v>
      </c>
      <c r="G26" s="1"/>
      <c r="H26" s="1"/>
      <c r="I26" s="98" t="s">
        <v>74</v>
      </c>
      <c r="J26" s="99"/>
      <c r="K26" s="100"/>
      <c r="L26" s="1"/>
      <c r="M26" s="1"/>
      <c r="N26" s="1"/>
      <c r="O26" s="52" t="s">
        <v>75</v>
      </c>
      <c r="P26" s="75">
        <f>(K16-P$7^2*F16)*P$11/(-L16+P$7^2*G16)</f>
        <v>0.57163367633296502</v>
      </c>
      <c r="Q26" s="1" t="s">
        <v>46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76" t="s">
        <v>65</v>
      </c>
      <c r="B27" s="47" t="s">
        <v>76</v>
      </c>
      <c r="C27" s="1"/>
      <c r="D27" s="1"/>
      <c r="E27" s="66" t="s">
        <v>77</v>
      </c>
      <c r="F27" s="66">
        <f>B10*B17+B14*B6/B7*COS(B18)+B16*B6/B7/B8*COS(B18)</f>
        <v>-21.300000000000004</v>
      </c>
      <c r="G27" s="1"/>
      <c r="H27" s="1"/>
      <c r="I27" s="60" t="s">
        <v>78</v>
      </c>
      <c r="J27" s="1">
        <f t="shared" ref="J27:J29" si="6">K27^2</f>
        <v>5.1839999999999994E-3</v>
      </c>
      <c r="K27" s="62">
        <f>B7*B8/B6</f>
        <v>7.1999999999999995E-2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0"/>
      <c r="B28" s="47" t="s">
        <v>69</v>
      </c>
      <c r="C28" s="1"/>
      <c r="D28" s="1"/>
      <c r="E28" s="72" t="s">
        <v>79</v>
      </c>
      <c r="F28" s="72">
        <f>B13*B12*B19^2+B15*COS(B18)</f>
        <v>-17.500000000000004</v>
      </c>
      <c r="G28" s="1"/>
      <c r="H28" s="1"/>
      <c r="I28" s="60" t="s">
        <v>80</v>
      </c>
      <c r="J28" s="1">
        <f t="shared" si="6"/>
        <v>1.44</v>
      </c>
      <c r="K28" s="62">
        <f>-B7/B6</f>
        <v>-1.2</v>
      </c>
      <c r="L28" s="1"/>
      <c r="M28" s="1"/>
      <c r="N28" s="1"/>
      <c r="O28" s="8" t="s">
        <v>81</v>
      </c>
      <c r="P28" s="35">
        <v>1</v>
      </c>
      <c r="Q28" s="1" t="s">
        <v>19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77" t="s">
        <v>65</v>
      </c>
      <c r="B29" s="53" t="s">
        <v>69</v>
      </c>
      <c r="C29" s="1"/>
      <c r="D29" s="1"/>
      <c r="E29" s="1"/>
      <c r="F29" s="1"/>
      <c r="G29" s="1"/>
      <c r="H29" s="1"/>
      <c r="I29" s="78" t="s">
        <v>82</v>
      </c>
      <c r="J29" s="79">
        <f t="shared" si="6"/>
        <v>0.09</v>
      </c>
      <c r="K29" s="80">
        <f>B7</f>
        <v>0.3</v>
      </c>
      <c r="L29" s="1"/>
      <c r="M29" s="1"/>
      <c r="N29" s="1"/>
      <c r="O29" s="7" t="s">
        <v>11</v>
      </c>
      <c r="P29" s="39">
        <f>(K2-P$8^2*F2)*P$11/(-L2+P$8^2*G2)</f>
        <v>-0.43931106607070458</v>
      </c>
      <c r="Q29" s="1" t="s">
        <v>19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6"/>
      <c r="B30" s="53" t="s">
        <v>76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6" t="s">
        <v>81</v>
      </c>
      <c r="P30" s="41">
        <v>1</v>
      </c>
      <c r="Q30" s="1" t="s">
        <v>19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81" t="s">
        <v>65</v>
      </c>
      <c r="B31" s="59" t="s">
        <v>83</v>
      </c>
      <c r="C31" s="1"/>
      <c r="D31" s="1"/>
      <c r="E31" s="8" t="s">
        <v>84</v>
      </c>
      <c r="F31" s="39">
        <f>(-F26*F22+F24*F25)/(F21*F24-F22*F23)</f>
        <v>3.6002779402782839E-3</v>
      </c>
      <c r="G31" s="1" t="s">
        <v>19</v>
      </c>
      <c r="H31" s="1"/>
      <c r="I31" s="1"/>
      <c r="J31" s="1"/>
      <c r="K31" s="1"/>
      <c r="L31" s="1"/>
      <c r="M31" s="1"/>
      <c r="N31" s="1"/>
      <c r="O31" s="15" t="s">
        <v>16</v>
      </c>
      <c r="P31" s="45">
        <f>(K4-P$8^2*F4)*P$11/(-L4+P$8^2*G4)</f>
        <v>-2.2762913963088187</v>
      </c>
      <c r="Q31" s="1" t="s">
        <v>19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0"/>
      <c r="B32" s="59" t="s">
        <v>69</v>
      </c>
      <c r="C32" s="1"/>
      <c r="D32" s="1"/>
      <c r="E32" s="6" t="s">
        <v>11</v>
      </c>
      <c r="F32" s="39">
        <f>(F26*F21-F23*F25)/(F21*F24-F22*F23)</f>
        <v>1.0934885200285993E-2</v>
      </c>
      <c r="G32" s="1" t="s">
        <v>19</v>
      </c>
      <c r="H32" s="1"/>
      <c r="I32" s="1"/>
      <c r="J32" s="1"/>
      <c r="K32" s="1"/>
      <c r="L32" s="1"/>
      <c r="M32" s="1"/>
      <c r="N32" s="1"/>
      <c r="O32" s="18" t="s">
        <v>81</v>
      </c>
      <c r="P32" s="47">
        <v>1</v>
      </c>
      <c r="Q32" s="1" t="s">
        <v>46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2" t="s">
        <v>65</v>
      </c>
      <c r="B33" s="65" t="s">
        <v>69</v>
      </c>
      <c r="C33" s="1"/>
      <c r="D33" s="1"/>
      <c r="E33" s="16" t="s">
        <v>84</v>
      </c>
      <c r="F33" s="45">
        <f>F32</f>
        <v>1.0934885200285993E-2</v>
      </c>
      <c r="G33" s="1" t="s">
        <v>19</v>
      </c>
      <c r="H33" s="1"/>
      <c r="I33" s="1"/>
      <c r="J33" s="1"/>
      <c r="K33" s="1"/>
      <c r="L33" s="1"/>
      <c r="M33" s="1"/>
      <c r="N33" s="1"/>
      <c r="O33" s="21" t="s">
        <v>85</v>
      </c>
      <c r="P33" s="51">
        <f>(K6-P$8^2*F6)*P$11/(-L6+P$8^2*G6)</f>
        <v>-3.1630396757090798E-2</v>
      </c>
      <c r="Q33" s="1" t="s">
        <v>19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8"/>
      <c r="B34" s="65" t="s">
        <v>83</v>
      </c>
      <c r="C34" s="1"/>
      <c r="D34" s="1"/>
      <c r="E34" s="14" t="s">
        <v>16</v>
      </c>
      <c r="F34" s="45">
        <f>F31</f>
        <v>3.6002779402782839E-3</v>
      </c>
      <c r="G34" s="1" t="s">
        <v>19</v>
      </c>
      <c r="H34" s="1"/>
      <c r="I34" s="1"/>
      <c r="J34" s="1"/>
      <c r="K34" s="1"/>
      <c r="L34" s="1"/>
      <c r="M34" s="1"/>
      <c r="N34" s="1"/>
      <c r="O34" s="24" t="s">
        <v>81</v>
      </c>
      <c r="P34" s="53">
        <v>1</v>
      </c>
      <c r="Q34" s="1" t="s">
        <v>19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83" t="s">
        <v>65</v>
      </c>
      <c r="B35" s="84" t="s">
        <v>86</v>
      </c>
      <c r="C35" s="1"/>
      <c r="D35" s="1"/>
      <c r="E35" s="18" t="s">
        <v>84</v>
      </c>
      <c r="F35" s="51">
        <f>F31/K27</f>
        <v>5.0003860281642838E-2</v>
      </c>
      <c r="G35" s="1" t="s">
        <v>46</v>
      </c>
      <c r="H35" s="1"/>
      <c r="I35" s="1"/>
      <c r="J35" s="1"/>
      <c r="K35" s="1"/>
      <c r="L35" s="1"/>
      <c r="M35" s="1"/>
      <c r="N35" s="1"/>
      <c r="O35" s="27" t="s">
        <v>87</v>
      </c>
      <c r="P35" s="54">
        <f>(K8-P$8^2*F8)*P$11/(-L8+P$8^2*G8)</f>
        <v>-31.615158282066933</v>
      </c>
      <c r="Q35" s="1" t="s">
        <v>46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44"/>
      <c r="B36" s="84" t="s">
        <v>69</v>
      </c>
      <c r="C36" s="1"/>
      <c r="D36" s="1"/>
      <c r="E36" s="21" t="s">
        <v>88</v>
      </c>
      <c r="F36" s="51">
        <f>F32</f>
        <v>1.0934885200285993E-2</v>
      </c>
      <c r="G36" s="1" t="s">
        <v>19</v>
      </c>
      <c r="H36" s="1"/>
      <c r="I36" s="1"/>
      <c r="J36" s="1"/>
      <c r="K36" s="1"/>
      <c r="L36" s="1"/>
      <c r="M36" s="1"/>
      <c r="N36" s="1"/>
      <c r="O36" s="28" t="s">
        <v>81</v>
      </c>
      <c r="P36" s="59">
        <v>1</v>
      </c>
      <c r="Q36" s="1" t="s">
        <v>19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85" t="s">
        <v>65</v>
      </c>
      <c r="B37" s="86" t="s">
        <v>69</v>
      </c>
      <c r="C37" s="1"/>
      <c r="D37" s="1"/>
      <c r="E37" s="24" t="s">
        <v>84</v>
      </c>
      <c r="F37" s="54">
        <f>F36</f>
        <v>1.0934885200285993E-2</v>
      </c>
      <c r="G37" s="1" t="s">
        <v>19</v>
      </c>
      <c r="H37" s="1"/>
      <c r="I37" s="1"/>
      <c r="J37" s="1"/>
      <c r="K37" s="1"/>
      <c r="L37" s="1"/>
      <c r="M37" s="1"/>
      <c r="N37" s="1"/>
      <c r="O37" s="34" t="s">
        <v>36</v>
      </c>
      <c r="P37" s="63">
        <f>(K10-P$8^2*F10)*P$11/(-L10+P$8^2*G10)</f>
        <v>0.52717327928484692</v>
      </c>
      <c r="Q37" s="1" t="s">
        <v>19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50"/>
      <c r="B38" s="86" t="s">
        <v>86</v>
      </c>
      <c r="C38" s="1"/>
      <c r="D38" s="1"/>
      <c r="E38" s="27" t="s">
        <v>89</v>
      </c>
      <c r="F38" s="54">
        <f>F35</f>
        <v>5.0003860281642838E-2</v>
      </c>
      <c r="G38" s="1" t="s">
        <v>46</v>
      </c>
      <c r="H38" s="1"/>
      <c r="I38" s="1"/>
      <c r="J38" s="1"/>
      <c r="K38" s="1"/>
      <c r="L38" s="1"/>
      <c r="M38" s="1"/>
      <c r="N38" s="1"/>
      <c r="O38" s="36" t="s">
        <v>81</v>
      </c>
      <c r="P38" s="65">
        <v>1</v>
      </c>
      <c r="Q38" s="1" t="s">
        <v>19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28" t="s">
        <v>84</v>
      </c>
      <c r="F39" s="63">
        <f>F31/K28</f>
        <v>-3.0002316168985699E-3</v>
      </c>
      <c r="G39" s="1" t="s">
        <v>19</v>
      </c>
      <c r="H39" s="1"/>
      <c r="I39" s="1"/>
      <c r="J39" s="1"/>
      <c r="K39" s="1"/>
      <c r="L39" s="1"/>
      <c r="M39" s="1"/>
      <c r="N39" s="1"/>
      <c r="O39" s="40" t="s">
        <v>40</v>
      </c>
      <c r="P39" s="67">
        <f>(K12-P$8^2*F12)*P$11/(-L12+P$8^2*G12)</f>
        <v>1.8969094969240157</v>
      </c>
      <c r="Q39" s="1" t="s">
        <v>19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34" t="s">
        <v>36</v>
      </c>
      <c r="F40" s="63">
        <f>F32</f>
        <v>1.0934885200285993E-2</v>
      </c>
      <c r="G40" s="1" t="s">
        <v>19</v>
      </c>
      <c r="H40" s="1"/>
      <c r="I40" s="1"/>
      <c r="J40" s="1"/>
      <c r="K40" s="1"/>
      <c r="L40" s="1"/>
      <c r="M40" s="1"/>
      <c r="N40" s="1"/>
      <c r="O40" s="42" t="s">
        <v>81</v>
      </c>
      <c r="P40" s="71">
        <v>1</v>
      </c>
      <c r="Q40" s="1" t="s">
        <v>46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36" t="s">
        <v>84</v>
      </c>
      <c r="F41" s="67">
        <f>F40</f>
        <v>1.0934885200285993E-2</v>
      </c>
      <c r="G41" s="1" t="s">
        <v>19</v>
      </c>
      <c r="H41" s="87"/>
      <c r="I41" s="1"/>
      <c r="J41" s="1"/>
      <c r="K41" s="1"/>
      <c r="L41" s="1"/>
      <c r="M41" s="1"/>
      <c r="N41" s="1"/>
      <c r="O41" s="46" t="s">
        <v>90</v>
      </c>
      <c r="P41" s="73">
        <f>(K14-P$8^2*F14)*P$11/(-L14+P$8^2*G14)</f>
        <v>-0.13179331982121173</v>
      </c>
      <c r="Q41" s="1" t="s">
        <v>19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40" t="s">
        <v>40</v>
      </c>
      <c r="F42" s="67">
        <f>F31/K28</f>
        <v>-3.0002316168985699E-3</v>
      </c>
      <c r="G42" s="1" t="s">
        <v>19</v>
      </c>
      <c r="H42" s="1"/>
      <c r="I42" s="1"/>
      <c r="J42" s="1"/>
      <c r="K42" s="1"/>
      <c r="L42" s="1"/>
      <c r="M42" s="1"/>
      <c r="N42" s="1"/>
      <c r="O42" s="48" t="s">
        <v>81</v>
      </c>
      <c r="P42" s="74">
        <v>1</v>
      </c>
      <c r="Q42" s="1" t="s">
        <v>19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42" t="s">
        <v>84</v>
      </c>
      <c r="F43" s="73">
        <f>F31/K29</f>
        <v>1.200092646759428E-2</v>
      </c>
      <c r="G43" s="1" t="s">
        <v>46</v>
      </c>
      <c r="H43" s="1"/>
      <c r="I43" s="1"/>
      <c r="J43" s="1"/>
      <c r="K43" s="1"/>
      <c r="L43" s="1"/>
      <c r="M43" s="1"/>
      <c r="N43" s="1"/>
      <c r="O43" s="52" t="s">
        <v>91</v>
      </c>
      <c r="P43" s="75">
        <f>(K16-P$8^2*F16)*P$11/(-L16+P$8^2*G16)</f>
        <v>-7.5876379876960627</v>
      </c>
      <c r="Q43" s="1" t="s">
        <v>46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46" t="s">
        <v>92</v>
      </c>
      <c r="F44" s="73">
        <f>F32</f>
        <v>1.0934885200285993E-2</v>
      </c>
      <c r="G44" s="1" t="s">
        <v>19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48" t="s">
        <v>84</v>
      </c>
      <c r="F45" s="75">
        <f>F44</f>
        <v>1.0934885200285993E-2</v>
      </c>
      <c r="G45" s="1" t="s">
        <v>19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52" t="s">
        <v>93</v>
      </c>
      <c r="F46" s="75">
        <f>F43</f>
        <v>1.200092646759428E-2</v>
      </c>
      <c r="G46" s="1" t="s">
        <v>46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 t="s">
        <v>94</v>
      </c>
      <c r="F48" s="39">
        <f>(-F28*F22+F24*F27)/(F21*F24-F22*F23)</f>
        <v>3.8609060760785635E-3</v>
      </c>
      <c r="G48" s="1" t="s">
        <v>19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6" t="s">
        <v>11</v>
      </c>
      <c r="F49" s="39">
        <f>(F28*F21-F23*F27)/(F21*F24-F22*F23)</f>
        <v>6.0854480955388323E-3</v>
      </c>
      <c r="G49" s="1" t="s">
        <v>19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6" t="s">
        <v>94</v>
      </c>
      <c r="F50" s="45">
        <f>F49</f>
        <v>6.0854480955388323E-3</v>
      </c>
      <c r="G50" s="1" t="s">
        <v>19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4" t="s">
        <v>16</v>
      </c>
      <c r="F51" s="45">
        <f>F48</f>
        <v>3.8609060760785635E-3</v>
      </c>
      <c r="G51" s="1" t="s">
        <v>19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8" t="s">
        <v>94</v>
      </c>
      <c r="F52" s="51">
        <f>F48/K27</f>
        <v>5.3623695501091161E-2</v>
      </c>
      <c r="G52" s="1" t="s">
        <v>46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21" t="s">
        <v>95</v>
      </c>
      <c r="F53" s="51">
        <f>F49</f>
        <v>6.0854480955388323E-3</v>
      </c>
      <c r="G53" s="1" t="s">
        <v>19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24" t="s">
        <v>94</v>
      </c>
      <c r="F54" s="54">
        <f>F53</f>
        <v>6.0854480955388323E-3</v>
      </c>
      <c r="G54" s="1" t="s">
        <v>19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27" t="s">
        <v>96</v>
      </c>
      <c r="F55" s="54">
        <f>F52</f>
        <v>5.3623695501091161E-2</v>
      </c>
      <c r="G55" s="1" t="s">
        <v>46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28" t="s">
        <v>94</v>
      </c>
      <c r="F56" s="63">
        <f>F48/K28</f>
        <v>-3.2174217300654697E-3</v>
      </c>
      <c r="G56" s="1" t="s">
        <v>19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34" t="s">
        <v>36</v>
      </c>
      <c r="F57" s="63">
        <f>F49</f>
        <v>6.0854480955388323E-3</v>
      </c>
      <c r="G57" s="1" t="s">
        <v>19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36" t="s">
        <v>94</v>
      </c>
      <c r="F58" s="67">
        <f>F57</f>
        <v>6.0854480955388323E-3</v>
      </c>
      <c r="G58" s="1" t="s">
        <v>19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40" t="s">
        <v>40</v>
      </c>
      <c r="F59" s="67">
        <f>F48/K28</f>
        <v>-3.2174217300654697E-3</v>
      </c>
      <c r="G59" s="1" t="s">
        <v>19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42" t="s">
        <v>94</v>
      </c>
      <c r="F60" s="84">
        <f>F48/K29</f>
        <v>1.2869686920261879E-2</v>
      </c>
      <c r="G60" s="1" t="s">
        <v>46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46" t="s">
        <v>97</v>
      </c>
      <c r="F61" s="73">
        <f>F49</f>
        <v>6.0854480955388323E-3</v>
      </c>
      <c r="G61" s="1" t="s">
        <v>19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48" t="s">
        <v>94</v>
      </c>
      <c r="F62" s="75">
        <f>F61</f>
        <v>6.0854480955388323E-3</v>
      </c>
      <c r="G62" s="1" t="s">
        <v>19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52" t="s">
        <v>98</v>
      </c>
      <c r="F63" s="86">
        <f>F60</f>
        <v>1.2869686920261879E-2</v>
      </c>
      <c r="G63" s="1" t="s">
        <v>46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88" t="s">
        <v>99</v>
      </c>
      <c r="C67" s="89" t="s">
        <v>100</v>
      </c>
      <c r="D67" s="89" t="s">
        <v>101</v>
      </c>
      <c r="E67" s="89" t="s">
        <v>102</v>
      </c>
      <c r="F67" s="90" t="s">
        <v>103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88" t="s">
        <v>104</v>
      </c>
      <c r="C68" s="89" t="s">
        <v>100</v>
      </c>
      <c r="D68" s="89" t="s">
        <v>105</v>
      </c>
      <c r="E68" s="89" t="s">
        <v>102</v>
      </c>
      <c r="F68" s="90" t="s">
        <v>103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88" t="s">
        <v>106</v>
      </c>
      <c r="C69" s="89" t="s">
        <v>100</v>
      </c>
      <c r="D69" s="104">
        <v>1027215</v>
      </c>
      <c r="E69" s="89" t="s">
        <v>102</v>
      </c>
      <c r="F69" s="90" t="s">
        <v>103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88" t="s">
        <v>107</v>
      </c>
      <c r="C70" s="89" t="s">
        <v>100</v>
      </c>
      <c r="D70" s="89">
        <v>360</v>
      </c>
      <c r="E70" s="89" t="s">
        <v>102</v>
      </c>
      <c r="F70" s="90" t="s">
        <v>103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88" t="s">
        <v>108</v>
      </c>
      <c r="C71" s="89" t="s">
        <v>100</v>
      </c>
      <c r="D71" s="89">
        <v>360</v>
      </c>
      <c r="E71" s="89" t="s">
        <v>102</v>
      </c>
      <c r="F71" s="90" t="s">
        <v>103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91">
        <v>1</v>
      </c>
      <c r="C72" s="89" t="s">
        <v>100</v>
      </c>
      <c r="D72" s="89" t="s">
        <v>109</v>
      </c>
      <c r="E72" s="89" t="s">
        <v>26</v>
      </c>
      <c r="F72" s="90" t="s">
        <v>103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91">
        <v>2</v>
      </c>
      <c r="C73" s="89" t="s">
        <v>100</v>
      </c>
      <c r="D73" s="89" t="s">
        <v>110</v>
      </c>
      <c r="E73" s="89" t="s">
        <v>26</v>
      </c>
      <c r="F73" s="90" t="s">
        <v>103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88" t="s">
        <v>111</v>
      </c>
      <c r="C74" s="89" t="s">
        <v>100</v>
      </c>
      <c r="D74" s="89" t="s">
        <v>112</v>
      </c>
      <c r="E74" s="89" t="s">
        <v>102</v>
      </c>
      <c r="F74" s="90" t="s">
        <v>103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88" t="s">
        <v>113</v>
      </c>
      <c r="C75" s="89" t="s">
        <v>100</v>
      </c>
      <c r="D75" s="89" t="s">
        <v>114</v>
      </c>
      <c r="E75" s="89" t="s">
        <v>102</v>
      </c>
      <c r="F75" s="90" t="s">
        <v>103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88" t="s">
        <v>115</v>
      </c>
      <c r="C76" s="89" t="s">
        <v>100</v>
      </c>
      <c r="D76" s="89" t="s">
        <v>116</v>
      </c>
      <c r="E76" s="89" t="s">
        <v>102</v>
      </c>
      <c r="F76" s="90" t="s">
        <v>103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88" t="s">
        <v>117</v>
      </c>
      <c r="C77" s="89" t="s">
        <v>100</v>
      </c>
      <c r="D77" s="89" t="s">
        <v>118</v>
      </c>
      <c r="E77" s="89" t="s">
        <v>102</v>
      </c>
      <c r="F77" s="90" t="s">
        <v>103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88" t="s">
        <v>119</v>
      </c>
      <c r="C78" s="89" t="s">
        <v>100</v>
      </c>
      <c r="D78" s="89" t="s">
        <v>120</v>
      </c>
      <c r="E78" s="89" t="s">
        <v>102</v>
      </c>
      <c r="F78" s="90" t="s">
        <v>103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88" t="s">
        <v>121</v>
      </c>
      <c r="C79" s="89" t="s">
        <v>100</v>
      </c>
      <c r="D79" s="89" t="s">
        <v>122</v>
      </c>
      <c r="E79" s="89" t="s">
        <v>102</v>
      </c>
      <c r="F79" s="90" t="s">
        <v>103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88" t="s">
        <v>123</v>
      </c>
      <c r="C80" s="89" t="s">
        <v>100</v>
      </c>
      <c r="D80" s="89" t="s">
        <v>124</v>
      </c>
      <c r="E80" s="89" t="s">
        <v>42</v>
      </c>
      <c r="F80" s="90" t="s">
        <v>103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/>
    <row r="282" spans="1:26" ht="15.75" customHeight="1" x14ac:dyDescent="0.25"/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O1:Q1"/>
    <mergeCell ref="O2:Q2"/>
    <mergeCell ref="O10:Q10"/>
    <mergeCell ref="I19:K19"/>
    <mergeCell ref="E19:F19"/>
    <mergeCell ref="E20:F20"/>
    <mergeCell ref="A22:B22"/>
    <mergeCell ref="I26:K26"/>
    <mergeCell ref="A1:C1"/>
    <mergeCell ref="E1:H1"/>
    <mergeCell ref="J1:M1"/>
  </mergeCells>
  <pageMargins left="0.7" right="0.7" top="0.75" bottom="0.75" header="0" footer="0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4.42578125" defaultRowHeight="15" customHeight="1" x14ac:dyDescent="0.25"/>
  <cols>
    <col min="1" max="21" width="9.1406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/>
    <row r="222" spans="1:21" ht="15.75" customHeight="1" x14ac:dyDescent="0.25"/>
    <row r="223" spans="1:21" ht="15.75" customHeight="1" x14ac:dyDescent="0.25"/>
    <row r="224" spans="1:2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PRECISION</cp:lastModifiedBy>
  <dcterms:created xsi:type="dcterms:W3CDTF">2006-09-16T00:00:00Z</dcterms:created>
  <dcterms:modified xsi:type="dcterms:W3CDTF">2022-04-27T13:41:27Z</dcterms:modified>
</cp:coreProperties>
</file>