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Viachaslau_Draneu\Desktop\univer2\ОБИП\"/>
    </mc:Choice>
  </mc:AlternateContent>
  <xr:revisionPtr revIDLastSave="0" documentId="13_ncr:1_{105F615B-5A2C-45AC-9854-8A8BB9880D4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1" l="1"/>
  <c r="C76" i="1"/>
  <c r="C74" i="1"/>
  <c r="C72" i="1"/>
  <c r="C70" i="1"/>
  <c r="C69" i="1"/>
  <c r="C62" i="1"/>
  <c r="C60" i="1"/>
  <c r="C59" i="1"/>
  <c r="C54" i="1"/>
  <c r="D46" i="1"/>
  <c r="D45" i="1"/>
  <c r="D41" i="1"/>
  <c r="D40" i="1"/>
  <c r="D39" i="1"/>
  <c r="D38" i="1"/>
  <c r="D37" i="1"/>
  <c r="D36" i="1"/>
  <c r="K36" i="1"/>
  <c r="L30" i="1"/>
  <c r="W36" i="1"/>
  <c r="D35" i="1"/>
  <c r="I35" i="1"/>
  <c r="C21" i="1"/>
  <c r="D34" i="1"/>
  <c r="D33" i="1"/>
  <c r="U33" i="1"/>
  <c r="R33" i="1"/>
  <c r="I33" i="1"/>
  <c r="D30" i="1"/>
  <c r="D28" i="1"/>
  <c r="H28" i="1"/>
  <c r="P28" i="1"/>
  <c r="K28" i="1"/>
  <c r="D44" i="1"/>
  <c r="L17" i="1"/>
  <c r="M16" i="1"/>
  <c r="M17" i="1" s="1"/>
  <c r="N16" i="1"/>
  <c r="N17" i="1" s="1"/>
  <c r="O16" i="1"/>
  <c r="O17" i="1" s="1"/>
  <c r="P16" i="1"/>
  <c r="L16" i="1"/>
  <c r="P17" i="1"/>
  <c r="D15" i="1"/>
  <c r="E15" i="1"/>
  <c r="D32" i="1" l="1"/>
  <c r="D31" i="1" s="1"/>
  <c r="D29" i="1"/>
  <c r="Q17" i="1"/>
  <c r="Q18" i="1" s="1"/>
  <c r="Q16" i="1"/>
  <c r="D27" i="1" l="1"/>
  <c r="D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Rhune</author>
  </authors>
  <commentList>
    <comment ref="L17" authorId="0" shapeId="0" xr:uid="{A4825C66-AF92-4696-B9B8-F3588F3AC3D3}">
      <text>
        <r>
          <rPr>
            <b/>
            <sz val="9"/>
            <color indexed="81"/>
            <rFont val="Tahoma"/>
            <family val="2"/>
          </rPr>
          <t>Rhune:</t>
        </r>
        <r>
          <rPr>
            <sz val="9"/>
            <color indexed="81"/>
            <rFont val="Tahoma"/>
            <family val="2"/>
          </rPr>
          <t xml:space="preserve">
13*0.63*1.13*1.2
</t>
        </r>
      </text>
    </comment>
  </commentList>
</comments>
</file>

<file path=xl/sharedStrings.xml><?xml version="1.0" encoding="utf-8"?>
<sst xmlns="http://schemas.openxmlformats.org/spreadsheetml/2006/main" count="161" uniqueCount="130">
  <si>
    <t>Код функции</t>
  </si>
  <si>
    <t>Наименование (содержание) функций</t>
  </si>
  <si>
    <t>Объем функции строк исхоодного кода (LOC)</t>
  </si>
  <si>
    <t>по каталогу (Vo)</t>
  </si>
  <si>
    <t>уточненный (Vу)</t>
  </si>
  <si>
    <t>Организация ввода информации</t>
  </si>
  <si>
    <t>Организация ввода-вывода информации в интерактивном режиме</t>
  </si>
  <si>
    <t>Манипулирование данными</t>
  </si>
  <si>
    <t>итого</t>
  </si>
  <si>
    <t>№</t>
  </si>
  <si>
    <t>Показатели</t>
  </si>
  <si>
    <t>Стадии разработки</t>
  </si>
  <si>
    <t>Итого</t>
  </si>
  <si>
    <t>ТЗ</t>
  </si>
  <si>
    <t>ЭП</t>
  </si>
  <si>
    <t>ТП</t>
  </si>
  <si>
    <t>РП</t>
  </si>
  <si>
    <t>ВН</t>
  </si>
  <si>
    <r>
      <t>Общий объем ПО (</t>
    </r>
    <r>
      <rPr>
        <i/>
        <sz val="14"/>
        <color theme="1"/>
        <rFont val="Times New Roman"/>
        <family val="1"/>
      </rPr>
      <t>Vo</t>
    </r>
    <r>
      <rPr>
        <sz val="14"/>
        <color theme="1"/>
        <rFont val="Times New Roman"/>
        <family val="1"/>
      </rPr>
      <t>), количество строк LOC</t>
    </r>
  </si>
  <si>
    <t>-</t>
  </si>
  <si>
    <r>
      <t>Общий уточненный объем ПО (</t>
    </r>
    <r>
      <rPr>
        <i/>
        <sz val="14"/>
        <color theme="1"/>
        <rFont val="Times New Roman"/>
        <family val="1"/>
      </rPr>
      <t>Vy</t>
    </r>
    <r>
      <rPr>
        <sz val="14"/>
        <color theme="1"/>
        <rFont val="Times New Roman"/>
        <family val="1"/>
      </rPr>
      <t>), количество строк LOC</t>
    </r>
  </si>
  <si>
    <t>Категория сложности разрабатываемого ПО</t>
  </si>
  <si>
    <t>Нормативная трудоемкость разработки ПО (Тн), чел.-дн.</t>
  </si>
  <si>
    <r>
      <t>Коэффициент повышения сложности ПО (</t>
    </r>
    <r>
      <rPr>
        <i/>
        <sz val="14"/>
        <color theme="1"/>
        <rFont val="Times New Roman"/>
        <family val="1"/>
      </rPr>
      <t>К</t>
    </r>
    <r>
      <rPr>
        <sz val="14"/>
        <color theme="1"/>
        <rFont val="Times New Roman"/>
        <family val="1"/>
      </rPr>
      <t xml:space="preserve">с) </t>
    </r>
  </si>
  <si>
    <t xml:space="preserve">Коэффициент, учитывающий ПО (Кс) </t>
  </si>
  <si>
    <t>КТ (т п2.3 стр 61)</t>
  </si>
  <si>
    <t>Кур (т п 2.4 стр 61)</t>
  </si>
  <si>
    <t>Удельные веса стадий (т п2.5. стр61)</t>
  </si>
  <si>
    <t>Распределение нормативной трудоемкости ПО по стадиям</t>
  </si>
  <si>
    <t>Распределение скорректированной трудоемкости ПО по стадиям</t>
  </si>
  <si>
    <t>Общая трудоемкость разработки ПО</t>
  </si>
  <si>
    <t>K</t>
  </si>
  <si>
    <t>Статья затрат</t>
  </si>
  <si>
    <t>Затраты на оплату труда разработчиков (Зтр)</t>
  </si>
  <si>
    <t>Основная заработная плата разработчиков</t>
  </si>
  <si>
    <t>Дополнительная заработная плата разработчиков</t>
  </si>
  <si>
    <t>Отчисления от основной и ополнительной заработной платы</t>
  </si>
  <si>
    <t>Затраты машинного времени(Змв)</t>
  </si>
  <si>
    <t>Стоимость машино-часа</t>
  </si>
  <si>
    <t>2.1.1</t>
  </si>
  <si>
    <t>Затраты на заработную плату обслуживающего персонала</t>
  </si>
  <si>
    <t>2.1.2</t>
  </si>
  <si>
    <t>Годовые затраты на аренду помещения</t>
  </si>
  <si>
    <t>2.1.3</t>
  </si>
  <si>
    <t>Сумма годовых амортизационных отчислений</t>
  </si>
  <si>
    <t>2.1.4</t>
  </si>
  <si>
    <t>Стоимость электроэнергии потребляемой за год</t>
  </si>
  <si>
    <t>2.1.5</t>
  </si>
  <si>
    <t>Действительный годовой фонд времени работы ПЭВМ</t>
  </si>
  <si>
    <t>2.1.6</t>
  </si>
  <si>
    <t>Затраты на материалы</t>
  </si>
  <si>
    <t>2.1.7</t>
  </si>
  <si>
    <t>Затраты на текущий и профилактический ремонт</t>
  </si>
  <si>
    <t>2.1.8</t>
  </si>
  <si>
    <t>Прочие затраты, связанные с эксплуатацией ЭВМ</t>
  </si>
  <si>
    <t>Машинное время ЭВМ</t>
  </si>
  <si>
    <t>Затраты на изготовление эталонного экземпляра (Зэт)</t>
  </si>
  <si>
    <t>х</t>
  </si>
  <si>
    <t>Затраты на технологию (Зтех)</t>
  </si>
  <si>
    <t>Затраты на материалы (Змат)</t>
  </si>
  <si>
    <t>Общепроизводственные затраты (Зобщ.пр)</t>
  </si>
  <si>
    <t>Непроизводственные (коммерческие) затраты (Знепр)</t>
  </si>
  <si>
    <t>Суммарные затраты на разработку ПО (Зр)</t>
  </si>
  <si>
    <t>Формула</t>
  </si>
  <si>
    <t>ф17с17</t>
  </si>
  <si>
    <t>ф18стр17</t>
  </si>
  <si>
    <t>ф22 с19</t>
  </si>
  <si>
    <t>ф23, стр19</t>
  </si>
  <si>
    <t>ф24 стр20</t>
  </si>
  <si>
    <t>ф25 стр 20</t>
  </si>
  <si>
    <t>ф26 стр 20</t>
  </si>
  <si>
    <t>ф30 стр20</t>
  </si>
  <si>
    <t>ф31 стр20</t>
  </si>
  <si>
    <t>ф32 стр21</t>
  </si>
  <si>
    <t>ф33 стр23</t>
  </si>
  <si>
    <t>ф34 с23</t>
  </si>
  <si>
    <t>ф35с23</t>
  </si>
  <si>
    <t>ф36с24</t>
  </si>
  <si>
    <t>ф37 с24</t>
  </si>
  <si>
    <t>ф39 с24</t>
  </si>
  <si>
    <t>ф40с25</t>
  </si>
  <si>
    <t>ф41 с25</t>
  </si>
  <si>
    <t>Зосн</t>
  </si>
  <si>
    <t>Ссрч</t>
  </si>
  <si>
    <t>Ставка 8 разряда</t>
  </si>
  <si>
    <t>Tо</t>
  </si>
  <si>
    <t>Нзп</t>
  </si>
  <si>
    <t>Зпосн</t>
  </si>
  <si>
    <t>К7разряда</t>
  </si>
  <si>
    <t>год</t>
  </si>
  <si>
    <t>Зпдоп</t>
  </si>
  <si>
    <t>ОТЧзп</t>
  </si>
  <si>
    <t>Сар</t>
  </si>
  <si>
    <t>м2</t>
  </si>
  <si>
    <t>Затраты на оборудование</t>
  </si>
  <si>
    <t>коэф на доп расходы</t>
  </si>
  <si>
    <t>норма амортизации</t>
  </si>
  <si>
    <t>ноут</t>
  </si>
  <si>
    <t>оборудование и лицензионное по (платные сервисы, подключение)</t>
  </si>
  <si>
    <t>Мсут квт</t>
  </si>
  <si>
    <t>Рэвм рабдни*время</t>
  </si>
  <si>
    <t>коэф смежности</t>
  </si>
  <si>
    <t>коэф пот</t>
  </si>
  <si>
    <t>одноставочный тариф</t>
  </si>
  <si>
    <t>курс</t>
  </si>
  <si>
    <t>коэф</t>
  </si>
  <si>
    <t>Сэл=</t>
  </si>
  <si>
    <t>коэф интенсивность использования мозности</t>
  </si>
  <si>
    <t>раб дней в году</t>
  </si>
  <si>
    <t>коэф доп затрат организации в реальности до 1-2</t>
  </si>
  <si>
    <t>Ц=Зр+Пр+НДС</t>
  </si>
  <si>
    <t>2.5.1</t>
  </si>
  <si>
    <t>Пр</t>
  </si>
  <si>
    <t>Ур</t>
  </si>
  <si>
    <t>2.5.2</t>
  </si>
  <si>
    <t>Цотп</t>
  </si>
  <si>
    <t>Рндс</t>
  </si>
  <si>
    <t>Hндс</t>
  </si>
  <si>
    <t>Цотп.ндс</t>
  </si>
  <si>
    <t>2.8.1</t>
  </si>
  <si>
    <t>Цнов</t>
  </si>
  <si>
    <t>моя цена</t>
  </si>
  <si>
    <t>Цаналога</t>
  </si>
  <si>
    <t>Цбиз &gt; Цнов</t>
  </si>
  <si>
    <t>Э(П)</t>
  </si>
  <si>
    <t>P</t>
  </si>
  <si>
    <t>Тпр</t>
  </si>
  <si>
    <t>лет</t>
  </si>
  <si>
    <t>ГЭЭ</t>
  </si>
  <si>
    <t>Цбаз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</si>
</sst>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/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Y78"/>
  <sheetViews>
    <sheetView tabSelected="1" topLeftCell="A46" zoomScale="85" zoomScaleNormal="85" workbookViewId="0">
      <selection activeCell="B71" sqref="B71"/>
    </sheetView>
  </sheetViews>
  <sheetFormatPr defaultRowHeight="14.4" x14ac:dyDescent="0.3"/>
  <cols>
    <col min="2" max="2" width="16.6640625" bestFit="1" customWidth="1"/>
    <col min="3" max="3" width="46.6640625" bestFit="1" customWidth="1"/>
    <col min="4" max="4" width="17" customWidth="1"/>
    <col min="5" max="5" width="11.44140625" customWidth="1"/>
    <col min="10" max="10" width="17.77734375" customWidth="1"/>
    <col min="11" max="11" width="41.44140625" customWidth="1"/>
  </cols>
  <sheetData>
    <row r="5" spans="1:17" ht="17.399999999999999" x14ac:dyDescent="0.3">
      <c r="B5" s="48" t="s">
        <v>0</v>
      </c>
      <c r="C5" s="48" t="s">
        <v>1</v>
      </c>
      <c r="D5" s="48" t="s">
        <v>2</v>
      </c>
      <c r="E5" s="48"/>
      <c r="J5" s="49" t="s">
        <v>9</v>
      </c>
      <c r="K5" s="51" t="s">
        <v>10</v>
      </c>
      <c r="L5" s="51" t="s">
        <v>11</v>
      </c>
      <c r="M5" s="51"/>
      <c r="N5" s="51"/>
      <c r="O5" s="51"/>
      <c r="P5" s="51"/>
      <c r="Q5" s="46" t="s">
        <v>12</v>
      </c>
    </row>
    <row r="6" spans="1:17" ht="69.599999999999994" customHeight="1" x14ac:dyDescent="0.3">
      <c r="B6" s="48"/>
      <c r="C6" s="48"/>
      <c r="D6" s="1" t="s">
        <v>3</v>
      </c>
      <c r="E6" s="1" t="s">
        <v>4</v>
      </c>
      <c r="J6" s="50"/>
      <c r="K6" s="52"/>
      <c r="L6" s="11" t="s">
        <v>13</v>
      </c>
      <c r="M6" s="11" t="s">
        <v>14</v>
      </c>
      <c r="N6" s="11" t="s">
        <v>15</v>
      </c>
      <c r="O6" s="11" t="s">
        <v>16</v>
      </c>
      <c r="P6" s="11" t="s">
        <v>17</v>
      </c>
      <c r="Q6" s="47"/>
    </row>
    <row r="7" spans="1:17" ht="37.799999999999997" customHeight="1" x14ac:dyDescent="0.3">
      <c r="B7" s="20">
        <v>101</v>
      </c>
      <c r="C7" s="21" t="s">
        <v>5</v>
      </c>
      <c r="D7" s="21">
        <v>130</v>
      </c>
      <c r="E7" s="22">
        <v>30</v>
      </c>
      <c r="J7" s="6">
        <v>1</v>
      </c>
      <c r="K7" s="12" t="s">
        <v>18</v>
      </c>
      <c r="L7" s="4" t="s">
        <v>19</v>
      </c>
      <c r="M7" s="4" t="s">
        <v>19</v>
      </c>
      <c r="N7" s="4" t="s">
        <v>19</v>
      </c>
      <c r="O7" s="4" t="s">
        <v>19</v>
      </c>
      <c r="P7" s="4" t="s">
        <v>19</v>
      </c>
      <c r="Q7" s="7">
        <v>18460</v>
      </c>
    </row>
    <row r="8" spans="1:17" ht="34.799999999999997" customHeight="1" x14ac:dyDescent="0.3">
      <c r="B8" s="6">
        <v>107</v>
      </c>
      <c r="C8" s="4" t="s">
        <v>6</v>
      </c>
      <c r="D8" s="4">
        <v>280</v>
      </c>
      <c r="E8" s="7">
        <v>50</v>
      </c>
      <c r="J8" s="6">
        <v>2</v>
      </c>
      <c r="K8" s="12" t="s">
        <v>20</v>
      </c>
      <c r="L8" s="4" t="s">
        <v>19</v>
      </c>
      <c r="M8" s="4" t="s">
        <v>19</v>
      </c>
      <c r="N8" s="4" t="s">
        <v>19</v>
      </c>
      <c r="O8" s="4" t="s">
        <v>19</v>
      </c>
      <c r="P8" s="4" t="s">
        <v>19</v>
      </c>
      <c r="Q8" s="7">
        <v>4000</v>
      </c>
    </row>
    <row r="9" spans="1:17" ht="33" customHeight="1" x14ac:dyDescent="0.3">
      <c r="B9" s="6">
        <v>203</v>
      </c>
      <c r="C9" s="4"/>
      <c r="D9" s="4">
        <v>2370</v>
      </c>
      <c r="E9" s="7">
        <v>600</v>
      </c>
      <c r="J9" s="6">
        <v>3</v>
      </c>
      <c r="K9" s="12" t="s">
        <v>21</v>
      </c>
      <c r="L9" s="4" t="s">
        <v>19</v>
      </c>
      <c r="M9" s="4" t="s">
        <v>19</v>
      </c>
      <c r="N9" s="4" t="s">
        <v>19</v>
      </c>
      <c r="O9" s="4" t="s">
        <v>19</v>
      </c>
      <c r="P9" s="4" t="s">
        <v>19</v>
      </c>
      <c r="Q9" s="7">
        <v>3</v>
      </c>
    </row>
    <row r="10" spans="1:17" ht="36" customHeight="1" x14ac:dyDescent="0.3">
      <c r="B10" s="8">
        <v>206</v>
      </c>
      <c r="C10" s="9" t="s">
        <v>7</v>
      </c>
      <c r="D10" s="9">
        <v>7860</v>
      </c>
      <c r="E10" s="10">
        <v>1100</v>
      </c>
      <c r="J10" s="6">
        <v>4</v>
      </c>
      <c r="K10" s="12" t="s">
        <v>22</v>
      </c>
      <c r="L10" s="4"/>
      <c r="M10" s="4"/>
      <c r="N10" s="4"/>
      <c r="O10" s="4"/>
      <c r="P10" s="4"/>
      <c r="Q10" s="7">
        <v>162</v>
      </c>
    </row>
    <row r="11" spans="1:17" ht="49.2" customHeight="1" x14ac:dyDescent="0.3">
      <c r="B11" s="8">
        <v>207</v>
      </c>
      <c r="C11" s="9"/>
      <c r="D11" s="9">
        <v>4720</v>
      </c>
      <c r="E11" s="10">
        <v>1400</v>
      </c>
      <c r="J11" s="6">
        <v>5</v>
      </c>
      <c r="K11" s="12" t="s">
        <v>23</v>
      </c>
      <c r="L11" s="4">
        <v>1.1299999999999999</v>
      </c>
      <c r="M11" s="4">
        <v>1.1299999999999999</v>
      </c>
      <c r="N11" s="4">
        <v>1.1299999999999999</v>
      </c>
      <c r="O11" s="4">
        <v>1.1299999999999999</v>
      </c>
      <c r="P11" s="4">
        <v>1.1299999999999999</v>
      </c>
      <c r="Q11" s="7" t="s">
        <v>19</v>
      </c>
    </row>
    <row r="12" spans="1:17" ht="44.4" customHeight="1" x14ac:dyDescent="0.3">
      <c r="B12" s="8">
        <v>403</v>
      </c>
      <c r="C12" s="9"/>
      <c r="D12" s="9">
        <v>1140</v>
      </c>
      <c r="E12" s="10">
        <v>370</v>
      </c>
      <c r="J12" s="6">
        <v>6</v>
      </c>
      <c r="K12" s="12" t="s">
        <v>24</v>
      </c>
      <c r="L12" s="4">
        <v>0.63</v>
      </c>
      <c r="M12" s="4">
        <v>0.63</v>
      </c>
      <c r="N12" s="4">
        <v>0.63</v>
      </c>
      <c r="O12" s="4">
        <v>0.63</v>
      </c>
      <c r="P12" s="4">
        <v>0.63</v>
      </c>
      <c r="Q12" s="7" t="s">
        <v>19</v>
      </c>
    </row>
    <row r="13" spans="1:17" ht="18" x14ac:dyDescent="0.3">
      <c r="B13" s="8">
        <v>506</v>
      </c>
      <c r="C13" s="9"/>
      <c r="D13" s="9">
        <v>1540</v>
      </c>
      <c r="E13" s="10">
        <v>350</v>
      </c>
      <c r="J13" s="6">
        <v>7</v>
      </c>
      <c r="K13" s="12" t="s">
        <v>25</v>
      </c>
      <c r="L13" s="4" t="s">
        <v>19</v>
      </c>
      <c r="M13" s="4" t="s">
        <v>19</v>
      </c>
      <c r="N13" s="4" t="s">
        <v>19</v>
      </c>
      <c r="O13" s="4">
        <v>0.9</v>
      </c>
      <c r="P13" s="4" t="s">
        <v>19</v>
      </c>
      <c r="Q13" s="7" t="s">
        <v>19</v>
      </c>
    </row>
    <row r="14" spans="1:17" ht="18" x14ac:dyDescent="0.3">
      <c r="B14" s="8">
        <v>707</v>
      </c>
      <c r="C14" s="9"/>
      <c r="D14" s="9">
        <v>420</v>
      </c>
      <c r="E14" s="10">
        <v>100</v>
      </c>
      <c r="J14" s="6">
        <v>8</v>
      </c>
      <c r="K14" s="12" t="s">
        <v>26</v>
      </c>
      <c r="L14" s="4">
        <v>1.2</v>
      </c>
      <c r="M14" s="4">
        <v>1.2</v>
      </c>
      <c r="N14" s="4">
        <v>1.2</v>
      </c>
      <c r="O14" s="4">
        <v>1.2</v>
      </c>
      <c r="P14" s="4">
        <v>1.2</v>
      </c>
      <c r="Q14" s="7" t="s">
        <v>19</v>
      </c>
    </row>
    <row r="15" spans="1:17" ht="54.6" customHeight="1" x14ac:dyDescent="0.3">
      <c r="B15" s="23" t="s">
        <v>8</v>
      </c>
      <c r="C15" s="24"/>
      <c r="D15" s="18">
        <f>SUM(D7:D14)</f>
        <v>18460</v>
      </c>
      <c r="E15" s="25">
        <f>SUM(E7:E14)</f>
        <v>4000</v>
      </c>
      <c r="J15" s="6">
        <v>9</v>
      </c>
      <c r="K15" s="12" t="s">
        <v>27</v>
      </c>
      <c r="L15" s="4">
        <v>0.08</v>
      </c>
      <c r="M15" s="4">
        <v>0.19</v>
      </c>
      <c r="N15" s="4">
        <v>0.28000000000000003</v>
      </c>
      <c r="O15" s="4">
        <v>0.34</v>
      </c>
      <c r="P15" s="4">
        <v>0.11</v>
      </c>
      <c r="Q15" s="7">
        <v>1</v>
      </c>
    </row>
    <row r="16" spans="1:17" ht="65.400000000000006" customHeight="1" x14ac:dyDescent="0.3">
      <c r="A16" s="3"/>
      <c r="B16" s="4"/>
      <c r="C16" s="4"/>
      <c r="D16" s="4"/>
      <c r="E16" s="4"/>
      <c r="F16" s="3"/>
      <c r="J16" s="6">
        <v>10</v>
      </c>
      <c r="K16" s="12" t="s">
        <v>28</v>
      </c>
      <c r="L16" s="13">
        <f>$Q$10*L15</f>
        <v>12.96</v>
      </c>
      <c r="M16" s="13">
        <f t="shared" ref="M16:P16" si="0">$Q$10*M15</f>
        <v>30.78</v>
      </c>
      <c r="N16" s="13">
        <f t="shared" si="0"/>
        <v>45.360000000000007</v>
      </c>
      <c r="O16" s="13">
        <f t="shared" si="0"/>
        <v>55.080000000000005</v>
      </c>
      <c r="P16" s="13">
        <f t="shared" si="0"/>
        <v>17.82</v>
      </c>
      <c r="Q16" s="7">
        <f>SUM(L16:P16)</f>
        <v>162</v>
      </c>
    </row>
    <row r="17" spans="1:17" ht="69" customHeight="1" x14ac:dyDescent="0.3">
      <c r="A17" s="3"/>
      <c r="B17" s="4"/>
      <c r="C17" s="4"/>
      <c r="D17" s="4"/>
      <c r="E17" s="4"/>
      <c r="F17" s="3"/>
      <c r="J17" s="6">
        <v>11</v>
      </c>
      <c r="K17" s="12" t="s">
        <v>29</v>
      </c>
      <c r="L17" s="14">
        <f>L11*L12*L14*L16</f>
        <v>11.0714688</v>
      </c>
      <c r="M17" s="14">
        <f t="shared" ref="M17:P17" si="1">M11*M12*M14*M16</f>
        <v>26.2947384</v>
      </c>
      <c r="N17" s="14">
        <f t="shared" si="1"/>
        <v>38.750140800000004</v>
      </c>
      <c r="O17" s="14">
        <f>O11*O12*O14*O16*O13</f>
        <v>42.34836816</v>
      </c>
      <c r="P17" s="14">
        <f t="shared" si="1"/>
        <v>15.223269599999998</v>
      </c>
      <c r="Q17" s="15">
        <f>SUM(L17:P17)</f>
        <v>133.68798576</v>
      </c>
    </row>
    <row r="18" spans="1:17" ht="57.6" customHeight="1" x14ac:dyDescent="0.3">
      <c r="A18" s="3"/>
      <c r="B18" s="4"/>
      <c r="C18" s="4"/>
      <c r="D18" s="4"/>
      <c r="E18" s="4"/>
      <c r="F18" s="3"/>
      <c r="J18" s="16">
        <v>12</v>
      </c>
      <c r="K18" s="17" t="s">
        <v>30</v>
      </c>
      <c r="L18" s="18"/>
      <c r="M18" s="18"/>
      <c r="N18" s="18"/>
      <c r="O18" s="18"/>
      <c r="P18" s="18"/>
      <c r="Q18" s="19">
        <f>Q17</f>
        <v>133.68798576</v>
      </c>
    </row>
    <row r="19" spans="1:17" ht="18" x14ac:dyDescent="0.3">
      <c r="A19" s="3"/>
      <c r="B19" s="5"/>
      <c r="C19" s="5"/>
      <c r="D19" s="4"/>
      <c r="E19" s="4"/>
      <c r="F19" s="3"/>
    </row>
    <row r="20" spans="1:17" ht="115.2" x14ac:dyDescent="0.3">
      <c r="B20">
        <v>2.2999999999999998</v>
      </c>
      <c r="E20" s="2" t="s">
        <v>98</v>
      </c>
      <c r="F20" s="42">
        <v>0.05</v>
      </c>
    </row>
    <row r="21" spans="1:17" x14ac:dyDescent="0.3">
      <c r="B21" t="s">
        <v>31</v>
      </c>
      <c r="C21" s="40">
        <f>F21*(F20+1)</f>
        <v>2719.5</v>
      </c>
      <c r="E21" t="s">
        <v>97</v>
      </c>
      <c r="F21">
        <v>2590</v>
      </c>
    </row>
    <row r="24" spans="1:17" x14ac:dyDescent="0.3">
      <c r="B24">
        <v>2.4</v>
      </c>
    </row>
    <row r="26" spans="1:17" x14ac:dyDescent="0.3">
      <c r="B26" s="26" t="s">
        <v>9</v>
      </c>
      <c r="C26" s="26" t="s">
        <v>32</v>
      </c>
      <c r="D26" s="26" t="s">
        <v>12</v>
      </c>
      <c r="E26" s="28" t="s">
        <v>63</v>
      </c>
    </row>
    <row r="27" spans="1:17" x14ac:dyDescent="0.3">
      <c r="B27" s="26">
        <v>1</v>
      </c>
      <c r="C27" s="26" t="s">
        <v>33</v>
      </c>
      <c r="D27" s="27">
        <f>SUM(D28:D30)</f>
        <v>14140.404517568051</v>
      </c>
      <c r="E27" s="37" t="s">
        <v>64</v>
      </c>
    </row>
    <row r="28" spans="1:17" x14ac:dyDescent="0.3">
      <c r="B28" s="26">
        <v>1.1000000000000001</v>
      </c>
      <c r="C28" s="26" t="s">
        <v>34</v>
      </c>
      <c r="D28" s="26">
        <f>H28</f>
        <v>9135.218371708801</v>
      </c>
      <c r="E28" s="37" t="s">
        <v>65</v>
      </c>
      <c r="G28" t="s">
        <v>82</v>
      </c>
      <c r="H28">
        <f>K28*P28*8*2</f>
        <v>9135.218371708801</v>
      </c>
      <c r="J28" t="s">
        <v>83</v>
      </c>
      <c r="K28">
        <f>457*M28/(21*8)</f>
        <v>4.2707738095238099</v>
      </c>
      <c r="L28" t="s">
        <v>84</v>
      </c>
      <c r="M28">
        <v>1.57</v>
      </c>
      <c r="O28" t="s">
        <v>85</v>
      </c>
      <c r="P28" s="40">
        <f>Q18</f>
        <v>133.68798576</v>
      </c>
    </row>
    <row r="29" spans="1:17" x14ac:dyDescent="0.3">
      <c r="B29" s="26">
        <v>1.2</v>
      </c>
      <c r="C29" s="26" t="s">
        <v>35</v>
      </c>
      <c r="D29" s="27">
        <f>D28*15/100</f>
        <v>1370.2827557563203</v>
      </c>
      <c r="E29" s="37" t="s">
        <v>66</v>
      </c>
    </row>
    <row r="30" spans="1:17" ht="28.8" x14ac:dyDescent="0.3">
      <c r="B30" s="26">
        <v>1.3</v>
      </c>
      <c r="C30" s="26" t="s">
        <v>36</v>
      </c>
      <c r="D30" s="27">
        <f>(D28+D29)*I30</f>
        <v>3634.9033901029316</v>
      </c>
      <c r="E30" s="37" t="s">
        <v>67</v>
      </c>
      <c r="H30" t="s">
        <v>86</v>
      </c>
      <c r="I30" s="41">
        <v>0.34599999999999997</v>
      </c>
      <c r="K30" s="2" t="s">
        <v>108</v>
      </c>
      <c r="L30" s="2">
        <f>365-119</f>
        <v>246</v>
      </c>
    </row>
    <row r="31" spans="1:17" x14ac:dyDescent="0.3">
      <c r="B31" s="26">
        <v>2</v>
      </c>
      <c r="C31" s="26" t="s">
        <v>37</v>
      </c>
      <c r="D31" s="26">
        <f>D32*D41</f>
        <v>4265.5006722618464</v>
      </c>
      <c r="E31" s="37" t="s">
        <v>68</v>
      </c>
    </row>
    <row r="32" spans="1:17" ht="15" thickBot="1" x14ac:dyDescent="0.35">
      <c r="B32" s="28">
        <v>2.1</v>
      </c>
      <c r="C32" s="28" t="s">
        <v>38</v>
      </c>
      <c r="D32" s="29">
        <f>(D33+D34+D35+D36+D38+D39+D40)/D37</f>
        <v>9.2612891482337218</v>
      </c>
      <c r="E32" s="37" t="s">
        <v>69</v>
      </c>
      <c r="N32" t="s">
        <v>89</v>
      </c>
      <c r="O32">
        <v>1</v>
      </c>
    </row>
    <row r="33" spans="2:25" ht="28.8" x14ac:dyDescent="0.3">
      <c r="B33" s="30" t="s">
        <v>39</v>
      </c>
      <c r="C33" s="31" t="s">
        <v>40</v>
      </c>
      <c r="D33" s="32">
        <f>(I33+R33+U33)/1</f>
        <v>12478.364891999998</v>
      </c>
      <c r="E33" s="38" t="s">
        <v>70</v>
      </c>
      <c r="H33" t="s">
        <v>87</v>
      </c>
      <c r="I33">
        <f>457*L33*O33</f>
        <v>8061.48</v>
      </c>
      <c r="K33" t="s">
        <v>88</v>
      </c>
      <c r="L33">
        <v>1.47</v>
      </c>
      <c r="N33" t="s">
        <v>89</v>
      </c>
      <c r="O33">
        <v>12</v>
      </c>
      <c r="Q33" t="s">
        <v>90</v>
      </c>
      <c r="R33">
        <f>I33*15/100</f>
        <v>1209.222</v>
      </c>
      <c r="T33" t="s">
        <v>91</v>
      </c>
      <c r="U33">
        <f>(I33+R33)*I30</f>
        <v>3207.6628919999994</v>
      </c>
    </row>
    <row r="34" spans="2:25" x14ac:dyDescent="0.3">
      <c r="B34" s="33" t="s">
        <v>41</v>
      </c>
      <c r="C34" s="26" t="s">
        <v>42</v>
      </c>
      <c r="D34" s="27">
        <f>I34*O33*L34/1</f>
        <v>2027.9999999999998</v>
      </c>
      <c r="E34" s="37" t="s">
        <v>71</v>
      </c>
      <c r="H34" t="s">
        <v>92</v>
      </c>
      <c r="I34">
        <v>16.899999999999999</v>
      </c>
      <c r="K34" t="s">
        <v>93</v>
      </c>
      <c r="L34">
        <v>10</v>
      </c>
    </row>
    <row r="35" spans="2:25" ht="57.6" x14ac:dyDescent="0.3">
      <c r="B35" s="33" t="s">
        <v>43</v>
      </c>
      <c r="C35" s="26" t="s">
        <v>44</v>
      </c>
      <c r="D35" s="26">
        <f>I35*(1+K35)*1*M35/1</f>
        <v>580.16000000000008</v>
      </c>
      <c r="E35" s="37" t="s">
        <v>72</v>
      </c>
      <c r="H35" s="2" t="s">
        <v>94</v>
      </c>
      <c r="I35" s="2">
        <f>F21</f>
        <v>2590</v>
      </c>
      <c r="J35" s="2" t="s">
        <v>95</v>
      </c>
      <c r="K35" s="2">
        <v>0.12</v>
      </c>
      <c r="L35" s="2" t="s">
        <v>96</v>
      </c>
      <c r="M35" s="2">
        <v>0.2</v>
      </c>
    </row>
    <row r="36" spans="2:25" ht="100.8" x14ac:dyDescent="0.3">
      <c r="B36" s="33" t="s">
        <v>45</v>
      </c>
      <c r="C36" s="26" t="s">
        <v>46</v>
      </c>
      <c r="D36" s="27">
        <f>I36*K36*W36*Y36</f>
        <v>28.655595165370269</v>
      </c>
      <c r="E36" s="37" t="s">
        <v>73</v>
      </c>
      <c r="H36" s="2" t="s">
        <v>99</v>
      </c>
      <c r="I36" s="2">
        <v>0.06</v>
      </c>
      <c r="J36" s="2" t="s">
        <v>100</v>
      </c>
      <c r="K36" s="2">
        <f>(L30)*8*M36*(1-O36)</f>
        <v>1672.8</v>
      </c>
      <c r="L36" s="2" t="s">
        <v>101</v>
      </c>
      <c r="M36" s="2">
        <v>1</v>
      </c>
      <c r="N36" s="2" t="s">
        <v>102</v>
      </c>
      <c r="O36" s="2">
        <v>0.15</v>
      </c>
      <c r="P36" s="2" t="s">
        <v>103</v>
      </c>
      <c r="Q36" s="2">
        <v>0.29566999999999999</v>
      </c>
      <c r="R36" s="2" t="s">
        <v>104</v>
      </c>
      <c r="S36" s="2">
        <v>2.59</v>
      </c>
      <c r="T36" s="2" t="s">
        <v>105</v>
      </c>
      <c r="U36" s="2">
        <v>2.5480999999999998</v>
      </c>
      <c r="V36" s="2" t="s">
        <v>106</v>
      </c>
      <c r="W36" s="43">
        <f>Q36*S36/U36</f>
        <v>0.30053188650366935</v>
      </c>
      <c r="X36" s="2" t="s">
        <v>107</v>
      </c>
      <c r="Y36" s="2">
        <v>0.95</v>
      </c>
    </row>
    <row r="37" spans="2:25" ht="28.8" x14ac:dyDescent="0.3">
      <c r="B37" s="33" t="s">
        <v>47</v>
      </c>
      <c r="C37" s="26" t="s">
        <v>48</v>
      </c>
      <c r="D37" s="26">
        <f>K36</f>
        <v>1672.8</v>
      </c>
      <c r="E37" s="37" t="s">
        <v>74</v>
      </c>
    </row>
    <row r="38" spans="2:25" x14ac:dyDescent="0.3">
      <c r="B38" s="33" t="s">
        <v>49</v>
      </c>
      <c r="C38" s="26" t="s">
        <v>50</v>
      </c>
      <c r="D38" s="27">
        <f>F21*(1+H38)*O32/1*J38</f>
        <v>29.008000000000003</v>
      </c>
      <c r="E38" s="37" t="s">
        <v>75</v>
      </c>
      <c r="G38" s="2" t="s">
        <v>105</v>
      </c>
      <c r="H38" s="2">
        <v>0.12</v>
      </c>
      <c r="I38" s="2" t="s">
        <v>105</v>
      </c>
      <c r="J38" s="2">
        <v>0.01</v>
      </c>
    </row>
    <row r="39" spans="2:25" x14ac:dyDescent="0.3">
      <c r="B39" s="33" t="s">
        <v>51</v>
      </c>
      <c r="C39" s="26" t="s">
        <v>52</v>
      </c>
      <c r="D39" s="27">
        <f>F21*(1+H38)*1/1*H39</f>
        <v>203.05600000000004</v>
      </c>
      <c r="E39" s="37" t="s">
        <v>76</v>
      </c>
      <c r="G39" s="2" t="s">
        <v>105</v>
      </c>
      <c r="H39" s="2">
        <v>7.0000000000000007E-2</v>
      </c>
    </row>
    <row r="40" spans="2:25" ht="15" thickBot="1" x14ac:dyDescent="0.35">
      <c r="B40" s="34" t="s">
        <v>53</v>
      </c>
      <c r="C40" s="35" t="s">
        <v>54</v>
      </c>
      <c r="D40" s="35">
        <f>F21*(1+H38)*O32/1*H40</f>
        <v>145.04000000000002</v>
      </c>
      <c r="E40" s="39" t="s">
        <v>77</v>
      </c>
      <c r="G40" s="2" t="s">
        <v>105</v>
      </c>
      <c r="H40" s="2">
        <v>0.05</v>
      </c>
    </row>
    <row r="41" spans="2:25" x14ac:dyDescent="0.3">
      <c r="B41" s="36">
        <v>2.2000000000000002</v>
      </c>
      <c r="C41" s="36" t="s">
        <v>55</v>
      </c>
      <c r="D41" s="36">
        <f>(O17+P17)*8*1</f>
        <v>460.57310208000001</v>
      </c>
      <c r="E41" s="37" t="s">
        <v>78</v>
      </c>
    </row>
    <row r="42" spans="2:25" ht="28.8" x14ac:dyDescent="0.3">
      <c r="B42" s="26">
        <v>3</v>
      </c>
      <c r="C42" s="26" t="s">
        <v>56</v>
      </c>
      <c r="D42" s="26" t="s">
        <v>57</v>
      </c>
      <c r="E42" s="37"/>
    </row>
    <row r="43" spans="2:25" x14ac:dyDescent="0.3">
      <c r="B43" s="26">
        <v>4</v>
      </c>
      <c r="C43" s="26" t="s">
        <v>58</v>
      </c>
      <c r="D43" s="26" t="s">
        <v>57</v>
      </c>
      <c r="E43" s="37"/>
    </row>
    <row r="44" spans="2:25" x14ac:dyDescent="0.3">
      <c r="B44" s="26">
        <v>5</v>
      </c>
      <c r="C44" s="26" t="s">
        <v>59</v>
      </c>
      <c r="D44" s="26">
        <f>G44*1*(1+I44)</f>
        <v>0</v>
      </c>
      <c r="E44" s="37" t="s">
        <v>79</v>
      </c>
    </row>
    <row r="45" spans="2:25" ht="100.8" x14ac:dyDescent="0.3">
      <c r="B45" s="26">
        <v>6</v>
      </c>
      <c r="C45" s="26" t="s">
        <v>60</v>
      </c>
      <c r="D45" s="27">
        <f>D28*H45</f>
        <v>456.76091858544009</v>
      </c>
      <c r="E45" s="37" t="s">
        <v>80</v>
      </c>
      <c r="G45" s="2" t="s">
        <v>109</v>
      </c>
      <c r="H45" s="2">
        <v>0.05</v>
      </c>
    </row>
    <row r="46" spans="2:25" ht="28.8" x14ac:dyDescent="0.3">
      <c r="B46" s="26">
        <v>7</v>
      </c>
      <c r="C46" s="26" t="s">
        <v>61</v>
      </c>
      <c r="D46" s="27">
        <f>D28*H45</f>
        <v>456.76091858544009</v>
      </c>
      <c r="E46" s="37" t="s">
        <v>81</v>
      </c>
    </row>
    <row r="47" spans="2:25" x14ac:dyDescent="0.3">
      <c r="B47" s="26">
        <v>8</v>
      </c>
      <c r="C47" s="26" t="s">
        <v>62</v>
      </c>
      <c r="D47" s="27">
        <f>D27+D31+D44+D45+D46</f>
        <v>19319.42702700078</v>
      </c>
      <c r="E47" s="36" t="s">
        <v>81</v>
      </c>
    </row>
    <row r="50" spans="2:3" x14ac:dyDescent="0.3">
      <c r="B50" s="44">
        <v>2.5</v>
      </c>
    </row>
    <row r="51" spans="2:3" x14ac:dyDescent="0.3">
      <c r="B51" t="s">
        <v>110</v>
      </c>
    </row>
    <row r="53" spans="2:3" x14ac:dyDescent="0.3">
      <c r="B53" t="s">
        <v>111</v>
      </c>
    </row>
    <row r="54" spans="2:3" x14ac:dyDescent="0.3">
      <c r="B54" t="s">
        <v>112</v>
      </c>
      <c r="C54">
        <f>D47*C55</f>
        <v>5795.8281081002342</v>
      </c>
    </row>
    <row r="55" spans="2:3" x14ac:dyDescent="0.3">
      <c r="B55" t="s">
        <v>113</v>
      </c>
      <c r="C55" s="42">
        <v>0.3</v>
      </c>
    </row>
    <row r="57" spans="2:3" x14ac:dyDescent="0.3">
      <c r="B57" t="s">
        <v>114</v>
      </c>
    </row>
    <row r="59" spans="2:3" x14ac:dyDescent="0.3">
      <c r="B59" t="s">
        <v>115</v>
      </c>
      <c r="C59" s="45">
        <f>D47+C54</f>
        <v>25115.255135101015</v>
      </c>
    </row>
    <row r="60" spans="2:3" x14ac:dyDescent="0.3">
      <c r="B60" t="s">
        <v>116</v>
      </c>
      <c r="C60">
        <f>C59*C61</f>
        <v>5023.051027020203</v>
      </c>
    </row>
    <row r="61" spans="2:3" x14ac:dyDescent="0.3">
      <c r="B61" t="s">
        <v>117</v>
      </c>
      <c r="C61" s="42">
        <v>0.2</v>
      </c>
    </row>
    <row r="62" spans="2:3" x14ac:dyDescent="0.3">
      <c r="B62" t="s">
        <v>118</v>
      </c>
      <c r="C62" s="45">
        <f>C59+C60</f>
        <v>30138.306162121218</v>
      </c>
    </row>
    <row r="66" spans="2:7" x14ac:dyDescent="0.3">
      <c r="B66">
        <v>2.8</v>
      </c>
    </row>
    <row r="67" spans="2:7" x14ac:dyDescent="0.3">
      <c r="B67" t="s">
        <v>119</v>
      </c>
    </row>
    <row r="69" spans="2:7" x14ac:dyDescent="0.3">
      <c r="B69" t="s">
        <v>120</v>
      </c>
      <c r="C69" s="45">
        <f>C62</f>
        <v>30138.306162121218</v>
      </c>
      <c r="D69" t="s">
        <v>121</v>
      </c>
      <c r="F69" t="s">
        <v>122</v>
      </c>
      <c r="G69">
        <v>65000</v>
      </c>
    </row>
    <row r="70" spans="2:7" x14ac:dyDescent="0.3">
      <c r="B70" t="s">
        <v>129</v>
      </c>
      <c r="C70" s="45">
        <f>G69-C69</f>
        <v>34861.693837878782</v>
      </c>
      <c r="E70" t="s">
        <v>123</v>
      </c>
    </row>
    <row r="72" spans="2:7" x14ac:dyDescent="0.3">
      <c r="B72" t="s">
        <v>124</v>
      </c>
      <c r="C72" s="45">
        <f>G69-C69</f>
        <v>34861.693837878782</v>
      </c>
    </row>
    <row r="74" spans="2:7" x14ac:dyDescent="0.3">
      <c r="B74" t="s">
        <v>125</v>
      </c>
      <c r="C74" s="41">
        <f>C72/D47</f>
        <v>1.8044890145632255</v>
      </c>
    </row>
    <row r="76" spans="2:7" x14ac:dyDescent="0.3">
      <c r="B76" t="s">
        <v>126</v>
      </c>
      <c r="C76">
        <f>D47/C72</f>
        <v>0.55417350392795206</v>
      </c>
      <c r="D76" t="s">
        <v>127</v>
      </c>
    </row>
    <row r="78" spans="2:7" x14ac:dyDescent="0.3">
      <c r="B78" t="s">
        <v>128</v>
      </c>
      <c r="C78">
        <f>C72-C55*D47</f>
        <v>29065.865729778547</v>
      </c>
    </row>
  </sheetData>
  <mergeCells count="7">
    <mergeCell ref="Q5:Q6"/>
    <mergeCell ref="B5:B6"/>
    <mergeCell ref="C5:C6"/>
    <mergeCell ref="D5:E5"/>
    <mergeCell ref="J5:J6"/>
    <mergeCell ref="K5:K6"/>
    <mergeCell ref="L5:P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Viachaslau Draneu</dc:creator>
  <cp:lastModifiedBy>Viachaslau Draneu</cp:lastModifiedBy>
  <dcterms:created xsi:type="dcterms:W3CDTF">2015-06-05T18:17:20Z</dcterms:created>
  <dcterms:modified xsi:type="dcterms:W3CDTF">2022-02-16T07:10:21Z</dcterms:modified>
</cp:coreProperties>
</file>